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 yWindow="528" windowWidth="23076" windowHeight="3900" tabRatio="817" activeTab="2"/>
  </bookViews>
  <sheets>
    <sheet name="MISO Cover" sheetId="88" r:id="rId1"/>
    <sheet name="Explanatory Stmts" sheetId="119" r:id="rId2"/>
    <sheet name="Appendix A" sheetId="75" r:id="rId3"/>
    <sheet name="WP01 True-Up" sheetId="78" r:id="rId4"/>
    <sheet name="WP01 TU Support 1" sheetId="105" r:id="rId5"/>
    <sheet name="WP01 TU Support 2" sheetId="117" r:id="rId6"/>
    <sheet name="WP02 Support" sheetId="77" r:id="rId7"/>
    <sheet name="Support to WP02" sheetId="114" r:id="rId8"/>
    <sheet name="2017 566 9302 PR WP02 Support " sheetId="115" state="hidden" r:id="rId9"/>
    <sheet name="WP03 W&amp;S" sheetId="61" r:id="rId10"/>
    <sheet name="WP04 PIS" sheetId="62" r:id="rId11"/>
    <sheet name="WP04 Support" sheetId="116" r:id="rId12"/>
    <sheet name="WP05 CapAds" sheetId="84" r:id="rId13"/>
    <sheet name="WP06 ADIT" sheetId="2" r:id="rId14"/>
    <sheet name="WP06 Support 1" sheetId="102" r:id="rId15"/>
    <sheet name="WP06 Support 2" sheetId="108" r:id="rId16"/>
    <sheet name="WP07 M&amp;S" sheetId="91" r:id="rId17"/>
    <sheet name="WP08 Prepay" sheetId="73" r:id="rId18"/>
    <sheet name="WP09 PHFU" sheetId="58" r:id="rId19"/>
    <sheet name="WP10 Storm" sheetId="93" r:id="rId20"/>
    <sheet name="WP11 Credits" sheetId="60" r:id="rId21"/>
    <sheet name="WP12 PBOP" sheetId="57" r:id="rId22"/>
    <sheet name="WP13 TOTI" sheetId="49" r:id="rId23"/>
    <sheet name="WP14 COC" sheetId="44" r:id="rId24"/>
    <sheet name="WP15 Radials" sheetId="86" r:id="rId25"/>
    <sheet name="WP16 Interconn" sheetId="85" r:id="rId26"/>
    <sheet name="WP17 Rev" sheetId="51" r:id="rId27"/>
    <sheet name="WP17 Rev Support" sheetId="113" r:id="rId28"/>
    <sheet name="WP18 Deprec" sheetId="66" r:id="rId29"/>
    <sheet name="WP19 Load" sheetId="67" r:id="rId30"/>
    <sheet name="WP20 Reserves" sheetId="74" r:id="rId31"/>
    <sheet name="WP21 Pension" sheetId="103" r:id="rId32"/>
    <sheet name="WP22 IT Adj" sheetId="111" r:id="rId33"/>
    <sheet name="WP22 Support " sheetId="112" r:id="rId34"/>
    <sheet name="WP AJ1 MISO" sheetId="55" r:id="rId35"/>
    <sheet name="WP AJ2 ITC" sheetId="56" r:id="rId36"/>
    <sheet name="WP AJ3 HCM" sheetId="87" r:id="rId37"/>
    <sheet name="WP AJ4 LA Merger" sheetId="95" r:id="rId38"/>
    <sheet name="WP AJ5 Acadia PB2" sheetId="96" r:id="rId39"/>
    <sheet name="WP AJ6 GPRD" sheetId="98"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0">#N/A</definedName>
    <definedName name="\1" localSheetId="5">'[1]Header Data'!#REF!</definedName>
    <definedName name="\1" localSheetId="15">'[1]Header Data'!#REF!</definedName>
    <definedName name="\1">'[1]Header Data'!#REF!</definedName>
    <definedName name="\b">#N/A</definedName>
    <definedName name="\c">#N/A</definedName>
    <definedName name="\d">#N/A</definedName>
    <definedName name="\E" localSheetId="15">#REF!</definedName>
    <definedName name="\E">#REF!</definedName>
    <definedName name="\f">#N/A</definedName>
    <definedName name="\m">#N/A</definedName>
    <definedName name="\p" localSheetId="15">#REF!</definedName>
    <definedName name="\p">#REF!</definedName>
    <definedName name="__123Graph_A" localSheetId="8" hidden="1">'[2]AL2 151'!#REF!</definedName>
    <definedName name="__123Graph_A" localSheetId="1" hidden="1">'[2]AL2 151'!#REF!</definedName>
    <definedName name="__123Graph_A" localSheetId="7" hidden="1">'[2]AL2 151'!#REF!</definedName>
    <definedName name="__123Graph_A" localSheetId="5" hidden="1">'[3]AL2 151'!#REF!</definedName>
    <definedName name="__123Graph_A" localSheetId="10" hidden="1">'[4]AL2 151'!#REF!</definedName>
    <definedName name="__123Graph_A" localSheetId="11" hidden="1">'[3]AL2 151'!#REF!</definedName>
    <definedName name="__123Graph_A" localSheetId="12" hidden="1">'[4]AL2 151'!#REF!</definedName>
    <definedName name="__123Graph_A" localSheetId="15" hidden="1">'[2]AL2 151'!#REF!</definedName>
    <definedName name="__123Graph_A" localSheetId="26" hidden="1">'[4]AL2 151'!#REF!</definedName>
    <definedName name="__123Graph_A" localSheetId="27" hidden="1">'[2]AL2 151'!#REF!</definedName>
    <definedName name="__123Graph_A" localSheetId="32" hidden="1">'[3]AL2 151'!#REF!</definedName>
    <definedName name="__123Graph_A" localSheetId="33" hidden="1">'[4]AL2 151'!#REF!</definedName>
    <definedName name="__123Graph_A" hidden="1">'[4]AL2 151'!#REF!</definedName>
    <definedName name="__123Graph_B" localSheetId="8" hidden="1">'[2]AL2 151'!#REF!</definedName>
    <definedName name="__123Graph_B" localSheetId="1" hidden="1">'[2]AL2 151'!#REF!</definedName>
    <definedName name="__123Graph_B" localSheetId="7" hidden="1">'[2]AL2 151'!#REF!</definedName>
    <definedName name="__123Graph_B" localSheetId="5" hidden="1">'[3]AL2 151'!#REF!</definedName>
    <definedName name="__123Graph_B" localSheetId="11" hidden="1">'[3]AL2 151'!#REF!</definedName>
    <definedName name="__123Graph_B" localSheetId="12" hidden="1">'[4]AL2 151'!#REF!</definedName>
    <definedName name="__123Graph_B" localSheetId="15" hidden="1">'[2]AL2 151'!#REF!</definedName>
    <definedName name="__123Graph_B" localSheetId="26" hidden="1">'[4]AL2 151'!#REF!</definedName>
    <definedName name="__123Graph_B" localSheetId="27" hidden="1">'[2]AL2 151'!#REF!</definedName>
    <definedName name="__123Graph_B" localSheetId="29" hidden="1">#REF!</definedName>
    <definedName name="__123Graph_B" localSheetId="32" hidden="1">'[3]AL2 151'!#REF!</definedName>
    <definedName name="__123Graph_B" localSheetId="33" hidden="1">'[4]AL2 151'!#REF!</definedName>
    <definedName name="__123Graph_B" hidden="1">'[4]AL2 151'!#REF!</definedName>
    <definedName name="__123Graph_C" localSheetId="8" hidden="1">'[2]AL2 151'!#REF!</definedName>
    <definedName name="__123Graph_C" localSheetId="1" hidden="1">'[2]AL2 151'!#REF!</definedName>
    <definedName name="__123Graph_C" localSheetId="7" hidden="1">'[2]AL2 151'!#REF!</definedName>
    <definedName name="__123Graph_C" localSheetId="5" hidden="1">'[3]AL2 151'!#REF!</definedName>
    <definedName name="__123Graph_C" localSheetId="11" hidden="1">'[3]AL2 151'!#REF!</definedName>
    <definedName name="__123Graph_C" localSheetId="12" hidden="1">'[4]AL2 151'!#REF!</definedName>
    <definedName name="__123Graph_C" localSheetId="15" hidden="1">'[2]AL2 151'!#REF!</definedName>
    <definedName name="__123Graph_C" localSheetId="27" hidden="1">'[2]AL2 151'!#REF!</definedName>
    <definedName name="__123Graph_C" localSheetId="32" hidden="1">'[3]AL2 151'!#REF!</definedName>
    <definedName name="__123Graph_C" localSheetId="33" hidden="1">'[4]AL2 151'!#REF!</definedName>
    <definedName name="__123Graph_C" hidden="1">'[4]AL2 151'!#REF!</definedName>
    <definedName name="__123Graph_D" localSheetId="8" hidden="1">'[2]AL2 151'!#REF!</definedName>
    <definedName name="__123Graph_D" localSheetId="1" hidden="1">'[2]AL2 151'!#REF!</definedName>
    <definedName name="__123Graph_D" localSheetId="7" hidden="1">'[2]AL2 151'!#REF!</definedName>
    <definedName name="__123Graph_D" localSheetId="5" hidden="1">'[3]AL2 151'!#REF!</definedName>
    <definedName name="__123Graph_D" localSheetId="11" hidden="1">'[3]AL2 151'!#REF!</definedName>
    <definedName name="__123Graph_D" localSheetId="12" hidden="1">'[4]AL2 151'!#REF!</definedName>
    <definedName name="__123Graph_D" localSheetId="15" hidden="1">'[2]AL2 151'!#REF!</definedName>
    <definedName name="__123Graph_D" localSheetId="27" hidden="1">'[2]AL2 151'!#REF!</definedName>
    <definedName name="__123Graph_D" localSheetId="32" hidden="1">'[3]AL2 151'!#REF!</definedName>
    <definedName name="__123Graph_D" localSheetId="33" hidden="1">'[4]AL2 151'!#REF!</definedName>
    <definedName name="__123Graph_D" hidden="1">'[4]AL2 151'!#REF!</definedName>
    <definedName name="__123Graph_E" localSheetId="8" hidden="1">'[2]AL2 151'!#REF!</definedName>
    <definedName name="__123Graph_E" localSheetId="1" hidden="1">'[2]AL2 151'!#REF!</definedName>
    <definedName name="__123Graph_E" localSheetId="7" hidden="1">'[2]AL2 151'!#REF!</definedName>
    <definedName name="__123Graph_E" localSheetId="5" hidden="1">'[3]AL2 151'!#REF!</definedName>
    <definedName name="__123Graph_E" localSheetId="11" hidden="1">'[3]AL2 151'!#REF!</definedName>
    <definedName name="__123Graph_E" localSheetId="12" hidden="1">'[4]AL2 151'!#REF!</definedName>
    <definedName name="__123Graph_E" localSheetId="15" hidden="1">'[2]AL2 151'!#REF!</definedName>
    <definedName name="__123Graph_E" localSheetId="27" hidden="1">'[2]AL2 151'!#REF!</definedName>
    <definedName name="__123Graph_E" localSheetId="32" hidden="1">'[3]AL2 151'!#REF!</definedName>
    <definedName name="__123Graph_E" localSheetId="33" hidden="1">'[4]AL2 151'!#REF!</definedName>
    <definedName name="__123Graph_E" hidden="1">'[4]AL2 151'!#REF!</definedName>
    <definedName name="__123Graph_F" localSheetId="8" hidden="1">'[2]AL2 151'!#REF!</definedName>
    <definedName name="__123Graph_F" localSheetId="1" hidden="1">'[2]AL2 151'!#REF!</definedName>
    <definedName name="__123Graph_F" localSheetId="7" hidden="1">'[2]AL2 151'!#REF!</definedName>
    <definedName name="__123Graph_F" localSheetId="5" hidden="1">'[3]AL2 151'!#REF!</definedName>
    <definedName name="__123Graph_F" localSheetId="11" hidden="1">'[3]AL2 151'!#REF!</definedName>
    <definedName name="__123Graph_F" localSheetId="12" hidden="1">'[4]AL2 151'!#REF!</definedName>
    <definedName name="__123Graph_F" localSheetId="15" hidden="1">'[2]AL2 151'!#REF!</definedName>
    <definedName name="__123Graph_F" localSheetId="27" hidden="1">'[2]AL2 151'!#REF!</definedName>
    <definedName name="__123Graph_F" localSheetId="32" hidden="1">'[3]AL2 151'!#REF!</definedName>
    <definedName name="__123Graph_F" localSheetId="33" hidden="1">'[4]AL2 151'!#REF!</definedName>
    <definedName name="__123Graph_F" hidden="1">'[4]AL2 151'!#REF!</definedName>
    <definedName name="__123Graph_X" localSheetId="8" hidden="1">'[2]AL2 151'!#REF!</definedName>
    <definedName name="__123Graph_X" localSheetId="1" hidden="1">'[2]AL2 151'!#REF!</definedName>
    <definedName name="__123Graph_X" localSheetId="7" hidden="1">'[2]AL2 151'!#REF!</definedName>
    <definedName name="__123Graph_X" localSheetId="5" hidden="1">'[3]AL2 151'!#REF!</definedName>
    <definedName name="__123Graph_X" localSheetId="11" hidden="1">'[3]AL2 151'!#REF!</definedName>
    <definedName name="__123Graph_X" localSheetId="12" hidden="1">'[4]AL2 151'!#REF!</definedName>
    <definedName name="__123Graph_X" localSheetId="15" hidden="1">'[2]AL2 151'!#REF!</definedName>
    <definedName name="__123Graph_X" localSheetId="27" hidden="1">'[2]AL2 151'!#REF!</definedName>
    <definedName name="__123Graph_X" localSheetId="32" hidden="1">'[3]AL2 151'!#REF!</definedName>
    <definedName name="__123Graph_X" localSheetId="33" hidden="1">'[4]AL2 151'!#REF!</definedName>
    <definedName name="__123Graph_X" hidden="1">'[4]AL2 151'!#REF!</definedName>
    <definedName name="__CPK1" localSheetId="15">#REF!</definedName>
    <definedName name="__CPK1">#REF!</definedName>
    <definedName name="__CPK2" localSheetId="15">#REF!</definedName>
    <definedName name="__CPK2">#REF!</definedName>
    <definedName name="__CPK3" localSheetId="15">#REF!</definedName>
    <definedName name="__CPK3">#REF!</definedName>
    <definedName name="__EGR1">#N/A</definedName>
    <definedName name="__EGR2">#N/A</definedName>
    <definedName name="__EGR3">#N/A</definedName>
    <definedName name="__tet12" localSheetId="1" hidden="1">{"assumptions",#N/A,FALSE,"Scenario 1";"valuation",#N/A,FALSE,"Scenario 1"}</definedName>
    <definedName name="__tet12" localSheetId="0" hidden="1">{"assumptions",#N/A,FALSE,"Scenario 1";"valuation",#N/A,FALSE,"Scenario 1"}</definedName>
    <definedName name="__tet12" localSheetId="7" hidden="1">{"assumptions",#N/A,FALSE,"Scenario 1";"valuation",#N/A,FALSE,"Scenario 1"}</definedName>
    <definedName name="__tet12" localSheetId="5" hidden="1">{"assumptions",#N/A,FALSE,"Scenario 1";"valuation",#N/A,FALSE,"Scenario 1"}</definedName>
    <definedName name="__tet12" localSheetId="10" hidden="1">{"assumptions",#N/A,FALSE,"Scenario 1";"valuation",#N/A,FALSE,"Scenario 1"}</definedName>
    <definedName name="__tet12" localSheetId="11" hidden="1">{"assumptions",#N/A,FALSE,"Scenario 1";"valuation",#N/A,FALSE,"Scenario 1"}</definedName>
    <definedName name="__tet12" localSheetId="15" hidden="1">{"assumptions",#N/A,FALSE,"Scenario 1";"valuation",#N/A,FALSE,"Scenario 1"}</definedName>
    <definedName name="__tet12" localSheetId="18" hidden="1">{"assumptions",#N/A,FALSE,"Scenario 1";"valuation",#N/A,FALSE,"Scenario 1"}</definedName>
    <definedName name="__tet12" localSheetId="27" hidden="1">{"assumptions",#N/A,FALSE,"Scenario 1";"valuation",#N/A,FALSE,"Scenario 1"}</definedName>
    <definedName name="__tet12" localSheetId="29" hidden="1">{"assumptions",#N/A,FALSE,"Scenario 1";"valuation",#N/A,FALSE,"Scenario 1"}</definedName>
    <definedName name="__tet12" localSheetId="32" hidden="1">{"assumptions",#N/A,FALSE,"Scenario 1";"valuation",#N/A,FALSE,"Scenario 1"}</definedName>
    <definedName name="__tet12" localSheetId="33" hidden="1">{"assumptions",#N/A,FALSE,"Scenario 1";"valuation",#N/A,FALSE,"Scenario 1"}</definedName>
    <definedName name="__tet12" hidden="1">{"assumptions",#N/A,FALSE,"Scenario 1";"valuation",#N/A,FALSE,"Scenario 1"}</definedName>
    <definedName name="__tet5" localSheetId="1" hidden="1">{"assumptions",#N/A,FALSE,"Scenario 1";"valuation",#N/A,FALSE,"Scenario 1"}</definedName>
    <definedName name="__tet5" localSheetId="0" hidden="1">{"assumptions",#N/A,FALSE,"Scenario 1";"valuation",#N/A,FALSE,"Scenario 1"}</definedName>
    <definedName name="__tet5" localSheetId="7" hidden="1">{"assumptions",#N/A,FALSE,"Scenario 1";"valuation",#N/A,FALSE,"Scenario 1"}</definedName>
    <definedName name="__tet5" localSheetId="5" hidden="1">{"assumptions",#N/A,FALSE,"Scenario 1";"valuation",#N/A,FALSE,"Scenario 1"}</definedName>
    <definedName name="__tet5" localSheetId="10" hidden="1">{"assumptions",#N/A,FALSE,"Scenario 1";"valuation",#N/A,FALSE,"Scenario 1"}</definedName>
    <definedName name="__tet5" localSheetId="11" hidden="1">{"assumptions",#N/A,FALSE,"Scenario 1";"valuation",#N/A,FALSE,"Scenario 1"}</definedName>
    <definedName name="__tet5" localSheetId="15" hidden="1">{"assumptions",#N/A,FALSE,"Scenario 1";"valuation",#N/A,FALSE,"Scenario 1"}</definedName>
    <definedName name="__tet5" localSheetId="18" hidden="1">{"assumptions",#N/A,FALSE,"Scenario 1";"valuation",#N/A,FALSE,"Scenario 1"}</definedName>
    <definedName name="__tet5" localSheetId="27" hidden="1">{"assumptions",#N/A,FALSE,"Scenario 1";"valuation",#N/A,FALSE,"Scenario 1"}</definedName>
    <definedName name="__tet5" localSheetId="29" hidden="1">{"assumptions",#N/A,FALSE,"Scenario 1";"valuation",#N/A,FALSE,"Scenario 1"}</definedName>
    <definedName name="__tet5" localSheetId="32" hidden="1">{"assumptions",#N/A,FALSE,"Scenario 1";"valuation",#N/A,FALSE,"Scenario 1"}</definedName>
    <definedName name="__tet5" localSheetId="33" hidden="1">{"assumptions",#N/A,FALSE,"Scenario 1";"valuation",#N/A,FALSE,"Scenario 1"}</definedName>
    <definedName name="__tet5" hidden="1">{"assumptions",#N/A,FALSE,"Scenario 1";"valuation",#N/A,FALSE,"Scenario 1"}</definedName>
    <definedName name="_123Graph_B.1" localSheetId="8" hidden="1">#REF!</definedName>
    <definedName name="_123Graph_B.1" localSheetId="1" hidden="1">#REF!</definedName>
    <definedName name="_123Graph_B.1" localSheetId="0" hidden="1">#REF!</definedName>
    <definedName name="_123Graph_B.1" localSheetId="7" hidden="1">#REF!</definedName>
    <definedName name="_123Graph_B.1" localSheetId="5" hidden="1">#REF!</definedName>
    <definedName name="_123Graph_B.1" localSheetId="11" hidden="1">#REF!</definedName>
    <definedName name="_123Graph_B.1" localSheetId="12" hidden="1">#REF!</definedName>
    <definedName name="_123Graph_B.1" localSheetId="15" hidden="1">#REF!</definedName>
    <definedName name="_123Graph_B.1" localSheetId="27" hidden="1">#REF!</definedName>
    <definedName name="_123Graph_B.1" localSheetId="32" hidden="1">#REF!</definedName>
    <definedName name="_123Graph_B.1" localSheetId="33" hidden="1">#REF!</definedName>
    <definedName name="_123Graph_B.1" hidden="1">#REF!</definedName>
    <definedName name="_CPK1" localSheetId="15">#REF!</definedName>
    <definedName name="_CPK1">#REF!</definedName>
    <definedName name="_CPK2" localSheetId="15">#REF!</definedName>
    <definedName name="_CPK2">#REF!</definedName>
    <definedName name="_CPK3" localSheetId="15">#REF!</definedName>
    <definedName name="_CPK3">#REF!</definedName>
    <definedName name="_Dist_Bin" localSheetId="8" hidden="1">#REF!</definedName>
    <definedName name="_Dist_Bin" localSheetId="1" hidden="1">#REF!</definedName>
    <definedName name="_Dist_Bin" localSheetId="0" hidden="1">#REF!</definedName>
    <definedName name="_Dist_Bin" localSheetId="7" hidden="1">#REF!</definedName>
    <definedName name="_Dist_Bin" localSheetId="5" hidden="1">#REF!</definedName>
    <definedName name="_Dist_Bin" localSheetId="11" hidden="1">#REF!</definedName>
    <definedName name="_Dist_Bin" localSheetId="12" hidden="1">#REF!</definedName>
    <definedName name="_Dist_Bin" localSheetId="15" hidden="1">#REF!</definedName>
    <definedName name="_Dist_Bin" localSheetId="27" hidden="1">#REF!</definedName>
    <definedName name="_Dist_Bin" localSheetId="29" hidden="1">#REF!</definedName>
    <definedName name="_Dist_Bin" localSheetId="33" hidden="1">#REF!</definedName>
    <definedName name="_Dist_Bin" hidden="1">#REF!</definedName>
    <definedName name="_Dist_Values" localSheetId="8" hidden="1">#REF!</definedName>
    <definedName name="_Dist_Values" localSheetId="1" hidden="1">#REF!</definedName>
    <definedName name="_Dist_Values" localSheetId="0" hidden="1">#REF!</definedName>
    <definedName name="_Dist_Values" localSheetId="7" hidden="1">#REF!</definedName>
    <definedName name="_Dist_Values" localSheetId="5" hidden="1">#REF!</definedName>
    <definedName name="_Dist_Values" localSheetId="11" hidden="1">#REF!</definedName>
    <definedName name="_Dist_Values" localSheetId="12" hidden="1">#REF!</definedName>
    <definedName name="_Dist_Values" localSheetId="15" hidden="1">#REF!</definedName>
    <definedName name="_Dist_Values" localSheetId="27" hidden="1">#REF!</definedName>
    <definedName name="_Dist_Values" localSheetId="29" hidden="1">#REF!</definedName>
    <definedName name="_Dist_Values" localSheetId="33" hidden="1">#REF!</definedName>
    <definedName name="_Dist_Values" hidden="1">#REF!</definedName>
    <definedName name="_EGR1">#N/A</definedName>
    <definedName name="_EGR2">#N/A</definedName>
    <definedName name="_EGR3">#N/A</definedName>
    <definedName name="_Fill" localSheetId="8" hidden="1">#REF!</definedName>
    <definedName name="_Fill" localSheetId="1" hidden="1">#REF!</definedName>
    <definedName name="_Fill" localSheetId="0" hidden="1">#REF!</definedName>
    <definedName name="_Fill" localSheetId="7" hidden="1">#REF!</definedName>
    <definedName name="_Fill" localSheetId="5" hidden="1">#REF!</definedName>
    <definedName name="_Fill" localSheetId="10" hidden="1">#REF!</definedName>
    <definedName name="_Fill" localSheetId="11" hidden="1">#REF!</definedName>
    <definedName name="_Fill" localSheetId="12" hidden="1">#REF!</definedName>
    <definedName name="_Fill" localSheetId="15" hidden="1">#REF!</definedName>
    <definedName name="_Fill" localSheetId="22" hidden="1">#REF!</definedName>
    <definedName name="_Fill" localSheetId="26" hidden="1">#REF!</definedName>
    <definedName name="_Fill" localSheetId="27" hidden="1">#REF!</definedName>
    <definedName name="_Fill" localSheetId="29" hidden="1">#REF!</definedName>
    <definedName name="_Fill" localSheetId="33" hidden="1">#REF!</definedName>
    <definedName name="_Fill" hidden="1">#REF!</definedName>
    <definedName name="_Fill.1" localSheetId="8" hidden="1">#REF!</definedName>
    <definedName name="_Fill.1" localSheetId="1" hidden="1">#REF!</definedName>
    <definedName name="_Fill.1" localSheetId="0" hidden="1">#REF!</definedName>
    <definedName name="_Fill.1" localSheetId="7" hidden="1">#REF!</definedName>
    <definedName name="_Fill.1" localSheetId="5" hidden="1">#REF!</definedName>
    <definedName name="_Fill.1" localSheetId="10" hidden="1">#REF!</definedName>
    <definedName name="_Fill.1" localSheetId="11" hidden="1">#REF!</definedName>
    <definedName name="_Fill.1" localSheetId="12" hidden="1">#REF!</definedName>
    <definedName name="_Fill.1" localSheetId="15" hidden="1">#REF!</definedName>
    <definedName name="_Fill.1" localSheetId="27" hidden="1">#REF!</definedName>
    <definedName name="_Fill.1" localSheetId="33" hidden="1">#REF!</definedName>
    <definedName name="_Fill.1" hidden="1">#REF!</definedName>
    <definedName name="_Key.1" localSheetId="8" hidden="1">#REF!</definedName>
    <definedName name="_Key.1" localSheetId="1" hidden="1">#REF!</definedName>
    <definedName name="_Key.1" localSheetId="0" hidden="1">#REF!</definedName>
    <definedName name="_Key.1" localSheetId="7" hidden="1">#REF!</definedName>
    <definedName name="_Key.1" localSheetId="5" hidden="1">#REF!</definedName>
    <definedName name="_Key.1" localSheetId="10" hidden="1">#REF!</definedName>
    <definedName name="_Key.1" localSheetId="11" hidden="1">#REF!</definedName>
    <definedName name="_Key.1" localSheetId="12" hidden="1">#REF!</definedName>
    <definedName name="_Key.1" localSheetId="15" hidden="1">#REF!</definedName>
    <definedName name="_Key.1" localSheetId="27" hidden="1">#REF!</definedName>
    <definedName name="_Key.1" localSheetId="33" hidden="1">#REF!</definedName>
    <definedName name="_Key.1" hidden="1">#REF!</definedName>
    <definedName name="_Key1" localSheetId="8" hidden="1">#REF!</definedName>
    <definedName name="_Key1" localSheetId="1" hidden="1">#REF!</definedName>
    <definedName name="_Key1" localSheetId="0" hidden="1">#REF!</definedName>
    <definedName name="_Key1" localSheetId="7" hidden="1">#REF!</definedName>
    <definedName name="_Key1" localSheetId="3" hidden="1">#REF!</definedName>
    <definedName name="_Key1" localSheetId="5" hidden="1">#REF!</definedName>
    <definedName name="_Key1" localSheetId="11" hidden="1">#REF!</definedName>
    <definedName name="_Key1" localSheetId="12" hidden="1">#REF!</definedName>
    <definedName name="_Key1" localSheetId="15" hidden="1">#REF!</definedName>
    <definedName name="_Key1" localSheetId="22" hidden="1">#REF!</definedName>
    <definedName name="_Key1" localSheetId="26" hidden="1">#REF!</definedName>
    <definedName name="_Key1" localSheetId="27" hidden="1">#REF!</definedName>
    <definedName name="_Key1" localSheetId="29" hidden="1">#REF!</definedName>
    <definedName name="_Key1" localSheetId="33" hidden="1">#REF!</definedName>
    <definedName name="_Key1" hidden="1">#REF!</definedName>
    <definedName name="_MatInverse_In" localSheetId="8" hidden="1">#REF!</definedName>
    <definedName name="_MatInverse_In" localSheetId="1" hidden="1">#REF!</definedName>
    <definedName name="_MatInverse_In" localSheetId="0" hidden="1">#REF!</definedName>
    <definedName name="_MatInverse_In" localSheetId="7" hidden="1">#REF!</definedName>
    <definedName name="_MatInverse_In" localSheetId="5" hidden="1">#REF!</definedName>
    <definedName name="_MatInverse_In" localSheetId="11" hidden="1">#REF!</definedName>
    <definedName name="_MatInverse_In" localSheetId="12" hidden="1">#REF!</definedName>
    <definedName name="_MatInverse_In" localSheetId="15" hidden="1">#REF!</definedName>
    <definedName name="_MatInverse_In" localSheetId="27" hidden="1">#REF!</definedName>
    <definedName name="_MatInverse_In" localSheetId="29" hidden="1">#REF!</definedName>
    <definedName name="_MatInverse_In" localSheetId="33" hidden="1">#REF!</definedName>
    <definedName name="_MatInverse_In" hidden="1">#REF!</definedName>
    <definedName name="_MatInverse_Out" localSheetId="8" hidden="1">#REF!</definedName>
    <definedName name="_MatInverse_Out" localSheetId="1" hidden="1">#REF!</definedName>
    <definedName name="_MatInverse_Out" localSheetId="0" hidden="1">#REF!</definedName>
    <definedName name="_MatInverse_Out" localSheetId="7" hidden="1">#REF!</definedName>
    <definedName name="_MatInverse_Out" localSheetId="5" hidden="1">#REF!</definedName>
    <definedName name="_MatInverse_Out" localSheetId="11" hidden="1">#REF!</definedName>
    <definedName name="_MatInverse_Out" localSheetId="12" hidden="1">#REF!</definedName>
    <definedName name="_MatInverse_Out" localSheetId="15" hidden="1">#REF!</definedName>
    <definedName name="_MatInverse_Out" localSheetId="27" hidden="1">#REF!</definedName>
    <definedName name="_MatInverse_Out" localSheetId="29" hidden="1">#REF!</definedName>
    <definedName name="_MatInverse_Out" localSheetId="33" hidden="1">#REF!</definedName>
    <definedName name="_MatInverse_Out" hidden="1">#REF!</definedName>
    <definedName name="_MatMult_A" localSheetId="8" hidden="1">#REF!</definedName>
    <definedName name="_MatMult_A" localSheetId="1" hidden="1">#REF!</definedName>
    <definedName name="_MatMult_A" localSheetId="0" hidden="1">#REF!</definedName>
    <definedName name="_MatMult_A" localSheetId="7" hidden="1">#REF!</definedName>
    <definedName name="_MatMult_A" localSheetId="5" hidden="1">#REF!</definedName>
    <definedName name="_MatMult_A" localSheetId="11" hidden="1">#REF!</definedName>
    <definedName name="_MatMult_A" localSheetId="12" hidden="1">#REF!</definedName>
    <definedName name="_MatMult_A" localSheetId="15" hidden="1">#REF!</definedName>
    <definedName name="_MatMult_A" localSheetId="27" hidden="1">#REF!</definedName>
    <definedName name="_MatMult_A" localSheetId="29" hidden="1">#REF!</definedName>
    <definedName name="_MatMult_A" localSheetId="33" hidden="1">#REF!</definedName>
    <definedName name="_MatMult_A" hidden="1">#REF!</definedName>
    <definedName name="_MatMult_AxB" localSheetId="8" hidden="1">#REF!</definedName>
    <definedName name="_MatMult_AxB" localSheetId="1" hidden="1">#REF!</definedName>
    <definedName name="_MatMult_AxB" localSheetId="0" hidden="1">#REF!</definedName>
    <definedName name="_MatMult_AxB" localSheetId="7" hidden="1">#REF!</definedName>
    <definedName name="_MatMult_AxB" localSheetId="5" hidden="1">#REF!</definedName>
    <definedName name="_MatMult_AxB" localSheetId="11" hidden="1">#REF!</definedName>
    <definedName name="_MatMult_AxB" localSheetId="12" hidden="1">#REF!</definedName>
    <definedName name="_MatMult_AxB" localSheetId="15" hidden="1">#REF!</definedName>
    <definedName name="_MatMult_AxB" localSheetId="27" hidden="1">#REF!</definedName>
    <definedName name="_MatMult_AxB" localSheetId="29" hidden="1">#REF!</definedName>
    <definedName name="_MatMult_AxB" localSheetId="33" hidden="1">#REF!</definedName>
    <definedName name="_MatMult_AxB" hidden="1">#REF!</definedName>
    <definedName name="_MatMult_B" localSheetId="8" hidden="1">#REF!</definedName>
    <definedName name="_MatMult_B" localSheetId="1" hidden="1">#REF!</definedName>
    <definedName name="_MatMult_B" localSheetId="0" hidden="1">#REF!</definedName>
    <definedName name="_MatMult_B" localSheetId="7" hidden="1">#REF!</definedName>
    <definedName name="_MatMult_B" localSheetId="5" hidden="1">#REF!</definedName>
    <definedName name="_MatMult_B" localSheetId="11" hidden="1">#REF!</definedName>
    <definedName name="_MatMult_B" localSheetId="12" hidden="1">#REF!</definedName>
    <definedName name="_MatMult_B" localSheetId="15" hidden="1">#REF!</definedName>
    <definedName name="_MatMult_B" localSheetId="27" hidden="1">#REF!</definedName>
    <definedName name="_MatMult_B" localSheetId="29" hidden="1">#REF!</definedName>
    <definedName name="_MatMult_B" localSheetId="33" hidden="1">#REF!</definedName>
    <definedName name="_MatMult_B" hidden="1">#REF!</definedName>
    <definedName name="_Order.1" hidden="1">255</definedName>
    <definedName name="_Order1" localSheetId="3" hidden="1">255</definedName>
    <definedName name="_Order1" localSheetId="12" hidden="1">255</definedName>
    <definedName name="_Order1" localSheetId="29" hidden="1">255</definedName>
    <definedName name="_Order1" hidden="1">0</definedName>
    <definedName name="_Order2" hidden="1">255</definedName>
    <definedName name="_Parse_In" localSheetId="8" hidden="1">#REF!</definedName>
    <definedName name="_Parse_In" localSheetId="1" hidden="1">#REF!</definedName>
    <definedName name="_Parse_In" localSheetId="0" hidden="1">#REF!</definedName>
    <definedName name="_Parse_In" localSheetId="7" hidden="1">#REF!</definedName>
    <definedName name="_Parse_In" localSheetId="5" hidden="1">#REF!</definedName>
    <definedName name="_Parse_In" localSheetId="11" hidden="1">#REF!</definedName>
    <definedName name="_Parse_In" localSheetId="12" hidden="1">#REF!</definedName>
    <definedName name="_Parse_In" localSheetId="15" hidden="1">#REF!</definedName>
    <definedName name="_Parse_In" localSheetId="27" hidden="1">#REF!</definedName>
    <definedName name="_Parse_In" localSheetId="29" hidden="1">#REF!</definedName>
    <definedName name="_Parse_In" localSheetId="33" hidden="1">#REF!</definedName>
    <definedName name="_Parse_In" hidden="1">#REF!</definedName>
    <definedName name="_Parse_Out" localSheetId="8" hidden="1">#REF!</definedName>
    <definedName name="_Parse_Out" localSheetId="1" hidden="1">#REF!</definedName>
    <definedName name="_Parse_Out" localSheetId="0" hidden="1">#REF!</definedName>
    <definedName name="_Parse_Out" localSheetId="7" hidden="1">#REF!</definedName>
    <definedName name="_Parse_Out" localSheetId="5" hidden="1">#REF!</definedName>
    <definedName name="_Parse_Out" localSheetId="11" hidden="1">#REF!</definedName>
    <definedName name="_Parse_Out" localSheetId="12" hidden="1">#REF!</definedName>
    <definedName name="_Parse_Out" localSheetId="15" hidden="1">#REF!</definedName>
    <definedName name="_Parse_Out" localSheetId="27" hidden="1">#REF!</definedName>
    <definedName name="_Parse_Out" localSheetId="29" hidden="1">#REF!</definedName>
    <definedName name="_Parse_Out" localSheetId="33" hidden="1">#REF!</definedName>
    <definedName name="_Parse_Out" hidden="1">#REF!</definedName>
    <definedName name="_Regression_Out" localSheetId="8" hidden="1">#REF!</definedName>
    <definedName name="_Regression_Out" localSheetId="1" hidden="1">#REF!</definedName>
    <definedName name="_Regression_Out" localSheetId="0" hidden="1">#REF!</definedName>
    <definedName name="_Regression_Out" localSheetId="7" hidden="1">#REF!</definedName>
    <definedName name="_Regression_Out" localSheetId="5" hidden="1">#REF!</definedName>
    <definedName name="_Regression_Out" localSheetId="11" hidden="1">#REF!</definedName>
    <definedName name="_Regression_Out" localSheetId="12" hidden="1">#REF!</definedName>
    <definedName name="_Regression_Out" localSheetId="15" hidden="1">#REF!</definedName>
    <definedName name="_Regression_Out" localSheetId="27" hidden="1">#REF!</definedName>
    <definedName name="_Regression_Out" localSheetId="29" hidden="1">#REF!</definedName>
    <definedName name="_Regression_Out" localSheetId="33" hidden="1">#REF!</definedName>
    <definedName name="_Regression_Out" hidden="1">#REF!</definedName>
    <definedName name="_Regression_X" localSheetId="8" hidden="1">#REF!</definedName>
    <definedName name="_Regression_X" localSheetId="1" hidden="1">#REF!</definedName>
    <definedName name="_Regression_X" localSheetId="0" hidden="1">#REF!</definedName>
    <definedName name="_Regression_X" localSheetId="7" hidden="1">#REF!</definedName>
    <definedName name="_Regression_X" localSheetId="5" hidden="1">#REF!</definedName>
    <definedName name="_Regression_X" localSheetId="11" hidden="1">#REF!</definedName>
    <definedName name="_Regression_X" localSheetId="12" hidden="1">#REF!</definedName>
    <definedName name="_Regression_X" localSheetId="15" hidden="1">#REF!</definedName>
    <definedName name="_Regression_X" localSheetId="27" hidden="1">#REF!</definedName>
    <definedName name="_Regression_X" localSheetId="29" hidden="1">#REF!</definedName>
    <definedName name="_Regression_X" localSheetId="33" hidden="1">#REF!</definedName>
    <definedName name="_Regression_X" hidden="1">#REF!</definedName>
    <definedName name="_Regression_Y" localSheetId="8" hidden="1">#REF!</definedName>
    <definedName name="_Regression_Y" localSheetId="1" hidden="1">#REF!</definedName>
    <definedName name="_Regression_Y" localSheetId="0" hidden="1">#REF!</definedName>
    <definedName name="_Regression_Y" localSheetId="7" hidden="1">#REF!</definedName>
    <definedName name="_Regression_Y" localSheetId="5" hidden="1">#REF!</definedName>
    <definedName name="_Regression_Y" localSheetId="11" hidden="1">#REF!</definedName>
    <definedName name="_Regression_Y" localSheetId="12" hidden="1">#REF!</definedName>
    <definedName name="_Regression_Y" localSheetId="15" hidden="1">#REF!</definedName>
    <definedName name="_Regression_Y" localSheetId="27" hidden="1">#REF!</definedName>
    <definedName name="_Regression_Y" localSheetId="29" hidden="1">#REF!</definedName>
    <definedName name="_Regression_Y" localSheetId="33" hidden="1">#REF!</definedName>
    <definedName name="_Regression_Y" hidden="1">#REF!</definedName>
    <definedName name="_Sort" localSheetId="8" hidden="1">#REF!</definedName>
    <definedName name="_Sort" localSheetId="1" hidden="1">#REF!</definedName>
    <definedName name="_Sort" localSheetId="0" hidden="1">#REF!</definedName>
    <definedName name="_Sort" localSheetId="7" hidden="1">#REF!</definedName>
    <definedName name="_Sort" localSheetId="3" hidden="1">#REF!</definedName>
    <definedName name="_Sort" localSheetId="5" hidden="1">#REF!</definedName>
    <definedName name="_Sort" localSheetId="11" hidden="1">#REF!</definedName>
    <definedName name="_Sort" localSheetId="12" hidden="1">#REF!</definedName>
    <definedName name="_Sort" localSheetId="15" hidden="1">#REF!</definedName>
    <definedName name="_Sort" localSheetId="22" hidden="1">#REF!</definedName>
    <definedName name="_Sort" localSheetId="26" hidden="1">#REF!</definedName>
    <definedName name="_Sort" localSheetId="27" hidden="1">#REF!</definedName>
    <definedName name="_Sort" localSheetId="29" hidden="1">#REF!</definedName>
    <definedName name="_Sort" localSheetId="33" hidden="1">#REF!</definedName>
    <definedName name="_Sort" hidden="1">#REF!</definedName>
    <definedName name="_Sort.1" localSheetId="8" hidden="1">#REF!</definedName>
    <definedName name="_Sort.1" localSheetId="1" hidden="1">#REF!</definedName>
    <definedName name="_Sort.1" localSheetId="0" hidden="1">#REF!</definedName>
    <definedName name="_Sort.1" localSheetId="7" hidden="1">#REF!</definedName>
    <definedName name="_Sort.1" localSheetId="5" hidden="1">#REF!</definedName>
    <definedName name="_Sort.1" localSheetId="11" hidden="1">#REF!</definedName>
    <definedName name="_Sort.1" localSheetId="12" hidden="1">#REF!</definedName>
    <definedName name="_Sort.1" localSheetId="15" hidden="1">#REF!</definedName>
    <definedName name="_Sort.1" localSheetId="27" hidden="1">#REF!</definedName>
    <definedName name="_Sort.1" localSheetId="33" hidden="1">#REF!</definedName>
    <definedName name="_Sort.1" hidden="1">#REF!</definedName>
    <definedName name="_Table1_Out" localSheetId="8" hidden="1">#REF!</definedName>
    <definedName name="_Table1_Out" localSheetId="1" hidden="1">#REF!</definedName>
    <definedName name="_Table1_Out" localSheetId="0" hidden="1">#REF!</definedName>
    <definedName name="_Table1_Out" localSheetId="7" hidden="1">#REF!</definedName>
    <definedName name="_Table1_Out" localSheetId="5" hidden="1">#REF!</definedName>
    <definedName name="_Table1_Out" localSheetId="11" hidden="1">#REF!</definedName>
    <definedName name="_Table1_Out" localSheetId="12" hidden="1">#REF!</definedName>
    <definedName name="_Table1_Out" localSheetId="15" hidden="1">#REF!</definedName>
    <definedName name="_Table1_Out" localSheetId="27" hidden="1">#REF!</definedName>
    <definedName name="_Table1_Out" localSheetId="29" hidden="1">#REF!</definedName>
    <definedName name="_Table1_Out" localSheetId="33" hidden="1">#REF!</definedName>
    <definedName name="_Table1_Out" hidden="1">#REF!</definedName>
    <definedName name="_tet12" localSheetId="1" hidden="1">{"assumptions",#N/A,FALSE,"Scenario 1";"valuation",#N/A,FALSE,"Scenario 1"}</definedName>
    <definedName name="_tet12" localSheetId="0" hidden="1">{"assumptions",#N/A,FALSE,"Scenario 1";"valuation",#N/A,FALSE,"Scenario 1"}</definedName>
    <definedName name="_tet12" localSheetId="7" hidden="1">{"assumptions",#N/A,FALSE,"Scenario 1";"valuation",#N/A,FALSE,"Scenario 1"}</definedName>
    <definedName name="_tet12" localSheetId="5" hidden="1">{"assumptions",#N/A,FALSE,"Scenario 1";"valuation",#N/A,FALSE,"Scenario 1"}</definedName>
    <definedName name="_tet12" localSheetId="10" hidden="1">{"assumptions",#N/A,FALSE,"Scenario 1";"valuation",#N/A,FALSE,"Scenario 1"}</definedName>
    <definedName name="_tet12" localSheetId="11" hidden="1">{"assumptions",#N/A,FALSE,"Scenario 1";"valuation",#N/A,FALSE,"Scenario 1"}</definedName>
    <definedName name="_tet12" localSheetId="15" hidden="1">{"assumptions",#N/A,FALSE,"Scenario 1";"valuation",#N/A,FALSE,"Scenario 1"}</definedName>
    <definedName name="_tet12" localSheetId="18" hidden="1">{"assumptions",#N/A,FALSE,"Scenario 1";"valuation",#N/A,FALSE,"Scenario 1"}</definedName>
    <definedName name="_tet12" localSheetId="27" hidden="1">{"assumptions",#N/A,FALSE,"Scenario 1";"valuation",#N/A,FALSE,"Scenario 1"}</definedName>
    <definedName name="_tet12" localSheetId="29" hidden="1">{"assumptions",#N/A,FALSE,"Scenario 1";"valuation",#N/A,FALSE,"Scenario 1"}</definedName>
    <definedName name="_tet12" localSheetId="32" hidden="1">{"assumptions",#N/A,FALSE,"Scenario 1";"valuation",#N/A,FALSE,"Scenario 1"}</definedName>
    <definedName name="_tet12" localSheetId="33" hidden="1">{"assumptions",#N/A,FALSE,"Scenario 1";"valuation",#N/A,FALSE,"Scenario 1"}</definedName>
    <definedName name="_tet12" hidden="1">{"assumptions",#N/A,FALSE,"Scenario 1";"valuation",#N/A,FALSE,"Scenario 1"}</definedName>
    <definedName name="_tet5" localSheetId="1" hidden="1">{"assumptions",#N/A,FALSE,"Scenario 1";"valuation",#N/A,FALSE,"Scenario 1"}</definedName>
    <definedName name="_tet5" localSheetId="0" hidden="1">{"assumptions",#N/A,FALSE,"Scenario 1";"valuation",#N/A,FALSE,"Scenario 1"}</definedName>
    <definedName name="_tet5" localSheetId="7" hidden="1">{"assumptions",#N/A,FALSE,"Scenario 1";"valuation",#N/A,FALSE,"Scenario 1"}</definedName>
    <definedName name="_tet5" localSheetId="5" hidden="1">{"assumptions",#N/A,FALSE,"Scenario 1";"valuation",#N/A,FALSE,"Scenario 1"}</definedName>
    <definedName name="_tet5" localSheetId="10" hidden="1">{"assumptions",#N/A,FALSE,"Scenario 1";"valuation",#N/A,FALSE,"Scenario 1"}</definedName>
    <definedName name="_tet5" localSheetId="11" hidden="1">{"assumptions",#N/A,FALSE,"Scenario 1";"valuation",#N/A,FALSE,"Scenario 1"}</definedName>
    <definedName name="_tet5" localSheetId="15" hidden="1">{"assumptions",#N/A,FALSE,"Scenario 1";"valuation",#N/A,FALSE,"Scenario 1"}</definedName>
    <definedName name="_tet5" localSheetId="18" hidden="1">{"assumptions",#N/A,FALSE,"Scenario 1";"valuation",#N/A,FALSE,"Scenario 1"}</definedName>
    <definedName name="_tet5" localSheetId="27" hidden="1">{"assumptions",#N/A,FALSE,"Scenario 1";"valuation",#N/A,FALSE,"Scenario 1"}</definedName>
    <definedName name="_tet5" localSheetId="29" hidden="1">{"assumptions",#N/A,FALSE,"Scenario 1";"valuation",#N/A,FALSE,"Scenario 1"}</definedName>
    <definedName name="_tet5" localSheetId="32" hidden="1">{"assumptions",#N/A,FALSE,"Scenario 1";"valuation",#N/A,FALSE,"Scenario 1"}</definedName>
    <definedName name="_tet5" localSheetId="33" hidden="1">{"assumptions",#N/A,FALSE,"Scenario 1";"valuation",#N/A,FALSE,"Scenario 1"}</definedName>
    <definedName name="_tet5" hidden="1">{"assumptions",#N/A,FALSE,"Scenario 1";"valuation",#N/A,FALSE,"Scenario 1"}</definedName>
    <definedName name="A" localSheetId="5">#REF!</definedName>
    <definedName name="A" localSheetId="15">#REF!</definedName>
    <definedName name="a" localSheetId="29" hidden="1">{"LBO Summary",#N/A,FALSE,"Summary"}</definedName>
    <definedName name="A">#REF!</definedName>
    <definedName name="a.1" localSheetId="1" hidden="1">{"LBO Summary",#N/A,FALSE,"Summary"}</definedName>
    <definedName name="a.1" localSheetId="0" hidden="1">{"LBO Summary",#N/A,FALSE,"Summary"}</definedName>
    <definedName name="a.1" localSheetId="7" hidden="1">{"LBO Summary",#N/A,FALSE,"Summary"}</definedName>
    <definedName name="a.1" localSheetId="5" hidden="1">{"LBO Summary",#N/A,FALSE,"Summary"}</definedName>
    <definedName name="a.1" localSheetId="10" hidden="1">{"LBO Summary",#N/A,FALSE,"Summary"}</definedName>
    <definedName name="a.1" localSheetId="11" hidden="1">{"LBO Summary",#N/A,FALSE,"Summary"}</definedName>
    <definedName name="a.1" localSheetId="15" hidden="1">{"LBO Summary",#N/A,FALSE,"Summary"}</definedName>
    <definedName name="a.1" localSheetId="18" hidden="1">{"LBO Summary",#N/A,FALSE,"Summary"}</definedName>
    <definedName name="a.1" localSheetId="27" hidden="1">{"LBO Summary",#N/A,FALSE,"Summary"}</definedName>
    <definedName name="a.1" localSheetId="32" hidden="1">{"LBO Summary",#N/A,FALSE,"Summary"}</definedName>
    <definedName name="a.1" localSheetId="33" hidden="1">{"LBO Summary",#N/A,FALSE,"Summary"}</definedName>
    <definedName name="a.1" hidden="1">{"LBO Summary",#N/A,FALSE,"Summary"}</definedName>
    <definedName name="above">OFFSET(!A1,-1,0)</definedName>
    <definedName name="ACCTTextLen" localSheetId="15">#REF!</definedName>
    <definedName name="ACCTTextLen">#REF!</definedName>
    <definedName name="ACTTextLen" localSheetId="15">#REF!</definedName>
    <definedName name="ACTTextLen">#REF!</definedName>
    <definedName name="ADIT_TST">'[5]A.2 PTP'!$P$55</definedName>
    <definedName name="ADTL">'[5]C. Input'!$F$144</definedName>
    <definedName name="AG_TST">'[5]A.2 PTP'!$P$111</definedName>
    <definedName name="AGXP">'[5]C. Input'!$F$201</definedName>
    <definedName name="Allocator.gross.plant" localSheetId="5">'[6]Appendix A'!$H$30</definedName>
    <definedName name="Allocator.gross.plant">'[7]Appendix A'!$H$30</definedName>
    <definedName name="Allocator.net.plant" localSheetId="5">'[6]Appendix A'!$H$33</definedName>
    <definedName name="Allocator.net.plant">'[7]Appendix A'!$H$33</definedName>
    <definedName name="Allocator.wages.salary" localSheetId="5">'[6]Appendix A'!$H$18</definedName>
    <definedName name="Allocator.wages.salary">'[7]Appendix A'!$H$18</definedName>
    <definedName name="ALOC" localSheetId="15">#REF!</definedName>
    <definedName name="ALOC">#REF!</definedName>
    <definedName name="ALOC_2" localSheetId="15">#REF!</definedName>
    <definedName name="ALOC_2">#REF!</definedName>
    <definedName name="Amort_04" localSheetId="5">'[8]D.16.1.2 Table B 2004'!$A$24:$U$35</definedName>
    <definedName name="Amort_04">'[5]D.16.1.2 Table B 2004'!$A$24:$U$35</definedName>
    <definedName name="Amort_05" localSheetId="5">'[8]D.16.1.3 Table B 2005'!$A$24:$U$36</definedName>
    <definedName name="Amort_05">'[5]D.16.1.3 Table B 2005'!$A$24:$U$36</definedName>
    <definedName name="Amort_06" localSheetId="5">'[8]D.16.1.4 Table B 2006'!$A$24:$U$37</definedName>
    <definedName name="Amort_06">'[5]D.16.1.4 Table B 2006'!$A$24:$U$37</definedName>
    <definedName name="Amort_07" localSheetId="5">'[8]D.16.1.5 Table B 2007'!$A$24:$U$38</definedName>
    <definedName name="Amort_07">'[5]D.16.1.5 Table B 2007'!$A$24:$U$38</definedName>
    <definedName name="Amort_08" localSheetId="5">'[8]D.16.1.6 Table B 2008'!$A$24:$U$39</definedName>
    <definedName name="Amort_08">'[5]D.16.1.6 Table B 2008'!$A$24:$U$39</definedName>
    <definedName name="Amort_09" localSheetId="5">'[8]D.16.1.7 Table B 2009'!$A$24:$U$39</definedName>
    <definedName name="Amort_09">'[5]D.16.1.7 Table B 2009'!$A$24:$U$39</definedName>
    <definedName name="Amort_10" localSheetId="5">'[8]D.16.1.8 Table B 2010'!$A$24:$U$39</definedName>
    <definedName name="Amort_10">'[5]D.16.1.8 Table B 2010'!$A$24:$U$39</definedName>
    <definedName name="Amort_11" localSheetId="5">'[8]D.16.1.9 Table B 2011'!$A$24:$U$39</definedName>
    <definedName name="Amort_11">'[5]D.16.1.9 Table B 2011'!$A$24:$U$39</definedName>
    <definedName name="Amort_12" localSheetId="5">'[8]D.16.1.10 Table B 2012'!$A$24:$U$39</definedName>
    <definedName name="Amort_12">'[5]D.16.1.10 Table B 2012'!$A$24:$U$39</definedName>
    <definedName name="AMOUNT" localSheetId="15">#REF!</definedName>
    <definedName name="AMOUNT">#REF!</definedName>
    <definedName name="APR">#N/A</definedName>
    <definedName name="ARB_04" localSheetId="5">'[8]D.16.1.2 Table B 2004'!$A$39:$U$50</definedName>
    <definedName name="ARB_04">'[5]D.16.1.2 Table B 2004'!$A$39:$U$50</definedName>
    <definedName name="ARB_05" localSheetId="5">'[8]D.16.1.3 Table B 2005'!$A$40:$U$52</definedName>
    <definedName name="ARB_05">'[5]D.16.1.3 Table B 2005'!$A$40:$U$52</definedName>
    <definedName name="ARB_06" localSheetId="5">'[8]D.16.1.4 Table B 2006'!$A$41:$U$54</definedName>
    <definedName name="ARB_06">'[5]D.16.1.4 Table B 2006'!$A$41:$U$54</definedName>
    <definedName name="ARB_07" localSheetId="5">'[8]D.16.1.5 Table B 2007'!$A$42:$U$56</definedName>
    <definedName name="ARB_07">'[5]D.16.1.5 Table B 2007'!$A$42:$U$56</definedName>
    <definedName name="ARB_08" localSheetId="5">'[8]D.16.1.6 Table B 2008'!$A$43:$U$58</definedName>
    <definedName name="ARB_08">'[5]D.16.1.6 Table B 2008'!$A$43:$U$58</definedName>
    <definedName name="ARB_09" localSheetId="5">'[8]D.16.1.7 Table B 2009'!$A$43:$U$58</definedName>
    <definedName name="ARB_09">'[5]D.16.1.7 Table B 2009'!$A$43:$U$58</definedName>
    <definedName name="ARB_10" localSheetId="5">'[8]D.16.1.8 Table B 2010'!$A$43:$U$58</definedName>
    <definedName name="ARB_10">'[5]D.16.1.8 Table B 2010'!$A$43:$U$58</definedName>
    <definedName name="ARB_11" localSheetId="5">'[8]D.16.1.9 Table B 2011'!$A$43:$U$58</definedName>
    <definedName name="ARB_11">'[5]D.16.1.9 Table B 2011'!$A$43:$U$58</definedName>
    <definedName name="AREA">#N/A</definedName>
    <definedName name="AS2DocOpenMode" hidden="1">"AS2DocumentEdit"</definedName>
    <definedName name="ASD_LEXTERNAL" localSheetId="15">#REF!</definedName>
    <definedName name="ASD_LEXTERNAL">#REF!</definedName>
    <definedName name="AUG">#N/A</definedName>
    <definedName name="AVG">#N/A</definedName>
    <definedName name="B" localSheetId="15">#REF!</definedName>
    <definedName name="B">#REF!</definedName>
    <definedName name="BadErrMsg" localSheetId="15">#REF!</definedName>
    <definedName name="BadErrMsg">#REF!</definedName>
    <definedName name="BalanceSheet" localSheetId="15">#REF!</definedName>
    <definedName name="BalanceSheet">#REF!</definedName>
    <definedName name="below">OFFSET(!A1,1,0)</definedName>
    <definedName name="Bio_Flora" localSheetId="15">#REF!</definedName>
    <definedName name="Bio_Flora">#REF!</definedName>
    <definedName name="BLANK_ACCOUNT" localSheetId="15">#REF!</definedName>
    <definedName name="BLANK_ACCOUNT">#REF!</definedName>
    <definedName name="C_" localSheetId="15">'[9]RR 8 2'!#REF!</definedName>
    <definedName name="C_">'[9]RR 8 2'!#REF!</definedName>
    <definedName name="CALC_C03" localSheetId="15">#REF!</definedName>
    <definedName name="CALC_C03">#REF!</definedName>
    <definedName name="CALC_C04" localSheetId="15">#REF!</definedName>
    <definedName name="CALC_C04">#REF!</definedName>
    <definedName name="CALC_C09" localSheetId="15">#REF!</definedName>
    <definedName name="CALC_C09">#REF!</definedName>
    <definedName name="CALC_LRG" localSheetId="15">#REF!</definedName>
    <definedName name="CALC_LRG">#REF!</definedName>
    <definedName name="CALC_XLG" localSheetId="15">#REF!</definedName>
    <definedName name="CALC_XLG">#REF!</definedName>
    <definedName name="CASCADE" localSheetId="15">#REF!</definedName>
    <definedName name="CASCADE">#REF!</definedName>
    <definedName name="CC_TST" localSheetId="5">'[8]A.2 PTP'!$P$33</definedName>
    <definedName name="CC_TST">'[5]A.2 PTP'!$P$33</definedName>
    <definedName name="CE" localSheetId="5">'[8]C. Input'!$F$37</definedName>
    <definedName name="CE">'[5]C. Input'!$F$37</definedName>
    <definedName name="CE_EAI" localSheetId="5">'[8]C. Input'!$I$37</definedName>
    <definedName name="CE_EAI">'[5]C. Input'!$I$37</definedName>
    <definedName name="CE_EGSI" localSheetId="5">'[8]C. Input'!$L$37</definedName>
    <definedName name="CE_EGSI">'[5]C. Input'!$L$37</definedName>
    <definedName name="CE_ELI" localSheetId="5">'[8]C. Input'!$O$37</definedName>
    <definedName name="CE_ELI">'[5]C. Input'!$O$37</definedName>
    <definedName name="CE_EMI" localSheetId="5">'[8]C. Input'!$R$37</definedName>
    <definedName name="CE_EMI">'[5]C. Input'!$R$37</definedName>
    <definedName name="CE_ENOI" localSheetId="5">'[8]C. Input'!$X$37</definedName>
    <definedName name="CE_ENOI">'[5]C. Input'!$X$37</definedName>
    <definedName name="CELL">#N/A</definedName>
    <definedName name="cell.above">!A1048576</definedName>
    <definedName name="cell.below">!A2</definedName>
    <definedName name="cell.left">!XFD1</definedName>
    <definedName name="cell.right">!B1</definedName>
    <definedName name="CHECK_BAL" localSheetId="15">#REF!</definedName>
    <definedName name="CHECK_BAL">#REF!</definedName>
    <definedName name="CHECK_BLANK" localSheetId="15">#REF!</definedName>
    <definedName name="CHECK_BLANK">#REF!</definedName>
    <definedName name="CHECK_CELLS" localSheetId="15">#REF!</definedName>
    <definedName name="CHECK_CELLS">#REF!</definedName>
    <definedName name="CLASSES">#N/A</definedName>
    <definedName name="CompanyTextLen" localSheetId="15">#REF!</definedName>
    <definedName name="CompanyTextLen">#REF!</definedName>
    <definedName name="CP">#N/A</definedName>
    <definedName name="CP_1">#N/A</definedName>
    <definedName name="CP_PG1B" localSheetId="15">#REF!</definedName>
    <definedName name="CP_PG1B">#REF!</definedName>
    <definedName name="cp_pg2" localSheetId="15">#REF!</definedName>
    <definedName name="cp_pg2">#REF!</definedName>
    <definedName name="cp_pg2b" localSheetId="15">#REF!</definedName>
    <definedName name="cp_pg2b">#REF!</definedName>
    <definedName name="CP_PG3B" localSheetId="15">#REF!</definedName>
    <definedName name="CP_PG3B">#REF!</definedName>
    <definedName name="CPK1X" localSheetId="15">#REF!</definedName>
    <definedName name="CPK1X">#REF!</definedName>
    <definedName name="CPK2X" localSheetId="15">#REF!</definedName>
    <definedName name="CPK2X">#REF!</definedName>
    <definedName name="CPUC_Cashflow_Summary_Table" localSheetId="15">#REF!</definedName>
    <definedName name="CPUC_Cashflow_Summary_Table">#REF!</definedName>
    <definedName name="CR" localSheetId="5">'[8]C. Input'!$F$27</definedName>
    <definedName name="CR">'[5]C. Input'!$F$27</definedName>
    <definedName name="CREDITS" localSheetId="15">#REF!</definedName>
    <definedName name="CREDITS">#REF!</definedName>
    <definedName name="CSTextLen" localSheetId="15">#REF!</definedName>
    <definedName name="CSTextLen">#REF!</definedName>
    <definedName name="CTY_ANNUAL" localSheetId="15">#REF!</definedName>
    <definedName name="CTY_ANNUAL">#REF!</definedName>
    <definedName name="cty_peak_sum" localSheetId="15">#REF!</definedName>
    <definedName name="cty_peak_sum">#REF!</definedName>
    <definedName name="CUST">#N/A</definedName>
    <definedName name="CUST1">#N/A</definedName>
    <definedName name="CUSTOM1" localSheetId="15">#REF!</definedName>
    <definedName name="CUSTOM1">#REF!</definedName>
    <definedName name="CUSTOM2" localSheetId="15">#REF!</definedName>
    <definedName name="CUSTOM2">#REF!</definedName>
    <definedName name="D" localSheetId="5">'[8]C. Input'!$F$33</definedName>
    <definedName name="D">'[5]C. Input'!$F$33</definedName>
    <definedName name="D_EAI" localSheetId="5">'[8]C. Input'!$I$33</definedName>
    <definedName name="D_EAI">'[5]C. Input'!$I$33</definedName>
    <definedName name="D_EGSI" localSheetId="5">'[8]C. Input'!$L$33</definedName>
    <definedName name="D_EGSI">'[5]C. Input'!$L$33</definedName>
    <definedName name="D_EMI" localSheetId="5">'[8]C. Input'!$R$33</definedName>
    <definedName name="D_EMI">'[5]C. Input'!$R$33</definedName>
    <definedName name="D_ENOI" localSheetId="5">'[8]C. Input'!$X$33</definedName>
    <definedName name="D_ENOI">'[5]C. Input'!$X$33</definedName>
    <definedName name="data_year" localSheetId="5">'[6]Appendix A'!$H$6</definedName>
    <definedName name="data_year">'[7]Appendix A'!$H$6</definedName>
    <definedName name="_xlnm.Database" localSheetId="15">#REF!</definedName>
    <definedName name="_xlnm.Database">#REF!</definedName>
    <definedName name="DATALINE" localSheetId="5">'[1]Header Data'!#REF!</definedName>
    <definedName name="DATALINE" localSheetId="15">'[1]Header Data'!#REF!</definedName>
    <definedName name="DATALINE">'[1]Header Data'!#REF!</definedName>
    <definedName name="DB_CPK">#N/A</definedName>
    <definedName name="DB_CPK1" localSheetId="15">[10]FERCFACT!#REF!</definedName>
    <definedName name="DB_CPK1">[10]FERCFACT!#REF!</definedName>
    <definedName name="DB_CPK2" localSheetId="15">#REF!</definedName>
    <definedName name="DB_CPK2">#REF!</definedName>
    <definedName name="DB_CPK3" localSheetId="15">#REF!</definedName>
    <definedName name="DB_CPK3">#REF!</definedName>
    <definedName name="DB_CUST">#N/A</definedName>
    <definedName name="DB_EGR">#N/A</definedName>
    <definedName name="DB_EGR1" localSheetId="5">[10]FERCFACT!#REF!</definedName>
    <definedName name="DB_EGR1" localSheetId="15">[10]FERCFACT!#REF!</definedName>
    <definedName name="DB_EGR1">[10]FERCFACT!#REF!</definedName>
    <definedName name="DB_EGR2" localSheetId="15">#REF!</definedName>
    <definedName name="DB_EGR2">#REF!</definedName>
    <definedName name="DB_IMAX">#N/A</definedName>
    <definedName name="DB_NCPK">#N/A</definedName>
    <definedName name="DB_NCPK1" localSheetId="15">#REF!</definedName>
    <definedName name="DB_NCPK1">#REF!</definedName>
    <definedName name="DB_NCPK2" localSheetId="15">#REF!</definedName>
    <definedName name="DB_NCPK2">#REF!</definedName>
    <definedName name="DB_NCPK3" localSheetId="15">#REF!</definedName>
    <definedName name="DB_NCPK3">#REF!</definedName>
    <definedName name="DB_NCPK4" localSheetId="15">#REF!</definedName>
    <definedName name="DB_NCPK4">#REF!</definedName>
    <definedName name="DD." localSheetId="5">[11]Input!$F$33</definedName>
    <definedName name="DD.">[12]Input!$F$33</definedName>
    <definedName name="DEBITS" localSheetId="15">#REF!</definedName>
    <definedName name="DEBITS">#REF!</definedName>
    <definedName name="DEC">#N/A</definedName>
    <definedName name="DecCP" localSheetId="15">#REF!</definedName>
    <definedName name="DecCP">#REF!</definedName>
    <definedName name="DFTSR" localSheetId="5">'[8]A.2 PTP'!$P$288</definedName>
    <definedName name="DFTSR">'[5]A.2 PTP'!$P$288</definedName>
    <definedName name="DISPLAY">#N/A</definedName>
    <definedName name="DOFTSR" localSheetId="5">'[8]A.2 PTP'!$P$294</definedName>
    <definedName name="DOFTSR">'[5]A.2 PTP'!$P$294</definedName>
    <definedName name="don" localSheetId="1" hidden="1">{"assumptions",#N/A,FALSE,"Scenario 1";"valuation",#N/A,FALSE,"Scenario 1"}</definedName>
    <definedName name="don" localSheetId="0" hidden="1">{"assumptions",#N/A,FALSE,"Scenario 1";"valuation",#N/A,FALSE,"Scenario 1"}</definedName>
    <definedName name="don" localSheetId="7" hidden="1">{"assumptions",#N/A,FALSE,"Scenario 1";"valuation",#N/A,FALSE,"Scenario 1"}</definedName>
    <definedName name="don" localSheetId="5" hidden="1">{"assumptions",#N/A,FALSE,"Scenario 1";"valuation",#N/A,FALSE,"Scenario 1"}</definedName>
    <definedName name="don" localSheetId="11" hidden="1">{"assumptions",#N/A,FALSE,"Scenario 1";"valuation",#N/A,FALSE,"Scenario 1"}</definedName>
    <definedName name="don" localSheetId="15" hidden="1">{"assumptions",#N/A,FALSE,"Scenario 1";"valuation",#N/A,FALSE,"Scenario 1"}</definedName>
    <definedName name="don" localSheetId="27" hidden="1">{"assumptions",#N/A,FALSE,"Scenario 1";"valuation",#N/A,FALSE,"Scenario 1"}</definedName>
    <definedName name="don" localSheetId="32" hidden="1">{"assumptions",#N/A,FALSE,"Scenario 1";"valuation",#N/A,FALSE,"Scenario 1"}</definedName>
    <definedName name="don" localSheetId="33" hidden="1">{"assumptions",#N/A,FALSE,"Scenario 1";"valuation",#N/A,FALSE,"Scenario 1"}</definedName>
    <definedName name="don" hidden="1">{"assumptions",#N/A,FALSE,"Scenario 1";"valuation",#N/A,FALSE,"Scenario 1"}</definedName>
    <definedName name="Don_1" localSheetId="1" hidden="1">{"assumptions",#N/A,FALSE,"Scenario 1";"valuation",#N/A,FALSE,"Scenario 1"}</definedName>
    <definedName name="Don_1" localSheetId="0" hidden="1">{"assumptions",#N/A,FALSE,"Scenario 1";"valuation",#N/A,FALSE,"Scenario 1"}</definedName>
    <definedName name="Don_1" localSheetId="7" hidden="1">{"assumptions",#N/A,FALSE,"Scenario 1";"valuation",#N/A,FALSE,"Scenario 1"}</definedName>
    <definedName name="Don_1" localSheetId="5" hidden="1">{"assumptions",#N/A,FALSE,"Scenario 1";"valuation",#N/A,FALSE,"Scenario 1"}</definedName>
    <definedName name="Don_1" localSheetId="11" hidden="1">{"assumptions",#N/A,FALSE,"Scenario 1";"valuation",#N/A,FALSE,"Scenario 1"}</definedName>
    <definedName name="Don_1" localSheetId="15" hidden="1">{"assumptions",#N/A,FALSE,"Scenario 1";"valuation",#N/A,FALSE,"Scenario 1"}</definedName>
    <definedName name="Don_1" localSheetId="27" hidden="1">{"assumptions",#N/A,FALSE,"Scenario 1";"valuation",#N/A,FALSE,"Scenario 1"}</definedName>
    <definedName name="Don_1" localSheetId="32" hidden="1">{"assumptions",#N/A,FALSE,"Scenario 1";"valuation",#N/A,FALSE,"Scenario 1"}</definedName>
    <definedName name="Don_1" localSheetId="33" hidden="1">{"assumptions",#N/A,FALSE,"Scenario 1";"valuation",#N/A,FALSE,"Scenario 1"}</definedName>
    <definedName name="Don_1" hidden="1">{"assumptions",#N/A,FALSE,"Scenario 1";"valuation",#N/A,FALSE,"Scenario 1"}</definedName>
    <definedName name="Don_10" localSheetId="8" hidden="1">#REF!</definedName>
    <definedName name="Don_10" localSheetId="1" hidden="1">#REF!</definedName>
    <definedName name="Don_10" localSheetId="0" hidden="1">#REF!</definedName>
    <definedName name="Don_10" localSheetId="7" hidden="1">#REF!</definedName>
    <definedName name="Don_10" localSheetId="5" hidden="1">#REF!</definedName>
    <definedName name="Don_10" localSheetId="11" hidden="1">#REF!</definedName>
    <definedName name="Don_10" localSheetId="12" hidden="1">#REF!</definedName>
    <definedName name="Don_10" localSheetId="15" hidden="1">#REF!</definedName>
    <definedName name="Don_10" localSheetId="27" hidden="1">#REF!</definedName>
    <definedName name="Don_10" localSheetId="32" hidden="1">#REF!</definedName>
    <definedName name="Don_10" localSheetId="33" hidden="1">#REF!</definedName>
    <definedName name="Don_10" hidden="1">#REF!</definedName>
    <definedName name="Don_11" hidden="1">255</definedName>
    <definedName name="Don_12" localSheetId="8" hidden="1">#REF!</definedName>
    <definedName name="Don_12" localSheetId="1" hidden="1">#REF!</definedName>
    <definedName name="Don_12" localSheetId="0" hidden="1">#REF!</definedName>
    <definedName name="Don_12" localSheetId="7" hidden="1">#REF!</definedName>
    <definedName name="Don_12" localSheetId="5" hidden="1">#REF!</definedName>
    <definedName name="Don_12" localSheetId="11" hidden="1">#REF!</definedName>
    <definedName name="Don_12" localSheetId="12" hidden="1">#REF!</definedName>
    <definedName name="Don_12" localSheetId="15" hidden="1">#REF!</definedName>
    <definedName name="Don_12" localSheetId="27" hidden="1">#REF!</definedName>
    <definedName name="Don_12" localSheetId="32" hidden="1">#REF!</definedName>
    <definedName name="Don_12" localSheetId="33" hidden="1">#REF!</definedName>
    <definedName name="Don_12" hidden="1">#REF!</definedName>
    <definedName name="Don_13" localSheetId="8" hidden="1">#REF!</definedName>
    <definedName name="Don_13" localSheetId="1" hidden="1">#REF!</definedName>
    <definedName name="Don_13" localSheetId="0" hidden="1">#REF!</definedName>
    <definedName name="Don_13" localSheetId="7" hidden="1">#REF!</definedName>
    <definedName name="Don_13" localSheetId="5" hidden="1">#REF!</definedName>
    <definedName name="Don_13" localSheetId="11" hidden="1">#REF!</definedName>
    <definedName name="Don_13" localSheetId="12" hidden="1">#REF!</definedName>
    <definedName name="Don_13" localSheetId="15" hidden="1">#REF!</definedName>
    <definedName name="Don_13" localSheetId="27" hidden="1">#REF!</definedName>
    <definedName name="Don_13" localSheetId="33" hidden="1">#REF!</definedName>
    <definedName name="Don_13" hidden="1">#REF!</definedName>
    <definedName name="Don_14" localSheetId="8" hidden="1">#REF!</definedName>
    <definedName name="Don_14" localSheetId="1" hidden="1">#REF!</definedName>
    <definedName name="Don_14" localSheetId="0" hidden="1">#REF!</definedName>
    <definedName name="Don_14" localSheetId="7" hidden="1">#REF!</definedName>
    <definedName name="Don_14" localSheetId="5" hidden="1">#REF!</definedName>
    <definedName name="Don_14" localSheetId="11" hidden="1">#REF!</definedName>
    <definedName name="Don_14" localSheetId="12" hidden="1">#REF!</definedName>
    <definedName name="Don_14" localSheetId="15" hidden="1">#REF!</definedName>
    <definedName name="Don_14" localSheetId="27" hidden="1">#REF!</definedName>
    <definedName name="Don_14" localSheetId="33" hidden="1">#REF!</definedName>
    <definedName name="Don_14" hidden="1">#REF!</definedName>
    <definedName name="don_2" localSheetId="8" hidden="1">#REF!</definedName>
    <definedName name="don_2" localSheetId="1" hidden="1">#REF!</definedName>
    <definedName name="don_2" localSheetId="0" hidden="1">#REF!</definedName>
    <definedName name="don_2" localSheetId="7" hidden="1">#REF!</definedName>
    <definedName name="don_2" localSheetId="5" hidden="1">#REF!</definedName>
    <definedName name="don_2" localSheetId="11" hidden="1">#REF!</definedName>
    <definedName name="don_2" localSheetId="12" hidden="1">#REF!</definedName>
    <definedName name="don_2" localSheetId="15" hidden="1">#REF!</definedName>
    <definedName name="don_2" localSheetId="27" hidden="1">#REF!</definedName>
    <definedName name="don_2" localSheetId="33" hidden="1">#REF!</definedName>
    <definedName name="don_2" hidden="1">#REF!</definedName>
    <definedName name="Don_3" localSheetId="8" hidden="1">#REF!</definedName>
    <definedName name="Don_3" localSheetId="1" hidden="1">#REF!</definedName>
    <definedName name="Don_3" localSheetId="0" hidden="1">#REF!</definedName>
    <definedName name="Don_3" localSheetId="7" hidden="1">#REF!</definedName>
    <definedName name="Don_3" localSheetId="5" hidden="1">#REF!</definedName>
    <definedName name="Don_3" localSheetId="11" hidden="1">#REF!</definedName>
    <definedName name="Don_3" localSheetId="12" hidden="1">#REF!</definedName>
    <definedName name="Don_3" localSheetId="15" hidden="1">#REF!</definedName>
    <definedName name="Don_3" localSheetId="27" hidden="1">#REF!</definedName>
    <definedName name="Don_3" localSheetId="33" hidden="1">#REF!</definedName>
    <definedName name="Don_3" hidden="1">#REF!</definedName>
    <definedName name="Don_4" localSheetId="8" hidden="1">#REF!</definedName>
    <definedName name="Don_4" localSheetId="1" hidden="1">#REF!</definedName>
    <definedName name="Don_4" localSheetId="0" hidden="1">#REF!</definedName>
    <definedName name="Don_4" localSheetId="7" hidden="1">#REF!</definedName>
    <definedName name="Don_4" localSheetId="5" hidden="1">#REF!</definedName>
    <definedName name="Don_4" localSheetId="11" hidden="1">#REF!</definedName>
    <definedName name="Don_4" localSheetId="12" hidden="1">#REF!</definedName>
    <definedName name="Don_4" localSheetId="15" hidden="1">#REF!</definedName>
    <definedName name="Don_4" localSheetId="27" hidden="1">#REF!</definedName>
    <definedName name="Don_4" localSheetId="33" hidden="1">#REF!</definedName>
    <definedName name="Don_4" hidden="1">#REF!</definedName>
    <definedName name="Don_5" localSheetId="8" hidden="1">#REF!</definedName>
    <definedName name="Don_5" localSheetId="1" hidden="1">#REF!</definedName>
    <definedName name="Don_5" localSheetId="0" hidden="1">#REF!</definedName>
    <definedName name="Don_5" localSheetId="7" hidden="1">#REF!</definedName>
    <definedName name="Don_5" localSheetId="5" hidden="1">#REF!</definedName>
    <definedName name="Don_5" localSheetId="11" hidden="1">#REF!</definedName>
    <definedName name="Don_5" localSheetId="12" hidden="1">#REF!</definedName>
    <definedName name="Don_5" localSheetId="15" hidden="1">#REF!</definedName>
    <definedName name="Don_5" localSheetId="27" hidden="1">#REF!</definedName>
    <definedName name="Don_5" localSheetId="33" hidden="1">#REF!</definedName>
    <definedName name="Don_5" hidden="1">#REF!</definedName>
    <definedName name="Don_6" localSheetId="8" hidden="1">#REF!</definedName>
    <definedName name="Don_6" localSheetId="1" hidden="1">#REF!</definedName>
    <definedName name="Don_6" localSheetId="0" hidden="1">#REF!</definedName>
    <definedName name="Don_6" localSheetId="7" hidden="1">#REF!</definedName>
    <definedName name="Don_6" localSheetId="5" hidden="1">#REF!</definedName>
    <definedName name="Don_6" localSheetId="11" hidden="1">#REF!</definedName>
    <definedName name="Don_6" localSheetId="12" hidden="1">#REF!</definedName>
    <definedName name="Don_6" localSheetId="15" hidden="1">#REF!</definedName>
    <definedName name="Don_6" localSheetId="27" hidden="1">#REF!</definedName>
    <definedName name="Don_6" localSheetId="33" hidden="1">#REF!</definedName>
    <definedName name="Don_6" hidden="1">#REF!</definedName>
    <definedName name="Don_7" localSheetId="8" hidden="1">#REF!</definedName>
    <definedName name="Don_7" localSheetId="1" hidden="1">#REF!</definedName>
    <definedName name="Don_7" localSheetId="0" hidden="1">#REF!</definedName>
    <definedName name="Don_7" localSheetId="7" hidden="1">#REF!</definedName>
    <definedName name="Don_7" localSheetId="5" hidden="1">#REF!</definedName>
    <definedName name="Don_7" localSheetId="11" hidden="1">#REF!</definedName>
    <definedName name="Don_7" localSheetId="12" hidden="1">#REF!</definedName>
    <definedName name="Don_7" localSheetId="15" hidden="1">#REF!</definedName>
    <definedName name="Don_7" localSheetId="27" hidden="1">#REF!</definedName>
    <definedName name="Don_7" localSheetId="33" hidden="1">#REF!</definedName>
    <definedName name="Don_7" hidden="1">#REF!</definedName>
    <definedName name="Don_8" localSheetId="8" hidden="1">#REF!</definedName>
    <definedName name="Don_8" localSheetId="1" hidden="1">#REF!</definedName>
    <definedName name="Don_8" localSheetId="0" hidden="1">#REF!</definedName>
    <definedName name="Don_8" localSheetId="7" hidden="1">#REF!</definedName>
    <definedName name="Don_8" localSheetId="5" hidden="1">#REF!</definedName>
    <definedName name="Don_8" localSheetId="11" hidden="1">#REF!</definedName>
    <definedName name="Don_8" localSheetId="12" hidden="1">#REF!</definedName>
    <definedName name="Don_8" localSheetId="15" hidden="1">#REF!</definedName>
    <definedName name="Don_8" localSheetId="27" hidden="1">#REF!</definedName>
    <definedName name="Don_8" localSheetId="33" hidden="1">#REF!</definedName>
    <definedName name="Don_8" hidden="1">#REF!</definedName>
    <definedName name="Don_9" localSheetId="8" hidden="1">#REF!</definedName>
    <definedName name="Don_9" localSheetId="1" hidden="1">#REF!</definedName>
    <definedName name="Don_9" localSheetId="0" hidden="1">#REF!</definedName>
    <definedName name="Don_9" localSheetId="7" hidden="1">#REF!</definedName>
    <definedName name="Don_9" localSheetId="5" hidden="1">#REF!</definedName>
    <definedName name="Don_9" localSheetId="11" hidden="1">#REF!</definedName>
    <definedName name="Don_9" localSheetId="12" hidden="1">#REF!</definedName>
    <definedName name="Don_9" localSheetId="15" hidden="1">#REF!</definedName>
    <definedName name="Don_9" localSheetId="27" hidden="1">#REF!</definedName>
    <definedName name="Don_9" localSheetId="33" hidden="1">#REF!</definedName>
    <definedName name="Don_9" hidden="1">#REF!</definedName>
    <definedName name="DPLT" localSheetId="5">'[8]C. Input'!$F$166</definedName>
    <definedName name="DPLT">'[5]C. Input'!$F$166</definedName>
    <definedName name="DR" localSheetId="5">'[8]C. Input'!$F$23</definedName>
    <definedName name="DR">'[5]C. Input'!$F$23</definedName>
    <definedName name="DR_1">#N/A</definedName>
    <definedName name="ED8_BIOFLORA_Print" localSheetId="15">#REF!</definedName>
    <definedName name="ED8_BIOFLORA_Print">#REF!</definedName>
    <definedName name="EEI" localSheetId="5">'[8]C. Input'!$F$205</definedName>
    <definedName name="EEI">'[5]C. Input'!$F$205</definedName>
    <definedName name="EFF_DATE" localSheetId="5">'[13]Header Data'!#REF!</definedName>
    <definedName name="EFF_DATE" localSheetId="15">'[1]Header Data'!#REF!</definedName>
    <definedName name="EFF_DATE">'[1]Header Data'!#REF!</definedName>
    <definedName name="EGR">#N/A</definedName>
    <definedName name="EGR1X" localSheetId="15">#REF!</definedName>
    <definedName name="EGR1X">#REF!</definedName>
    <definedName name="EIGHT">#N/A</definedName>
    <definedName name="ELEVEN">#N/A</definedName>
    <definedName name="END" localSheetId="15">#REF!</definedName>
    <definedName name="END">#REF!</definedName>
    <definedName name="ENERGY" localSheetId="15">#REF!</definedName>
    <definedName name="ENERGY">#REF!</definedName>
    <definedName name="ENERGY_SUP" localSheetId="5">[10]FERCFACT!#REF!</definedName>
    <definedName name="ENERGY_SUP" localSheetId="15">[10]FERCFACT!#REF!</definedName>
    <definedName name="ENERGY_SUP">[10]FERCFACT!#REF!</definedName>
    <definedName name="ENERGY1">#N/A</definedName>
    <definedName name="ENVIRONMENTAL" localSheetId="15">#REF!</definedName>
    <definedName name="ENVIRONMENTAL">#REF!</definedName>
    <definedName name="EPRI" localSheetId="5">'[8]C. Input'!$F$203</definedName>
    <definedName name="EPRI">'[5]C. Input'!$F$203</definedName>
    <definedName name="EST_BY_ACCT" localSheetId="15">#REF!</definedName>
    <definedName name="EST_BY_ACCT">#REF!</definedName>
    <definedName name="F" localSheetId="5">'[8]C. Input'!$F$72</definedName>
    <definedName name="F">'[5]C. Input'!$F$72</definedName>
    <definedName name="FACE" localSheetId="15">#REF!</definedName>
    <definedName name="FACE">#REF!</definedName>
    <definedName name="FACTORS" localSheetId="15">#REF!</definedName>
    <definedName name="FACTORS">#REF!</definedName>
    <definedName name="FACTRS" localSheetId="15">#REF!</definedName>
    <definedName name="FACTRS">#REF!</definedName>
    <definedName name="FF1_INPUT" localSheetId="5">'[6]FERC Form 1 data'!$B$7:$L$89</definedName>
    <definedName name="FF1_INPUT">'[7]FERC Form 1 data'!$B$7:$L$89</definedName>
    <definedName name="FF1_INPUT_columns" localSheetId="5">'[6]FERC Form 1 data'!$B$6:$L$6</definedName>
    <definedName name="FF1_INPUT_columns">'[7]FERC Form 1 data'!$B$6:$L$6</definedName>
    <definedName name="FIVE">#N/A</definedName>
    <definedName name="FOUR">#N/A</definedName>
    <definedName name="FREV" localSheetId="5">'[8]C. Input'!$F$295</definedName>
    <definedName name="FREV">'[5]C. Input'!$F$295</definedName>
    <definedName name="GDR" localSheetId="5">'[8]C. Input'!$F$237</definedName>
    <definedName name="GDR">'[5]C. Input'!$F$237</definedName>
    <definedName name="GDX" localSheetId="5">'[8]C. Input'!$F$309</definedName>
    <definedName name="GDX">'[5]C. Input'!$F$309</definedName>
    <definedName name="GDX_TD" localSheetId="5">'[5]C. Input'!#REF!</definedName>
    <definedName name="GDX_TD" localSheetId="15">'[5]C. Input'!#REF!</definedName>
    <definedName name="GDX_TD">'[5]C. Input'!#REF!</definedName>
    <definedName name="gIsBlank" localSheetId="1" hidden="1">ISBLANK(gIsRef)</definedName>
    <definedName name="gIsBlank" localSheetId="0" hidden="1">ISBLANK(gIsRef)</definedName>
    <definedName name="gIsBlank" localSheetId="7" hidden="1">ISBLANK(gIsRef)</definedName>
    <definedName name="gIsBlank" localSheetId="5" hidden="1">ISBLANK(gIsRef)</definedName>
    <definedName name="gIsBlank" localSheetId="10" hidden="1">ISBLANK(gIsRef)</definedName>
    <definedName name="gIsBlank" localSheetId="11" hidden="1">ISBLANK(gIsRef)</definedName>
    <definedName name="gIsBlank" localSheetId="15" hidden="1">ISBLANK(gIsRef)</definedName>
    <definedName name="gIsBlank" localSheetId="18" hidden="1">ISBLANK(gIsRef)</definedName>
    <definedName name="gIsBlank" localSheetId="27" hidden="1">ISBLANK(gIsRef)</definedName>
    <definedName name="gIsBlank" localSheetId="29" hidden="1">ISBLANK(gIsRef)</definedName>
    <definedName name="gIsBlank" localSheetId="32" hidden="1">ISBLANK(gIsRef)</definedName>
    <definedName name="gIsBlank" localSheetId="33" hidden="1">ISBLANK(gIsRef)</definedName>
    <definedName name="gIsBlank" hidden="1">ISBLANK(gIsRef)</definedName>
    <definedName name="gIsError" localSheetId="1" hidden="1">ISERROR(gIsRef)</definedName>
    <definedName name="gIsError" localSheetId="0" hidden="1">ISERROR(gIsRef)</definedName>
    <definedName name="gIsError" localSheetId="7" hidden="1">ISERROR(gIsRef)</definedName>
    <definedName name="gIsError" localSheetId="5" hidden="1">ISERROR(gIsRef)</definedName>
    <definedName name="gIsError" localSheetId="10" hidden="1">ISERROR(gIsRef)</definedName>
    <definedName name="gIsError" localSheetId="11" hidden="1">ISERROR(gIsRef)</definedName>
    <definedName name="gIsError" localSheetId="15" hidden="1">ISERROR(gIsRef)</definedName>
    <definedName name="gIsError" localSheetId="18" hidden="1">ISERROR(gIsRef)</definedName>
    <definedName name="gIsError" localSheetId="27" hidden="1">ISERROR(gIsRef)</definedName>
    <definedName name="gIsError" localSheetId="29" hidden="1">ISERROR(gIsRef)</definedName>
    <definedName name="gIsError" localSheetId="32" hidden="1">ISERROR(gIsRef)</definedName>
    <definedName name="gIsError" localSheetId="33" hidden="1">ISERROR(gIsRef)</definedName>
    <definedName name="gIsError" hidden="1">ISERROR(gIsRef)</definedName>
    <definedName name="gIsInPrintArea" localSheetId="8" hidden="1">NOT(ISERROR([14]!gIsRef !Print_Area))</definedName>
    <definedName name="gIsInPrintArea" localSheetId="1" hidden="1">NOT(ISERROR([0]!gIsRef !Print_Area))</definedName>
    <definedName name="gIsInPrintArea" localSheetId="0" hidden="1">NOT(ISERROR(gIsRef !Print_Area))</definedName>
    <definedName name="gIsInPrintArea" localSheetId="7" hidden="1">NOT(ISERROR(gIsRef !Print_Area))</definedName>
    <definedName name="gIsInPrintArea" localSheetId="5" hidden="1">NOT(ISERROR(gIsRef !Print_Area))</definedName>
    <definedName name="gIsInPrintArea" localSheetId="10" hidden="1">NOT(ISERROR(gIsRef !Print_Area))</definedName>
    <definedName name="gIsInPrintArea" localSheetId="11" hidden="1">NOT(ISERROR(gIsRef !Print_Area))</definedName>
    <definedName name="gIsInPrintArea" localSheetId="12" hidden="1">NOT(ISERROR([14]!gIsRef !Print_Area))</definedName>
    <definedName name="gIsInPrintArea" localSheetId="15" hidden="1">NOT(ISERROR([14]!gIsRef !Print_Area))</definedName>
    <definedName name="gIsInPrintArea" localSheetId="18" hidden="1">NOT(ISERROR(gIsRef !Print_Area))</definedName>
    <definedName name="gIsInPrintArea" localSheetId="27" hidden="1">NOT(ISERROR(gIsRef !Print_Area))</definedName>
    <definedName name="gIsInPrintArea" localSheetId="29" hidden="1">NOT(ISERROR(gIsRef !Print_Area))</definedName>
    <definedName name="gIsInPrintArea" localSheetId="32" hidden="1">NOT(ISERROR(gIsRef !Print_Area))</definedName>
    <definedName name="gIsInPrintArea" localSheetId="33" hidden="1">NOT(ISERROR(gIsRef !Print_Area))</definedName>
    <definedName name="gIsInPrintArea" hidden="1">NOT(ISERROR(gIsRef !Print_Area))</definedName>
    <definedName name="gIsInPrintTitles" localSheetId="8" hidden="1">NOT(ISERROR([14]!gIsRef !Print_Titles))</definedName>
    <definedName name="gIsInPrintTitles" localSheetId="1" hidden="1">NOT(ISERROR([0]!gIsRef !Print_Titles))</definedName>
    <definedName name="gIsInPrintTitles" localSheetId="0" hidden="1">NOT(ISERROR(gIsRef !Print_Titles))</definedName>
    <definedName name="gIsInPrintTitles" localSheetId="7" hidden="1">NOT(ISERROR(gIsRef !Print_Titles))</definedName>
    <definedName name="gIsInPrintTitles" localSheetId="5" hidden="1">NOT(ISERROR(gIsRef !Print_Titles))</definedName>
    <definedName name="gIsInPrintTitles" localSheetId="10" hidden="1">NOT(ISERROR(gIsRef !Print_Titles))</definedName>
    <definedName name="gIsInPrintTitles" localSheetId="11" hidden="1">NOT(ISERROR(gIsRef !Print_Titles))</definedName>
    <definedName name="gIsInPrintTitles" localSheetId="12" hidden="1">NOT(ISERROR([14]!gIsRef !Print_Titles))</definedName>
    <definedName name="gIsInPrintTitles" localSheetId="15" hidden="1">NOT(ISERROR([14]!gIsRef !Print_Titles))</definedName>
    <definedName name="gIsInPrintTitles" localSheetId="18" hidden="1">NOT(ISERROR(gIsRef !Print_Titles))</definedName>
    <definedName name="gIsInPrintTitles" localSheetId="27" hidden="1">NOT(ISERROR(gIsRef !Print_Titles))</definedName>
    <definedName name="gIsInPrintTitles" localSheetId="29" hidden="1">NOT(ISERROR(gIsRef !Print_Titles))</definedName>
    <definedName name="gIsInPrintTitles" localSheetId="32" hidden="1">NOT(ISERROR(gIsRef !Print_Titles))</definedName>
    <definedName name="gIsInPrintTitles" localSheetId="33" hidden="1">NOT(ISERROR(gIsRef !Print_Titles))</definedName>
    <definedName name="gIsInPrintTitles" hidden="1">NOT(ISERROR(gIsRef !Print_Titles))</definedName>
    <definedName name="gIsNumber" localSheetId="1" hidden="1">ISNUMBER(gIsRef)</definedName>
    <definedName name="gIsNumber" localSheetId="0" hidden="1">ISNUMBER(gIsRef)</definedName>
    <definedName name="gIsNumber" localSheetId="7" hidden="1">ISNUMBER(gIsRef)</definedName>
    <definedName name="gIsNumber" localSheetId="5" hidden="1">ISNUMBER(gIsRef)</definedName>
    <definedName name="gIsNumber" localSheetId="10" hidden="1">ISNUMBER(gIsRef)</definedName>
    <definedName name="gIsNumber" localSheetId="11" hidden="1">ISNUMBER(gIsRef)</definedName>
    <definedName name="gIsNumber" localSheetId="15" hidden="1">ISNUMBER(gIsRef)</definedName>
    <definedName name="gIsNumber" localSheetId="18" hidden="1">ISNUMBER(gIsRef)</definedName>
    <definedName name="gIsNumber" localSheetId="27" hidden="1">ISNUMBER(gIsRef)</definedName>
    <definedName name="gIsNumber" localSheetId="29" hidden="1">ISNUMBER(gIsRef)</definedName>
    <definedName name="gIsNumber" localSheetId="32" hidden="1">ISNUMBER(gIsRef)</definedName>
    <definedName name="gIsNumber" localSheetId="33" hidden="1">ISNUMBER(gIsRef)</definedName>
    <definedName name="gIsNumber" hidden="1">ISNUMBER(gIsRef)</definedName>
    <definedName name="gIsPreviousSheet" localSheetId="8" hidden="1">PrevShtCellValue([14]!gIsRef)&lt;&gt;[14]!gIsRef</definedName>
    <definedName name="gIsPreviousSheet" localSheetId="1" hidden="1">PrevShtCellValue([0]!gIsRef)&lt;&gt;[0]!gIsRef</definedName>
    <definedName name="gIsPreviousSheet" localSheetId="0" hidden="1">PrevShtCellValue(gIsRef)&lt;&gt;gIsRef</definedName>
    <definedName name="gIsPreviousSheet" localSheetId="7" hidden="1">PrevShtCellValue(gIsRef)&lt;&gt;gIsRef</definedName>
    <definedName name="gIsPreviousSheet" localSheetId="5" hidden="1">PrevShtCellValue(gIsRef)&lt;&gt;gIsRef</definedName>
    <definedName name="gIsPreviousSheet" localSheetId="10" hidden="1">PrevShtCellValue(gIsRef)&lt;&gt;gIsRef</definedName>
    <definedName name="gIsPreviousSheet" localSheetId="11" hidden="1">PrevShtCellValue(gIsRef)&lt;&gt;gIsRef</definedName>
    <definedName name="gIsPreviousSheet" localSheetId="12" hidden="1">PrevShtCellValue([14]!gIsRef)&lt;&gt;[14]!gIsRef</definedName>
    <definedName name="gIsPreviousSheet" localSheetId="15" hidden="1">PrevShtCellValue([14]!gIsRef)&lt;&gt;[14]!gIsRef</definedName>
    <definedName name="gIsPreviousSheet" localSheetId="18" hidden="1">PrevShtCellValue(gIsRef)&lt;&gt;gIsRef</definedName>
    <definedName name="gIsPreviousSheet" localSheetId="27" hidden="1">PrevShtCellValue(gIsRef)&lt;&gt;gIsRef</definedName>
    <definedName name="gIsPreviousSheet" localSheetId="29" hidden="1">PrevShtCellValue(gIsRef)&lt;&gt;gIsRef</definedName>
    <definedName name="gIsPreviousSheet" localSheetId="32" hidden="1">PrevShtCellValue(gIsRef)&lt;&gt;gIsRef</definedName>
    <definedName name="gIsPreviousSheet" localSheetId="33" hidden="1">PrevShtCellValue(gIsRef)&lt;&gt;gIsRef</definedName>
    <definedName name="gIsPreviousSheet" hidden="1">PrevShtCellValue(gIsRef)&lt;&gt;gIsRef</definedName>
    <definedName name="gIsRef" hidden="1">INDIRECT("rc",FALSE)</definedName>
    <definedName name="gIsText" localSheetId="1" hidden="1">ISTEXT(gIsRef)</definedName>
    <definedName name="gIsText" localSheetId="0" hidden="1">ISTEXT(gIsRef)</definedName>
    <definedName name="gIsText" localSheetId="7" hidden="1">ISTEXT(gIsRef)</definedName>
    <definedName name="gIsText" localSheetId="5" hidden="1">ISTEXT(gIsRef)</definedName>
    <definedName name="gIsText" localSheetId="10" hidden="1">ISTEXT(gIsRef)</definedName>
    <definedName name="gIsText" localSheetId="11" hidden="1">ISTEXT(gIsRef)</definedName>
    <definedName name="gIsText" localSheetId="15" hidden="1">ISTEXT(gIsRef)</definedName>
    <definedName name="gIsText" localSheetId="18" hidden="1">ISTEXT(gIsRef)</definedName>
    <definedName name="gIsText" localSheetId="27" hidden="1">ISTEXT(gIsRef)</definedName>
    <definedName name="gIsText" localSheetId="29" hidden="1">ISTEXT(gIsRef)</definedName>
    <definedName name="gIsText" localSheetId="32" hidden="1">ISTEXT(gIsRef)</definedName>
    <definedName name="gIsText" localSheetId="33" hidden="1">ISTEXT(gIsRef)</definedName>
    <definedName name="gIsText" hidden="1">ISTEXT(gIsRef)</definedName>
    <definedName name="GJC_03" localSheetId="15">#REF!</definedName>
    <definedName name="GJC_03">#REF!</definedName>
    <definedName name="GJC_04" localSheetId="15">#REF!</definedName>
    <definedName name="GJC_04">#REF!</definedName>
    <definedName name="GJC_09" localSheetId="15">#REF!</definedName>
    <definedName name="GJC_09">#REF!</definedName>
    <definedName name="GPLT" localSheetId="5">'[8]C. Input'!$F$168</definedName>
    <definedName name="GPLT">'[5]C. Input'!$F$168</definedName>
    <definedName name="HCTextLen" localSheetId="15">#REF!</definedName>
    <definedName name="HCTextLen">#REF!</definedName>
    <definedName name="head" localSheetId="15">#REF!</definedName>
    <definedName name="head">#REF!</definedName>
    <definedName name="HONTSR" localSheetId="5">'[8]A.2 PTP'!$P$333</definedName>
    <definedName name="HONTSR">'[5]A.2 PTP'!$P$333</definedName>
    <definedName name="HPNTSR" localSheetId="5">'[8]A.2 PTP'!$P$332</definedName>
    <definedName name="HPNTSR">'[5]A.2 PTP'!$P$332</definedName>
    <definedName name="IMAX1" localSheetId="15">#REF!</definedName>
    <definedName name="IMAX1">#REF!</definedName>
    <definedName name="IMAX2" localSheetId="15">#REF!</definedName>
    <definedName name="IMAX2">#REF!</definedName>
    <definedName name="IMAX3" localSheetId="15">#REF!</definedName>
    <definedName name="IMAX3">#REF!</definedName>
    <definedName name="IncomeStatement" localSheetId="15">#REF!</definedName>
    <definedName name="IncomeStatement">#REF!</definedName>
    <definedName name="IND.MAX">#N/A</definedName>
    <definedName name="IND.MAX1">#N/A</definedName>
    <definedName name="INPUT">#N/A</definedName>
    <definedName name="INPUT_AREA" localSheetId="15">#REF!</definedName>
    <definedName name="INPUT_AREA">#REF!</definedName>
    <definedName name="INPUT_DATA" localSheetId="15">#REF!</definedName>
    <definedName name="INPUT_DATA">#REF!</definedName>
    <definedName name="Input_Range" localSheetId="5">'[15]Nonlevelized-IOU'!$K$7,'[15]Nonlevelized-IOU'!$D$10,'[15]Nonlevelized-IOU'!$I$26,'[15]Nonlevelized-IOU'!$D$89:$D$92,'[15]Nonlevelized-IOU'!$D$97:$D$100,'[15]Nonlevelized-IOU'!$D$113:$D$116,'[15]Nonlevelized-IOU'!$D$124:$D$125,'[15]Nonlevelized-IOU'!$D$162,'[15]Nonlevelized-IOU'!$D$164:$D$165,'[15]Nonlevelized-IOU'!$D$167,'[15]Nonlevelized-IOU'!$D$174:$D$175,'[15]Nonlevelized-IOU'!$D$181,'[15]Nonlevelized-IOU'!$D$184,'[15]Nonlevelized-IOU'!$I$233:$I$234,'[15]Nonlevelized-IOU'!$D$250:$D$253,'[15]Nonlevelized-IOU'!$D$257:$D$259,'[15]Nonlevelized-IOU'!$I$263,'[15]Nonlevelized-IOU'!$I$265,'[15]Nonlevelized-IOU'!$I$268,'[15]Nonlevelized-IOU'!$D$274:$D$275,'[15]Nonlevelized-IOU'!$I$289,'[15]Nonlevelized-IOU'!$D$325:$D$327</definedName>
    <definedName name="Input_Range">'[16]Nonlevelized-IOU'!$K$7,'[16]Nonlevelized-IOU'!$D$10,'[16]Nonlevelized-IOU'!$I$26,'[16]Nonlevelized-IOU'!$D$89:$D$92,'[16]Nonlevelized-IOU'!$D$97:$D$100,'[16]Nonlevelized-IOU'!$D$113:$D$116,'[16]Nonlevelized-IOU'!$D$124:$D$125,'[16]Nonlevelized-IOU'!$D$162,'[16]Nonlevelized-IOU'!$D$164:$D$165,'[16]Nonlevelized-IOU'!$D$167,'[16]Nonlevelized-IOU'!$D$174:$D$175,'[16]Nonlevelized-IOU'!$D$181,'[16]Nonlevelized-IOU'!$D$184,'[16]Nonlevelized-IOU'!$I$233:$I$234,'[16]Nonlevelized-IOU'!$D$250:$D$253,'[16]Nonlevelized-IOU'!$D$257:$D$259,'[16]Nonlevelized-IOU'!$I$263,'[16]Nonlevelized-IOU'!$I$265,'[16]Nonlevelized-IOU'!$I$268,'[16]Nonlevelized-IOU'!$D$274:$D$275,'[16]Nonlevelized-IOU'!$I$289,'[16]Nonlevelized-IOU'!$D$325:$D$327</definedName>
    <definedName name="Inputs_EndYrBal" localSheetId="5">[6]Inputs!$E$16:$E$73</definedName>
    <definedName name="Inputs_EndYrBal">[7]Inputs!$E$16:$E$73</definedName>
    <definedName name="Inputs_EndYrBal_prior" localSheetId="5">[6]Inputs!$D$16:$D$73</definedName>
    <definedName name="Inputs_EndYrBal_prior">[7]Inputs!$D$16:$D$73</definedName>
    <definedName name="Inputs_FF1_Map" localSheetId="5">[6]Inputs!$F$16:$F$73</definedName>
    <definedName name="Inputs_FF1_Map">[7]Inputs!$F$16:$F$73</definedName>
    <definedName name="IPP" localSheetId="5">'[8]C. Input'!#REF!</definedName>
    <definedName name="IPP" localSheetId="15">'[5]C. Input'!#REF!</definedName>
    <definedName name="IPP">'[5]C. Input'!#REF!</definedName>
    <definedName name="IPPINT" localSheetId="5">'[8]C. Input'!#REF!</definedName>
    <definedName name="IPPINT" localSheetId="15">'[5]C. Input'!#REF!</definedName>
    <definedName name="IPPINT">'[5]C. Input'!#REF!</definedName>
    <definedName name="IPPIRB" localSheetId="5">'[8]C. Input'!#REF!</definedName>
    <definedName name="IPPIRB" localSheetId="15">'[5]C. Input'!#REF!</definedName>
    <definedName name="IPPIRB">'[5]C. Input'!#REF!</definedName>
    <definedName name="IPPRB" localSheetId="15">'[5]C. Input'!#REF!</definedName>
    <definedName name="IPPRB">'[5]C. Input'!#REF!</definedName>
    <definedName name="ITC" localSheetId="5">'[8]C. Input'!$F$146</definedName>
    <definedName name="ITC">'[5]C. Input'!$F$146</definedName>
    <definedName name="ITCWO" localSheetId="5">'[8]C. Input'!$F$325</definedName>
    <definedName name="ITCWO">'[5]C. Input'!$F$325</definedName>
    <definedName name="JanCP" localSheetId="15">#REF!</definedName>
    <definedName name="JanCP">#REF!</definedName>
    <definedName name="jor" localSheetId="15">#REF!</definedName>
    <definedName name="jor">#REF!</definedName>
    <definedName name="JOUR_ENTRY" localSheetId="15">#REF!</definedName>
    <definedName name="JOUR_ENTRY">#REF!</definedName>
    <definedName name="JUL">#N/A</definedName>
    <definedName name="JUN">#N/A</definedName>
    <definedName name="Keep" localSheetId="1" hidden="1">{"PRINT",#N/A,TRUE,"APPA";"PRINT",#N/A,TRUE,"APS";"PRINT",#N/A,TRUE,"BHPL";"PRINT",#N/A,TRUE,"BHPL2";"PRINT",#N/A,TRUE,"CDWR";"PRINT",#N/A,TRUE,"EWEB";"PRINT",#N/A,TRUE,"LADWP";"PRINT",#N/A,TRUE,"NEVBASE"}</definedName>
    <definedName name="Keep" localSheetId="0" hidden="1">{"PRINT",#N/A,TRUE,"APPA";"PRINT",#N/A,TRUE,"APS";"PRINT",#N/A,TRUE,"BHPL";"PRINT",#N/A,TRUE,"BHPL2";"PRINT",#N/A,TRUE,"CDWR";"PRINT",#N/A,TRUE,"EWEB";"PRINT",#N/A,TRUE,"LADWP";"PRINT",#N/A,TRUE,"NEVBASE"}</definedName>
    <definedName name="Keep" localSheetId="7" hidden="1">{"PRINT",#N/A,TRUE,"APPA";"PRINT",#N/A,TRUE,"APS";"PRINT",#N/A,TRUE,"BHPL";"PRINT",#N/A,TRUE,"BHPL2";"PRINT",#N/A,TRUE,"CDWR";"PRINT",#N/A,TRUE,"EWEB";"PRINT",#N/A,TRUE,"LADWP";"PRINT",#N/A,TRUE,"NEVBASE"}</definedName>
    <definedName name="Keep" localSheetId="5"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localSheetId="27" hidden="1">{"PRINT",#N/A,TRUE,"APPA";"PRINT",#N/A,TRUE,"APS";"PRINT",#N/A,TRUE,"BHPL";"PRINT",#N/A,TRUE,"BHPL2";"PRINT",#N/A,TRUE,"CDWR";"PRINT",#N/A,TRUE,"EWEB";"PRINT",#N/A,TRUE,"LADWP";"PRINT",#N/A,TRUE,"NEVBASE"}</definedName>
    <definedName name="Keep" localSheetId="32" hidden="1">{"PRINT",#N/A,TRUE,"APPA";"PRINT",#N/A,TRUE,"APS";"PRINT",#N/A,TRUE,"BHPL";"PRINT",#N/A,TRUE,"BHPL2";"PRINT",#N/A,TRUE,"CDWR";"PRINT",#N/A,TRUE,"EWEB";"PRINT",#N/A,TRUE,"LADWP";"PRINT",#N/A,TRUE,"NEVBASE"}</definedName>
    <definedName name="Keep" localSheetId="3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localSheetId="0" hidden="1">{"PRINT",#N/A,TRUE,"APPA";"PRINT",#N/A,TRUE,"APS";"PRINT",#N/A,TRUE,"BHPL";"PRINT",#N/A,TRUE,"BHPL2";"PRINT",#N/A,TRUE,"CDWR";"PRINT",#N/A,TRUE,"EWEB";"PRINT",#N/A,TRUE,"LADWP";"PRINT",#N/A,TRUE,"NEVBASE"}</definedName>
    <definedName name="keep2" localSheetId="7" hidden="1">{"PRINT",#N/A,TRUE,"APPA";"PRINT",#N/A,TRUE,"APS";"PRINT",#N/A,TRUE,"BHPL";"PRINT",#N/A,TRUE,"BHPL2";"PRINT",#N/A,TRUE,"CDWR";"PRINT",#N/A,TRUE,"EWEB";"PRINT",#N/A,TRUE,"LADWP";"PRINT",#N/A,TRUE,"NEVBASE"}</definedName>
    <definedName name="keep2" localSheetId="5"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localSheetId="27" hidden="1">{"PRINT",#N/A,TRUE,"APPA";"PRINT",#N/A,TRUE,"APS";"PRINT",#N/A,TRUE,"BHPL";"PRINT",#N/A,TRUE,"BHPL2";"PRINT",#N/A,TRUE,"CDWR";"PRINT",#N/A,TRUE,"EWEB";"PRINT",#N/A,TRUE,"LADWP";"PRINT",#N/A,TRUE,"NEVBASE"}</definedName>
    <definedName name="keep2" localSheetId="32" hidden="1">{"PRINT",#N/A,TRUE,"APPA";"PRINT",#N/A,TRUE,"APS";"PRINT",#N/A,TRUE,"BHPL";"PRINT",#N/A,TRUE,"BHPL2";"PRINT",#N/A,TRUE,"CDWR";"PRINT",#N/A,TRUE,"EWEB";"PRINT",#N/A,TRUE,"LADWP";"PRINT",#N/A,TRUE,"NEVBASE"}</definedName>
    <definedName name="keep2" localSheetId="3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eft">OFFSET(!A1,0,-1)</definedName>
    <definedName name="LFTSR" localSheetId="5">'[8]A.2 PTP'!$P$230</definedName>
    <definedName name="LFTSR">'[5]A.2 PTP'!$P$230</definedName>
    <definedName name="LOCATE3">#N/A</definedName>
    <definedName name="LOCTABLE" localSheetId="15">#REF!</definedName>
    <definedName name="LOCTABLE">#REF!</definedName>
    <definedName name="LOCTextLen" localSheetId="15">#REF!</definedName>
    <definedName name="LOCTextLen">#REF!</definedName>
    <definedName name="losses" localSheetId="15">#REF!</definedName>
    <definedName name="losses">#REF!</definedName>
    <definedName name="LRG_GE" localSheetId="15">#REF!</definedName>
    <definedName name="LRG_GE">#REF!</definedName>
    <definedName name="LRG_GJ" localSheetId="15">#REF!</definedName>
    <definedName name="LRG_GJ">#REF!</definedName>
    <definedName name="LYN" localSheetId="15">#REF!</definedName>
    <definedName name="LYN">#REF!</definedName>
    <definedName name="M" localSheetId="5">[10]FERCFACT!#REF!</definedName>
    <definedName name="M" localSheetId="15">[10]FERCFACT!#REF!</definedName>
    <definedName name="M">[10]FERCFACT!#REF!</definedName>
    <definedName name="MACRO">#N/A</definedName>
    <definedName name="MAIN">#N/A</definedName>
    <definedName name="MAR">#N/A</definedName>
    <definedName name="MAY">#N/A</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FTSR" localSheetId="5">'[8]A.2 PTP'!$P$276</definedName>
    <definedName name="MFTSR">'[5]A.2 PTP'!$P$276</definedName>
    <definedName name="Mo_roll" localSheetId="15">#REF!</definedName>
    <definedName name="Mo_roll">#REF!</definedName>
    <definedName name="MONTHS">#N/A</definedName>
    <definedName name="MOVE">#N/A</definedName>
    <definedName name="MREV" localSheetId="5">'[8]C. Input'!$F$295</definedName>
    <definedName name="MREV">'[5]C. Input'!$F$295</definedName>
    <definedName name="MS" localSheetId="5">'[8]C. Input'!$F$242</definedName>
    <definedName name="MS">'[5]C. Input'!$F$242</definedName>
    <definedName name="MTH">#N/A</definedName>
    <definedName name="N_A" localSheetId="5">'[8]C. Input'!#REF!</definedName>
    <definedName name="N_A" localSheetId="15">'[5]C. Input'!#REF!</definedName>
    <definedName name="N_A">'[5]C. Input'!#REF!</definedName>
    <definedName name="NCP">#N/A</definedName>
    <definedName name="NCP_1">#N/A</definedName>
    <definedName name="NCPK1">#N/A</definedName>
    <definedName name="NCPK1X" localSheetId="15">#REF!</definedName>
    <definedName name="NCPK1X">#REF!</definedName>
    <definedName name="NCPK2" localSheetId="15">#REF!</definedName>
    <definedName name="NCPK2">#REF!</definedName>
    <definedName name="NCPK2X" localSheetId="15">#REF!</definedName>
    <definedName name="NCPK2X">#REF!</definedName>
    <definedName name="NCPK3" localSheetId="15">#REF!</definedName>
    <definedName name="NCPK3">#REF!</definedName>
    <definedName name="NET_TO_ZERO" localSheetId="15">#REF!</definedName>
    <definedName name="NET_TO_ZERO">#REF!</definedName>
    <definedName name="NETWK_TRANS_PK_RPT_Print_Area" localSheetId="15">#REF!</definedName>
    <definedName name="NETWK_TRANS_PK_RPT_Print_Area">#REF!</definedName>
    <definedName name="NINE">#N/A</definedName>
    <definedName name="NoErrMsg" localSheetId="15">#REF!</definedName>
    <definedName name="NoErrMsg">#REF!</definedName>
    <definedName name="NormErrMsg" localSheetId="15">#REF!</definedName>
    <definedName name="NormErrMsg">#REF!</definedName>
    <definedName name="NOTE" localSheetId="15">#REF!</definedName>
    <definedName name="NOTE">#REF!</definedName>
    <definedName name="NOTE_A" localSheetId="15">#REF!</definedName>
    <definedName name="NOTE_A">#REF!</definedName>
    <definedName name="NOTE_B" localSheetId="15">#REF!</definedName>
    <definedName name="NOTE_B">#REF!</definedName>
    <definedName name="NOTE2" localSheetId="15">#REF!</definedName>
    <definedName name="NOTE2">#REF!</definedName>
    <definedName name="NOV">#N/A</definedName>
    <definedName name="NTDR" localSheetId="5">'[8]C. Input'!$F$234</definedName>
    <definedName name="NTDR">'[5]C. Input'!$F$234</definedName>
    <definedName name="NTPLT" localSheetId="5">'[8]C. Input'!$F$164</definedName>
    <definedName name="NTPLT">'[5]C. Input'!$F$164</definedName>
    <definedName name="NTSRR" localSheetId="5">'[8]B.2 NITS '!$P$220</definedName>
    <definedName name="NTSRR">'[5]B.2 NITS '!$P$220</definedName>
    <definedName name="NvsASD">"V1998-12-31"</definedName>
    <definedName name="NvsAutoDrillOk">"VN"</definedName>
    <definedName name="NvsElapsedTime">0.0393244212973514</definedName>
    <definedName name="NvsEndTime">36169.1265847222</definedName>
    <definedName name="NvsInstSpec">"%"</definedName>
    <definedName name="NvsLayoutType">"M3"</definedName>
    <definedName name="NvsNplSpec">"%,X,RZF..,CZF.."</definedName>
    <definedName name="NvsPanelEffdt">"V2050-01-01"</definedName>
    <definedName name="NvsPanelSetid">"VENT01"</definedName>
    <definedName name="NvsReqBU">"VENT02"</definedName>
    <definedName name="NvsReqBUOnly">"VY"</definedName>
    <definedName name="NvsTransLed">"VN"</definedName>
    <definedName name="NvsTreeASD">"V1998-12-31"</definedName>
    <definedName name="NvsValTbl.ACCOUNT">"GL_ACCOUNT_TBL"</definedName>
    <definedName name="NvsValTbl.E_LEGAL_ENTITY">"E_LE_TBL"</definedName>
    <definedName name="OCT">#N/A</definedName>
    <definedName name="ONE">#N/A</definedName>
    <definedName name="OTR_TST" localSheetId="5">'[8]A.2 PTP'!$P$129</definedName>
    <definedName name="OTR_TST">'[5]A.2 PTP'!$P$129</definedName>
    <definedName name="P_TYPE">#N/A</definedName>
    <definedName name="PAGE.1" localSheetId="15">#REF!</definedName>
    <definedName name="PAGE.1">#REF!</definedName>
    <definedName name="PAGE.2" localSheetId="15">#REF!</definedName>
    <definedName name="PAGE.2">#REF!</definedName>
    <definedName name="PAGE.4" localSheetId="15">#REF!</definedName>
    <definedName name="PAGE.4">#REF!</definedName>
    <definedName name="PAGE.5" localSheetId="15">#REF!</definedName>
    <definedName name="PAGE.5">#REF!</definedName>
    <definedName name="PAGE.6" localSheetId="15">#REF!</definedName>
    <definedName name="PAGE.6">#REF!</definedName>
    <definedName name="PAGE.7" localSheetId="15">#REF!</definedName>
    <definedName name="PAGE.7">#REF!</definedName>
    <definedName name="PAGE_2A" localSheetId="15">#REF!</definedName>
    <definedName name="PAGE_2A">#REF!</definedName>
    <definedName name="PAGE_3B" localSheetId="15">#REF!</definedName>
    <definedName name="PAGE_3B">#REF!</definedName>
    <definedName name="PAGE1" localSheetId="15">[10]FERCFACT!#REF!</definedName>
    <definedName name="PAGE1">[10]FERCFACT!#REF!</definedName>
    <definedName name="page10" localSheetId="15">'[17]W&amp;S by group'!#REF!</definedName>
    <definedName name="page10">'[17]W&amp;S by group'!#REF!</definedName>
    <definedName name="page11" localSheetId="15">'[17]W&amp;S by group'!#REF!</definedName>
    <definedName name="page11">'[17]W&amp;S by group'!#REF!</definedName>
    <definedName name="page12" localSheetId="15">'[17]W&amp;S by group'!#REF!</definedName>
    <definedName name="page12">'[17]W&amp;S by group'!#REF!</definedName>
    <definedName name="page13" localSheetId="15">'[17]W&amp;S by group'!#REF!</definedName>
    <definedName name="page13">'[17]W&amp;S by group'!#REF!</definedName>
    <definedName name="page14" localSheetId="15">'[17]W&amp;S by group'!#REF!</definedName>
    <definedName name="page14">'[17]W&amp;S by group'!#REF!</definedName>
    <definedName name="page15" localSheetId="15">'[17]W&amp;S by group'!#REF!</definedName>
    <definedName name="page15">'[17]W&amp;S by group'!#REF!</definedName>
    <definedName name="page16" localSheetId="15">'[17]W&amp;S by group'!#REF!</definedName>
    <definedName name="page16">'[17]W&amp;S by group'!#REF!</definedName>
    <definedName name="PAGE1A" localSheetId="15">#REF!</definedName>
    <definedName name="PAGE1A">#REF!</definedName>
    <definedName name="PAGE2" localSheetId="15">#REF!</definedName>
    <definedName name="PAGE2">#REF!</definedName>
    <definedName name="PAGE3" localSheetId="5">[10]FERCFACT!#REF!</definedName>
    <definedName name="PAGE3" localSheetId="15">[10]FERCFACT!#REF!</definedName>
    <definedName name="PAGE3">[10]FERCFACT!#REF!</definedName>
    <definedName name="PAGE3A" localSheetId="15">#REF!</definedName>
    <definedName name="PAGE3A">#REF!</definedName>
    <definedName name="PAGE4" localSheetId="15">#REF!</definedName>
    <definedName name="PAGE4">#REF!</definedName>
    <definedName name="PAGE4A" localSheetId="15">#REF!</definedName>
    <definedName name="PAGE4A">#REF!</definedName>
    <definedName name="PAGE5" localSheetId="15">#REF!</definedName>
    <definedName name="PAGE5">#REF!</definedName>
    <definedName name="PAGE6" localSheetId="15">#REF!</definedName>
    <definedName name="PAGE6">#REF!</definedName>
    <definedName name="PAGE7" localSheetId="15">#REF!</definedName>
    <definedName name="PAGE7">#REF!</definedName>
    <definedName name="PAGE8" localSheetId="15">#REF!</definedName>
    <definedName name="PAGE8">#REF!</definedName>
    <definedName name="PAGE9" localSheetId="15">#REF!</definedName>
    <definedName name="PAGE9">#REF!</definedName>
    <definedName name="PageA" localSheetId="15">#REF!</definedName>
    <definedName name="PageA">#REF!</definedName>
    <definedName name="PageB" localSheetId="15">#REF!</definedName>
    <definedName name="PageB">#REF!</definedName>
    <definedName name="PageC" localSheetId="15">#REF!</definedName>
    <definedName name="PageC">#REF!</definedName>
    <definedName name="PEAK">#N/A</definedName>
    <definedName name="PF" localSheetId="5">'[8]C. Input'!$F$35</definedName>
    <definedName name="PF">'[5]C. Input'!$F$35</definedName>
    <definedName name="PF_EAI" localSheetId="5">'[8]C. Input'!$I$35</definedName>
    <definedName name="PF_EAI">'[5]C. Input'!$I$35</definedName>
    <definedName name="PF_EGSI" localSheetId="5">'[8]C. Input'!$L$35</definedName>
    <definedName name="PF_EGSI">'[5]C. Input'!$L$35</definedName>
    <definedName name="PF_ELI" localSheetId="5">'[8]C. Input'!$O$35</definedName>
    <definedName name="PF_ELI">'[5]C. Input'!$O$35</definedName>
    <definedName name="PF_EMI" localSheetId="5">'[8]C. Input'!$R$35</definedName>
    <definedName name="PF_EMI">'[5]C. Input'!$R$35</definedName>
    <definedName name="PF_ENOI" localSheetId="5">'[8]C. Input'!$X$35</definedName>
    <definedName name="PF_ENOI">'[5]C. Input'!$X$35</definedName>
    <definedName name="PK_1">#N/A</definedName>
    <definedName name="PPLT" localSheetId="5">'[8]C. Input'!$F$152</definedName>
    <definedName name="PPLT">'[5]C. Input'!$F$152</definedName>
    <definedName name="PPT" localSheetId="5">'[8]C. Input'!$F$244</definedName>
    <definedName name="PPT">'[5]C. Input'!$F$244</definedName>
    <definedName name="PR" localSheetId="5">'[8]C. Input'!$F$25</definedName>
    <definedName name="PR">'[5]C. Input'!$F$25</definedName>
    <definedName name="_xlnm.Print_Area" localSheetId="2">'Appendix A'!$A$8:$H$346</definedName>
    <definedName name="_xlnm.Print_Area" localSheetId="0">'MISO Cover'!$A$1:$K$238</definedName>
    <definedName name="_xlnm.Print_Area" localSheetId="7">'Support to WP02'!$A$1:$I$67</definedName>
    <definedName name="_xlnm.Print_Area" localSheetId="34">'WP AJ1 MISO'!$A$1:$K$83</definedName>
    <definedName name="_xlnm.Print_Area" localSheetId="35">'WP AJ2 ITC'!$A$1:$G$71</definedName>
    <definedName name="_xlnm.Print_Area" localSheetId="36">'WP AJ3 HCM'!$A$1:$G$62</definedName>
    <definedName name="_xlnm.Print_Area" localSheetId="37">'WP AJ4 LA Merger'!$A$1:$G$65</definedName>
    <definedName name="_xlnm.Print_Area" localSheetId="38">'WP AJ5 Acadia PB2'!$A$1:$E$55</definedName>
    <definedName name="_xlnm.Print_Area" localSheetId="39">'WP AJ6 GPRD'!$A$1:$E$30</definedName>
    <definedName name="_xlnm.Print_Area" localSheetId="3">'WP01 True-Up'!$A$8:$I$78</definedName>
    <definedName name="_xlnm.Print_Area" localSheetId="4">'WP01 TU Support 1'!$A$7:$I$80</definedName>
    <definedName name="_xlnm.Print_Area" localSheetId="5">'WP01 TU Support 2'!$A$7:$I$84</definedName>
    <definedName name="_xlnm.Print_Area" localSheetId="6">'WP02 Support'!$A$1:$I$188</definedName>
    <definedName name="_xlnm.Print_Area" localSheetId="9">'WP03 W&amp;S'!$A$1:$D$36</definedName>
    <definedName name="_xlnm.Print_Area" localSheetId="10">'WP04 PIS'!$A$1:$L$46</definedName>
    <definedName name="_xlnm.Print_Area" localSheetId="11">'WP04 Support'!$A$1:$I$17</definedName>
    <definedName name="_xlnm.Print_Area" localSheetId="12">'WP05 CapAds'!$A$1:$D$26</definedName>
    <definedName name="_xlnm.Print_Area" localSheetId="13">'WP06 ADIT'!$A$1:$N$324</definedName>
    <definedName name="_xlnm.Print_Area" localSheetId="14">'WP06 Support 1'!$A$1:$F$41</definedName>
    <definedName name="_xlnm.Print_Area" localSheetId="15">'WP06 Support 2'!$A:$X</definedName>
    <definedName name="_xlnm.Print_Area" localSheetId="16">'WP07 M&amp;S'!$A$1:$Q$14</definedName>
    <definedName name="_xlnm.Print_Area" localSheetId="17">'WP08 Prepay'!$A$1:$Q$73</definedName>
    <definedName name="_xlnm.Print_Area" localSheetId="19">'WP10 Storm'!$A$1:$E$68</definedName>
    <definedName name="_xlnm.Print_Area" localSheetId="20">'WP11 Credits'!$A$1:$E$15</definedName>
    <definedName name="_xlnm.Print_Area" localSheetId="21">'WP12 PBOP'!$A$1:$C$17</definedName>
    <definedName name="_xlnm.Print_Area" localSheetId="22">'WP13 TOTI'!$A$1:$H$51</definedName>
    <definedName name="_xlnm.Print_Area" localSheetId="24">'WP15 Radials'!$A$1:$G$148</definedName>
    <definedName name="_xlnm.Print_Area" localSheetId="25">'WP16 Interconn'!$A$1:$P$34</definedName>
    <definedName name="_xlnm.Print_Area" localSheetId="26">'WP17 Rev'!$A$1:$I$74</definedName>
    <definedName name="_xlnm.Print_Area" localSheetId="27">'WP17 Rev Support'!$A$1:$F$26</definedName>
    <definedName name="_xlnm.Print_Area" localSheetId="28">'WP18 Deprec'!$A$1:$D$57</definedName>
    <definedName name="_xlnm.Print_Area" localSheetId="29">'WP19 Load'!$A$1:$O$69</definedName>
    <definedName name="_xlnm.Print_Area" localSheetId="31">'WP21 Pension'!$A$1:$K$30</definedName>
    <definedName name="_xlnm.Print_Area" localSheetId="32">'WP22 IT Adj'!$A$1:$E$36</definedName>
    <definedName name="_xlnm.Print_Area" localSheetId="33">'WP22 Support '!$A$1:$G$48,'WP22 Support '!$I$1:$O$36</definedName>
    <definedName name="_xlnm.Print_Area">'[2]BC 2 2005BC'!#REF!</definedName>
    <definedName name="PRINT_AREA_MI" localSheetId="5">'[3]BC 2 2005BC'!#REF!</definedName>
    <definedName name="PRINT_AREA_MI" localSheetId="15">'[2]BC 2 2005BC'!#REF!</definedName>
    <definedName name="PRINT_AREA_MI">'[2]BC 2 2005BC'!#REF!</definedName>
    <definedName name="Print_Area_MI.1" localSheetId="15">#REF!</definedName>
    <definedName name="Print_Area_MI.1">#REF!</definedName>
    <definedName name="_xlnm.Print_Titles" localSheetId="2">'Appendix A'!$1:$7</definedName>
    <definedName name="_xlnm.Print_Titles" localSheetId="3">'WP01 True-Up'!$1:$7</definedName>
    <definedName name="_xlnm.Print_Titles" localSheetId="4">'WP01 TU Support 1'!$1:$6</definedName>
    <definedName name="_xlnm.Print_Titles" localSheetId="5">'WP01 TU Support 2'!$1:$7</definedName>
    <definedName name="_xlnm.Print_Titles" localSheetId="6">'WP02 Support'!$1:$6</definedName>
    <definedName name="_xlnm.Print_Titles" localSheetId="13">'WP06 ADIT'!$1:$8</definedName>
    <definedName name="_xlnm.Print_Titles" localSheetId="15">'WP06 Support 2'!$4:$7</definedName>
    <definedName name="_xlnm.Print_Titles" localSheetId="23">'WP14 COC'!$A:$C,'WP14 COC'!$1:$3</definedName>
    <definedName name="_xlnm.Print_Titles" localSheetId="24">'WP15 Radials'!$1:$11</definedName>
    <definedName name="_xlnm.Print_Titles" localSheetId="30">'WP20 Reserves'!$A:$C,'WP20 Reserves'!$1:$7</definedName>
    <definedName name="_xlnm.Print_Titles" localSheetId="33">'WP22 Support '!$1:$7</definedName>
    <definedName name="PRINTFILE" localSheetId="15">#REF!</definedName>
    <definedName name="PRINTFILE">#REF!</definedName>
    <definedName name="PROJ_WOTextLen" localSheetId="15">#REF!</definedName>
    <definedName name="PROJ_WOTextLen">#REF!</definedName>
    <definedName name="Projection" localSheetId="5">'[6]Appendix A'!$H$7</definedName>
    <definedName name="Projection">'[7]Appendix A'!$H$7</definedName>
    <definedName name="PSLJ8LG">#N/A</definedName>
    <definedName name="PSOKI6">#N/A</definedName>
    <definedName name="PXAG" localSheetId="5">'[8]C. Input'!$F$185</definedName>
    <definedName name="PXAG">'[5]C. Input'!$F$185</definedName>
    <definedName name="PXAG_561" localSheetId="5">'[8]C. Input'!#REF!</definedName>
    <definedName name="PXAG_561" localSheetId="15">'[5]C. Input'!#REF!</definedName>
    <definedName name="PXAG_561">'[5]C. Input'!#REF!</definedName>
    <definedName name="PXAG_EAI" localSheetId="5">'[8]C. Input'!#REF!</definedName>
    <definedName name="PXAG_EAI" localSheetId="15">'[5]C. Input'!#REF!</definedName>
    <definedName name="PXAG_EAI">'[5]C. Input'!#REF!</definedName>
    <definedName name="PXAG_EGSI" localSheetId="5">'[8]C. Input'!#REF!</definedName>
    <definedName name="PXAG_EGSI" localSheetId="15">'[5]C. Input'!#REF!</definedName>
    <definedName name="PXAG_EGSI">'[5]C. Input'!#REF!</definedName>
    <definedName name="PXAG_ELI" localSheetId="15">'[5]C. Input'!#REF!</definedName>
    <definedName name="PXAG_ELI">'[5]C. Input'!#REF!</definedName>
    <definedName name="PXAG_EMI" localSheetId="15">'[5]C. Input'!#REF!</definedName>
    <definedName name="PXAG_EMI">'[5]C. Input'!#REF!</definedName>
    <definedName name="PXAG_ENOI" localSheetId="15">'[5]C. Input'!#REF!</definedName>
    <definedName name="PXAG_ENOI">'[5]C. Input'!#REF!</definedName>
    <definedName name="PXAGBAD" localSheetId="15">'[5]C. Input'!#REF!</definedName>
    <definedName name="PXAGBAD">'[5]C. Input'!#REF!</definedName>
    <definedName name="PYTX" localSheetId="5">'[8]C. Input'!$F$220</definedName>
    <definedName name="PYTX">'[5]C. Input'!$F$220</definedName>
    <definedName name="Q" localSheetId="15">#REF!</definedName>
    <definedName name="Q">#REF!</definedName>
    <definedName name="RA" localSheetId="5">'[8]C. Input'!$F$343</definedName>
    <definedName name="RA">'[5]C. Input'!$F$343</definedName>
    <definedName name="RECAP" localSheetId="15">#REF!</definedName>
    <definedName name="RECAP">#REF!</definedName>
    <definedName name="_xlnm.Recorder" localSheetId="15">#REF!</definedName>
    <definedName name="_xlnm.Recorder">#REF!</definedName>
    <definedName name="RES_CPB" localSheetId="15">#REF!</definedName>
    <definedName name="RES_CPB">#REF!</definedName>
    <definedName name="retail" localSheetId="1" hidden="1">{#N/A,#N/A,FALSE,"Loans";#N/A,#N/A,FALSE,"Program Costs";#N/A,#N/A,FALSE,"Measures";#N/A,#N/A,FALSE,"Net Lost Rev";#N/A,#N/A,FALSE,"Incentive"}</definedName>
    <definedName name="retail" localSheetId="0" hidden="1">{#N/A,#N/A,FALSE,"Loans";#N/A,#N/A,FALSE,"Program Costs";#N/A,#N/A,FALSE,"Measures";#N/A,#N/A,FALSE,"Net Lost Rev";#N/A,#N/A,FALSE,"Incentive"}</definedName>
    <definedName name="retail" localSheetId="7" hidden="1">{#N/A,#N/A,FALSE,"Loans";#N/A,#N/A,FALSE,"Program Costs";#N/A,#N/A,FALSE,"Measures";#N/A,#N/A,FALSE,"Net Lost Rev";#N/A,#N/A,FALSE,"Incentive"}</definedName>
    <definedName name="retail" localSheetId="5"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localSheetId="27" hidden="1">{#N/A,#N/A,FALSE,"Loans";#N/A,#N/A,FALSE,"Program Costs";#N/A,#N/A,FALSE,"Measures";#N/A,#N/A,FALSE,"Net Lost Rev";#N/A,#N/A,FALSE,"Incentive"}</definedName>
    <definedName name="retail" localSheetId="32" hidden="1">{#N/A,#N/A,FALSE,"Loans";#N/A,#N/A,FALSE,"Program Costs";#N/A,#N/A,FALSE,"Measures";#N/A,#N/A,FALSE,"Net Lost Rev";#N/A,#N/A,FALSE,"Incentive"}</definedName>
    <definedName name="retail" localSheetId="3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localSheetId="0" hidden="1">{#N/A,#N/A,FALSE,"Loans";#N/A,#N/A,FALSE,"Program Costs";#N/A,#N/A,FALSE,"Measures";#N/A,#N/A,FALSE,"Net Lost Rev";#N/A,#N/A,FALSE,"Incentive"}</definedName>
    <definedName name="retail_CC" localSheetId="7"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27" hidden="1">{#N/A,#N/A,FALSE,"Loans";#N/A,#N/A,FALSE,"Program Costs";#N/A,#N/A,FALSE,"Measures";#N/A,#N/A,FALSE,"Net Lost Rev";#N/A,#N/A,FALSE,"Incentive"}</definedName>
    <definedName name="retail_CC" localSheetId="32" hidden="1">{#N/A,#N/A,FALSE,"Loans";#N/A,#N/A,FALSE,"Program Costs";#N/A,#N/A,FALSE,"Measures";#N/A,#N/A,FALSE,"Net Lost Rev";#N/A,#N/A,FALSE,"Incentive"}</definedName>
    <definedName name="retail_CC" localSheetId="3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localSheetId="0" hidden="1">{#N/A,#N/A,FALSE,"Loans";#N/A,#N/A,FALSE,"Program Costs";#N/A,#N/A,FALSE,"Measures";#N/A,#N/A,FALSE,"Net Lost Rev";#N/A,#N/A,FALSE,"Incentive"}</definedName>
    <definedName name="retail_CC1" localSheetId="7"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27" hidden="1">{#N/A,#N/A,FALSE,"Loans";#N/A,#N/A,FALSE,"Program Costs";#N/A,#N/A,FALSE,"Measures";#N/A,#N/A,FALSE,"Net Lost Rev";#N/A,#N/A,FALSE,"Incentive"}</definedName>
    <definedName name="retail_CC1" localSheetId="32" hidden="1">{#N/A,#N/A,FALSE,"Loans";#N/A,#N/A,FALSE,"Program Costs";#N/A,#N/A,FALSE,"Measures";#N/A,#N/A,FALSE,"Net Lost Rev";#N/A,#N/A,FALSE,"Incentive"}</definedName>
    <definedName name="retail_CC1" localSheetId="33" hidden="1">{#N/A,#N/A,FALSE,"Loans";#N/A,#N/A,FALSE,"Program Costs";#N/A,#N/A,FALSE,"Measures";#N/A,#N/A,FALSE,"Net Lost Rev";#N/A,#N/A,FALSE,"Incentive"}</definedName>
    <definedName name="retail_CC1" hidden="1">{#N/A,#N/A,FALSE,"Loans";#N/A,#N/A,FALSE,"Program Costs";#N/A,#N/A,FALSE,"Measures";#N/A,#N/A,FALSE,"Net Lost Rev";#N/A,#N/A,FALSE,"Incentive"}</definedName>
    <definedName name="RID" localSheetId="15">#REF!</definedName>
    <definedName name="RID">#REF!</definedName>
    <definedName name="right">OFFSET(!A1,0,1)</definedName>
    <definedName name="RRE" localSheetId="5">'[8]C. Input'!$F$207</definedName>
    <definedName name="RRE">'[5]C. Input'!$F$207</definedName>
    <definedName name="RTX" localSheetId="5">'[8]C. Input'!$F$222</definedName>
    <definedName name="RTX">'[5]C. Input'!$F$222</definedName>
    <definedName name="S" localSheetId="5">'[8]C. Input'!$F$76</definedName>
    <definedName name="S">'[5]C. Input'!$F$76</definedName>
    <definedName name="SAPBEXrevision" hidden="1">1</definedName>
    <definedName name="SAPBEXsysID" hidden="1">"BWP"</definedName>
    <definedName name="SAPBEXwbID" hidden="1">"45EQYSCWE9WJMGB34OOD1BOQZ"</definedName>
    <definedName name="SECUR_GI" localSheetId="5">'[8]C. Input'!$F$353</definedName>
    <definedName name="SECUR_GI">'[5]C. Input'!$F$353</definedName>
    <definedName name="SECUR_IS" localSheetId="5">'[8]C. Input'!$F$357</definedName>
    <definedName name="SECUR_IS">'[5]C. Input'!$F$357</definedName>
    <definedName name="SECUR_KR" localSheetId="5">'[8]C. Input'!$F$349</definedName>
    <definedName name="SECUR_KR">'[5]C. Input'!$F$349</definedName>
    <definedName name="SELECT">#N/A</definedName>
    <definedName name="SEP">#N/A</definedName>
    <definedName name="SEVEN">#N/A</definedName>
    <definedName name="shit" localSheetId="1" hidden="1">{"PRINT",#N/A,TRUE,"APPA";"PRINT",#N/A,TRUE,"APS";"PRINT",#N/A,TRUE,"BHPL";"PRINT",#N/A,TRUE,"BHPL2";"PRINT",#N/A,TRUE,"CDWR";"PRINT",#N/A,TRUE,"EWEB";"PRINT",#N/A,TRUE,"LADWP";"PRINT",#N/A,TRUE,"NEVBASE"}</definedName>
    <definedName name="shit" localSheetId="0" hidden="1">{"PRINT",#N/A,TRUE,"APPA";"PRINT",#N/A,TRUE,"APS";"PRINT",#N/A,TRUE,"BHPL";"PRINT",#N/A,TRUE,"BHPL2";"PRINT",#N/A,TRUE,"CDWR";"PRINT",#N/A,TRUE,"EWEB";"PRINT",#N/A,TRUE,"LADWP";"PRINT",#N/A,TRUE,"NEVBASE"}</definedName>
    <definedName name="shit" localSheetId="7" hidden="1">{"PRINT",#N/A,TRUE,"APPA";"PRINT",#N/A,TRUE,"APS";"PRINT",#N/A,TRUE,"BHPL";"PRINT",#N/A,TRUE,"BHPL2";"PRINT",#N/A,TRUE,"CDWR";"PRINT",#N/A,TRUE,"EWEB";"PRINT",#N/A,TRUE,"LADWP";"PRINT",#N/A,TRUE,"NEVBASE"}</definedName>
    <definedName name="shit" localSheetId="5"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localSheetId="27" hidden="1">{"PRINT",#N/A,TRUE,"APPA";"PRINT",#N/A,TRUE,"APS";"PRINT",#N/A,TRUE,"BHPL";"PRINT",#N/A,TRUE,"BHPL2";"PRINT",#N/A,TRUE,"CDWR";"PRINT",#N/A,TRUE,"EWEB";"PRINT",#N/A,TRUE,"LADWP";"PRINT",#N/A,TRUE,"NEVBASE"}</definedName>
    <definedName name="shit" localSheetId="32" hidden="1">{"PRINT",#N/A,TRUE,"APPA";"PRINT",#N/A,TRUE,"APS";"PRINT",#N/A,TRUE,"BHPL";"PRINT",#N/A,TRUE,"BHPL2";"PRINT",#N/A,TRUE,"CDWR";"PRINT",#N/A,TRUE,"EWEB";"PRINT",#N/A,TRUE,"LADWP";"PRINT",#N/A,TRUE,"NEVBASE"}</definedName>
    <definedName name="shit" localSheetId="3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#N/A</definedName>
    <definedName name="SORT">#N/A</definedName>
    <definedName name="SPACE">#N/A</definedName>
    <definedName name="Spot_Purchases_and_Tailgate" localSheetId="15">#REF!</definedName>
    <definedName name="Spot_Purchases_and_Tailgate">#REF!</definedName>
    <definedName name="SPOTE_04" localSheetId="15">#REF!</definedName>
    <definedName name="SPOTE_04">#REF!</definedName>
    <definedName name="START" localSheetId="15">#REF!</definedName>
    <definedName name="START">#REF!</definedName>
    <definedName name="STARTCR" localSheetId="15">#REF!</definedName>
    <definedName name="STARTCR">#REF!</definedName>
    <definedName name="STARTDR" localSheetId="15">#REF!</definedName>
    <definedName name="STARTDR">#REF!</definedName>
    <definedName name="SUBTITLE">#N/A</definedName>
    <definedName name="SUMMARY" localSheetId="15">#REF!</definedName>
    <definedName name="SUMMARY">#REF!</definedName>
    <definedName name="SUPPORTING_DATA_TO_UPLOAD" localSheetId="15">#REF!</definedName>
    <definedName name="SUPPORTING_DATA_TO_UPLOAD">#REF!</definedName>
    <definedName name="suz" localSheetId="5">'[2]BC 2 2005BC'!#REF!</definedName>
    <definedName name="suz" localSheetId="15">'[2]BC 2 2005BC'!#REF!</definedName>
    <definedName name="suz">'[2]BC 2 2005BC'!#REF!</definedName>
    <definedName name="TABLE4_1" localSheetId="15">#REF!</definedName>
    <definedName name="TABLE4_1">#REF!</definedName>
    <definedName name="TABLE4_2" localSheetId="15">#REF!</definedName>
    <definedName name="TABLE4_2">#REF!</definedName>
    <definedName name="TDR_ITC" localSheetId="5">'[5]C. Input'!#REF!</definedName>
    <definedName name="TDR_ITC" localSheetId="15">'[5]C. Input'!#REF!</definedName>
    <definedName name="TDR_ITC">'[5]C. Input'!#REF!</definedName>
    <definedName name="TDR_TD" localSheetId="15">'[5]C. Input'!#REF!</definedName>
    <definedName name="TDR_TD">'[5]C. Input'!#REF!</definedName>
    <definedName name="TDRXS" localSheetId="5">'[8]C. Input'!$F$234</definedName>
    <definedName name="TDRXS">'[5]C. Input'!$F$234</definedName>
    <definedName name="TDX" localSheetId="5">'[8]C. Input'!$F$304</definedName>
    <definedName name="TDX">'[5]C. Input'!$F$304</definedName>
    <definedName name="TDX_TD" localSheetId="5">'[8]C. Input'!#REF!</definedName>
    <definedName name="TDX_TD" localSheetId="15">'[5]C. Input'!#REF!</definedName>
    <definedName name="TDX_TD">'[5]C. Input'!#REF!</definedName>
    <definedName name="TEN">#N/A</definedName>
    <definedName name="TEQ" localSheetId="5">'[8]C. Input'!$F$277</definedName>
    <definedName name="TEQ">'[5]C. Input'!$F$277</definedName>
    <definedName name="test" localSheetId="1" hidden="1">{"LBO Summary",#N/A,FALSE,"Summary"}</definedName>
    <definedName name="test" localSheetId="0" hidden="1">{"LBO Summary",#N/A,FALSE,"Summary"}</definedName>
    <definedName name="test" localSheetId="7" hidden="1">{"LBO Summary",#N/A,FALSE,"Summary"}</definedName>
    <definedName name="test" localSheetId="5" hidden="1">{"LBO Summary",#N/A,FALSE,"Summary"}</definedName>
    <definedName name="test" localSheetId="10" hidden="1">{"LBO Summary",#N/A,FALSE,"Summary"}</definedName>
    <definedName name="test" localSheetId="11" hidden="1">{"LBO Summary",#N/A,FALSE,"Summary"}</definedName>
    <definedName name="test" localSheetId="15" hidden="1">{"LBO Summary",#N/A,FALSE,"Summary"}</definedName>
    <definedName name="test" localSheetId="18" hidden="1">{"LBO Summary",#N/A,FALSE,"Summary"}</definedName>
    <definedName name="test" localSheetId="27" hidden="1">{"LBO Summary",#N/A,FALSE,"Summary"}</definedName>
    <definedName name="test" localSheetId="29" hidden="1">{"LBO Summary",#N/A,FALSE,"Summary"}</definedName>
    <definedName name="test" localSheetId="32" hidden="1">{"LBO Summary",#N/A,FALSE,"Summary"}</definedName>
    <definedName name="test" localSheetId="33" hidden="1">{"LBO Summary",#N/A,FALSE,"Summary"}</definedName>
    <definedName name="test" hidden="1">{"LBO Summary",#N/A,FALSE,"Summary"}</definedName>
    <definedName name="test1" localSheetId="1" hidden="1">{"LBO Summary",#N/A,FALSE,"Summary";"Income Statement",#N/A,FALSE,"Model";"Cash Flow",#N/A,FALSE,"Model";"Balance Sheet",#N/A,FALSE,"Model";"Working Capital",#N/A,FALSE,"Model";"Pro Forma Balance Sheets",#N/A,FALSE,"PFBS";"Debt Balances",#N/A,FALSE,"Model";"Fee Schedules",#N/A,FALSE,"Model"}</definedName>
    <definedName name="test1" localSheetId="0" hidden="1">{"LBO Summary",#N/A,FALSE,"Summary";"Income Statement",#N/A,FALSE,"Model";"Cash Flow",#N/A,FALSE,"Model";"Balance Sheet",#N/A,FALSE,"Model";"Working Capital",#N/A,FALSE,"Model";"Pro Forma Balance Sheets",#N/A,FALSE,"PFBS";"Debt Balances",#N/A,FALSE,"Model";"Fee Schedules",#N/A,FALSE,"Model"}</definedName>
    <definedName name="test1" localSheetId="7" hidden="1">{"LBO Summary",#N/A,FALSE,"Summary";"Income Statement",#N/A,FALSE,"Model";"Cash Flow",#N/A,FALSE,"Model";"Balance Sheet",#N/A,FALSE,"Model";"Working Capital",#N/A,FALSE,"Model";"Pro Forma Balance Sheets",#N/A,FALSE,"PFBS";"Debt Balances",#N/A,FALSE,"Model";"Fee Schedules",#N/A,FALSE,"Model"}</definedName>
    <definedName name="test1" localSheetId="5" hidden="1">{"LBO Summary",#N/A,FALSE,"Summary";"Income Statement",#N/A,FALSE,"Model";"Cash Flow",#N/A,FALSE,"Model";"Balance Sheet",#N/A,FALSE,"Model";"Working Capital",#N/A,FALSE,"Model";"Pro Forma Balance Sheets",#N/A,FALSE,"PFBS";"Debt Balances",#N/A,FALSE,"Model";"Fee Schedules",#N/A,FALSE,"Model"}</definedName>
    <definedName name="test1" localSheetId="10" hidden="1">{"LBO Summary",#N/A,FALSE,"Summary";"Income Statement",#N/A,FALSE,"Model";"Cash Flow",#N/A,FALSE,"Model";"Balance Sheet",#N/A,FALSE,"Model";"Working Capital",#N/A,FALSE,"Model";"Pro Forma Balance Sheets",#N/A,FALSE,"PFBS";"Debt Balances",#N/A,FALSE,"Model";"Fee Schedules",#N/A,FALSE,"Model"}</definedName>
    <definedName name="test1" localSheetId="11" hidden="1">{"LBO Summary",#N/A,FALSE,"Summary";"Income Statement",#N/A,FALSE,"Model";"Cash Flow",#N/A,FALSE,"Model";"Balance Sheet",#N/A,FALSE,"Model";"Working Capital",#N/A,FALSE,"Model";"Pro Forma Balance Sheets",#N/A,FALSE,"PFBS";"Debt Balances",#N/A,FALSE,"Model";"Fee Schedules",#N/A,FALSE,"Model"}</definedName>
    <definedName name="test1" localSheetId="15" hidden="1">{"LBO Summary",#N/A,FALSE,"Summary";"Income Statement",#N/A,FALSE,"Model";"Cash Flow",#N/A,FALSE,"Model";"Balance Sheet",#N/A,FALSE,"Model";"Working Capital",#N/A,FALSE,"Model";"Pro Forma Balance Sheets",#N/A,FALSE,"PFBS";"Debt Balances",#N/A,FALSE,"Model";"Fee Schedules",#N/A,FALSE,"Model"}</definedName>
    <definedName name="test1" localSheetId="18" hidden="1">{"LBO Summary",#N/A,FALSE,"Summary";"Income Statement",#N/A,FALSE,"Model";"Cash Flow",#N/A,FALSE,"Model";"Balance Sheet",#N/A,FALSE,"Model";"Working Capital",#N/A,FALSE,"Model";"Pro Forma Balance Sheets",#N/A,FALSE,"PFBS";"Debt Balances",#N/A,FALSE,"Model";"Fee Schedules",#N/A,FALSE,"Model"}</definedName>
    <definedName name="test1" localSheetId="27" hidden="1">{"LBO Summary",#N/A,FALSE,"Summary";"Income Statement",#N/A,FALSE,"Model";"Cash Flow",#N/A,FALSE,"Model";"Balance Sheet",#N/A,FALSE,"Model";"Working Capital",#N/A,FALSE,"Model";"Pro Forma Balance Sheets",#N/A,FALSE,"PFBS";"Debt Balances",#N/A,FALSE,"Model";"Fee Schedules",#N/A,FALSE,"Model"}</definedName>
    <definedName name="test1" localSheetId="29" hidden="1">{"LBO Summary",#N/A,FALSE,"Summary";"Income Statement",#N/A,FALSE,"Model";"Cash Flow",#N/A,FALSE,"Model";"Balance Sheet",#N/A,FALSE,"Model";"Working Capital",#N/A,FALSE,"Model";"Pro Forma Balance Sheets",#N/A,FALSE,"PFBS";"Debt Balances",#N/A,FALSE,"Model";"Fee Schedules",#N/A,FALSE,"Model"}</definedName>
    <definedName name="test1" localSheetId="32" hidden="1">{"LBO Summary",#N/A,FALSE,"Summary";"Income Statement",#N/A,FALSE,"Model";"Cash Flow",#N/A,FALSE,"Model";"Balance Sheet",#N/A,FALSE,"Model";"Working Capital",#N/A,FALSE,"Model";"Pro Forma Balance Sheets",#N/A,FALSE,"PFBS";"Debt Balances",#N/A,FALSE,"Model";"Fee Schedules",#N/A,FALSE,"Model"}</definedName>
    <definedName name="test1" localSheetId="33" hidden="1">{"LBO Summary",#N/A,FALSE,"Summary";"Income Statement",#N/A,FALSE,"Model";"Cash Flow",#N/A,FALSE,"Model";"Balance Sheet",#N/A,FALSE,"Model";"Working Capital",#N/A,FALSE,"Model";"Pro Forma Balance Sheets",#N/A,FALSE,"PFBS";"Debt Balances",#N/A,FALSE,"Model";"Fee Schedules",#N/A,FALSE,"Model"}</definedName>
    <definedName name="test1" hidden="1">{"LBO Summary",#N/A,FALSE,"Summary";"Income Statement",#N/A,FALSE,"Model";"Cash Flow",#N/A,FALSE,"Model";"Balance Sheet",#N/A,FALSE,"Model";"Working Capital",#N/A,FALSE,"Model";"Pro Forma Balance Sheets",#N/A,FALSE,"PFBS";"Debt Balances",#N/A,FALSE,"Model";"Fee Schedules",#N/A,FALSE,"Model"}</definedName>
    <definedName name="test10" localSheetId="1" hidden="1">{"LBO Summary",#N/A,FALSE,"Summary";"Income Statement",#N/A,FALSE,"Model";"Cash Flow",#N/A,FALSE,"Model";"Balance Sheet",#N/A,FALSE,"Model";"Working Capital",#N/A,FALSE,"Model";"Pro Forma Balance Sheets",#N/A,FALSE,"PFBS";"Debt Balances",#N/A,FALSE,"Model";"Fee Schedules",#N/A,FALSE,"Model"}</definedName>
    <definedName name="test10" localSheetId="0" hidden="1">{"LBO Summary",#N/A,FALSE,"Summary";"Income Statement",#N/A,FALSE,"Model";"Cash Flow",#N/A,FALSE,"Model";"Balance Sheet",#N/A,FALSE,"Model";"Working Capital",#N/A,FALSE,"Model";"Pro Forma Balance Sheets",#N/A,FALSE,"PFBS";"Debt Balances",#N/A,FALSE,"Model";"Fee Schedules",#N/A,FALSE,"Model"}</definedName>
    <definedName name="test10" localSheetId="7" hidden="1">{"LBO Summary",#N/A,FALSE,"Summary";"Income Statement",#N/A,FALSE,"Model";"Cash Flow",#N/A,FALSE,"Model";"Balance Sheet",#N/A,FALSE,"Model";"Working Capital",#N/A,FALSE,"Model";"Pro Forma Balance Sheets",#N/A,FALSE,"PFBS";"Debt Balances",#N/A,FALSE,"Model";"Fee Schedules",#N/A,FALSE,"Model"}</definedName>
    <definedName name="test10" localSheetId="5" hidden="1">{"LBO Summary",#N/A,FALSE,"Summary";"Income Statement",#N/A,FALSE,"Model";"Cash Flow",#N/A,FALSE,"Model";"Balance Sheet",#N/A,FALSE,"Model";"Working Capital",#N/A,FALSE,"Model";"Pro Forma Balance Sheets",#N/A,FALSE,"PFBS";"Debt Balances",#N/A,FALSE,"Model";"Fee Schedules",#N/A,FALSE,"Model"}</definedName>
    <definedName name="test10" localSheetId="10" hidden="1">{"LBO Summary",#N/A,FALSE,"Summary";"Income Statement",#N/A,FALSE,"Model";"Cash Flow",#N/A,FALSE,"Model";"Balance Sheet",#N/A,FALSE,"Model";"Working Capital",#N/A,FALSE,"Model";"Pro Forma Balance Sheets",#N/A,FALSE,"PFBS";"Debt Balances",#N/A,FALSE,"Model";"Fee Schedules",#N/A,FALSE,"Model"}</definedName>
    <definedName name="test10" localSheetId="11" hidden="1">{"LBO Summary",#N/A,FALSE,"Summary";"Income Statement",#N/A,FALSE,"Model";"Cash Flow",#N/A,FALSE,"Model";"Balance Sheet",#N/A,FALSE,"Model";"Working Capital",#N/A,FALSE,"Model";"Pro Forma Balance Sheets",#N/A,FALSE,"PFBS";"Debt Balances",#N/A,FALSE,"Model";"Fee Schedules",#N/A,FALSE,"Model"}</definedName>
    <definedName name="test10" localSheetId="15" hidden="1">{"LBO Summary",#N/A,FALSE,"Summary";"Income Statement",#N/A,FALSE,"Model";"Cash Flow",#N/A,FALSE,"Model";"Balance Sheet",#N/A,FALSE,"Model";"Working Capital",#N/A,FALSE,"Model";"Pro Forma Balance Sheets",#N/A,FALSE,"PFBS";"Debt Balances",#N/A,FALSE,"Model";"Fee Schedules",#N/A,FALSE,"Model"}</definedName>
    <definedName name="test10" localSheetId="18" hidden="1">{"LBO Summary",#N/A,FALSE,"Summary";"Income Statement",#N/A,FALSE,"Model";"Cash Flow",#N/A,FALSE,"Model";"Balance Sheet",#N/A,FALSE,"Model";"Working Capital",#N/A,FALSE,"Model";"Pro Forma Balance Sheets",#N/A,FALSE,"PFBS";"Debt Balances",#N/A,FALSE,"Model";"Fee Schedules",#N/A,FALSE,"Model"}</definedName>
    <definedName name="test10" localSheetId="27" hidden="1">{"LBO Summary",#N/A,FALSE,"Summary";"Income Statement",#N/A,FALSE,"Model";"Cash Flow",#N/A,FALSE,"Model";"Balance Sheet",#N/A,FALSE,"Model";"Working Capital",#N/A,FALSE,"Model";"Pro Forma Balance Sheets",#N/A,FALSE,"PFBS";"Debt Balances",#N/A,FALSE,"Model";"Fee Schedules",#N/A,FALSE,"Model"}</definedName>
    <definedName name="test10" localSheetId="29" hidden="1">{"LBO Summary",#N/A,FALSE,"Summary";"Income Statement",#N/A,FALSE,"Model";"Cash Flow",#N/A,FALSE,"Model";"Balance Sheet",#N/A,FALSE,"Model";"Working Capital",#N/A,FALSE,"Model";"Pro Forma Balance Sheets",#N/A,FALSE,"PFBS";"Debt Balances",#N/A,FALSE,"Model";"Fee Schedules",#N/A,FALSE,"Model"}</definedName>
    <definedName name="test10" localSheetId="32" hidden="1">{"LBO Summary",#N/A,FALSE,"Summary";"Income Statement",#N/A,FALSE,"Model";"Cash Flow",#N/A,FALSE,"Model";"Balance Sheet",#N/A,FALSE,"Model";"Working Capital",#N/A,FALSE,"Model";"Pro Forma Balance Sheets",#N/A,FALSE,"PFBS";"Debt Balances",#N/A,FALSE,"Model";"Fee Schedules",#N/A,FALSE,"Model"}</definedName>
    <definedName name="test10" localSheetId="33"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1" hidden="1">{"LBO Summary",#N/A,FALSE,"Summary"}</definedName>
    <definedName name="test11" localSheetId="0" hidden="1">{"LBO Summary",#N/A,FALSE,"Summary"}</definedName>
    <definedName name="test11" localSheetId="7" hidden="1">{"LBO Summary",#N/A,FALSE,"Summary"}</definedName>
    <definedName name="test11" localSheetId="5" hidden="1">{"LBO Summary",#N/A,FALSE,"Summary"}</definedName>
    <definedName name="test11" localSheetId="10" hidden="1">{"LBO Summary",#N/A,FALSE,"Summary"}</definedName>
    <definedName name="test11" localSheetId="11" hidden="1">{"LBO Summary",#N/A,FALSE,"Summary"}</definedName>
    <definedName name="test11" localSheetId="15" hidden="1">{"LBO Summary",#N/A,FALSE,"Summary"}</definedName>
    <definedName name="test11" localSheetId="18" hidden="1">{"LBO Summary",#N/A,FALSE,"Summary"}</definedName>
    <definedName name="test11" localSheetId="27" hidden="1">{"LBO Summary",#N/A,FALSE,"Summary"}</definedName>
    <definedName name="test11" localSheetId="29" hidden="1">{"LBO Summary",#N/A,FALSE,"Summary"}</definedName>
    <definedName name="test11" localSheetId="32" hidden="1">{"LBO Summary",#N/A,FALSE,"Summary"}</definedName>
    <definedName name="test11" localSheetId="33" hidden="1">{"LBO Summary",#N/A,FALSE,"Summary"}</definedName>
    <definedName name="test11" hidden="1">{"LBO Summary",#N/A,FALSE,"Summary"}</definedName>
    <definedName name="test12" localSheetId="1" hidden="1">{"assumptions",#N/A,FALSE,"Scenario 1";"valuation",#N/A,FALSE,"Scenario 1"}</definedName>
    <definedName name="test12" localSheetId="0" hidden="1">{"assumptions",#N/A,FALSE,"Scenario 1";"valuation",#N/A,FALSE,"Scenario 1"}</definedName>
    <definedName name="test12" localSheetId="7" hidden="1">{"assumptions",#N/A,FALSE,"Scenario 1";"valuation",#N/A,FALSE,"Scenario 1"}</definedName>
    <definedName name="test12" localSheetId="5" hidden="1">{"assumptions",#N/A,FALSE,"Scenario 1";"valuation",#N/A,FALSE,"Scenario 1"}</definedName>
    <definedName name="test12" localSheetId="10" hidden="1">{"assumptions",#N/A,FALSE,"Scenario 1";"valuation",#N/A,FALSE,"Scenario 1"}</definedName>
    <definedName name="test12" localSheetId="11" hidden="1">{"assumptions",#N/A,FALSE,"Scenario 1";"valuation",#N/A,FALSE,"Scenario 1"}</definedName>
    <definedName name="test12" localSheetId="15" hidden="1">{"assumptions",#N/A,FALSE,"Scenario 1";"valuation",#N/A,FALSE,"Scenario 1"}</definedName>
    <definedName name="test12" localSheetId="18" hidden="1">{"assumptions",#N/A,FALSE,"Scenario 1";"valuation",#N/A,FALSE,"Scenario 1"}</definedName>
    <definedName name="test12" localSheetId="27" hidden="1">{"assumptions",#N/A,FALSE,"Scenario 1";"valuation",#N/A,FALSE,"Scenario 1"}</definedName>
    <definedName name="test12" localSheetId="29" hidden="1">{"assumptions",#N/A,FALSE,"Scenario 1";"valuation",#N/A,FALSE,"Scenario 1"}</definedName>
    <definedName name="test12" localSheetId="32" hidden="1">{"assumptions",#N/A,FALSE,"Scenario 1";"valuation",#N/A,FALSE,"Scenario 1"}</definedName>
    <definedName name="test12" localSheetId="33" hidden="1">{"assumptions",#N/A,FALSE,"Scenario 1";"valuation",#N/A,FALSE,"Scenario 1"}</definedName>
    <definedName name="test12" hidden="1">{"assumptions",#N/A,FALSE,"Scenario 1";"valuation",#N/A,FALSE,"Scenario 1"}</definedName>
    <definedName name="test13" localSheetId="1" hidden="1">{"LBO Summary",#N/A,FALSE,"Summary"}</definedName>
    <definedName name="test13" localSheetId="0" hidden="1">{"LBO Summary",#N/A,FALSE,"Summary"}</definedName>
    <definedName name="test13" localSheetId="7" hidden="1">{"LBO Summary",#N/A,FALSE,"Summary"}</definedName>
    <definedName name="test13" localSheetId="5" hidden="1">{"LBO Summary",#N/A,FALSE,"Summary"}</definedName>
    <definedName name="test13" localSheetId="10" hidden="1">{"LBO Summary",#N/A,FALSE,"Summary"}</definedName>
    <definedName name="test13" localSheetId="11" hidden="1">{"LBO Summary",#N/A,FALSE,"Summary"}</definedName>
    <definedName name="test13" localSheetId="15" hidden="1">{"LBO Summary",#N/A,FALSE,"Summary"}</definedName>
    <definedName name="test13" localSheetId="18" hidden="1">{"LBO Summary",#N/A,FALSE,"Summary"}</definedName>
    <definedName name="test13" localSheetId="27" hidden="1">{"LBO Summary",#N/A,FALSE,"Summary"}</definedName>
    <definedName name="test13" localSheetId="29" hidden="1">{"LBO Summary",#N/A,FALSE,"Summary"}</definedName>
    <definedName name="test13" localSheetId="32" hidden="1">{"LBO Summary",#N/A,FALSE,"Summary"}</definedName>
    <definedName name="test13" localSheetId="33" hidden="1">{"LBO Summary",#N/A,FALSE,"Summary"}</definedName>
    <definedName name="test13" hidden="1">{"LBO Summary",#N/A,FALSE,"Summary"}</definedName>
    <definedName name="test14" localSheetId="1" hidden="1">{"LBO Summary",#N/A,FALSE,"Summary";"Income Statement",#N/A,FALSE,"Model";"Cash Flow",#N/A,FALSE,"Model";"Balance Sheet",#N/A,FALSE,"Model";"Working Capital",#N/A,FALSE,"Model";"Pro Forma Balance Sheets",#N/A,FALSE,"PFBS";"Debt Balances",#N/A,FALSE,"Model";"Fee Schedules",#N/A,FALSE,"Model"}</definedName>
    <definedName name="test14" localSheetId="0" hidden="1">{"LBO Summary",#N/A,FALSE,"Summary";"Income Statement",#N/A,FALSE,"Model";"Cash Flow",#N/A,FALSE,"Model";"Balance Sheet",#N/A,FALSE,"Model";"Working Capital",#N/A,FALSE,"Model";"Pro Forma Balance Sheets",#N/A,FALSE,"PFBS";"Debt Balances",#N/A,FALSE,"Model";"Fee Schedules",#N/A,FALSE,"Model"}</definedName>
    <definedName name="test14" localSheetId="7" hidden="1">{"LBO Summary",#N/A,FALSE,"Summary";"Income Statement",#N/A,FALSE,"Model";"Cash Flow",#N/A,FALSE,"Model";"Balance Sheet",#N/A,FALSE,"Model";"Working Capital",#N/A,FALSE,"Model";"Pro Forma Balance Sheets",#N/A,FALSE,"PFBS";"Debt Balances",#N/A,FALSE,"Model";"Fee Schedules",#N/A,FALSE,"Model"}</definedName>
    <definedName name="test14" localSheetId="5" hidden="1">{"LBO Summary",#N/A,FALSE,"Summary";"Income Statement",#N/A,FALSE,"Model";"Cash Flow",#N/A,FALSE,"Model";"Balance Sheet",#N/A,FALSE,"Model";"Working Capital",#N/A,FALSE,"Model";"Pro Forma Balance Sheets",#N/A,FALSE,"PFBS";"Debt Balances",#N/A,FALSE,"Model";"Fee Schedules",#N/A,FALSE,"Model"}</definedName>
    <definedName name="test14" localSheetId="10" hidden="1">{"LBO Summary",#N/A,FALSE,"Summary";"Income Statement",#N/A,FALSE,"Model";"Cash Flow",#N/A,FALSE,"Model";"Balance Sheet",#N/A,FALSE,"Model";"Working Capital",#N/A,FALSE,"Model";"Pro Forma Balance Sheets",#N/A,FALSE,"PFBS";"Debt Balances",#N/A,FALSE,"Model";"Fee Schedules",#N/A,FALSE,"Model"}</definedName>
    <definedName name="test14" localSheetId="11" hidden="1">{"LBO Summary",#N/A,FALSE,"Summary";"Income Statement",#N/A,FALSE,"Model";"Cash Flow",#N/A,FALSE,"Model";"Balance Sheet",#N/A,FALSE,"Model";"Working Capital",#N/A,FALSE,"Model";"Pro Forma Balance Sheets",#N/A,FALSE,"PFBS";"Debt Balances",#N/A,FALSE,"Model";"Fee Schedules",#N/A,FALSE,"Model"}</definedName>
    <definedName name="test14" localSheetId="15" hidden="1">{"LBO Summary",#N/A,FALSE,"Summary";"Income Statement",#N/A,FALSE,"Model";"Cash Flow",#N/A,FALSE,"Model";"Balance Sheet",#N/A,FALSE,"Model";"Working Capital",#N/A,FALSE,"Model";"Pro Forma Balance Sheets",#N/A,FALSE,"PFBS";"Debt Balances",#N/A,FALSE,"Model";"Fee Schedules",#N/A,FALSE,"Model"}</definedName>
    <definedName name="test14" localSheetId="18" hidden="1">{"LBO Summary",#N/A,FALSE,"Summary";"Income Statement",#N/A,FALSE,"Model";"Cash Flow",#N/A,FALSE,"Model";"Balance Sheet",#N/A,FALSE,"Model";"Working Capital",#N/A,FALSE,"Model";"Pro Forma Balance Sheets",#N/A,FALSE,"PFBS";"Debt Balances",#N/A,FALSE,"Model";"Fee Schedules",#N/A,FALSE,"Model"}</definedName>
    <definedName name="test14" localSheetId="27" hidden="1">{"LBO Summary",#N/A,FALSE,"Summary";"Income Statement",#N/A,FALSE,"Model";"Cash Flow",#N/A,FALSE,"Model";"Balance Sheet",#N/A,FALSE,"Model";"Working Capital",#N/A,FALSE,"Model";"Pro Forma Balance Sheets",#N/A,FALSE,"PFBS";"Debt Balances",#N/A,FALSE,"Model";"Fee Schedules",#N/A,FALSE,"Model"}</definedName>
    <definedName name="test14" localSheetId="29" hidden="1">{"LBO Summary",#N/A,FALSE,"Summary";"Income Statement",#N/A,FALSE,"Model";"Cash Flow",#N/A,FALSE,"Model";"Balance Sheet",#N/A,FALSE,"Model";"Working Capital",#N/A,FALSE,"Model";"Pro Forma Balance Sheets",#N/A,FALSE,"PFBS";"Debt Balances",#N/A,FALSE,"Model";"Fee Schedules",#N/A,FALSE,"Model"}</definedName>
    <definedName name="test14" localSheetId="32" hidden="1">{"LBO Summary",#N/A,FALSE,"Summary";"Income Statement",#N/A,FALSE,"Model";"Cash Flow",#N/A,FALSE,"Model";"Balance Sheet",#N/A,FALSE,"Model";"Working Capital",#N/A,FALSE,"Model";"Pro Forma Balance Sheets",#N/A,FALSE,"PFBS";"Debt Balances",#N/A,FALSE,"Model";"Fee Schedules",#N/A,FALSE,"Model"}</definedName>
    <definedName name="test14" localSheetId="33"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1" hidden="1">{"LBO Summary",#N/A,FALSE,"Summary";"Income Statement",#N/A,FALSE,"Model";"Cash Flow",#N/A,FALSE,"Model";"Balance Sheet",#N/A,FALSE,"Model";"Working Capital",#N/A,FALSE,"Model";"Pro Forma Balance Sheets",#N/A,FALSE,"PFBS";"Debt Balances",#N/A,FALSE,"Model";"Fee Schedules",#N/A,FALSE,"Model"}</definedName>
    <definedName name="test15" localSheetId="0" hidden="1">{"LBO Summary",#N/A,FALSE,"Summary";"Income Statement",#N/A,FALSE,"Model";"Cash Flow",#N/A,FALSE,"Model";"Balance Sheet",#N/A,FALSE,"Model";"Working Capital",#N/A,FALSE,"Model";"Pro Forma Balance Sheets",#N/A,FALSE,"PFBS";"Debt Balances",#N/A,FALSE,"Model";"Fee Schedules",#N/A,FALSE,"Model"}</definedName>
    <definedName name="test15" localSheetId="7" hidden="1">{"LBO Summary",#N/A,FALSE,"Summary";"Income Statement",#N/A,FALSE,"Model";"Cash Flow",#N/A,FALSE,"Model";"Balance Sheet",#N/A,FALSE,"Model";"Working Capital",#N/A,FALSE,"Model";"Pro Forma Balance Sheets",#N/A,FALSE,"PFBS";"Debt Balances",#N/A,FALSE,"Model";"Fee Schedules",#N/A,FALSE,"Model"}</definedName>
    <definedName name="test15" localSheetId="5" hidden="1">{"LBO Summary",#N/A,FALSE,"Summary";"Income Statement",#N/A,FALSE,"Model";"Cash Flow",#N/A,FALSE,"Model";"Balance Sheet",#N/A,FALSE,"Model";"Working Capital",#N/A,FALSE,"Model";"Pro Forma Balance Sheets",#N/A,FALSE,"PFBS";"Debt Balances",#N/A,FALSE,"Model";"Fee Schedules",#N/A,FALSE,"Model"}</definedName>
    <definedName name="test15" localSheetId="10" hidden="1">{"LBO Summary",#N/A,FALSE,"Summary";"Income Statement",#N/A,FALSE,"Model";"Cash Flow",#N/A,FALSE,"Model";"Balance Sheet",#N/A,FALSE,"Model";"Working Capital",#N/A,FALSE,"Model";"Pro Forma Balance Sheets",#N/A,FALSE,"PFBS";"Debt Balances",#N/A,FALSE,"Model";"Fee Schedules",#N/A,FALSE,"Model"}</definedName>
    <definedName name="test15" localSheetId="11" hidden="1">{"LBO Summary",#N/A,FALSE,"Summary";"Income Statement",#N/A,FALSE,"Model";"Cash Flow",#N/A,FALSE,"Model";"Balance Sheet",#N/A,FALSE,"Model";"Working Capital",#N/A,FALSE,"Model";"Pro Forma Balance Sheets",#N/A,FALSE,"PFBS";"Debt Balances",#N/A,FALSE,"Model";"Fee Schedules",#N/A,FALSE,"Model"}</definedName>
    <definedName name="test15" localSheetId="15" hidden="1">{"LBO Summary",#N/A,FALSE,"Summary";"Income Statement",#N/A,FALSE,"Model";"Cash Flow",#N/A,FALSE,"Model";"Balance Sheet",#N/A,FALSE,"Model";"Working Capital",#N/A,FALSE,"Model";"Pro Forma Balance Sheets",#N/A,FALSE,"PFBS";"Debt Balances",#N/A,FALSE,"Model";"Fee Schedules",#N/A,FALSE,"Model"}</definedName>
    <definedName name="test15" localSheetId="18" hidden="1">{"LBO Summary",#N/A,FALSE,"Summary";"Income Statement",#N/A,FALSE,"Model";"Cash Flow",#N/A,FALSE,"Model";"Balance Sheet",#N/A,FALSE,"Model";"Working Capital",#N/A,FALSE,"Model";"Pro Forma Balance Sheets",#N/A,FALSE,"PFBS";"Debt Balances",#N/A,FALSE,"Model";"Fee Schedules",#N/A,FALSE,"Model"}</definedName>
    <definedName name="test15" localSheetId="27" hidden="1">{"LBO Summary",#N/A,FALSE,"Summary";"Income Statement",#N/A,FALSE,"Model";"Cash Flow",#N/A,FALSE,"Model";"Balance Sheet",#N/A,FALSE,"Model";"Working Capital",#N/A,FALSE,"Model";"Pro Forma Balance Sheets",#N/A,FALSE,"PFBS";"Debt Balances",#N/A,FALSE,"Model";"Fee Schedules",#N/A,FALSE,"Model"}</definedName>
    <definedName name="test15" localSheetId="29" hidden="1">{"LBO Summary",#N/A,FALSE,"Summary";"Income Statement",#N/A,FALSE,"Model";"Cash Flow",#N/A,FALSE,"Model";"Balance Sheet",#N/A,FALSE,"Model";"Working Capital",#N/A,FALSE,"Model";"Pro Forma Balance Sheets",#N/A,FALSE,"PFBS";"Debt Balances",#N/A,FALSE,"Model";"Fee Schedules",#N/A,FALSE,"Model"}</definedName>
    <definedName name="test15" localSheetId="32" hidden="1">{"LBO Summary",#N/A,FALSE,"Summary";"Income Statement",#N/A,FALSE,"Model";"Cash Flow",#N/A,FALSE,"Model";"Balance Sheet",#N/A,FALSE,"Model";"Working Capital",#N/A,FALSE,"Model";"Pro Forma Balance Sheets",#N/A,FALSE,"PFBS";"Debt Balances",#N/A,FALSE,"Model";"Fee Schedules",#N/A,FALSE,"Model"}</definedName>
    <definedName name="test15" localSheetId="33"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1" hidden="1">{"LBO Summary",#N/A,FALSE,"Summary";"Income Statement",#N/A,FALSE,"Model";"Cash Flow",#N/A,FALSE,"Model";"Balance Sheet",#N/A,FALSE,"Model";"Working Capital",#N/A,FALSE,"Model";"Pro Forma Balance Sheets",#N/A,FALSE,"PFBS";"Debt Balances",#N/A,FALSE,"Model";"Fee Schedules",#N/A,FALSE,"Model"}</definedName>
    <definedName name="test16" localSheetId="0" hidden="1">{"LBO Summary",#N/A,FALSE,"Summary";"Income Statement",#N/A,FALSE,"Model";"Cash Flow",#N/A,FALSE,"Model";"Balance Sheet",#N/A,FALSE,"Model";"Working Capital",#N/A,FALSE,"Model";"Pro Forma Balance Sheets",#N/A,FALSE,"PFBS";"Debt Balances",#N/A,FALSE,"Model";"Fee Schedules",#N/A,FALSE,"Model"}</definedName>
    <definedName name="test16" localSheetId="7" hidden="1">{"LBO Summary",#N/A,FALSE,"Summary";"Income Statement",#N/A,FALSE,"Model";"Cash Flow",#N/A,FALSE,"Model";"Balance Sheet",#N/A,FALSE,"Model";"Working Capital",#N/A,FALSE,"Model";"Pro Forma Balance Sheets",#N/A,FALSE,"PFBS";"Debt Balances",#N/A,FALSE,"Model";"Fee Schedules",#N/A,FALSE,"Model"}</definedName>
    <definedName name="test16" localSheetId="5" hidden="1">{"LBO Summary",#N/A,FALSE,"Summary";"Income Statement",#N/A,FALSE,"Model";"Cash Flow",#N/A,FALSE,"Model";"Balance Sheet",#N/A,FALSE,"Model";"Working Capital",#N/A,FALSE,"Model";"Pro Forma Balance Sheets",#N/A,FALSE,"PFBS";"Debt Balances",#N/A,FALSE,"Model";"Fee Schedules",#N/A,FALSE,"Model"}</definedName>
    <definedName name="test16" localSheetId="10" hidden="1">{"LBO Summary",#N/A,FALSE,"Summary";"Income Statement",#N/A,FALSE,"Model";"Cash Flow",#N/A,FALSE,"Model";"Balance Sheet",#N/A,FALSE,"Model";"Working Capital",#N/A,FALSE,"Model";"Pro Forma Balance Sheets",#N/A,FALSE,"PFBS";"Debt Balances",#N/A,FALSE,"Model";"Fee Schedules",#N/A,FALSE,"Model"}</definedName>
    <definedName name="test16" localSheetId="11" hidden="1">{"LBO Summary",#N/A,FALSE,"Summary";"Income Statement",#N/A,FALSE,"Model";"Cash Flow",#N/A,FALSE,"Model";"Balance Sheet",#N/A,FALSE,"Model";"Working Capital",#N/A,FALSE,"Model";"Pro Forma Balance Sheets",#N/A,FALSE,"PFBS";"Debt Balances",#N/A,FALSE,"Model";"Fee Schedules",#N/A,FALSE,"Model"}</definedName>
    <definedName name="test16" localSheetId="15" hidden="1">{"LBO Summary",#N/A,FALSE,"Summary";"Income Statement",#N/A,FALSE,"Model";"Cash Flow",#N/A,FALSE,"Model";"Balance Sheet",#N/A,FALSE,"Model";"Working Capital",#N/A,FALSE,"Model";"Pro Forma Balance Sheets",#N/A,FALSE,"PFBS";"Debt Balances",#N/A,FALSE,"Model";"Fee Schedules",#N/A,FALSE,"Model"}</definedName>
    <definedName name="test16" localSheetId="18" hidden="1">{"LBO Summary",#N/A,FALSE,"Summary";"Income Statement",#N/A,FALSE,"Model";"Cash Flow",#N/A,FALSE,"Model";"Balance Sheet",#N/A,FALSE,"Model";"Working Capital",#N/A,FALSE,"Model";"Pro Forma Balance Sheets",#N/A,FALSE,"PFBS";"Debt Balances",#N/A,FALSE,"Model";"Fee Schedules",#N/A,FALSE,"Model"}</definedName>
    <definedName name="test16" localSheetId="27" hidden="1">{"LBO Summary",#N/A,FALSE,"Summary";"Income Statement",#N/A,FALSE,"Model";"Cash Flow",#N/A,FALSE,"Model";"Balance Sheet",#N/A,FALSE,"Model";"Working Capital",#N/A,FALSE,"Model";"Pro Forma Balance Sheets",#N/A,FALSE,"PFBS";"Debt Balances",#N/A,FALSE,"Model";"Fee Schedules",#N/A,FALSE,"Model"}</definedName>
    <definedName name="test16" localSheetId="29" hidden="1">{"LBO Summary",#N/A,FALSE,"Summary";"Income Statement",#N/A,FALSE,"Model";"Cash Flow",#N/A,FALSE,"Model";"Balance Sheet",#N/A,FALSE,"Model";"Working Capital",#N/A,FALSE,"Model";"Pro Forma Balance Sheets",#N/A,FALSE,"PFBS";"Debt Balances",#N/A,FALSE,"Model";"Fee Schedules",#N/A,FALSE,"Model"}</definedName>
    <definedName name="test16" localSheetId="32" hidden="1">{"LBO Summary",#N/A,FALSE,"Summary";"Income Statement",#N/A,FALSE,"Model";"Cash Flow",#N/A,FALSE,"Model";"Balance Sheet",#N/A,FALSE,"Model";"Working Capital",#N/A,FALSE,"Model";"Pro Forma Balance Sheets",#N/A,FALSE,"PFBS";"Debt Balances",#N/A,FALSE,"Model";"Fee Schedules",#N/A,FALSE,"Model"}</definedName>
    <definedName name="test16" localSheetId="33"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 hidden="1">{"LBO Summary",#N/A,FALSE,"Summary"}</definedName>
    <definedName name="test2" localSheetId="0" hidden="1">{"LBO Summary",#N/A,FALSE,"Summary"}</definedName>
    <definedName name="test2" localSheetId="7" hidden="1">{"LBO Summary",#N/A,FALSE,"Summary"}</definedName>
    <definedName name="test2" localSheetId="5" hidden="1">{"LBO Summary",#N/A,FALSE,"Summary"}</definedName>
    <definedName name="test2" localSheetId="10" hidden="1">{"LBO Summary",#N/A,FALSE,"Summary"}</definedName>
    <definedName name="test2" localSheetId="11" hidden="1">{"LBO Summary",#N/A,FALSE,"Summary"}</definedName>
    <definedName name="test2" localSheetId="15" hidden="1">{"LBO Summary",#N/A,FALSE,"Summary"}</definedName>
    <definedName name="test2" localSheetId="18" hidden="1">{"LBO Summary",#N/A,FALSE,"Summary"}</definedName>
    <definedName name="test2" localSheetId="27" hidden="1">{"LBO Summary",#N/A,FALSE,"Summary"}</definedName>
    <definedName name="test2" localSheetId="29" hidden="1">{"LBO Summary",#N/A,FALSE,"Summary"}</definedName>
    <definedName name="test2" localSheetId="32" hidden="1">{"LBO Summary",#N/A,FALSE,"Summary"}</definedName>
    <definedName name="test2" localSheetId="33" hidden="1">{"LBO Summary",#N/A,FALSE,"Summary"}</definedName>
    <definedName name="test2" hidden="1">{"LBO Summary",#N/A,FALSE,"Summary"}</definedName>
    <definedName name="test4" localSheetId="1" hidden="1">{"assumptions",#N/A,FALSE,"Scenario 1";"valuation",#N/A,FALSE,"Scenario 1"}</definedName>
    <definedName name="test4" localSheetId="0" hidden="1">{"assumptions",#N/A,FALSE,"Scenario 1";"valuation",#N/A,FALSE,"Scenario 1"}</definedName>
    <definedName name="test4" localSheetId="7" hidden="1">{"assumptions",#N/A,FALSE,"Scenario 1";"valuation",#N/A,FALSE,"Scenario 1"}</definedName>
    <definedName name="test4" localSheetId="5" hidden="1">{"assumptions",#N/A,FALSE,"Scenario 1";"valuation",#N/A,FALSE,"Scenario 1"}</definedName>
    <definedName name="test4" localSheetId="10" hidden="1">{"assumptions",#N/A,FALSE,"Scenario 1";"valuation",#N/A,FALSE,"Scenario 1"}</definedName>
    <definedName name="test4" localSheetId="11" hidden="1">{"assumptions",#N/A,FALSE,"Scenario 1";"valuation",#N/A,FALSE,"Scenario 1"}</definedName>
    <definedName name="test4" localSheetId="15" hidden="1">{"assumptions",#N/A,FALSE,"Scenario 1";"valuation",#N/A,FALSE,"Scenario 1"}</definedName>
    <definedName name="test4" localSheetId="18" hidden="1">{"assumptions",#N/A,FALSE,"Scenario 1";"valuation",#N/A,FALSE,"Scenario 1"}</definedName>
    <definedName name="test4" localSheetId="27" hidden="1">{"assumptions",#N/A,FALSE,"Scenario 1";"valuation",#N/A,FALSE,"Scenario 1"}</definedName>
    <definedName name="test4" localSheetId="29" hidden="1">{"assumptions",#N/A,FALSE,"Scenario 1";"valuation",#N/A,FALSE,"Scenario 1"}</definedName>
    <definedName name="test4" localSheetId="32" hidden="1">{"assumptions",#N/A,FALSE,"Scenario 1";"valuation",#N/A,FALSE,"Scenario 1"}</definedName>
    <definedName name="test4" localSheetId="33" hidden="1">{"assumptions",#N/A,FALSE,"Scenario 1";"valuation",#N/A,FALSE,"Scenario 1"}</definedName>
    <definedName name="test4" hidden="1">{"assumptions",#N/A,FALSE,"Scenario 1";"valuation",#N/A,FALSE,"Scenario 1"}</definedName>
    <definedName name="test6" localSheetId="1" hidden="1">{"LBO Summary",#N/A,FALSE,"Summary"}</definedName>
    <definedName name="test6" localSheetId="0" hidden="1">{"LBO Summary",#N/A,FALSE,"Summary"}</definedName>
    <definedName name="test6" localSheetId="7" hidden="1">{"LBO Summary",#N/A,FALSE,"Summary"}</definedName>
    <definedName name="test6" localSheetId="5" hidden="1">{"LBO Summary",#N/A,FALSE,"Summary"}</definedName>
    <definedName name="test6" localSheetId="10" hidden="1">{"LBO Summary",#N/A,FALSE,"Summary"}</definedName>
    <definedName name="test6" localSheetId="11" hidden="1">{"LBO Summary",#N/A,FALSE,"Summary"}</definedName>
    <definedName name="test6" localSheetId="15" hidden="1">{"LBO Summary",#N/A,FALSE,"Summary"}</definedName>
    <definedName name="test6" localSheetId="18" hidden="1">{"LBO Summary",#N/A,FALSE,"Summary"}</definedName>
    <definedName name="test6" localSheetId="27" hidden="1">{"LBO Summary",#N/A,FALSE,"Summary"}</definedName>
    <definedName name="test6" localSheetId="29" hidden="1">{"LBO Summary",#N/A,FALSE,"Summary"}</definedName>
    <definedName name="test6" localSheetId="32" hidden="1">{"LBO Summary",#N/A,FALSE,"Summary"}</definedName>
    <definedName name="test6" localSheetId="33" hidden="1">{"LBO Summary",#N/A,FALSE,"Summary"}</definedName>
    <definedName name="test6" hidden="1">{"LBO Summary",#N/A,FALSE,"Summary"}</definedName>
    <definedName name="TextRefCopyRangeCount" hidden="1">1</definedName>
    <definedName name="THREE">#N/A</definedName>
    <definedName name="TKW" localSheetId="5">'[8]C. Input'!$F$330</definedName>
    <definedName name="TKW">'[5]C. Input'!$F$330</definedName>
    <definedName name="TKWS" localSheetId="5">'[8]C. Input'!#REF!</definedName>
    <definedName name="TKWS" localSheetId="15">'[5]C. Input'!#REF!</definedName>
    <definedName name="TKWS">'[5]C. Input'!#REF!</definedName>
    <definedName name="TL" localSheetId="5">'[8]C. Input'!$F$178</definedName>
    <definedName name="TL">'[5]C. Input'!$F$178</definedName>
    <definedName name="TL_561" localSheetId="5">'[8]C. Input'!#REF!</definedName>
    <definedName name="TL_561" localSheetId="15">'[5]C. Input'!#REF!</definedName>
    <definedName name="TL_561">'[5]C. Input'!#REF!</definedName>
    <definedName name="TLR_TST" localSheetId="5">'[8]A.2 PTP'!$P$91</definedName>
    <definedName name="TLR_TST">'[5]A.2 PTP'!$P$91</definedName>
    <definedName name="Toggle" localSheetId="5">'[6]Appendix A'!$H$7</definedName>
    <definedName name="Toggle">'[7]Appendix A'!$H$7</definedName>
    <definedName name="TOM" localSheetId="5">'[8]C. Input'!$F$270</definedName>
    <definedName name="TOM">'[5]C. Input'!$F$270</definedName>
    <definedName name="TOM_EAI" localSheetId="5">'[8]C. Input'!#REF!</definedName>
    <definedName name="TOM_EAI" localSheetId="15">'[5]C. Input'!#REF!</definedName>
    <definedName name="TOM_EAI">'[5]C. Input'!#REF!</definedName>
    <definedName name="TOM_EGSI" localSheetId="5">'[8]C. Input'!#REF!</definedName>
    <definedName name="TOM_EGSI" localSheetId="15">'[5]C. Input'!#REF!</definedName>
    <definedName name="TOM_EGSI">'[5]C. Input'!#REF!</definedName>
    <definedName name="TOM_ELI" localSheetId="15">'[5]C. Input'!#REF!</definedName>
    <definedName name="TOM_ELI">'[5]C. Input'!#REF!</definedName>
    <definedName name="TOM_EMI" localSheetId="15">'[5]C. Input'!#REF!</definedName>
    <definedName name="TOM_EMI">'[5]C. Input'!#REF!</definedName>
    <definedName name="TOM_ENOI" localSheetId="15">'[5]C. Input'!#REF!</definedName>
    <definedName name="TOM_ENOI">'[5]C. Input'!#REF!</definedName>
    <definedName name="TOM_ICTC" localSheetId="15">'[5]C. Input'!#REF!</definedName>
    <definedName name="TOM_ICTC">'[5]C. Input'!#REF!</definedName>
    <definedName name="TOTAL" localSheetId="15">#REF!</definedName>
    <definedName name="TOTAL">#REF!</definedName>
    <definedName name="TP" localSheetId="5">'[18]MISO Cover'!$I$193</definedName>
    <definedName name="TP" localSheetId="15">'[19]MISO Cover'!$I$194</definedName>
    <definedName name="TP">'MISO Cover'!$I$193</definedName>
    <definedName name="TPLT" localSheetId="5">'[8]C. Input'!$F$161</definedName>
    <definedName name="TPLT">'[5]C. Input'!$F$161</definedName>
    <definedName name="TPLT_ITC" localSheetId="5">'[5]C. Input'!#REF!</definedName>
    <definedName name="TPLT_ITC" localSheetId="15">'[5]C. Input'!#REF!</definedName>
    <definedName name="TPLT_ITC">'[5]C. Input'!#REF!</definedName>
    <definedName name="TPLTXS" localSheetId="5">'[8]C. Input'!$F$164</definedName>
    <definedName name="TPLTXS">'[5]C. Input'!$F$164</definedName>
    <definedName name="TPR_TST" localSheetId="5">'[8]A.2 PTP'!$P$75</definedName>
    <definedName name="TPR_TST">'[5]A.2 PTP'!$P$75</definedName>
    <definedName name="TRB" localSheetId="5">'[8]A.2 PTP'!$P$165</definedName>
    <definedName name="TRB">'[5]A.2 PTP'!$P$165</definedName>
    <definedName name="TREV" localSheetId="5">'[8]C. Input'!$F$287</definedName>
    <definedName name="TREV">'[5]C. Input'!$F$287</definedName>
    <definedName name="True_up" localSheetId="5">'[6]Appendix A'!$H$6</definedName>
    <definedName name="True_up">'[7]Appendix A'!$H$6</definedName>
    <definedName name="TWELVE">#N/A</definedName>
    <definedName name="TWO">#N/A</definedName>
    <definedName name="TX" localSheetId="5">'[8]A.2 PTP'!$P$31</definedName>
    <definedName name="TX">'[5]A.2 PTP'!$P$31</definedName>
    <definedName name="TXO" localSheetId="5">'[8]C. Input'!$F$215</definedName>
    <definedName name="TXO">'[5]C. Input'!$F$215</definedName>
    <definedName name="TXP_TST" localSheetId="5">'[8]A.2 PTP'!$P$212</definedName>
    <definedName name="TXP_TST">'[5]A.2 PTP'!$P$212</definedName>
    <definedName name="TYE">#N/A</definedName>
    <definedName name="TYE_1">#N/A</definedName>
    <definedName name="TYPETextLen" localSheetId="15">#REF!</definedName>
    <definedName name="TYPETextLen">#REF!</definedName>
    <definedName name="Underground_Storage_Activity" localSheetId="15">#REF!</definedName>
    <definedName name="Underground_Storage_Activity">#REF!</definedName>
    <definedName name="URA" localSheetId="5">'[8]C. Input'!$F$337</definedName>
    <definedName name="URA">'[5]C. Input'!$F$337</definedName>
    <definedName name="Value" localSheetId="1" hidden="1">{"assumptions",#N/A,FALSE,"Scenario 1";"valuation",#N/A,FALSE,"Scenario 1"}</definedName>
    <definedName name="Value" localSheetId="0" hidden="1">{"assumptions",#N/A,FALSE,"Scenario 1";"valuation",#N/A,FALSE,"Scenario 1"}</definedName>
    <definedName name="Value" localSheetId="7" hidden="1">{"assumptions",#N/A,FALSE,"Scenario 1";"valuation",#N/A,FALSE,"Scenario 1"}</definedName>
    <definedName name="Value" localSheetId="5" hidden="1">{"assumptions",#N/A,FALSE,"Scenario 1";"valuation",#N/A,FALSE,"Scenario 1"}</definedName>
    <definedName name="Value" localSheetId="10" hidden="1">{"assumptions",#N/A,FALSE,"Scenario 1";"valuation",#N/A,FALSE,"Scenario 1"}</definedName>
    <definedName name="Value" localSheetId="11" hidden="1">{"assumptions",#N/A,FALSE,"Scenario 1";"valuation",#N/A,FALSE,"Scenario 1"}</definedName>
    <definedName name="Value" localSheetId="15" hidden="1">{"assumptions",#N/A,FALSE,"Scenario 1";"valuation",#N/A,FALSE,"Scenario 1"}</definedName>
    <definedName name="Value" localSheetId="18" hidden="1">{"assumptions",#N/A,FALSE,"Scenario 1";"valuation",#N/A,FALSE,"Scenario 1"}</definedName>
    <definedName name="Value" localSheetId="27" hidden="1">{"assumptions",#N/A,FALSE,"Scenario 1";"valuation",#N/A,FALSE,"Scenario 1"}</definedName>
    <definedName name="Value" localSheetId="29" hidden="1">{"assumptions",#N/A,FALSE,"Scenario 1";"valuation",#N/A,FALSE,"Scenario 1"}</definedName>
    <definedName name="Value" localSheetId="32" hidden="1">{"assumptions",#N/A,FALSE,"Scenario 1";"valuation",#N/A,FALSE,"Scenario 1"}</definedName>
    <definedName name="Value" localSheetId="33" hidden="1">{"assumptions",#N/A,FALSE,"Scenario 1";"valuation",#N/A,FALSE,"Scenario 1"}</definedName>
    <definedName name="Value" hidden="1">{"assumptions",#N/A,FALSE,"Scenario 1";"valuation",#N/A,FALSE,"Scenario 1"}</definedName>
    <definedName name="VSPAE" localSheetId="15">'[5]C. Input'!#REF!</definedName>
    <definedName name="VSPAE">'[5]C. Input'!#REF!</definedName>
    <definedName name="VSPRB" localSheetId="15">'[5]C. Input'!#REF!</definedName>
    <definedName name="VSPRB">'[5]C. Input'!#REF!</definedName>
    <definedName name="WELL_HEAD_ESTIMATES" localSheetId="15">#REF!</definedName>
    <definedName name="WELL_HEAD_ESTIMATES">#REF!</definedName>
    <definedName name="WFTSR" localSheetId="5">'[8]A.2 PTP'!$P$282</definedName>
    <definedName name="WFTSR">'[5]A.2 PTP'!$P$282</definedName>
    <definedName name="WITHSTD" localSheetId="15">#REF!</definedName>
    <definedName name="WITHSTD">#REF!</definedName>
    <definedName name="wrn.All._.Pages." localSheetId="1" hidden="1">{#N/A,#N/A,FALSE,"Cover";#N/A,#N/A,FALSE,"Lead Sheet";#N/A,#N/A,FALSE,"T-Accounts";#N/A,#N/A,FALSE,"Ins &amp; Prem ActualEstimates"}</definedName>
    <definedName name="wrn.All._.Pages." localSheetId="0" hidden="1">{#N/A,#N/A,FALSE,"Cover";#N/A,#N/A,FALSE,"Lead Sheet";#N/A,#N/A,FALSE,"T-Accounts";#N/A,#N/A,FALSE,"Ins &amp; Prem ActualEstimates"}</definedName>
    <definedName name="wrn.All._.Pages." localSheetId="7" hidden="1">{#N/A,#N/A,FALSE,"Cover";#N/A,#N/A,FALSE,"Lead Sheet";#N/A,#N/A,FALSE,"T-Accounts";#N/A,#N/A,FALSE,"Ins &amp; Prem ActualEstimates"}</definedName>
    <definedName name="wrn.All._.Pages." localSheetId="5"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15" hidden="1">{#N/A,#N/A,FALSE,"Cover";#N/A,#N/A,FALSE,"Lead Sheet";#N/A,#N/A,FALSE,"T-Accounts";#N/A,#N/A,FALSE,"Ins &amp; Prem ActualEstimates"}</definedName>
    <definedName name="wrn.All._.Pages." localSheetId="27" hidden="1">{#N/A,#N/A,FALSE,"Cover";#N/A,#N/A,FALSE,"Lead Sheet";#N/A,#N/A,FALSE,"T-Accounts";#N/A,#N/A,FALSE,"Ins &amp; Prem ActualEstimates"}</definedName>
    <definedName name="wrn.All._.Pages." localSheetId="32" hidden="1">{#N/A,#N/A,FALSE,"Cover";#N/A,#N/A,FALSE,"Lead Sheet";#N/A,#N/A,FALSE,"T-Accounts";#N/A,#N/A,FALSE,"Ins &amp; Prem ActualEstimates"}</definedName>
    <definedName name="wrn.All._.Pages." localSheetId="33"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1" hidden="1">{#N/A,#N/A,FALSE,"LOCAL.XLS"}</definedName>
    <definedName name="wrn.ARKANSAS." localSheetId="0" hidden="1">{#N/A,#N/A,FALSE,"LOCAL.XLS"}</definedName>
    <definedName name="wrn.ARKANSAS." localSheetId="7" hidden="1">{#N/A,#N/A,FALSE,"LOCAL.XLS"}</definedName>
    <definedName name="wrn.ARKANSAS." localSheetId="5" hidden="1">{#N/A,#N/A,FALSE,"LOCAL.XLS"}</definedName>
    <definedName name="wrn.ARKANSAS." localSheetId="10" hidden="1">{#N/A,#N/A,FALSE,"LOCAL.XLS"}</definedName>
    <definedName name="wrn.ARKANSAS." localSheetId="11" hidden="1">{#N/A,#N/A,FALSE,"LOCAL.XLS"}</definedName>
    <definedName name="wrn.ARKANSAS." localSheetId="15" hidden="1">{#N/A,#N/A,FALSE,"LOCAL.XLS"}</definedName>
    <definedName name="wrn.ARKANSAS." localSheetId="18" hidden="1">{#N/A,#N/A,FALSE,"LOCAL.XLS"}</definedName>
    <definedName name="wrn.ARKANSAS." localSheetId="27" hidden="1">{#N/A,#N/A,FALSE,"LOCAL.XLS"}</definedName>
    <definedName name="wrn.ARKANSAS." localSheetId="29" hidden="1">{#N/A,#N/A,FALSE,"LOCAL.XLS"}</definedName>
    <definedName name="wrn.ARKANSAS." localSheetId="32" hidden="1">{#N/A,#N/A,FALSE,"LOCAL.XLS"}</definedName>
    <definedName name="wrn.ARKANSAS." localSheetId="33" hidden="1">{#N/A,#N/A,FALSE,"LOCAL.XLS"}</definedName>
    <definedName name="wrn.ARKANSAS." hidden="1">{#N/A,#N/A,FALSE,"LOCAL.XLS"}</definedName>
    <definedName name="wrn.CP._.Demand." localSheetId="1" hidden="1">{"Retail CP pg1",#N/A,FALSE,"FACTOR3";"Retail CP pg2",#N/A,FALSE,"FACTOR3";"Retail CP pg3",#N/A,FALSE,"FACTOR3"}</definedName>
    <definedName name="wrn.CP._.Demand." localSheetId="0" hidden="1">{"Retail CP pg1",#N/A,FALSE,"FACTOR3";"Retail CP pg2",#N/A,FALSE,"FACTOR3";"Retail CP pg3",#N/A,FALSE,"FACTOR3"}</definedName>
    <definedName name="wrn.CP._.Demand." localSheetId="7" hidden="1">{"Retail CP pg1",#N/A,FALSE,"FACTOR3";"Retail CP pg2",#N/A,FALSE,"FACTOR3";"Retail CP pg3",#N/A,FALSE,"FACTOR3"}</definedName>
    <definedName name="wrn.CP._.Demand." localSheetId="5" hidden="1">{"Retail CP pg1",#N/A,FALSE,"FACTOR3";"Retail CP pg2",#N/A,FALSE,"FACTOR3";"Retail CP pg3",#N/A,FALSE,"FACTOR3"}</definedName>
    <definedName name="wrn.CP._.Demand." localSheetId="10" hidden="1">{"Retail CP pg1",#N/A,FALSE,"FACTOR3";"Retail CP pg2",#N/A,FALSE,"FACTOR3";"Retail CP pg3",#N/A,FALSE,"FACTOR3"}</definedName>
    <definedName name="wrn.CP._.Demand." localSheetId="11"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8" hidden="1">{"Retail CP pg1",#N/A,FALSE,"FACTOR3";"Retail CP pg2",#N/A,FALSE,"FACTOR3";"Retail CP pg3",#N/A,FALSE,"FACTOR3"}</definedName>
    <definedName name="wrn.CP._.Demand." localSheetId="22" hidden="1">{"Retail CP pg1",#N/A,FALSE,"FACTOR3";"Retail CP pg2",#N/A,FALSE,"FACTOR3";"Retail CP pg3",#N/A,FALSE,"FACTOR3"}</definedName>
    <definedName name="wrn.CP._.Demand." localSheetId="26" hidden="1">{"Retail CP pg1",#N/A,FALSE,"FACTOR3";"Retail CP pg2",#N/A,FALSE,"FACTOR3";"Retail CP pg3",#N/A,FALSE,"FACTOR3"}</definedName>
    <definedName name="wrn.CP._.Demand." localSheetId="27" hidden="1">{"Retail CP pg1",#N/A,FALSE,"FACTOR3";"Retail CP pg2",#N/A,FALSE,"FACTOR3";"Retail CP pg3",#N/A,FALSE,"FACTOR3"}</definedName>
    <definedName name="wrn.CP._.Demand." localSheetId="32" hidden="1">{"Retail CP pg1",#N/A,FALSE,"FACTOR3";"Retail CP pg2",#N/A,FALSE,"FACTOR3";"Retail CP pg3",#N/A,FALSE,"FACTOR3"}</definedName>
    <definedName name="wrn.CP._.Demand." localSheetId="33" hidden="1">{"Retail CP pg1",#N/A,FALSE,"FACTOR3";"Retail CP pg2",#N/A,FALSE,"FACTOR3";"Retail CP pg3",#N/A,FALSE,"FACTOR3"}</definedName>
    <definedName name="wrn.CP._.Demand." hidden="1">{"Retail CP pg1",#N/A,FALSE,"FACTOR3";"Retail CP pg2",#N/A,FALSE,"FACTOR3";"Retail CP pg3",#N/A,FALSE,"FACTOR3"}</definedName>
    <definedName name="wrn.CP._.Demand2." localSheetId="1" hidden="1">{"Retail CP pg1",#N/A,FALSE,"FACTOR3";"Retail CP pg2",#N/A,FALSE,"FACTOR3";"Retail CP pg3",#N/A,FALSE,"FACTOR3"}</definedName>
    <definedName name="wrn.CP._.Demand2." localSheetId="0" hidden="1">{"Retail CP pg1",#N/A,FALSE,"FACTOR3";"Retail CP pg2",#N/A,FALSE,"FACTOR3";"Retail CP pg3",#N/A,FALSE,"FACTOR3"}</definedName>
    <definedName name="wrn.CP._.Demand2." localSheetId="7" hidden="1">{"Retail CP pg1",#N/A,FALSE,"FACTOR3";"Retail CP pg2",#N/A,FALSE,"FACTOR3";"Retail CP pg3",#N/A,FALSE,"FACTOR3"}</definedName>
    <definedName name="wrn.CP._.Demand2." localSheetId="5" hidden="1">{"Retail CP pg1",#N/A,FALSE,"FACTOR3";"Retail CP pg2",#N/A,FALSE,"FACTOR3";"Retail CP pg3",#N/A,FALSE,"FACTOR3"}</definedName>
    <definedName name="wrn.CP._.Demand2." localSheetId="10" hidden="1">{"Retail CP pg1",#N/A,FALSE,"FACTOR3";"Retail CP pg2",#N/A,FALSE,"FACTOR3";"Retail CP pg3",#N/A,FALSE,"FACTOR3"}</definedName>
    <definedName name="wrn.CP._.Demand2." localSheetId="11"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8" hidden="1">{"Retail CP pg1",#N/A,FALSE,"FACTOR3";"Retail CP pg2",#N/A,FALSE,"FACTOR3";"Retail CP pg3",#N/A,FALSE,"FACTOR3"}</definedName>
    <definedName name="wrn.CP._.Demand2." localSheetId="22" hidden="1">{"Retail CP pg1",#N/A,FALSE,"FACTOR3";"Retail CP pg2",#N/A,FALSE,"FACTOR3";"Retail CP pg3",#N/A,FALSE,"FACTOR3"}</definedName>
    <definedName name="wrn.CP._.Demand2." localSheetId="26" hidden="1">{"Retail CP pg1",#N/A,FALSE,"FACTOR3";"Retail CP pg2",#N/A,FALSE,"FACTOR3";"Retail CP pg3",#N/A,FALSE,"FACTOR3"}</definedName>
    <definedName name="wrn.CP._.Demand2." localSheetId="27" hidden="1">{"Retail CP pg1",#N/A,FALSE,"FACTOR3";"Retail CP pg2",#N/A,FALSE,"FACTOR3";"Retail CP pg3",#N/A,FALSE,"FACTOR3"}</definedName>
    <definedName name="wrn.CP._.Demand2." localSheetId="32" hidden="1">{"Retail CP pg1",#N/A,FALSE,"FACTOR3";"Retail CP pg2",#N/A,FALSE,"FACTOR3";"Retail CP pg3",#N/A,FALSE,"FACTOR3"}</definedName>
    <definedName name="wrn.CP._.Demand2." localSheetId="33" hidden="1">{"Retail CP pg1",#N/A,FALSE,"FACTOR3";"Retail CP pg2",#N/A,FALSE,"FACTOR3";"Retail CP pg3",#N/A,FALSE,"FACTOR3"}</definedName>
    <definedName name="wrn.CP._.Demand2." hidden="1">{"Retail CP pg1",#N/A,FALSE,"FACTOR3";"Retail CP pg2",#N/A,FALSE,"FACTOR3";"Retail CP pg3",#N/A,FALSE,"FACTOR3"}</definedName>
    <definedName name="wrn.Factors._.Tab._.10." localSheetId="1" hidden="1">{"Factors Pages 1-2",#N/A,FALSE,"Factors";"Factors Page 3",#N/A,FALSE,"Factors";"Factors Page 4",#N/A,FALSE,"Factors";"Factors Page 5",#N/A,FALSE,"Factors";"Factors Pages 8-27",#N/A,FALSE,"Factors"}</definedName>
    <definedName name="wrn.Factors._.Tab._.10." localSheetId="0" hidden="1">{"Factors Pages 1-2",#N/A,FALSE,"Factors";"Factors Page 3",#N/A,FALSE,"Factors";"Factors Page 4",#N/A,FALSE,"Factors";"Factors Page 5",#N/A,FALSE,"Factors";"Factors Pages 8-27",#N/A,FALSE,"Factors"}</definedName>
    <definedName name="wrn.Factors._.Tab._.10." localSheetId="7" hidden="1">{"Factors Pages 1-2",#N/A,FALSE,"Factors";"Factors Page 3",#N/A,FALSE,"Factors";"Factors Page 4",#N/A,FALSE,"Factors";"Factors Page 5",#N/A,FALSE,"Factors";"Factors Pages 8-27",#N/A,FALSE,"Factors"}</definedName>
    <definedName name="wrn.Factors._.Tab._.10." localSheetId="5"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27" hidden="1">{"Factors Pages 1-2",#N/A,FALSE,"Factors";"Factors Page 3",#N/A,FALSE,"Factors";"Factors Page 4",#N/A,FALSE,"Factors";"Factors Page 5",#N/A,FALSE,"Factors";"Factors Pages 8-27",#N/A,FALSE,"Factors"}</definedName>
    <definedName name="wrn.Factors._.Tab._.10." localSheetId="32" hidden="1">{"Factors Pages 1-2",#N/A,FALSE,"Factors";"Factors Page 3",#N/A,FALSE,"Factors";"Factors Page 4",#N/A,FALSE,"Factors";"Factors Page 5",#N/A,FALSE,"Factors";"Factors Pages 8-27",#N/A,FALSE,"Factors"}</definedName>
    <definedName name="wrn.Factors._.Tab._.10." localSheetId="3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IPO._.Valuation." localSheetId="1" hidden="1">{"assumptions",#N/A,FALSE,"Scenario 1";"valuation",#N/A,FALSE,"Scenario 1"}</definedName>
    <definedName name="wrn.IPO._.Valuation." localSheetId="0" hidden="1">{"assumptions",#N/A,FALSE,"Scenario 1";"valuation",#N/A,FALSE,"Scenario 1"}</definedName>
    <definedName name="wrn.IPO._.Valuation." localSheetId="7" hidden="1">{"assumptions",#N/A,FALSE,"Scenario 1";"valuation",#N/A,FALSE,"Scenario 1"}</definedName>
    <definedName name="wrn.IPO._.Valuation." localSheetId="5" hidden="1">{"assumptions",#N/A,FALSE,"Scenario 1";"valuation",#N/A,FALSE,"Scenario 1"}</definedName>
    <definedName name="wrn.IPO._.Valuation." localSheetId="10" hidden="1">{"assumptions",#N/A,FALSE,"Scenario 1";"valuation",#N/A,FALSE,"Scenario 1"}</definedName>
    <definedName name="wrn.IPO._.Valuation." localSheetId="11" hidden="1">{"assumptions",#N/A,FALSE,"Scenario 1";"valuation",#N/A,FALSE,"Scenario 1"}</definedName>
    <definedName name="wrn.IPO._.Valuation." localSheetId="15" hidden="1">{"assumptions",#N/A,FALSE,"Scenario 1";"valuation",#N/A,FALSE,"Scenario 1"}</definedName>
    <definedName name="wrn.IPO._.Valuation." localSheetId="18" hidden="1">{"assumptions",#N/A,FALSE,"Scenario 1";"valuation",#N/A,FALSE,"Scenario 1"}</definedName>
    <definedName name="wrn.IPO._.Valuation." localSheetId="27" hidden="1">{"assumptions",#N/A,FALSE,"Scenario 1";"valuation",#N/A,FALSE,"Scenario 1"}</definedName>
    <definedName name="wrn.IPO._.Valuation." localSheetId="29" hidden="1">{"assumptions",#N/A,FALSE,"Scenario 1";"valuation",#N/A,FALSE,"Scenario 1"}</definedName>
    <definedName name="wrn.IPO._.Valuation." localSheetId="32" hidden="1">{"assumptions",#N/A,FALSE,"Scenario 1";"valuation",#N/A,FALSE,"Scenario 1"}</definedName>
    <definedName name="wrn.IPO._.Valuation." localSheetId="33" hidden="1">{"assumptions",#N/A,FALSE,"Scenario 1";"valuation",#N/A,FALSE,"Scenario 1"}</definedName>
    <definedName name="wrn.IPO._.Valuation." hidden="1">{"assumptions",#N/A,FALSE,"Scenario 1";"valuation",#N/A,FALSE,"Scenario 1"}</definedName>
    <definedName name="wrn.LBO._.Summary." localSheetId="1" hidden="1">{"LBO Summary",#N/A,FALSE,"Summary"}</definedName>
    <definedName name="wrn.LBO._.Summary." localSheetId="0" hidden="1">{"LBO Summary",#N/A,FALSE,"Summary"}</definedName>
    <definedName name="wrn.LBO._.Summary." localSheetId="7" hidden="1">{"LBO Summary",#N/A,FALSE,"Summary"}</definedName>
    <definedName name="wrn.LBO._.Summary." localSheetId="5" hidden="1">{"LBO Summary",#N/A,FALSE,"Summary"}</definedName>
    <definedName name="wrn.LBO._.Summary." localSheetId="10" hidden="1">{"LBO Summary",#N/A,FALSE,"Summary"}</definedName>
    <definedName name="wrn.LBO._.Summary." localSheetId="11" hidden="1">{"LBO Summary",#N/A,FALSE,"Summary"}</definedName>
    <definedName name="wrn.LBO._.Summary." localSheetId="15" hidden="1">{"LBO Summary",#N/A,FALSE,"Summary"}</definedName>
    <definedName name="wrn.LBO._.Summary." localSheetId="18" hidden="1">{"LBO Summary",#N/A,FALSE,"Summary"}</definedName>
    <definedName name="wrn.LBO._.Summary." localSheetId="27" hidden="1">{"LBO Summary",#N/A,FALSE,"Summary"}</definedName>
    <definedName name="wrn.LBO._.Summary." localSheetId="29" hidden="1">{"LBO Summary",#N/A,FALSE,"Summary"}</definedName>
    <definedName name="wrn.LBO._.Summary." localSheetId="32" hidden="1">{"LBO Summary",#N/A,FALSE,"Summary"}</definedName>
    <definedName name="wrn.LBO._.Summary." localSheetId="33" hidden="1">{"LBO Summary",#N/A,FALSE,"Summary"}</definedName>
    <definedName name="wrn.LBO._.Summary." hidden="1">{"LBO Summary",#N/A,FALSE,"Summary"}</definedName>
    <definedName name="wrn.LOUISIANA." localSheetId="1" hidden="1">{#N/A,#N/A,FALSE,"LOCAL.XLS"}</definedName>
    <definedName name="wrn.LOUISIANA." localSheetId="0" hidden="1">{#N/A,#N/A,FALSE,"LOCAL.XLS"}</definedName>
    <definedName name="wrn.LOUISIANA." localSheetId="7" hidden="1">{#N/A,#N/A,FALSE,"LOCAL.XLS"}</definedName>
    <definedName name="wrn.LOUISIANA." localSheetId="5" hidden="1">{#N/A,#N/A,FALSE,"LOCAL.XLS"}</definedName>
    <definedName name="wrn.LOUISIANA." localSheetId="10" hidden="1">{#N/A,#N/A,FALSE,"LOCAL.XLS"}</definedName>
    <definedName name="wrn.LOUISIANA." localSheetId="11" hidden="1">{#N/A,#N/A,FALSE,"LOCAL.XLS"}</definedName>
    <definedName name="wrn.LOUISIANA." localSheetId="15" hidden="1">{#N/A,#N/A,FALSE,"LOCAL.XLS"}</definedName>
    <definedName name="wrn.LOUISIANA." localSheetId="18" hidden="1">{#N/A,#N/A,FALSE,"LOCAL.XLS"}</definedName>
    <definedName name="wrn.LOUISIANA." localSheetId="27" hidden="1">{#N/A,#N/A,FALSE,"LOCAL.XLS"}</definedName>
    <definedName name="wrn.LOUISIANA." localSheetId="29" hidden="1">{#N/A,#N/A,FALSE,"LOCAL.XLS"}</definedName>
    <definedName name="wrn.LOUISIANA." localSheetId="32" hidden="1">{#N/A,#N/A,FALSE,"LOCAL.XLS"}</definedName>
    <definedName name="wrn.LOUISIANA." localSheetId="33" hidden="1">{#N/A,#N/A,FALSE,"LOCAL.XLS"}</definedName>
    <definedName name="wrn.LOUISIANA." hidden="1">{#N/A,#N/A,FALSE,"LOCAL.XLS"}</definedName>
    <definedName name="wrn.OR._.Carrying._.Charge._.JV." localSheetId="1" hidden="1">{#N/A,#N/A,FALSE,"Loans";#N/A,#N/A,FALSE,"Program Costs";#N/A,#N/A,FALSE,"Measures";#N/A,#N/A,FALSE,"Net Lost Rev";#N/A,#N/A,FALSE,"Incentive"}</definedName>
    <definedName name="wrn.OR._.Carrying._.Charge._.JV." localSheetId="0" hidden="1">{#N/A,#N/A,FALSE,"Loans";#N/A,#N/A,FALSE,"Program Costs";#N/A,#N/A,FALSE,"Measures";#N/A,#N/A,FALSE,"Net Lost Rev";#N/A,#N/A,FALSE,"Incentive"}</definedName>
    <definedName name="wrn.OR._.Carrying._.Charge._.JV." localSheetId="7"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27" hidden="1">{#N/A,#N/A,FALSE,"Loans";#N/A,#N/A,FALSE,"Program Costs";#N/A,#N/A,FALSE,"Measures";#N/A,#N/A,FALSE,"Net Lost Rev";#N/A,#N/A,FALSE,"Incentive"}</definedName>
    <definedName name="wrn.OR._.Carrying._.Charge._.JV." localSheetId="32" hidden="1">{#N/A,#N/A,FALSE,"Loans";#N/A,#N/A,FALSE,"Program Costs";#N/A,#N/A,FALSE,"Measures";#N/A,#N/A,FALSE,"Net Lost Rev";#N/A,#N/A,FALSE,"Incentive"}</definedName>
    <definedName name="wrn.OR._.Carrying._.Charge._.JV." localSheetId="3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localSheetId="0" hidden="1">{#N/A,#N/A,FALSE,"Loans";#N/A,#N/A,FALSE,"Program Costs";#N/A,#N/A,FALSE,"Measures";#N/A,#N/A,FALSE,"Net Lost Rev";#N/A,#N/A,FALSE,"Incentive"}</definedName>
    <definedName name="wrn.OR._.Carrying._.Charge._.JV.1" localSheetId="7"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27" hidden="1">{#N/A,#N/A,FALSE,"Loans";#N/A,#N/A,FALSE,"Program Costs";#N/A,#N/A,FALSE,"Measures";#N/A,#N/A,FALSE,"Net Lost Rev";#N/A,#N/A,FALSE,"Incentive"}</definedName>
    <definedName name="wrn.OR._.Carrying._.Charge._.JV.1" localSheetId="32" hidden="1">{#N/A,#N/A,FALSE,"Loans";#N/A,#N/A,FALSE,"Program Costs";#N/A,#N/A,FALSE,"Measures";#N/A,#N/A,FALSE,"Net Lost Rev";#N/A,#N/A,FALSE,"Incentive"}</definedName>
    <definedName name="wrn.OR._.Carrying._.Charge._.JV.1" localSheetId="3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1" hidden="1">{"LBO Summary",#N/A,FALSE,"Summary";"Income Statement",#N/A,FALSE,"Model";"Cash Flow",#N/A,FALSE,"Model";"Balance Sheet",#N/A,FALSE,"Model";"Working Capital",#N/A,FALSE,"Model";"Pro Forma Balance Sheets",#N/A,FALSE,"PFBS";"Debt Balances",#N/A,FALSE,"Model";"Fee Schedules",#N/A,FALSE,"Model"}</definedName>
    <definedName name="wrn.Print._.All._.Pages." localSheetId="0" hidden="1">{"LBO Summary",#N/A,FALSE,"Summary";"Income Statement",#N/A,FALSE,"Model";"Cash Flow",#N/A,FALSE,"Model";"Balance Sheet",#N/A,FALSE,"Model";"Working Capital",#N/A,FALSE,"Model";"Pro Forma Balance Sheets",#N/A,FALSE,"PFBS";"Debt Balances",#N/A,FALSE,"Model";"Fee Schedules",#N/A,FALSE,"Model"}</definedName>
    <definedName name="wrn.Print._.All._.Pages." localSheetId="7" hidden="1">{"LBO Summary",#N/A,FALSE,"Summary";"Income Statement",#N/A,FALSE,"Model";"Cash Flow",#N/A,FALSE,"Model";"Balance Sheet",#N/A,FALSE,"Model";"Working Capital",#N/A,FALSE,"Model";"Pro Forma Balance Sheets",#N/A,FALSE,"PFBS";"Debt Balances",#N/A,FALSE,"Model";"Fee Schedules",#N/A,FALSE,"Model"}</definedName>
    <definedName name="wrn.Print._.All._.Pages." localSheetId="5" hidden="1">{"LBO Summary",#N/A,FALSE,"Summary";"Income Statement",#N/A,FALSE,"Model";"Cash Flow",#N/A,FALSE,"Model";"Balance Sheet",#N/A,FALSE,"Model";"Working Capital",#N/A,FALSE,"Model";"Pro Forma Balance Sheets",#N/A,FALSE,"PFBS";"Debt Balances",#N/A,FALSE,"Model";"Fee Schedules",#N/A,FALSE,"Model"}</definedName>
    <definedName name="wrn.Print._.All._.Pages." localSheetId="10" hidden="1">{"LBO Summary",#N/A,FALSE,"Summary";"Income Statement",#N/A,FALSE,"Model";"Cash Flow",#N/A,FALSE,"Model";"Balance Sheet",#N/A,FALSE,"Model";"Working Capital",#N/A,FALSE,"Model";"Pro Forma Balance Sheets",#N/A,FALSE,"PFBS";"Debt Balances",#N/A,FALSE,"Model";"Fee Schedules",#N/A,FALSE,"Model"}</definedName>
    <definedName name="wrn.Print._.All._.Pages." localSheetId="11" hidden="1">{"LBO Summary",#N/A,FALSE,"Summary";"Income Statement",#N/A,FALSE,"Model";"Cash Flow",#N/A,FALSE,"Model";"Balance Sheet",#N/A,FALSE,"Model";"Working Capital",#N/A,FALSE,"Model";"Pro Forma Balance Sheets",#N/A,FALSE,"PFBS";"Debt Balances",#N/A,FALSE,"Model";"Fee Schedules",#N/A,FALSE,"Model"}</definedName>
    <definedName name="wrn.Print._.All._.Pages." localSheetId="15" hidden="1">{"LBO Summary",#N/A,FALSE,"Summary";"Income Statement",#N/A,FALSE,"Model";"Cash Flow",#N/A,FALSE,"Model";"Balance Sheet",#N/A,FALSE,"Model";"Working Capital",#N/A,FALSE,"Model";"Pro Forma Balance Sheets",#N/A,FALSE,"PFBS";"Debt Balances",#N/A,FALSE,"Model";"Fee Schedules",#N/A,FALSE,"Model"}</definedName>
    <definedName name="wrn.Print._.All._.Pages." localSheetId="18" hidden="1">{"LBO Summary",#N/A,FALSE,"Summary";"Income Statement",#N/A,FALSE,"Model";"Cash Flow",#N/A,FALSE,"Model";"Balance Sheet",#N/A,FALSE,"Model";"Working Capital",#N/A,FALSE,"Model";"Pro Forma Balance Sheets",#N/A,FALSE,"PFBS";"Debt Balances",#N/A,FALSE,"Model";"Fee Schedules",#N/A,FALSE,"Model"}</definedName>
    <definedName name="wrn.Print._.All._.Pages." localSheetId="27" hidden="1">{"LBO Summary",#N/A,FALSE,"Summary";"Income Statement",#N/A,FALSE,"Model";"Cash Flow",#N/A,FALSE,"Model";"Balance Sheet",#N/A,FALSE,"Model";"Working Capital",#N/A,FALSE,"Model";"Pro Forma Balance Sheets",#N/A,FALSE,"PFBS";"Debt Balances",#N/A,FALSE,"Model";"Fee Schedules",#N/A,FALSE,"Model"}</definedName>
    <definedName name="wrn.Print._.All._.Pages." localSheetId="29" hidden="1">{"LBO Summary",#N/A,FALSE,"Summary";"Income Statement",#N/A,FALSE,"Model";"Cash Flow",#N/A,FALSE,"Model";"Balance Sheet",#N/A,FALSE,"Model";"Working Capital",#N/A,FALSE,"Model";"Pro Forma Balance Sheets",#N/A,FALSE,"PFBS";"Debt Balances",#N/A,FALSE,"Model";"Fee Schedules",#N/A,FALSE,"Model"}</definedName>
    <definedName name="wrn.Print._.All._.Pages." localSheetId="32" hidden="1">{"LBO Summary",#N/A,FALSE,"Summary";"Income Statement",#N/A,FALSE,"Model";"Cash Flow",#N/A,FALSE,"Model";"Balance Sheet",#N/A,FALSE,"Model";"Working Capital",#N/A,FALSE,"Model";"Pro Forma Balance Sheets",#N/A,FALSE,"PFBS";"Debt Balances",#N/A,FALSE,"Model";"Fee Schedules",#N/A,FALSE,"Model"}</definedName>
    <definedName name="wrn.Print._.All._.Pages." localSheetId="3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vatelecform." localSheetId="1"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0"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7"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5"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1"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5"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27"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29"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32"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33"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SALES._.VAR._.95._.BUDGET." localSheetId="1" hidden="1">{"PRINT",#N/A,TRUE,"APPA";"PRINT",#N/A,TRUE,"APS";"PRINT",#N/A,TRUE,"BHPL";"PRINT",#N/A,TRUE,"BHPL2";"PRINT",#N/A,TRUE,"CDWR";"PRINT",#N/A,TRUE,"EWEB";"PRINT",#N/A,TRUE,"LADWP";"PRINT",#N/A,TRUE,"NEVBASE"}</definedName>
    <definedName name="wrn.SALES._.VAR._.95._.BUDGET." localSheetId="0" hidden="1">{"PRINT",#N/A,TRUE,"APPA";"PRINT",#N/A,TRUE,"APS";"PRINT",#N/A,TRUE,"BHPL";"PRINT",#N/A,TRUE,"BHPL2";"PRINT",#N/A,TRUE,"CDWR";"PRINT",#N/A,TRUE,"EWEB";"PRINT",#N/A,TRUE,"LADWP";"PRINT",#N/A,TRUE,"NEVBASE"}</definedName>
    <definedName name="wrn.SALES._.VAR._.95._.BUDGET." localSheetId="7" hidden="1">{"PRINT",#N/A,TRUE,"APPA";"PRINT",#N/A,TRUE,"APS";"PRINT",#N/A,TRUE,"BHPL";"PRINT",#N/A,TRUE,"BHPL2";"PRINT",#N/A,TRUE,"CDWR";"PRINT",#N/A,TRUE,"EWEB";"PRINT",#N/A,TRUE,"LADWP";"PRINT",#N/A,TRUE,"NEVBASE"}</definedName>
    <definedName name="wrn.SALES._.VAR._.95._.BUDGET." localSheetId="5"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localSheetId="27" hidden="1">{"PRINT",#N/A,TRUE,"APPA";"PRINT",#N/A,TRUE,"APS";"PRINT",#N/A,TRUE,"BHPL";"PRINT",#N/A,TRUE,"BHPL2";"PRINT",#N/A,TRUE,"CDWR";"PRINT",#N/A,TRUE,"EWEB";"PRINT",#N/A,TRUE,"LADWP";"PRINT",#N/A,TRUE,"NEVBASE"}</definedName>
    <definedName name="wrn.SALES._.VAR._.95._.BUDGET." localSheetId="32" hidden="1">{"PRINT",#N/A,TRUE,"APPA";"PRINT",#N/A,TRUE,"APS";"PRINT",#N/A,TRUE,"BHPL";"PRINT",#N/A,TRUE,"BHPL2";"PRINT",#N/A,TRUE,"CDWR";"PRINT",#N/A,TRUE,"EWEB";"PRINT",#N/A,TRUE,"LADWP";"PRINT",#N/A,TRUE,"NEVBASE"}</definedName>
    <definedName name="wrn.SALES._.VAR._.95._.BUDGET." localSheetId="3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1" hidden="1">{#N/A,#N/A,FALSE,"AP&amp;L"}</definedName>
    <definedName name="wrn.summary." localSheetId="0" hidden="1">{#N/A,#N/A,FALSE,"AP&amp;L"}</definedName>
    <definedName name="wrn.summary." localSheetId="7" hidden="1">{#N/A,#N/A,FALSE,"AP&amp;L"}</definedName>
    <definedName name="wrn.summary." localSheetId="5" hidden="1">{#N/A,#N/A,FALSE,"AP&amp;L"}</definedName>
    <definedName name="wrn.summary." localSheetId="10" hidden="1">{#N/A,#N/A,FALSE,"AP&amp;L"}</definedName>
    <definedName name="wrn.summary." localSheetId="11" hidden="1">{#N/A,#N/A,FALSE,"AP&amp;L"}</definedName>
    <definedName name="wrn.summary." localSheetId="15" hidden="1">{#N/A,#N/A,FALSE,"AP&amp;L"}</definedName>
    <definedName name="wrn.summary." localSheetId="18" hidden="1">{#N/A,#N/A,FALSE,"AP&amp;L"}</definedName>
    <definedName name="wrn.summary." localSheetId="27" hidden="1">{#N/A,#N/A,FALSE,"AP&amp;L"}</definedName>
    <definedName name="wrn.summary." localSheetId="29" hidden="1">{#N/A,#N/A,FALSE,"AP&amp;L"}</definedName>
    <definedName name="wrn.summary." localSheetId="32" hidden="1">{#N/A,#N/A,FALSE,"AP&amp;L"}</definedName>
    <definedName name="wrn.summary." localSheetId="33" hidden="1">{#N/A,#N/A,FALSE,"AP&amp;L"}</definedName>
    <definedName name="wrn.summary." hidden="1">{#N/A,#N/A,FALSE,"AP&amp;L"}</definedName>
    <definedName name="wrn.YearEnd." localSheetId="1" hidden="1">{"Factors Pages 1-2",#N/A,FALSE,"Variables";"Factors Page 3",#N/A,FALSE,"Variables";"Factors Page 4",#N/A,FALSE,"Variables";"Factors Page 5",#N/A,FALSE,"Variables";"YE Pages 7-26",#N/A,FALSE,"Variables"}</definedName>
    <definedName name="wrn.YearEnd." localSheetId="0" hidden="1">{"Factors Pages 1-2",#N/A,FALSE,"Variables";"Factors Page 3",#N/A,FALSE,"Variables";"Factors Page 4",#N/A,FALSE,"Variables";"Factors Page 5",#N/A,FALSE,"Variables";"YE Pages 7-26",#N/A,FALSE,"Variables"}</definedName>
    <definedName name="wrn.YearEnd." localSheetId="7" hidden="1">{"Factors Pages 1-2",#N/A,FALSE,"Variables";"Factors Page 3",#N/A,FALSE,"Variables";"Factors Page 4",#N/A,FALSE,"Variables";"Factors Page 5",#N/A,FALSE,"Variables";"YE Pages 7-26",#N/A,FALSE,"Variables"}</definedName>
    <definedName name="wrn.YearEnd." localSheetId="5"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27" hidden="1">{"Factors Pages 1-2",#N/A,FALSE,"Variables";"Factors Page 3",#N/A,FALSE,"Variables";"Factors Page 4",#N/A,FALSE,"Variables";"Factors Page 5",#N/A,FALSE,"Variables";"YE Pages 7-26",#N/A,FALSE,"Variables"}</definedName>
    <definedName name="wrn.YearEnd." localSheetId="32" hidden="1">{"Factors Pages 1-2",#N/A,FALSE,"Variables";"Factors Page 3",#N/A,FALSE,"Variables";"Factors Page 4",#N/A,FALSE,"Variables";"Factors Page 5",#N/A,FALSE,"Variables";"YE Pages 7-26",#N/A,FALSE,"Variables"}</definedName>
    <definedName name="wrn.YearEnd." localSheetId="3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 localSheetId="5">'[18]MISO Cover'!$I$201</definedName>
    <definedName name="WS" localSheetId="15">'[19]MISO Cover'!$I$202</definedName>
    <definedName name="WS">'MISO Cover'!$I$201</definedName>
    <definedName name="XLRG_GE" localSheetId="15">#REF!</definedName>
    <definedName name="XLRG_GE">#REF!</definedName>
    <definedName name="XLRG_GJ" localSheetId="15">#REF!</definedName>
    <definedName name="XLRG_GJ">#REF!</definedName>
    <definedName name="Z_1155D18F_BFDD_426B_8E78_817CEB25FB23_.wvu.Cols" localSheetId="13" hidden="1">'WP06 ADIT'!#REF!</definedName>
    <definedName name="Z_1155D18F_BFDD_426B_8E78_817CEB25FB23_.wvu.PrintArea" localSheetId="13" hidden="1">'WP06 ADIT'!$B$1:$N$323</definedName>
    <definedName name="Z_16940A0E_2B20_4241_BF05_A4686E5A0274_.wvu.Cols" localSheetId="13" hidden="1">'WP06 ADIT'!#REF!</definedName>
    <definedName name="Z_16940A0E_2B20_4241_BF05_A4686E5A0274_.wvu.PrintArea" localSheetId="13" hidden="1">'WP06 ADIT'!$B$1:$N$323</definedName>
    <definedName name="Z_28948E05_8F34_4F1E_96FB_A80A6A844600_.wvu.Cols" localSheetId="13" hidden="1">'WP06 ADIT'!#REF!</definedName>
    <definedName name="Z_28948E05_8F34_4F1E_96FB_A80A6A844600_.wvu.PrintArea" localSheetId="13" hidden="1">'WP06 ADIT'!$B$1:$N$323</definedName>
    <definedName name="Z_3768C7C8_9953_11DA_B318_000FB55D51DC_.wvu.PrintArea" localSheetId="6" hidden="1">'WP02 Support'!$A$174:$M$178</definedName>
    <definedName name="Z_3768C7C8_9953_11DA_B318_000FB55D51DC_.wvu.PrintTitles" localSheetId="6" hidden="1">'WP02 Support'!#REF!</definedName>
    <definedName name="Z_3768C7C8_9953_11DA_B318_000FB55D51DC_.wvu.Rows" localSheetId="6" hidden="1">'WP02 Support'!#REF!</definedName>
    <definedName name="Z_3BDD6235_B127_4929_8311_BDAF7BB89818_.wvu.PrintArea" localSheetId="6" hidden="1">'WP02 Support'!$A$174:$M$178</definedName>
    <definedName name="Z_3BDD6235_B127_4929_8311_BDAF7BB89818_.wvu.PrintTitles" localSheetId="6" hidden="1">'WP02 Support'!#REF!</definedName>
    <definedName name="Z_3BDD6235_B127_4929_8311_BDAF7BB89818_.wvu.Rows" localSheetId="6" hidden="1">'WP02 Support'!#REF!</definedName>
    <definedName name="Z_44504B44_F20F_4B6F_B585_74D55BA74563_.wvu.Cols" localSheetId="13" hidden="1">'WP06 ADIT'!#REF!</definedName>
    <definedName name="Z_44504B44_F20F_4B6F_B585_74D55BA74563_.wvu.PrintArea" localSheetId="13" hidden="1">'WP06 ADIT'!$B$1:$N$323</definedName>
    <definedName name="Z_63011E91_4609_4523_98FE_FD252E915668_.wvu.Cols" localSheetId="13" hidden="1">'WP06 ADIT'!#REF!</definedName>
    <definedName name="Z_63011E91_4609_4523_98FE_FD252E915668_.wvu.PrintArea" localSheetId="3" hidden="1">'WP01 True-Up'!#REF!</definedName>
    <definedName name="Z_63011E91_4609_4523_98FE_FD252E915668_.wvu.PrintArea" localSheetId="12" hidden="1">'WP05 CapAds'!$A$2:$D$23</definedName>
    <definedName name="Z_63011E91_4609_4523_98FE_FD252E915668_.wvu.PrintArea" localSheetId="13" hidden="1">'WP06 ADIT'!$B$1:$N$323</definedName>
    <definedName name="Z_71B42B22_A376_44B5_B0C1_23FC1AA3DBA2_.wvu.Cols" localSheetId="13" hidden="1">'WP06 ADIT'!#REF!</definedName>
    <definedName name="Z_71B42B22_A376_44B5_B0C1_23FC1AA3DBA2_.wvu.PrintArea" localSheetId="13" hidden="1">'WP06 ADIT'!$B$1:$N$323</definedName>
    <definedName name="Z_B0241363_5C8A_48FC_89A6_56D55586BABE_.wvu.PrintArea" localSheetId="6" hidden="1">'WP02 Support'!$A$174:$M$178</definedName>
    <definedName name="Z_B0241363_5C8A_48FC_89A6_56D55586BABE_.wvu.PrintTitles" localSheetId="6" hidden="1">'WP02 Support'!#REF!</definedName>
    <definedName name="Z_B0241363_5C8A_48FC_89A6_56D55586BABE_.wvu.Rows" localSheetId="6" hidden="1">'WP02 Support'!#REF!</definedName>
    <definedName name="Z_B647CB7F_C846_4278_B6B1_1EF7F3C004F5_.wvu.Cols" localSheetId="13" hidden="1">'WP06 ADIT'!#REF!</definedName>
    <definedName name="Z_B647CB7F_C846_4278_B6B1_1EF7F3C004F5_.wvu.PrintArea" localSheetId="13" hidden="1">'WP06 ADIT'!$B$1:$N$323</definedName>
    <definedName name="Z_C0EA0F9F_7310_4201_82C9_7B8FC8DB9137_.wvu.PrintArea" localSheetId="6" hidden="1">'WP02 Support'!$A$174:$M$178</definedName>
    <definedName name="Z_C0EA0F9F_7310_4201_82C9_7B8FC8DB9137_.wvu.PrintTitles" localSheetId="6" hidden="1">'WP02 Support'!#REF!</definedName>
    <definedName name="Z_C0EA0F9F_7310_4201_82C9_7B8FC8DB9137_.wvu.Rows" localSheetId="6" hidden="1">'WP02 Support'!#REF!</definedName>
    <definedName name="Z_DC91DEF3_837B_4BB9_A81E_3B78C5914E6C_.wvu.Cols" localSheetId="13" hidden="1">'WP06 ADIT'!#REF!</definedName>
    <definedName name="Z_DC91DEF3_837B_4BB9_A81E_3B78C5914E6C_.wvu.PrintArea" localSheetId="13" hidden="1">'WP06 ADIT'!$B$1:$N$323</definedName>
    <definedName name="Z_FAAD9AAC_1337_43AB_BF1F_CCF9DFCF5B78_.wvu.Cols" localSheetId="13" hidden="1">'WP06 ADIT'!#REF!</definedName>
    <definedName name="Z_FAAD9AAC_1337_43AB_BF1F_CCF9DFCF5B78_.wvu.PrintArea" localSheetId="13" hidden="1">'WP06 ADIT'!$B$1:$N$323</definedName>
    <definedName name="Zone_Inputs" localSheetId="5">'[15]Attachment O'!$I$19,'[15]Attachment O'!$I$24,'[15]Attachment O'!$D$36:$D$37,'[15]Attachment O'!$D$82:$D$86,'[15]Attachment O'!$D$90:$D$94,'[15]Attachment O'!$D$106:$D$112,'[15]Attachment O'!$D$116,'[15]Attachment O'!$D$120:$D$121,'[15]Attachment O'!$D$139:$D$146,'[15]Attachment O'!$D$150:$D$154,'[15]Attachment O'!$D$159:$D$160,'[15]Attachment O'!$D$162:$D$165,'[15]Attachment O'!$D$174,'[15]Attachment O'!$D$174,'[15]Attachment O'!$D$178,'[15]Attachment O'!$I$188,'[15]Attachment O'!$D$188,'[15]Attachment O'!$D$192,'[15]Attachment O'!$I$192,'[15]Attachment O'!$I$207:$I$208,'[15]Attachment O'!$D$214:$D$217,'[15]Attachment O'!$D$221:$D$223,'[15]Attachment O'!$I$227,'[15]Attachment O'!$I$229,'[15]Attachment O'!$I$232,'[15]Attachment O'!$D$238:$D$239,'[15]Attachment O'!$I$243,'[15]Attachment O'!$I$246:$I$249,'[15]Attachment O'!$D$280:$D$282</definedName>
    <definedName name="Zone_Inputs">'[16]Attachment O'!$I$19,'[16]Attachment O'!$I$24,'[16]Attachment O'!$D$36:$D$37,'[16]Attachment O'!$D$82:$D$86,'[16]Attachment O'!$D$90:$D$94,'[16]Attachment O'!$D$106:$D$112,'[16]Attachment O'!$D$116,'[16]Attachment O'!$D$120:$D$121,'[16]Attachment O'!$D$139:$D$146,'[16]Attachment O'!$D$150:$D$154,'[16]Attachment O'!$D$159:$D$160,'[16]Attachment O'!$D$162:$D$165,'[16]Attachment O'!$D$174,'[16]Attachment O'!$D$174,'[16]Attachment O'!$D$178,'[16]Attachment O'!$I$188,'[16]Attachment O'!$D$188,'[16]Attachment O'!$D$192,'[16]Attachment O'!$I$192,'[16]Attachment O'!$I$207:$I$208,'[16]Attachment O'!$D$214:$D$217,'[16]Attachment O'!$D$221:$D$223,'[16]Attachment O'!$I$227,'[16]Attachment O'!$I$229,'[16]Attachment O'!$I$232,'[16]Attachment O'!$D$238:$D$239,'[16]Attachment O'!$I$243,'[16]Attachment O'!$I$246:$I$249,'[16]Attachment O'!$D$280:$D$282</definedName>
  </definedNames>
  <calcPr calcId="145621"/>
  <customWorkbookViews>
    <customWorkbookView name="Ken Lee - Personal View" guid="{16940A0E-2B20-4241-BF05-A4686E5A0274}" mergeInterval="0" personalView="1" maximized="1" windowWidth="1020" windowHeight="593" tabRatio="809" activeSheetId="1"/>
    <customWorkbookView name="z93536 - Personal View" guid="{44504B44-F20F-4B6F-B585-74D55BA74563}" mergeInterval="0" personalView="1" maximized="1" windowWidth="1020" windowHeight="579" tabRatio="809" activeSheetId="1"/>
    <customWorkbookView name="x317aks - Personal View" guid="{FAAD9AAC-1337-43AB-BF1F-CCF9DFCF5B78}" mergeInterval="0" personalView="1" maximized="1" windowWidth="1020" windowHeight="592" tabRatio="809" activeSheetId="4"/>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70" tabRatio="809" activeSheetId="1"/>
    <customWorkbookView name="wdbooth - Personal View" guid="{B647CB7F-C846-4278-B6B1-1EF7F3C004F5}" mergeInterval="0" personalView="1" maximized="1" windowWidth="756" windowHeight="354" tabRatio="809" activeSheetId="9"/>
    <customWorkbookView name="Dana Olds - Personal View" guid="{63011E91-4609-4523-98FE-FD252E915668}" mergeInterval="0" personalView="1" maximized="1" windowWidth="1020" windowHeight="605" tabRatio="809" activeSheetId="11"/>
    <customWorkbookView name="Preferred Customer - Personal View" guid="{DC91DEF3-837B-4BB9-A81E-3B78C5914E6C}" mergeInterval="0" personalView="1" maximized="1" windowWidth="1020" windowHeight="603" tabRatio="809" activeSheetId="2"/>
    <customWorkbookView name="alan - Personal View" guid="{1155D18F-BFDD-426B-8E78-817CEB25FB23}" mergeInterval="0" personalView="1" maximized="1" windowWidth="1009" windowHeight="568" tabRatio="809" activeSheetId="1"/>
  </customWorkbookViews>
</workbook>
</file>

<file path=xl/calcChain.xml><?xml version="1.0" encoding="utf-8"?>
<calcChain xmlns="http://schemas.openxmlformats.org/spreadsheetml/2006/main">
  <c r="C25" i="112" l="1"/>
  <c r="C19" i="112"/>
  <c r="C12" i="112"/>
  <c r="J52" i="55" l="1"/>
  <c r="D157" i="2" l="1"/>
  <c r="F235" i="2"/>
  <c r="D311" i="2"/>
  <c r="M157" i="2"/>
  <c r="L157" i="2"/>
  <c r="K157" i="2"/>
  <c r="J157" i="2"/>
  <c r="I157" i="2"/>
  <c r="H157" i="2"/>
  <c r="G157" i="2"/>
  <c r="F157" i="2"/>
  <c r="E157" i="2"/>
  <c r="G69" i="105" l="1"/>
  <c r="H69" i="75" l="1"/>
  <c r="Q309" i="108" l="1"/>
  <c r="Q308" i="108"/>
  <c r="Q306" i="108"/>
  <c r="Q235" i="108"/>
  <c r="Q236" i="108" s="1"/>
  <c r="Q237" i="108" s="1"/>
  <c r="Q238" i="108" s="1"/>
  <c r="Q239" i="108" s="1"/>
  <c r="Q240" i="108" s="1"/>
  <c r="Q241" i="108" s="1"/>
  <c r="Q242" i="108" s="1"/>
  <c r="Q243" i="108" s="1"/>
  <c r="Q244" i="108" s="1"/>
  <c r="Q245" i="108" s="1"/>
  <c r="Q246" i="108" s="1"/>
  <c r="Q247" i="108" s="1"/>
  <c r="Q248" i="108" s="1"/>
  <c r="Q249" i="108" s="1"/>
  <c r="Q250" i="108" s="1"/>
  <c r="Q251" i="108" s="1"/>
  <c r="Q252" i="108" s="1"/>
  <c r="Q253" i="108" s="1"/>
  <c r="Q254" i="108" s="1"/>
  <c r="Q255" i="108" s="1"/>
  <c r="Q256" i="108" s="1"/>
  <c r="Q257" i="108" s="1"/>
  <c r="Q258" i="108" s="1"/>
  <c r="Q259" i="108" s="1"/>
  <c r="Q260" i="108" s="1"/>
  <c r="Q261" i="108" s="1"/>
  <c r="Q262" i="108" s="1"/>
  <c r="Q263" i="108" s="1"/>
  <c r="Q264" i="108" s="1"/>
  <c r="Q265" i="108" s="1"/>
  <c r="Q266" i="108" s="1"/>
  <c r="Q267" i="108" s="1"/>
  <c r="Q268" i="108" s="1"/>
  <c r="Q269" i="108" s="1"/>
  <c r="Q270" i="108" s="1"/>
  <c r="Q271" i="108" s="1"/>
  <c r="Q272" i="108" s="1"/>
  <c r="Q273" i="108" s="1"/>
  <c r="Q274" i="108" s="1"/>
  <c r="Q275" i="108" s="1"/>
  <c r="Q276" i="108" s="1"/>
  <c r="Q277" i="108" s="1"/>
  <c r="Q278" i="108" s="1"/>
  <c r="Q279" i="108" s="1"/>
  <c r="Q280" i="108" s="1"/>
  <c r="Q281" i="108" s="1"/>
  <c r="Q282" i="108" s="1"/>
  <c r="Q283" i="108" s="1"/>
  <c r="Q284" i="108" s="1"/>
  <c r="Q285" i="108" s="1"/>
  <c r="Q286" i="108" s="1"/>
  <c r="Q287" i="108" s="1"/>
  <c r="Q288" i="108" s="1"/>
  <c r="Q289" i="108" s="1"/>
  <c r="Q290" i="108" s="1"/>
  <c r="Q291" i="108" s="1"/>
  <c r="Q292" i="108" s="1"/>
  <c r="Q293" i="108" s="1"/>
  <c r="Q294" i="108" s="1"/>
  <c r="Q295" i="108" s="1"/>
  <c r="Q296" i="108" s="1"/>
  <c r="Q297" i="108" s="1"/>
  <c r="Q298" i="108" s="1"/>
  <c r="Q299" i="108" s="1"/>
  <c r="Q300" i="108" s="1"/>
  <c r="Q301" i="108" s="1"/>
  <c r="Q302" i="108" s="1"/>
  <c r="Q303" i="108" s="1"/>
  <c r="Q304" i="108" s="1"/>
  <c r="Q232" i="108"/>
  <c r="Q231" i="108"/>
  <c r="Q233" i="108" s="1"/>
  <c r="Q234" i="108" s="1"/>
  <c r="Q229" i="108"/>
  <c r="Q8" i="108"/>
  <c r="Q9" i="108" s="1"/>
  <c r="Q10" i="108" s="1"/>
  <c r="Q11" i="108" s="1"/>
  <c r="Q12" i="108" s="1"/>
  <c r="Q13" i="108" s="1"/>
  <c r="Q14" i="108" s="1"/>
  <c r="Q15" i="108" s="1"/>
  <c r="Q16" i="108" s="1"/>
  <c r="Q17" i="108" s="1"/>
  <c r="Q139" i="108" l="1"/>
  <c r="Q18" i="108"/>
  <c r="Q19" i="108" s="1"/>
  <c r="Q20" i="108" s="1"/>
  <c r="Q21" i="108" s="1"/>
  <c r="Q22" i="108" s="1"/>
  <c r="Q23" i="108" s="1"/>
  <c r="Q24" i="108" s="1"/>
  <c r="Q25" i="108" s="1"/>
  <c r="Q26" i="108" s="1"/>
  <c r="Q27" i="108" s="1"/>
  <c r="Q28" i="108" s="1"/>
  <c r="Q29" i="108" s="1"/>
  <c r="Q30" i="108" s="1"/>
  <c r="Q31" i="108" s="1"/>
  <c r="Q32" i="108" s="1"/>
  <c r="Q33" i="108" s="1"/>
  <c r="Q34" i="108" s="1"/>
  <c r="Q35" i="108" s="1"/>
  <c r="Q36" i="108" s="1"/>
  <c r="Q37" i="108" s="1"/>
  <c r="Q38" i="108" s="1"/>
  <c r="Q39" i="108" s="1"/>
  <c r="Q40" i="108" s="1"/>
  <c r="Q41" i="108" s="1"/>
  <c r="Q42" i="108" s="1"/>
  <c r="Q43" i="108" s="1"/>
  <c r="Q44" i="108" s="1"/>
  <c r="Q45" i="108" s="1"/>
  <c r="Q46" i="108" s="1"/>
  <c r="Q47" i="108" s="1"/>
  <c r="Q48" i="108" s="1"/>
  <c r="Q49" i="108" s="1"/>
  <c r="Q50" i="108" s="1"/>
  <c r="Q51" i="108" s="1"/>
  <c r="Q52" i="108" s="1"/>
  <c r="Q53" i="108" s="1"/>
  <c r="Q54" i="108" s="1"/>
  <c r="Q55" i="108" s="1"/>
  <c r="Q56" i="108" s="1"/>
  <c r="Q57" i="108" s="1"/>
  <c r="Q58" i="108" s="1"/>
  <c r="Q59" i="108" s="1"/>
  <c r="Q60" i="108" s="1"/>
  <c r="Q61" i="108" s="1"/>
  <c r="Q62" i="108" s="1"/>
  <c r="Q63" i="108" s="1"/>
  <c r="Q64" i="108" s="1"/>
  <c r="Q65" i="108" s="1"/>
  <c r="Q66" i="108" s="1"/>
  <c r="Q67" i="108" s="1"/>
  <c r="Q68" i="108" s="1"/>
  <c r="Q69" i="108" s="1"/>
  <c r="Q70" i="108" s="1"/>
  <c r="Q71" i="108" s="1"/>
  <c r="Q72" i="108" s="1"/>
  <c r="Q73" i="108" s="1"/>
  <c r="Q74" i="108" s="1"/>
  <c r="Q75" i="108" s="1"/>
  <c r="Q76" i="108" s="1"/>
  <c r="Q77" i="108" s="1"/>
  <c r="Q78" i="108" s="1"/>
  <c r="Q79" i="108" s="1"/>
  <c r="Q80" i="108" s="1"/>
  <c r="Q81" i="108" s="1"/>
  <c r="Q82" i="108" s="1"/>
  <c r="Q83" i="108" s="1"/>
  <c r="Q84" i="108" s="1"/>
  <c r="Q85" i="108" s="1"/>
  <c r="Q86" i="108" s="1"/>
  <c r="Q87" i="108" s="1"/>
  <c r="Q88" i="108" s="1"/>
  <c r="Q89" i="108" s="1"/>
  <c r="Q90" i="108" s="1"/>
  <c r="Q91" i="108" s="1"/>
  <c r="Q92" i="108" s="1"/>
  <c r="Q93" i="108" s="1"/>
  <c r="Q94" i="108" s="1"/>
  <c r="Q95" i="108" s="1"/>
  <c r="Q96" i="108" s="1"/>
  <c r="Q97" i="108" s="1"/>
  <c r="Q98" i="108" s="1"/>
  <c r="Q99" i="108" s="1"/>
  <c r="Q100" i="108" s="1"/>
  <c r="Q101" i="108" s="1"/>
  <c r="Q102" i="108" s="1"/>
  <c r="Q103" i="108" s="1"/>
  <c r="Q104" i="108" s="1"/>
  <c r="Q105" i="108" s="1"/>
  <c r="Q106" i="108" s="1"/>
  <c r="Q107" i="108" s="1"/>
  <c r="Q108" i="108" s="1"/>
  <c r="Q109" i="108" s="1"/>
  <c r="Q110" i="108" s="1"/>
  <c r="Q111" i="108" s="1"/>
  <c r="Q112" i="108" s="1"/>
  <c r="Q113" i="108" s="1"/>
  <c r="Q114" i="108" s="1"/>
  <c r="Q115" i="108" s="1"/>
  <c r="Q116" i="108" s="1"/>
  <c r="Q117" i="108" s="1"/>
  <c r="Q118" i="108" s="1"/>
  <c r="Q119" i="108" s="1"/>
  <c r="Q120" i="108" s="1"/>
  <c r="Q121" i="108" s="1"/>
  <c r="Q122" i="108" s="1"/>
  <c r="Q123" i="108" s="1"/>
  <c r="Q124" i="108" s="1"/>
  <c r="Q125" i="108" s="1"/>
  <c r="Q126" i="108" s="1"/>
  <c r="Q127" i="108" s="1"/>
  <c r="Q128" i="108" s="1"/>
  <c r="Q129" i="108" s="1"/>
  <c r="Q130" i="108" s="1"/>
  <c r="Q131" i="108" s="1"/>
  <c r="Q132" i="108" s="1"/>
  <c r="Q133" i="108" s="1"/>
  <c r="Q134" i="108" s="1"/>
  <c r="Q140" i="108"/>
  <c r="Q141" i="108" s="1"/>
  <c r="Q142" i="108" s="1"/>
  <c r="Q311" i="108"/>
  <c r="Q310" i="108"/>
  <c r="Q143" i="108" l="1"/>
  <c r="Q144" i="108"/>
  <c r="Q145" i="108" s="1"/>
  <c r="Q146" i="108" s="1"/>
  <c r="Q135" i="108"/>
  <c r="Q137" i="108" s="1"/>
  <c r="Q136" i="108"/>
  <c r="Q147" i="108" l="1"/>
  <c r="Q148" i="108" s="1"/>
  <c r="Q149" i="108" s="1"/>
  <c r="Q150" i="108" s="1"/>
  <c r="Q151" i="108" s="1"/>
  <c r="Q153" i="108"/>
  <c r="Q154" i="108"/>
  <c r="Q155" i="108" s="1"/>
  <c r="Q156" i="108" s="1"/>
  <c r="Q158" i="108" l="1"/>
  <c r="Q159" i="108" s="1"/>
  <c r="Q160" i="108" s="1"/>
  <c r="Q161" i="108" s="1"/>
  <c r="Q162" i="108" s="1"/>
  <c r="Q163" i="108" s="1"/>
  <c r="Q164" i="108" s="1"/>
  <c r="Q165" i="108" s="1"/>
  <c r="Q166" i="108" s="1"/>
  <c r="Q167" i="108" s="1"/>
  <c r="Q168" i="108" s="1"/>
  <c r="Q169" i="108" s="1"/>
  <c r="Q170" i="108" s="1"/>
  <c r="Q171" i="108" s="1"/>
  <c r="Q172" i="108" s="1"/>
  <c r="Q173" i="108" s="1"/>
  <c r="Q174" i="108" s="1"/>
  <c r="Q175" i="108" s="1"/>
  <c r="Q176" i="108" s="1"/>
  <c r="Q177" i="108" s="1"/>
  <c r="Q178" i="108" s="1"/>
  <c r="Q179" i="108" s="1"/>
  <c r="Q180" i="108" s="1"/>
  <c r="Q181" i="108" s="1"/>
  <c r="Q182" i="108" s="1"/>
  <c r="Q183" i="108" s="1"/>
  <c r="Q184" i="108" s="1"/>
  <c r="Q185" i="108" s="1"/>
  <c r="Q186" i="108" s="1"/>
  <c r="Q187" i="108" s="1"/>
  <c r="Q188" i="108" s="1"/>
  <c r="Q189" i="108" s="1"/>
  <c r="Q190" i="108" s="1"/>
  <c r="Q191" i="108" s="1"/>
  <c r="Q192" i="108" s="1"/>
  <c r="Q193" i="108" s="1"/>
  <c r="Q194" i="108" s="1"/>
  <c r="Q195" i="108" s="1"/>
  <c r="Q196" i="108" s="1"/>
  <c r="Q197" i="108" s="1"/>
  <c r="Q198" i="108" s="1"/>
  <c r="Q199" i="108" s="1"/>
  <c r="Q200" i="108" s="1"/>
  <c r="Q201" i="108" s="1"/>
  <c r="Q202" i="108" s="1"/>
  <c r="Q203" i="108" s="1"/>
  <c r="Q204" i="108" s="1"/>
  <c r="Q205" i="108" s="1"/>
  <c r="Q206" i="108" s="1"/>
  <c r="Q207" i="108" s="1"/>
  <c r="Q208" i="108" s="1"/>
  <c r="Q209" i="108" s="1"/>
  <c r="Q210" i="108" s="1"/>
  <c r="Q211" i="108" s="1"/>
  <c r="Q212" i="108" s="1"/>
  <c r="Q213" i="108" s="1"/>
  <c r="Q214" i="108" s="1"/>
  <c r="Q215" i="108" s="1"/>
  <c r="Q216" i="108" s="1"/>
  <c r="Q217" i="108" s="1"/>
  <c r="Q218" i="108" s="1"/>
  <c r="Q219" i="108" s="1"/>
  <c r="Q220" i="108" s="1"/>
  <c r="Q221" i="108" s="1"/>
  <c r="Q222" i="108" s="1"/>
  <c r="Q223" i="108" s="1"/>
  <c r="Q224" i="108" s="1"/>
  <c r="Q225" i="108" s="1"/>
  <c r="Q226" i="108" s="1"/>
  <c r="Q227" i="108" s="1"/>
  <c r="Q157" i="108"/>
  <c r="A60" i="51" l="1"/>
  <c r="A61" i="51"/>
  <c r="A57" i="51"/>
  <c r="A58" i="51" s="1"/>
  <c r="A59" i="51" s="1"/>
  <c r="G57" i="51"/>
  <c r="C25" i="85"/>
  <c r="D25" i="85"/>
  <c r="E25" i="85"/>
  <c r="F25" i="85"/>
  <c r="G25" i="85"/>
  <c r="H25" i="85"/>
  <c r="I25" i="85"/>
  <c r="J25" i="85"/>
  <c r="K25" i="85"/>
  <c r="L25" i="85"/>
  <c r="M25" i="85"/>
  <c r="N25" i="85"/>
  <c r="F33" i="102" l="1"/>
  <c r="E33" i="102" l="1"/>
  <c r="M65" i="114" l="1"/>
  <c r="D153" i="77" l="1"/>
  <c r="I153" i="77"/>
  <c r="F61" i="73" l="1"/>
  <c r="H60" i="73" l="1"/>
  <c r="E59" i="73"/>
  <c r="E58" i="73"/>
  <c r="E57" i="73"/>
  <c r="E56" i="73"/>
  <c r="E55" i="73"/>
  <c r="B55" i="73"/>
  <c r="B56" i="73"/>
  <c r="B57" i="73"/>
  <c r="B58" i="73"/>
  <c r="B59" i="73"/>
  <c r="B60" i="73"/>
  <c r="B61" i="73"/>
  <c r="C62" i="73"/>
  <c r="A60" i="73"/>
  <c r="A61" i="73" s="1"/>
  <c r="A62" i="73" s="1"/>
  <c r="A59" i="73"/>
  <c r="D58" i="73"/>
  <c r="A58" i="73"/>
  <c r="A57" i="73"/>
  <c r="A56" i="73"/>
  <c r="P31" i="73"/>
  <c r="O31" i="73"/>
  <c r="N31" i="73"/>
  <c r="M31" i="73"/>
  <c r="L31" i="73"/>
  <c r="K31" i="73"/>
  <c r="J31" i="73"/>
  <c r="I31" i="73"/>
  <c r="H31" i="73"/>
  <c r="G31" i="73"/>
  <c r="F31" i="73"/>
  <c r="E31" i="73"/>
  <c r="D31" i="73"/>
  <c r="Q30" i="73"/>
  <c r="D61" i="73" s="1"/>
  <c r="Q29" i="73"/>
  <c r="D60" i="73" s="1"/>
  <c r="Q28" i="73"/>
  <c r="D59" i="73" s="1"/>
  <c r="Q27" i="73"/>
  <c r="Q26" i="73"/>
  <c r="D57" i="73" s="1"/>
  <c r="Q25" i="73"/>
  <c r="D56" i="73" s="1"/>
  <c r="Q31" i="73" l="1"/>
  <c r="D62" i="73" s="1"/>
  <c r="J65" i="55"/>
  <c r="T144" i="108"/>
  <c r="T9" i="108"/>
  <c r="U141" i="108"/>
  <c r="U144" i="108" s="1"/>
  <c r="U9" i="108" s="1"/>
  <c r="T141" i="108"/>
  <c r="X142" i="108"/>
  <c r="W142" i="108"/>
  <c r="V142" i="108"/>
  <c r="U142" i="108"/>
  <c r="T142" i="108"/>
  <c r="P142" i="108"/>
  <c r="P141" i="108"/>
  <c r="P144" i="108"/>
  <c r="X158" i="108"/>
  <c r="W158" i="108"/>
  <c r="W10" i="108"/>
  <c r="V158" i="108"/>
  <c r="U158" i="108"/>
  <c r="U10" i="108"/>
  <c r="X10" i="108"/>
  <c r="T158" i="108"/>
  <c r="P158" i="108"/>
  <c r="X155" i="108"/>
  <c r="W155" i="108"/>
  <c r="V155" i="108"/>
  <c r="U155" i="108"/>
  <c r="T155" i="108"/>
  <c r="P155" i="108"/>
  <c r="X231" i="108"/>
  <c r="W231" i="108"/>
  <c r="V231" i="108"/>
  <c r="V235" i="108"/>
  <c r="V11" i="108"/>
  <c r="U231" i="108"/>
  <c r="U235" i="108"/>
  <c r="U11" i="108"/>
  <c r="T231" i="108"/>
  <c r="P231" i="108"/>
  <c r="X235" i="108"/>
  <c r="W235" i="108"/>
  <c r="W11" i="108"/>
  <c r="T235" i="108"/>
  <c r="P235" i="108"/>
  <c r="X233" i="108"/>
  <c r="W233" i="108"/>
  <c r="V233" i="108"/>
  <c r="U233" i="108"/>
  <c r="T233" i="108"/>
  <c r="P233" i="108"/>
  <c r="E233" i="108"/>
  <c r="X310" i="108"/>
  <c r="X308" i="108"/>
  <c r="W308" i="108"/>
  <c r="V308" i="108"/>
  <c r="V12" i="108"/>
  <c r="X12" i="108" s="1"/>
  <c r="U308" i="108"/>
  <c r="T308" i="108"/>
  <c r="P308" i="108"/>
  <c r="W12" i="108"/>
  <c r="V309" i="108"/>
  <c r="V311" i="108" s="1"/>
  <c r="T309" i="108"/>
  <c r="T311" i="108" s="1"/>
  <c r="T12" i="108" s="1"/>
  <c r="P309" i="108"/>
  <c r="P311" i="108" s="1"/>
  <c r="O309" i="108"/>
  <c r="N309" i="108"/>
  <c r="M309" i="108"/>
  <c r="W309" i="108" s="1"/>
  <c r="W311" i="108" s="1"/>
  <c r="L309" i="108"/>
  <c r="K309" i="108"/>
  <c r="U309" i="108" s="1"/>
  <c r="U311" i="108" s="1"/>
  <c r="U12" i="108" s="1"/>
  <c r="J309" i="108"/>
  <c r="E309" i="108"/>
  <c r="I52" i="55"/>
  <c r="D38" i="96"/>
  <c r="E38" i="96"/>
  <c r="D102" i="77"/>
  <c r="V10" i="108"/>
  <c r="T11" i="108"/>
  <c r="T10" i="108"/>
  <c r="W306" i="108"/>
  <c r="V306" i="108"/>
  <c r="U306" i="108"/>
  <c r="T306" i="108"/>
  <c r="X306" i="108"/>
  <c r="W305" i="108"/>
  <c r="V305" i="108"/>
  <c r="U305" i="108"/>
  <c r="T305" i="108"/>
  <c r="X305" i="108"/>
  <c r="W304" i="108"/>
  <c r="V304" i="108"/>
  <c r="U304" i="108"/>
  <c r="T304" i="108"/>
  <c r="X304" i="108"/>
  <c r="W303" i="108"/>
  <c r="V303" i="108"/>
  <c r="U303" i="108"/>
  <c r="T303" i="108"/>
  <c r="X303" i="108"/>
  <c r="W302" i="108"/>
  <c r="V302" i="108"/>
  <c r="U302" i="108"/>
  <c r="T302" i="108"/>
  <c r="X302" i="108"/>
  <c r="W301" i="108"/>
  <c r="V301" i="108"/>
  <c r="U301" i="108"/>
  <c r="T301" i="108"/>
  <c r="X301" i="108"/>
  <c r="W300" i="108"/>
  <c r="V300" i="108"/>
  <c r="U300" i="108"/>
  <c r="T300" i="108"/>
  <c r="X300" i="108"/>
  <c r="W299" i="108"/>
  <c r="V299" i="108"/>
  <c r="U299" i="108"/>
  <c r="T299" i="108"/>
  <c r="X299" i="108"/>
  <c r="W298" i="108"/>
  <c r="V298" i="108"/>
  <c r="U298" i="108"/>
  <c r="T298" i="108"/>
  <c r="X298" i="108"/>
  <c r="W297" i="108"/>
  <c r="V297" i="108"/>
  <c r="U297" i="108"/>
  <c r="T297" i="108"/>
  <c r="X297" i="108"/>
  <c r="W296" i="108"/>
  <c r="V296" i="108"/>
  <c r="U296" i="108"/>
  <c r="T296" i="108"/>
  <c r="X296" i="108"/>
  <c r="W295" i="108"/>
  <c r="V295" i="108"/>
  <c r="U295" i="108"/>
  <c r="T295" i="108"/>
  <c r="X295" i="108"/>
  <c r="W294" i="108"/>
  <c r="V294" i="108"/>
  <c r="U294" i="108"/>
  <c r="T294" i="108"/>
  <c r="X294" i="108"/>
  <c r="W293" i="108"/>
  <c r="V293" i="108"/>
  <c r="U293" i="108"/>
  <c r="T293" i="108"/>
  <c r="X293" i="108"/>
  <c r="W292" i="108"/>
  <c r="V292" i="108"/>
  <c r="U292" i="108"/>
  <c r="T292" i="108"/>
  <c r="X292" i="108"/>
  <c r="W291" i="108"/>
  <c r="V291" i="108"/>
  <c r="U291" i="108"/>
  <c r="T291" i="108"/>
  <c r="X291" i="108"/>
  <c r="W290" i="108"/>
  <c r="V290" i="108"/>
  <c r="U290" i="108"/>
  <c r="T290" i="108"/>
  <c r="X290" i="108"/>
  <c r="W289" i="108"/>
  <c r="V289" i="108"/>
  <c r="U289" i="108"/>
  <c r="T289" i="108"/>
  <c r="X289" i="108"/>
  <c r="W288" i="108"/>
  <c r="V288" i="108"/>
  <c r="U288" i="108"/>
  <c r="T288" i="108"/>
  <c r="X288" i="108"/>
  <c r="W287" i="108"/>
  <c r="V287" i="108"/>
  <c r="U287" i="108"/>
  <c r="T287" i="108"/>
  <c r="X287" i="108"/>
  <c r="W286" i="108"/>
  <c r="V286" i="108"/>
  <c r="U286" i="108"/>
  <c r="T286" i="108"/>
  <c r="X286" i="108"/>
  <c r="W285" i="108"/>
  <c r="V285" i="108"/>
  <c r="U285" i="108"/>
  <c r="T285" i="108"/>
  <c r="X285" i="108"/>
  <c r="W284" i="108"/>
  <c r="V284" i="108"/>
  <c r="U284" i="108"/>
  <c r="T284" i="108"/>
  <c r="X284" i="108"/>
  <c r="W283" i="108"/>
  <c r="V283" i="108"/>
  <c r="U283" i="108"/>
  <c r="T283" i="108"/>
  <c r="X283" i="108"/>
  <c r="W282" i="108"/>
  <c r="V282" i="108"/>
  <c r="U282" i="108"/>
  <c r="T282" i="108"/>
  <c r="X282" i="108"/>
  <c r="W281" i="108"/>
  <c r="V281" i="108"/>
  <c r="U281" i="108"/>
  <c r="T281" i="108"/>
  <c r="X281" i="108"/>
  <c r="W280" i="108"/>
  <c r="V280" i="108"/>
  <c r="U280" i="108"/>
  <c r="T280" i="108"/>
  <c r="X280" i="108"/>
  <c r="W279" i="108"/>
  <c r="V279" i="108"/>
  <c r="U279" i="108"/>
  <c r="T279" i="108"/>
  <c r="X279" i="108"/>
  <c r="W278" i="108"/>
  <c r="V278" i="108"/>
  <c r="U278" i="108"/>
  <c r="T278" i="108"/>
  <c r="X278" i="108"/>
  <c r="W277" i="108"/>
  <c r="V277" i="108"/>
  <c r="U277" i="108"/>
  <c r="T277" i="108"/>
  <c r="X277" i="108"/>
  <c r="W276" i="108"/>
  <c r="V276" i="108"/>
  <c r="U276" i="108"/>
  <c r="T276" i="108"/>
  <c r="X276" i="108"/>
  <c r="W275" i="108"/>
  <c r="V275" i="108"/>
  <c r="U275" i="108"/>
  <c r="T275" i="108"/>
  <c r="X275" i="108"/>
  <c r="W274" i="108"/>
  <c r="V274" i="108"/>
  <c r="U274" i="108"/>
  <c r="T274" i="108"/>
  <c r="X274" i="108"/>
  <c r="W273" i="108"/>
  <c r="V273" i="108"/>
  <c r="U273" i="108"/>
  <c r="T273" i="108"/>
  <c r="X273" i="108"/>
  <c r="W272" i="108"/>
  <c r="V272" i="108"/>
  <c r="U272" i="108"/>
  <c r="T272" i="108"/>
  <c r="X272" i="108"/>
  <c r="W271" i="108"/>
  <c r="V271" i="108"/>
  <c r="U271" i="108"/>
  <c r="T271" i="108"/>
  <c r="X271" i="108"/>
  <c r="W270" i="108"/>
  <c r="V270" i="108"/>
  <c r="U270" i="108"/>
  <c r="T270" i="108"/>
  <c r="X270" i="108"/>
  <c r="W269" i="108"/>
  <c r="V269" i="108"/>
  <c r="U269" i="108"/>
  <c r="T269" i="108"/>
  <c r="X269" i="108"/>
  <c r="W268" i="108"/>
  <c r="V268" i="108"/>
  <c r="U268" i="108"/>
  <c r="T268" i="108"/>
  <c r="X268" i="108"/>
  <c r="W267" i="108"/>
  <c r="V267" i="108"/>
  <c r="U267" i="108"/>
  <c r="T267" i="108"/>
  <c r="X267" i="108"/>
  <c r="W266" i="108"/>
  <c r="V266" i="108"/>
  <c r="U266" i="108"/>
  <c r="T266" i="108"/>
  <c r="X266" i="108"/>
  <c r="W265" i="108"/>
  <c r="V265" i="108"/>
  <c r="U265" i="108"/>
  <c r="T265" i="108"/>
  <c r="X265" i="108"/>
  <c r="W264" i="108"/>
  <c r="V264" i="108"/>
  <c r="U264" i="108"/>
  <c r="T264" i="108"/>
  <c r="X264" i="108"/>
  <c r="W263" i="108"/>
  <c r="V263" i="108"/>
  <c r="U263" i="108"/>
  <c r="T263" i="108"/>
  <c r="X263" i="108"/>
  <c r="W262" i="108"/>
  <c r="V262" i="108"/>
  <c r="U262" i="108"/>
  <c r="T262" i="108"/>
  <c r="X262" i="108"/>
  <c r="W261" i="108"/>
  <c r="V261" i="108"/>
  <c r="U261" i="108"/>
  <c r="T261" i="108"/>
  <c r="X261" i="108"/>
  <c r="W260" i="108"/>
  <c r="V260" i="108"/>
  <c r="U260" i="108"/>
  <c r="T260" i="108"/>
  <c r="X260" i="108"/>
  <c r="W259" i="108"/>
  <c r="V259" i="108"/>
  <c r="U259" i="108"/>
  <c r="T259" i="108"/>
  <c r="X259" i="108"/>
  <c r="W258" i="108"/>
  <c r="V258" i="108"/>
  <c r="U258" i="108"/>
  <c r="T258" i="108"/>
  <c r="X258" i="108"/>
  <c r="W257" i="108"/>
  <c r="V257" i="108"/>
  <c r="U257" i="108"/>
  <c r="T257" i="108"/>
  <c r="X257" i="108"/>
  <c r="W256" i="108"/>
  <c r="V256" i="108"/>
  <c r="U256" i="108"/>
  <c r="T256" i="108"/>
  <c r="X256" i="108"/>
  <c r="W255" i="108"/>
  <c r="V255" i="108"/>
  <c r="U255" i="108"/>
  <c r="T255" i="108"/>
  <c r="X255" i="108"/>
  <c r="W254" i="108"/>
  <c r="V254" i="108"/>
  <c r="U254" i="108"/>
  <c r="T254" i="108"/>
  <c r="X254" i="108"/>
  <c r="W253" i="108"/>
  <c r="V253" i="108"/>
  <c r="U253" i="108"/>
  <c r="T253" i="108"/>
  <c r="X253" i="108"/>
  <c r="W252" i="108"/>
  <c r="V252" i="108"/>
  <c r="U252" i="108"/>
  <c r="T252" i="108"/>
  <c r="X252" i="108"/>
  <c r="W251" i="108"/>
  <c r="V251" i="108"/>
  <c r="U251" i="108"/>
  <c r="T251" i="108"/>
  <c r="X251" i="108"/>
  <c r="W250" i="108"/>
  <c r="V250" i="108"/>
  <c r="U250" i="108"/>
  <c r="T250" i="108"/>
  <c r="X250" i="108"/>
  <c r="W249" i="108"/>
  <c r="V249" i="108"/>
  <c r="U249" i="108"/>
  <c r="T249" i="108"/>
  <c r="X249" i="108"/>
  <c r="W248" i="108"/>
  <c r="V248" i="108"/>
  <c r="U248" i="108"/>
  <c r="T248" i="108"/>
  <c r="X248" i="108"/>
  <c r="W247" i="108"/>
  <c r="V247" i="108"/>
  <c r="U247" i="108"/>
  <c r="T247" i="108"/>
  <c r="X247" i="108"/>
  <c r="W246" i="108"/>
  <c r="V246" i="108"/>
  <c r="U246" i="108"/>
  <c r="T246" i="108"/>
  <c r="X246" i="108"/>
  <c r="W245" i="108"/>
  <c r="V245" i="108"/>
  <c r="U245" i="108"/>
  <c r="T245" i="108"/>
  <c r="X245" i="108"/>
  <c r="W244" i="108"/>
  <c r="V244" i="108"/>
  <c r="U244" i="108"/>
  <c r="T244" i="108"/>
  <c r="X244" i="108"/>
  <c r="W243" i="108"/>
  <c r="V243" i="108"/>
  <c r="U243" i="108"/>
  <c r="T243" i="108"/>
  <c r="X243" i="108"/>
  <c r="W242" i="108"/>
  <c r="V242" i="108"/>
  <c r="U242" i="108"/>
  <c r="T242" i="108"/>
  <c r="X242" i="108"/>
  <c r="W241" i="108"/>
  <c r="V241" i="108"/>
  <c r="U241" i="108"/>
  <c r="T241" i="108"/>
  <c r="X241" i="108"/>
  <c r="W240" i="108"/>
  <c r="V240" i="108"/>
  <c r="U240" i="108"/>
  <c r="T240" i="108"/>
  <c r="X240" i="108"/>
  <c r="W239" i="108"/>
  <c r="V239" i="108"/>
  <c r="U239" i="108"/>
  <c r="T239" i="108"/>
  <c r="X239" i="108"/>
  <c r="W238" i="108"/>
  <c r="V238" i="108"/>
  <c r="U238" i="108"/>
  <c r="T238" i="108"/>
  <c r="X238" i="108"/>
  <c r="W229" i="108"/>
  <c r="V229" i="108"/>
  <c r="U229" i="108"/>
  <c r="T229" i="108"/>
  <c r="X229" i="108"/>
  <c r="W228" i="108"/>
  <c r="V228" i="108"/>
  <c r="U228" i="108"/>
  <c r="T228" i="108"/>
  <c r="X228" i="108"/>
  <c r="W227" i="108"/>
  <c r="V227" i="108"/>
  <c r="U227" i="108"/>
  <c r="T227" i="108"/>
  <c r="X227" i="108"/>
  <c r="W226" i="108"/>
  <c r="V226" i="108"/>
  <c r="U226" i="108"/>
  <c r="T226" i="108"/>
  <c r="X226" i="108"/>
  <c r="W225" i="108"/>
  <c r="V225" i="108"/>
  <c r="U225" i="108"/>
  <c r="T225" i="108"/>
  <c r="X225" i="108"/>
  <c r="W224" i="108"/>
  <c r="V224" i="108"/>
  <c r="U224" i="108"/>
  <c r="T224" i="108"/>
  <c r="X224" i="108"/>
  <c r="W223" i="108"/>
  <c r="V223" i="108"/>
  <c r="U223" i="108"/>
  <c r="T223" i="108"/>
  <c r="X223" i="108"/>
  <c r="X222" i="108"/>
  <c r="W222" i="108"/>
  <c r="V222" i="108"/>
  <c r="U222" i="108"/>
  <c r="T222" i="108"/>
  <c r="W221" i="108"/>
  <c r="V221" i="108"/>
  <c r="U221" i="108"/>
  <c r="T221" i="108"/>
  <c r="X221" i="108"/>
  <c r="W220" i="108"/>
  <c r="V220" i="108"/>
  <c r="U220" i="108"/>
  <c r="T220" i="108"/>
  <c r="X220" i="108"/>
  <c r="W219" i="108"/>
  <c r="V219" i="108"/>
  <c r="U219" i="108"/>
  <c r="T219" i="108"/>
  <c r="X219" i="108"/>
  <c r="W218" i="108"/>
  <c r="V218" i="108"/>
  <c r="U218" i="108"/>
  <c r="T218" i="108"/>
  <c r="X218" i="108"/>
  <c r="W217" i="108"/>
  <c r="V217" i="108"/>
  <c r="U217" i="108"/>
  <c r="T217" i="108"/>
  <c r="X217" i="108"/>
  <c r="W216" i="108"/>
  <c r="V216" i="108"/>
  <c r="U216" i="108"/>
  <c r="T216" i="108"/>
  <c r="X216" i="108"/>
  <c r="W215" i="108"/>
  <c r="V215" i="108"/>
  <c r="U215" i="108"/>
  <c r="T215" i="108"/>
  <c r="X215" i="108"/>
  <c r="W214" i="108"/>
  <c r="V214" i="108"/>
  <c r="U214" i="108"/>
  <c r="T214" i="108"/>
  <c r="X214" i="108"/>
  <c r="W213" i="108"/>
  <c r="V213" i="108"/>
  <c r="U213" i="108"/>
  <c r="T213" i="108"/>
  <c r="X213" i="108"/>
  <c r="W212" i="108"/>
  <c r="V212" i="108"/>
  <c r="U212" i="108"/>
  <c r="T212" i="108"/>
  <c r="X212" i="108"/>
  <c r="W211" i="108"/>
  <c r="V211" i="108"/>
  <c r="U211" i="108"/>
  <c r="T211" i="108"/>
  <c r="X211" i="108"/>
  <c r="W210" i="108"/>
  <c r="V210" i="108"/>
  <c r="U210" i="108"/>
  <c r="T210" i="108"/>
  <c r="X210" i="108"/>
  <c r="W209" i="108"/>
  <c r="V209" i="108"/>
  <c r="U209" i="108"/>
  <c r="T209" i="108"/>
  <c r="X209" i="108"/>
  <c r="W208" i="108"/>
  <c r="V208" i="108"/>
  <c r="U208" i="108"/>
  <c r="T208" i="108"/>
  <c r="X208" i="108"/>
  <c r="W207" i="108"/>
  <c r="V207" i="108"/>
  <c r="U207" i="108"/>
  <c r="T207" i="108"/>
  <c r="X207" i="108"/>
  <c r="W206" i="108"/>
  <c r="V206" i="108"/>
  <c r="U206" i="108"/>
  <c r="T206" i="108"/>
  <c r="X206" i="108"/>
  <c r="W205" i="108"/>
  <c r="V205" i="108"/>
  <c r="U205" i="108"/>
  <c r="T205" i="108"/>
  <c r="X205" i="108"/>
  <c r="W204" i="108"/>
  <c r="V204" i="108"/>
  <c r="U204" i="108"/>
  <c r="T204" i="108"/>
  <c r="X204" i="108"/>
  <c r="W203" i="108"/>
  <c r="V203" i="108"/>
  <c r="U203" i="108"/>
  <c r="T203" i="108"/>
  <c r="X203" i="108"/>
  <c r="W202" i="108"/>
  <c r="V202" i="108"/>
  <c r="U202" i="108"/>
  <c r="T202" i="108"/>
  <c r="X202" i="108"/>
  <c r="W201" i="108"/>
  <c r="V201" i="108"/>
  <c r="U201" i="108"/>
  <c r="T201" i="108"/>
  <c r="X201" i="108"/>
  <c r="W200" i="108"/>
  <c r="V200" i="108"/>
  <c r="U200" i="108"/>
  <c r="T200" i="108"/>
  <c r="X200" i="108"/>
  <c r="W199" i="108"/>
  <c r="V199" i="108"/>
  <c r="U199" i="108"/>
  <c r="T199" i="108"/>
  <c r="X199" i="108"/>
  <c r="W198" i="108"/>
  <c r="V198" i="108"/>
  <c r="U198" i="108"/>
  <c r="T198" i="108"/>
  <c r="X198" i="108"/>
  <c r="W197" i="108"/>
  <c r="V197" i="108"/>
  <c r="U197" i="108"/>
  <c r="T197" i="108"/>
  <c r="X197" i="108"/>
  <c r="W196" i="108"/>
  <c r="V196" i="108"/>
  <c r="U196" i="108"/>
  <c r="T196" i="108"/>
  <c r="X196" i="108"/>
  <c r="W195" i="108"/>
  <c r="V195" i="108"/>
  <c r="U195" i="108"/>
  <c r="T195" i="108"/>
  <c r="X195" i="108"/>
  <c r="W194" i="108"/>
  <c r="V194" i="108"/>
  <c r="U194" i="108"/>
  <c r="T194" i="108"/>
  <c r="X194" i="108"/>
  <c r="W193" i="108"/>
  <c r="V193" i="108"/>
  <c r="U193" i="108"/>
  <c r="T193" i="108"/>
  <c r="X193" i="108"/>
  <c r="W192" i="108"/>
  <c r="V192" i="108"/>
  <c r="U192" i="108"/>
  <c r="T192" i="108"/>
  <c r="X192" i="108"/>
  <c r="W191" i="108"/>
  <c r="V191" i="108"/>
  <c r="U191" i="108"/>
  <c r="T191" i="108"/>
  <c r="X191" i="108"/>
  <c r="W190" i="108"/>
  <c r="V190" i="108"/>
  <c r="U190" i="108"/>
  <c r="T190" i="108"/>
  <c r="X190" i="108"/>
  <c r="W189" i="108"/>
  <c r="V189" i="108"/>
  <c r="U189" i="108"/>
  <c r="T189" i="108"/>
  <c r="X189" i="108"/>
  <c r="W188" i="108"/>
  <c r="V188" i="108"/>
  <c r="U188" i="108"/>
  <c r="T188" i="108"/>
  <c r="X188" i="108"/>
  <c r="W187" i="108"/>
  <c r="V187" i="108"/>
  <c r="U187" i="108"/>
  <c r="T187" i="108"/>
  <c r="X187" i="108"/>
  <c r="W186" i="108"/>
  <c r="V186" i="108"/>
  <c r="U186" i="108"/>
  <c r="T186" i="108"/>
  <c r="X186" i="108"/>
  <c r="W185" i="108"/>
  <c r="V185" i="108"/>
  <c r="U185" i="108"/>
  <c r="T185" i="108"/>
  <c r="X185" i="108"/>
  <c r="W184" i="108"/>
  <c r="V184" i="108"/>
  <c r="U184" i="108"/>
  <c r="T184" i="108"/>
  <c r="X184" i="108"/>
  <c r="W183" i="108"/>
  <c r="V183" i="108"/>
  <c r="U183" i="108"/>
  <c r="T183" i="108"/>
  <c r="X183" i="108"/>
  <c r="W182" i="108"/>
  <c r="V182" i="108"/>
  <c r="U182" i="108"/>
  <c r="T182" i="108"/>
  <c r="X182" i="108"/>
  <c r="W181" i="108"/>
  <c r="V181" i="108"/>
  <c r="U181" i="108"/>
  <c r="T181" i="108"/>
  <c r="X181" i="108"/>
  <c r="W180" i="108"/>
  <c r="V180" i="108"/>
  <c r="U180" i="108"/>
  <c r="T180" i="108"/>
  <c r="X180" i="108"/>
  <c r="W179" i="108"/>
  <c r="V179" i="108"/>
  <c r="U179" i="108"/>
  <c r="T179" i="108"/>
  <c r="X179" i="108"/>
  <c r="W178" i="108"/>
  <c r="V178" i="108"/>
  <c r="U178" i="108"/>
  <c r="T178" i="108"/>
  <c r="X178" i="108"/>
  <c r="W177" i="108"/>
  <c r="V177" i="108"/>
  <c r="U177" i="108"/>
  <c r="T177" i="108"/>
  <c r="X177" i="108"/>
  <c r="W176" i="108"/>
  <c r="V176" i="108"/>
  <c r="U176" i="108"/>
  <c r="T176" i="108"/>
  <c r="X176" i="108"/>
  <c r="W175" i="108"/>
  <c r="V175" i="108"/>
  <c r="U175" i="108"/>
  <c r="T175" i="108"/>
  <c r="X175" i="108"/>
  <c r="W174" i="108"/>
  <c r="V174" i="108"/>
  <c r="U174" i="108"/>
  <c r="T174" i="108"/>
  <c r="X174" i="108"/>
  <c r="W173" i="108"/>
  <c r="V173" i="108"/>
  <c r="U173" i="108"/>
  <c r="T173" i="108"/>
  <c r="X173" i="108"/>
  <c r="W172" i="108"/>
  <c r="V172" i="108"/>
  <c r="U172" i="108"/>
  <c r="T172" i="108"/>
  <c r="X172" i="108"/>
  <c r="W171" i="108"/>
  <c r="V171" i="108"/>
  <c r="U171" i="108"/>
  <c r="T171" i="108"/>
  <c r="X171" i="108"/>
  <c r="W170" i="108"/>
  <c r="V170" i="108"/>
  <c r="U170" i="108"/>
  <c r="T170" i="108"/>
  <c r="X170" i="108"/>
  <c r="W169" i="108"/>
  <c r="V169" i="108"/>
  <c r="U169" i="108"/>
  <c r="T169" i="108"/>
  <c r="X169" i="108"/>
  <c r="W168" i="108"/>
  <c r="V168" i="108"/>
  <c r="U168" i="108"/>
  <c r="T168" i="108"/>
  <c r="X168" i="108"/>
  <c r="W167" i="108"/>
  <c r="V167" i="108"/>
  <c r="U167" i="108"/>
  <c r="T167" i="108"/>
  <c r="X167" i="108"/>
  <c r="W166" i="108"/>
  <c r="V166" i="108"/>
  <c r="U166" i="108"/>
  <c r="T166" i="108"/>
  <c r="X166" i="108"/>
  <c r="W165" i="108"/>
  <c r="V165" i="108"/>
  <c r="U165" i="108"/>
  <c r="T165" i="108"/>
  <c r="X165" i="108"/>
  <c r="W164" i="108"/>
  <c r="V164" i="108"/>
  <c r="U164" i="108"/>
  <c r="T164" i="108"/>
  <c r="X164" i="108"/>
  <c r="W163" i="108"/>
  <c r="V163" i="108"/>
  <c r="U163" i="108"/>
  <c r="T163" i="108"/>
  <c r="X163" i="108"/>
  <c r="W162" i="108"/>
  <c r="V162" i="108"/>
  <c r="U162" i="108"/>
  <c r="T162" i="108"/>
  <c r="X162" i="108"/>
  <c r="W161" i="108"/>
  <c r="V161" i="108"/>
  <c r="U161" i="108"/>
  <c r="T161" i="108"/>
  <c r="X161" i="108"/>
  <c r="X153" i="108"/>
  <c r="X152" i="108"/>
  <c r="X151" i="108"/>
  <c r="X150" i="108"/>
  <c r="X149" i="108"/>
  <c r="X148" i="108"/>
  <c r="X147" i="108"/>
  <c r="W153" i="108"/>
  <c r="V153" i="108"/>
  <c r="U153" i="108"/>
  <c r="T153" i="108"/>
  <c r="W152" i="108"/>
  <c r="V152" i="108"/>
  <c r="U152" i="108"/>
  <c r="T152" i="108"/>
  <c r="W151" i="108"/>
  <c r="V151" i="108"/>
  <c r="U151" i="108"/>
  <c r="T151" i="108"/>
  <c r="W150" i="108"/>
  <c r="V150" i="108"/>
  <c r="U150" i="108"/>
  <c r="T150" i="108"/>
  <c r="W149" i="108"/>
  <c r="V149" i="108"/>
  <c r="U149" i="108"/>
  <c r="T149" i="108"/>
  <c r="W148" i="108"/>
  <c r="V148" i="108"/>
  <c r="U148" i="108"/>
  <c r="T148" i="108"/>
  <c r="W147" i="108"/>
  <c r="V147" i="108"/>
  <c r="U147" i="108"/>
  <c r="T147" i="108"/>
  <c r="T19" i="108"/>
  <c r="U19" i="108"/>
  <c r="X19" i="108"/>
  <c r="V19" i="108"/>
  <c r="W19" i="108"/>
  <c r="T20" i="108"/>
  <c r="U20" i="108"/>
  <c r="X20" i="108"/>
  <c r="V20" i="108"/>
  <c r="W20" i="108"/>
  <c r="T21" i="108"/>
  <c r="U21" i="108"/>
  <c r="V21" i="108"/>
  <c r="W21" i="108"/>
  <c r="X21" i="108"/>
  <c r="T22" i="108"/>
  <c r="U22" i="108"/>
  <c r="X22" i="108"/>
  <c r="V22" i="108"/>
  <c r="W22" i="108"/>
  <c r="T23" i="108"/>
  <c r="U23" i="108"/>
  <c r="X23" i="108"/>
  <c r="V23" i="108"/>
  <c r="W23" i="108"/>
  <c r="T24" i="108"/>
  <c r="U24" i="108"/>
  <c r="X24" i="108"/>
  <c r="V24" i="108"/>
  <c r="W24" i="108"/>
  <c r="T25" i="108"/>
  <c r="U25" i="108"/>
  <c r="V25" i="108"/>
  <c r="W25" i="108"/>
  <c r="X25" i="108"/>
  <c r="T26" i="108"/>
  <c r="U26" i="108"/>
  <c r="X26" i="108"/>
  <c r="V26" i="108"/>
  <c r="W26" i="108"/>
  <c r="T27" i="108"/>
  <c r="U27" i="108"/>
  <c r="X27" i="108"/>
  <c r="V27" i="108"/>
  <c r="W27" i="108"/>
  <c r="T28" i="108"/>
  <c r="X28" i="108"/>
  <c r="U28" i="108"/>
  <c r="V28" i="108"/>
  <c r="W28" i="108"/>
  <c r="T29" i="108"/>
  <c r="U29" i="108"/>
  <c r="V29" i="108"/>
  <c r="W29" i="108"/>
  <c r="X29" i="108"/>
  <c r="T30" i="108"/>
  <c r="U30" i="108"/>
  <c r="X30" i="108"/>
  <c r="V30" i="108"/>
  <c r="W30" i="108"/>
  <c r="T31" i="108"/>
  <c r="U31" i="108"/>
  <c r="X31" i="108"/>
  <c r="V31" i="108"/>
  <c r="W31" i="108"/>
  <c r="T32" i="108"/>
  <c r="X32" i="108"/>
  <c r="U32" i="108"/>
  <c r="V32" i="108"/>
  <c r="W32" i="108"/>
  <c r="T33" i="108"/>
  <c r="U33" i="108"/>
  <c r="V33" i="108"/>
  <c r="W33" i="108"/>
  <c r="X33" i="108"/>
  <c r="T34" i="108"/>
  <c r="U34" i="108"/>
  <c r="X34" i="108"/>
  <c r="V34" i="108"/>
  <c r="W34" i="108"/>
  <c r="T35" i="108"/>
  <c r="U35" i="108"/>
  <c r="X35" i="108"/>
  <c r="V35" i="108"/>
  <c r="W35" i="108"/>
  <c r="T36" i="108"/>
  <c r="U36" i="108"/>
  <c r="X36" i="108"/>
  <c r="V36" i="108"/>
  <c r="W36" i="108"/>
  <c r="T37" i="108"/>
  <c r="U37" i="108"/>
  <c r="V37" i="108"/>
  <c r="W37" i="108"/>
  <c r="X37" i="108"/>
  <c r="T38" i="108"/>
  <c r="U38" i="108"/>
  <c r="X38" i="108"/>
  <c r="V38" i="108"/>
  <c r="W38" i="108"/>
  <c r="T39" i="108"/>
  <c r="U39" i="108"/>
  <c r="X39" i="108"/>
  <c r="V39" i="108"/>
  <c r="W39" i="108"/>
  <c r="T40" i="108"/>
  <c r="X40" i="108"/>
  <c r="U40" i="108"/>
  <c r="V40" i="108"/>
  <c r="W40" i="108"/>
  <c r="T41" i="108"/>
  <c r="X41" i="108"/>
  <c r="U41" i="108"/>
  <c r="V41" i="108"/>
  <c r="W41" i="108"/>
  <c r="T42" i="108"/>
  <c r="U42" i="108"/>
  <c r="X42" i="108"/>
  <c r="V42" i="108"/>
  <c r="W42" i="108"/>
  <c r="T43" i="108"/>
  <c r="U43" i="108"/>
  <c r="X43" i="108"/>
  <c r="V43" i="108"/>
  <c r="W43" i="108"/>
  <c r="T44" i="108"/>
  <c r="U44" i="108"/>
  <c r="X44" i="108"/>
  <c r="V44" i="108"/>
  <c r="W44" i="108"/>
  <c r="T45" i="108"/>
  <c r="U45" i="108"/>
  <c r="V45" i="108"/>
  <c r="W45" i="108"/>
  <c r="X45" i="108"/>
  <c r="T46" i="108"/>
  <c r="U46" i="108"/>
  <c r="X46" i="108"/>
  <c r="V46" i="108"/>
  <c r="W46" i="108"/>
  <c r="T47" i="108"/>
  <c r="U47" i="108"/>
  <c r="X47" i="108"/>
  <c r="V47" i="108"/>
  <c r="W47" i="108"/>
  <c r="T48" i="108"/>
  <c r="U48" i="108"/>
  <c r="X48" i="108"/>
  <c r="V48" i="108"/>
  <c r="W48" i="108"/>
  <c r="T49" i="108"/>
  <c r="X49" i="108"/>
  <c r="U49" i="108"/>
  <c r="V49" i="108"/>
  <c r="W49" i="108"/>
  <c r="T50" i="108"/>
  <c r="U50" i="108"/>
  <c r="X50" i="108"/>
  <c r="V50" i="108"/>
  <c r="W50" i="108"/>
  <c r="T51" i="108"/>
  <c r="U51" i="108"/>
  <c r="X51" i="108"/>
  <c r="V51" i="108"/>
  <c r="W51" i="108"/>
  <c r="T52" i="108"/>
  <c r="X52" i="108"/>
  <c r="U52" i="108"/>
  <c r="V52" i="108"/>
  <c r="W52" i="108"/>
  <c r="T53" i="108"/>
  <c r="X53" i="108"/>
  <c r="U53" i="108"/>
  <c r="V53" i="108"/>
  <c r="W53" i="108"/>
  <c r="T54" i="108"/>
  <c r="U54" i="108"/>
  <c r="X54" i="108"/>
  <c r="V54" i="108"/>
  <c r="W54" i="108"/>
  <c r="T55" i="108"/>
  <c r="U55" i="108"/>
  <c r="X55" i="108"/>
  <c r="V55" i="108"/>
  <c r="W55" i="108"/>
  <c r="T56" i="108"/>
  <c r="U56" i="108"/>
  <c r="X56" i="108"/>
  <c r="V56" i="108"/>
  <c r="W56" i="108"/>
  <c r="T57" i="108"/>
  <c r="U57" i="108"/>
  <c r="V57" i="108"/>
  <c r="W57" i="108"/>
  <c r="X57" i="108"/>
  <c r="T58" i="108"/>
  <c r="U58" i="108"/>
  <c r="X58" i="108"/>
  <c r="V58" i="108"/>
  <c r="W58" i="108"/>
  <c r="T59" i="108"/>
  <c r="U59" i="108"/>
  <c r="X59" i="108"/>
  <c r="V59" i="108"/>
  <c r="W59" i="108"/>
  <c r="T60" i="108"/>
  <c r="U60" i="108"/>
  <c r="X60" i="108"/>
  <c r="V60" i="108"/>
  <c r="W60" i="108"/>
  <c r="T61" i="108"/>
  <c r="X61" i="108"/>
  <c r="U61" i="108"/>
  <c r="V61" i="108"/>
  <c r="W61" i="108"/>
  <c r="T62" i="108"/>
  <c r="U62" i="108"/>
  <c r="X62" i="108"/>
  <c r="V62" i="108"/>
  <c r="W62" i="108"/>
  <c r="T63" i="108"/>
  <c r="U63" i="108"/>
  <c r="X63" i="108"/>
  <c r="V63" i="108"/>
  <c r="W63" i="108"/>
  <c r="T64" i="108"/>
  <c r="U64" i="108"/>
  <c r="X64" i="108"/>
  <c r="V64" i="108"/>
  <c r="W64" i="108"/>
  <c r="T65" i="108"/>
  <c r="U65" i="108"/>
  <c r="V65" i="108"/>
  <c r="W65" i="108"/>
  <c r="X65" i="108"/>
  <c r="T66" i="108"/>
  <c r="U66" i="108"/>
  <c r="X66" i="108"/>
  <c r="V66" i="108"/>
  <c r="W66" i="108"/>
  <c r="T67" i="108"/>
  <c r="U67" i="108"/>
  <c r="X67" i="108"/>
  <c r="V67" i="108"/>
  <c r="W67" i="108"/>
  <c r="T68" i="108"/>
  <c r="U68" i="108"/>
  <c r="X68" i="108"/>
  <c r="V68" i="108"/>
  <c r="W68" i="108"/>
  <c r="T69" i="108"/>
  <c r="U69" i="108"/>
  <c r="V69" i="108"/>
  <c r="W69" i="108"/>
  <c r="X69" i="108"/>
  <c r="T70" i="108"/>
  <c r="U70" i="108"/>
  <c r="X70" i="108"/>
  <c r="V70" i="108"/>
  <c r="W70" i="108"/>
  <c r="T71" i="108"/>
  <c r="U71" i="108"/>
  <c r="X71" i="108"/>
  <c r="V71" i="108"/>
  <c r="W71" i="108"/>
  <c r="T72" i="108"/>
  <c r="U72" i="108"/>
  <c r="X72" i="108"/>
  <c r="V72" i="108"/>
  <c r="W72" i="108"/>
  <c r="T73" i="108"/>
  <c r="U73" i="108"/>
  <c r="V73" i="108"/>
  <c r="W73" i="108"/>
  <c r="X73" i="108"/>
  <c r="T74" i="108"/>
  <c r="U74" i="108"/>
  <c r="X74" i="108"/>
  <c r="V74" i="108"/>
  <c r="W74" i="108"/>
  <c r="T75" i="108"/>
  <c r="U75" i="108"/>
  <c r="X75" i="108"/>
  <c r="V75" i="108"/>
  <c r="W75" i="108"/>
  <c r="T76" i="108"/>
  <c r="U76" i="108"/>
  <c r="X76" i="108"/>
  <c r="V76" i="108"/>
  <c r="W76" i="108"/>
  <c r="T77" i="108"/>
  <c r="U77" i="108"/>
  <c r="V77" i="108"/>
  <c r="W77" i="108"/>
  <c r="X77" i="108"/>
  <c r="T78" i="108"/>
  <c r="U78" i="108"/>
  <c r="X78" i="108"/>
  <c r="V78" i="108"/>
  <c r="W78" i="108"/>
  <c r="T79" i="108"/>
  <c r="U79" i="108"/>
  <c r="X79" i="108"/>
  <c r="V79" i="108"/>
  <c r="W79" i="108"/>
  <c r="T80" i="108"/>
  <c r="X80" i="108"/>
  <c r="U80" i="108"/>
  <c r="V80" i="108"/>
  <c r="W80" i="108"/>
  <c r="T81" i="108"/>
  <c r="X81" i="108"/>
  <c r="U81" i="108"/>
  <c r="V81" i="108"/>
  <c r="W81" i="108"/>
  <c r="T82" i="108"/>
  <c r="U82" i="108"/>
  <c r="X82" i="108"/>
  <c r="V82" i="108"/>
  <c r="W82" i="108"/>
  <c r="T83" i="108"/>
  <c r="U83" i="108"/>
  <c r="X83" i="108"/>
  <c r="V83" i="108"/>
  <c r="W83" i="108"/>
  <c r="T84" i="108"/>
  <c r="X84" i="108"/>
  <c r="U84" i="108"/>
  <c r="V84" i="108"/>
  <c r="W84" i="108"/>
  <c r="T85" i="108"/>
  <c r="U85" i="108"/>
  <c r="V85" i="108"/>
  <c r="W85" i="108"/>
  <c r="X85" i="108"/>
  <c r="T86" i="108"/>
  <c r="U86" i="108"/>
  <c r="X86" i="108"/>
  <c r="V86" i="108"/>
  <c r="W86" i="108"/>
  <c r="T87" i="108"/>
  <c r="U87" i="108"/>
  <c r="X87" i="108"/>
  <c r="V87" i="108"/>
  <c r="W87" i="108"/>
  <c r="T88" i="108"/>
  <c r="U88" i="108"/>
  <c r="X88" i="108"/>
  <c r="V88" i="108"/>
  <c r="W88" i="108"/>
  <c r="T89" i="108"/>
  <c r="U89" i="108"/>
  <c r="V89" i="108"/>
  <c r="W89" i="108"/>
  <c r="X89" i="108"/>
  <c r="T90" i="108"/>
  <c r="U90" i="108"/>
  <c r="X90" i="108"/>
  <c r="V90" i="108"/>
  <c r="W90" i="108"/>
  <c r="T91" i="108"/>
  <c r="U91" i="108"/>
  <c r="X91" i="108"/>
  <c r="V91" i="108"/>
  <c r="W91" i="108"/>
  <c r="T92" i="108"/>
  <c r="X92" i="108"/>
  <c r="U92" i="108"/>
  <c r="V92" i="108"/>
  <c r="W92" i="108"/>
  <c r="T93" i="108"/>
  <c r="X93" i="108"/>
  <c r="U93" i="108"/>
  <c r="V93" i="108"/>
  <c r="W93" i="108"/>
  <c r="T94" i="108"/>
  <c r="U94" i="108"/>
  <c r="X94" i="108"/>
  <c r="V94" i="108"/>
  <c r="W94" i="108"/>
  <c r="T95" i="108"/>
  <c r="U95" i="108"/>
  <c r="X95" i="108"/>
  <c r="V95" i="108"/>
  <c r="W95" i="108"/>
  <c r="T96" i="108"/>
  <c r="X96" i="108"/>
  <c r="U96" i="108"/>
  <c r="V96" i="108"/>
  <c r="W96" i="108"/>
  <c r="T97" i="108"/>
  <c r="X97" i="108"/>
  <c r="U97" i="108"/>
  <c r="V97" i="108"/>
  <c r="W97" i="108"/>
  <c r="T98" i="108"/>
  <c r="U98" i="108"/>
  <c r="X98" i="108"/>
  <c r="V98" i="108"/>
  <c r="W98" i="108"/>
  <c r="T99" i="108"/>
  <c r="U99" i="108"/>
  <c r="X99" i="108"/>
  <c r="V99" i="108"/>
  <c r="W99" i="108"/>
  <c r="T100" i="108"/>
  <c r="U100" i="108"/>
  <c r="X100" i="108"/>
  <c r="V100" i="108"/>
  <c r="W100" i="108"/>
  <c r="T101" i="108"/>
  <c r="U101" i="108"/>
  <c r="V101" i="108"/>
  <c r="W101" i="108"/>
  <c r="X101" i="108"/>
  <c r="T102" i="108"/>
  <c r="U102" i="108"/>
  <c r="X102" i="108"/>
  <c r="V102" i="108"/>
  <c r="W102" i="108"/>
  <c r="T103" i="108"/>
  <c r="U103" i="108"/>
  <c r="X103" i="108"/>
  <c r="V103" i="108"/>
  <c r="W103" i="108"/>
  <c r="T104" i="108"/>
  <c r="X104" i="108"/>
  <c r="U104" i="108"/>
  <c r="V104" i="108"/>
  <c r="W104" i="108"/>
  <c r="T105" i="108"/>
  <c r="U105" i="108"/>
  <c r="V105" i="108"/>
  <c r="W105" i="108"/>
  <c r="X105" i="108"/>
  <c r="T106" i="108"/>
  <c r="U106" i="108"/>
  <c r="X106" i="108"/>
  <c r="V106" i="108"/>
  <c r="W106" i="108"/>
  <c r="T107" i="108"/>
  <c r="U107" i="108"/>
  <c r="X107" i="108"/>
  <c r="V107" i="108"/>
  <c r="W107" i="108"/>
  <c r="T108" i="108"/>
  <c r="U108" i="108"/>
  <c r="X108" i="108"/>
  <c r="V108" i="108"/>
  <c r="W108" i="108"/>
  <c r="T109" i="108"/>
  <c r="U109" i="108"/>
  <c r="V109" i="108"/>
  <c r="W109" i="108"/>
  <c r="X109" i="108"/>
  <c r="T110" i="108"/>
  <c r="U110" i="108"/>
  <c r="X110" i="108"/>
  <c r="V110" i="108"/>
  <c r="W110" i="108"/>
  <c r="T111" i="108"/>
  <c r="U111" i="108"/>
  <c r="X111" i="108"/>
  <c r="V111" i="108"/>
  <c r="W111" i="108"/>
  <c r="T112" i="108"/>
  <c r="U112" i="108"/>
  <c r="X112" i="108"/>
  <c r="V112" i="108"/>
  <c r="W112" i="108"/>
  <c r="T113" i="108"/>
  <c r="U113" i="108"/>
  <c r="V113" i="108"/>
  <c r="W113" i="108"/>
  <c r="X113" i="108"/>
  <c r="T114" i="108"/>
  <c r="U114" i="108"/>
  <c r="X114" i="108"/>
  <c r="V114" i="108"/>
  <c r="W114" i="108"/>
  <c r="T115" i="108"/>
  <c r="U115" i="108"/>
  <c r="X115" i="108"/>
  <c r="V115" i="108"/>
  <c r="W115" i="108"/>
  <c r="T116" i="108"/>
  <c r="X116" i="108"/>
  <c r="U116" i="108"/>
  <c r="V116" i="108"/>
  <c r="W116" i="108"/>
  <c r="T117" i="108"/>
  <c r="U117" i="108"/>
  <c r="V117" i="108"/>
  <c r="W117" i="108"/>
  <c r="X117" i="108"/>
  <c r="T118" i="108"/>
  <c r="U118" i="108"/>
  <c r="X118" i="108"/>
  <c r="V118" i="108"/>
  <c r="W118" i="108"/>
  <c r="T119" i="108"/>
  <c r="U119" i="108"/>
  <c r="X119" i="108"/>
  <c r="V119" i="108"/>
  <c r="W119" i="108"/>
  <c r="T120" i="108"/>
  <c r="U120" i="108"/>
  <c r="X120" i="108"/>
  <c r="V120" i="108"/>
  <c r="W120" i="108"/>
  <c r="T121" i="108"/>
  <c r="X121" i="108"/>
  <c r="U121" i="108"/>
  <c r="V121" i="108"/>
  <c r="W121" i="108"/>
  <c r="T122" i="108"/>
  <c r="U122" i="108"/>
  <c r="X122" i="108"/>
  <c r="V122" i="108"/>
  <c r="W122" i="108"/>
  <c r="T123" i="108"/>
  <c r="X123" i="108"/>
  <c r="U123" i="108"/>
  <c r="V123" i="108"/>
  <c r="W123" i="108"/>
  <c r="T124" i="108"/>
  <c r="U124" i="108"/>
  <c r="X124" i="108"/>
  <c r="V124" i="108"/>
  <c r="W124" i="108"/>
  <c r="T125" i="108"/>
  <c r="U125" i="108"/>
  <c r="V125" i="108"/>
  <c r="W125" i="108"/>
  <c r="X125" i="108"/>
  <c r="T126" i="108"/>
  <c r="U126" i="108"/>
  <c r="X126" i="108"/>
  <c r="V126" i="108"/>
  <c r="W126" i="108"/>
  <c r="T127" i="108"/>
  <c r="U127" i="108"/>
  <c r="X127" i="108"/>
  <c r="V127" i="108"/>
  <c r="W127" i="108"/>
  <c r="T128" i="108"/>
  <c r="U128" i="108"/>
  <c r="X128" i="108"/>
  <c r="V128" i="108"/>
  <c r="W128" i="108"/>
  <c r="T129" i="108"/>
  <c r="U129" i="108"/>
  <c r="V129" i="108"/>
  <c r="W129" i="108"/>
  <c r="X129" i="108"/>
  <c r="T130" i="108"/>
  <c r="U130" i="108"/>
  <c r="X130" i="108"/>
  <c r="V130" i="108"/>
  <c r="W130" i="108"/>
  <c r="T131" i="108"/>
  <c r="U131" i="108"/>
  <c r="X131" i="108"/>
  <c r="V131" i="108"/>
  <c r="W131" i="108"/>
  <c r="T132" i="108"/>
  <c r="X132" i="108"/>
  <c r="U132" i="108"/>
  <c r="V132" i="108"/>
  <c r="W132" i="108"/>
  <c r="T133" i="108"/>
  <c r="U133" i="108"/>
  <c r="V133" i="108"/>
  <c r="W133" i="108"/>
  <c r="X133" i="108"/>
  <c r="T134" i="108"/>
  <c r="U134" i="108"/>
  <c r="X134" i="108"/>
  <c r="V134" i="108"/>
  <c r="W134" i="108"/>
  <c r="T135" i="108"/>
  <c r="U135" i="108"/>
  <c r="X135" i="108"/>
  <c r="V135" i="108"/>
  <c r="W135" i="108"/>
  <c r="T136" i="108"/>
  <c r="U136" i="108"/>
  <c r="X136" i="108"/>
  <c r="V136" i="108"/>
  <c r="W136" i="108"/>
  <c r="T137" i="108"/>
  <c r="U137" i="108"/>
  <c r="V137" i="108"/>
  <c r="W137" i="108"/>
  <c r="X137" i="108"/>
  <c r="T138" i="108"/>
  <c r="U138" i="108"/>
  <c r="X138" i="108"/>
  <c r="V138" i="108"/>
  <c r="W138" i="108"/>
  <c r="T139" i="108"/>
  <c r="U139" i="108"/>
  <c r="X139" i="108"/>
  <c r="V139" i="108"/>
  <c r="W139" i="108"/>
  <c r="U18" i="108"/>
  <c r="X18" i="108" s="1"/>
  <c r="X141" i="108" s="1"/>
  <c r="X144" i="108" s="1"/>
  <c r="V18" i="108"/>
  <c r="V141" i="108" s="1"/>
  <c r="V144" i="108" s="1"/>
  <c r="V9" i="108" s="1"/>
  <c r="V13" i="108" s="1"/>
  <c r="M8" i="112" s="1"/>
  <c r="W18" i="108"/>
  <c r="W141" i="108" s="1"/>
  <c r="W144" i="108" s="1"/>
  <c r="W9" i="108" s="1"/>
  <c r="W13" i="108" s="1"/>
  <c r="N8" i="112" s="1"/>
  <c r="T18" i="108"/>
  <c r="X11" i="108"/>
  <c r="M255" i="108"/>
  <c r="M254" i="108"/>
  <c r="M198" i="108"/>
  <c r="M197" i="108"/>
  <c r="M190" i="108"/>
  <c r="M189" i="108"/>
  <c r="M127" i="108"/>
  <c r="M109" i="108"/>
  <c r="M108" i="108"/>
  <c r="M107" i="108"/>
  <c r="M106" i="108"/>
  <c r="M101" i="108"/>
  <c r="M100" i="108"/>
  <c r="M66" i="108"/>
  <c r="M65" i="108"/>
  <c r="M62" i="108"/>
  <c r="M61" i="108"/>
  <c r="M60" i="108"/>
  <c r="M59" i="108"/>
  <c r="M45" i="108"/>
  <c r="M44" i="108"/>
  <c r="M41" i="108"/>
  <c r="M40" i="108"/>
  <c r="M35" i="108"/>
  <c r="M34" i="108"/>
  <c r="L279" i="108"/>
  <c r="L278" i="108"/>
  <c r="L257" i="108"/>
  <c r="L256" i="108"/>
  <c r="L222" i="108"/>
  <c r="L221" i="108"/>
  <c r="L214" i="108"/>
  <c r="L213" i="108"/>
  <c r="L206" i="108"/>
  <c r="L203" i="108"/>
  <c r="L205" i="108"/>
  <c r="L204" i="108"/>
  <c r="L200" i="108"/>
  <c r="L199" i="108"/>
  <c r="L192" i="108"/>
  <c r="L191" i="108"/>
  <c r="L186" i="108"/>
  <c r="L185" i="108"/>
  <c r="L182" i="108"/>
  <c r="L181" i="108"/>
  <c r="L173" i="108"/>
  <c r="L172" i="108"/>
  <c r="L171" i="108"/>
  <c r="L170" i="108"/>
  <c r="L169" i="108"/>
  <c r="L168" i="108"/>
  <c r="L167" i="108"/>
  <c r="L164" i="108"/>
  <c r="L163" i="108"/>
  <c r="L162" i="108"/>
  <c r="L161" i="108"/>
  <c r="L136" i="108"/>
  <c r="L135" i="108"/>
  <c r="L134" i="108"/>
  <c r="L131" i="108"/>
  <c r="L130" i="108"/>
  <c r="L129" i="108"/>
  <c r="L128" i="108"/>
  <c r="L125" i="108"/>
  <c r="L124" i="108"/>
  <c r="L123" i="108"/>
  <c r="L122" i="108"/>
  <c r="L121" i="108"/>
  <c r="L120" i="108"/>
  <c r="L119" i="108"/>
  <c r="L118" i="108"/>
  <c r="L83" i="108"/>
  <c r="L82" i="108"/>
  <c r="L73" i="108"/>
  <c r="L72" i="108"/>
  <c r="L68" i="108"/>
  <c r="L67" i="108"/>
  <c r="L51" i="108"/>
  <c r="L50" i="108"/>
  <c r="L37" i="108"/>
  <c r="L36" i="108"/>
  <c r="L31" i="108"/>
  <c r="L30" i="108"/>
  <c r="K247" i="108"/>
  <c r="K246" i="108"/>
  <c r="K220" i="108"/>
  <c r="K219" i="108"/>
  <c r="J303" i="108"/>
  <c r="J300" i="108"/>
  <c r="J299" i="108"/>
  <c r="J298" i="108"/>
  <c r="J297" i="108"/>
  <c r="J296" i="108"/>
  <c r="J295" i="108"/>
  <c r="J294" i="108"/>
  <c r="J293" i="108"/>
  <c r="J292" i="108"/>
  <c r="J291" i="108"/>
  <c r="J290" i="108"/>
  <c r="J289" i="108"/>
  <c r="J288" i="108"/>
  <c r="J287" i="108"/>
  <c r="J286" i="108"/>
  <c r="J285" i="108"/>
  <c r="J284" i="108"/>
  <c r="J283" i="108"/>
  <c r="J282" i="108"/>
  <c r="J281" i="108"/>
  <c r="J280" i="108"/>
  <c r="J277" i="108"/>
  <c r="J276" i="108"/>
  <c r="J275" i="108"/>
  <c r="J274" i="108"/>
  <c r="J273" i="108"/>
  <c r="J272" i="108"/>
  <c r="J271" i="108"/>
  <c r="J270" i="108"/>
  <c r="J269" i="108"/>
  <c r="J268" i="108"/>
  <c r="J267" i="108"/>
  <c r="J266" i="108"/>
  <c r="J265" i="108"/>
  <c r="J264" i="108"/>
  <c r="J261" i="108"/>
  <c r="J260" i="108"/>
  <c r="J259" i="108"/>
  <c r="J258" i="108"/>
  <c r="J253" i="108"/>
  <c r="J252" i="108"/>
  <c r="J251" i="108"/>
  <c r="J250" i="108"/>
  <c r="J249" i="108"/>
  <c r="J248" i="108"/>
  <c r="J245" i="108"/>
  <c r="J244" i="108"/>
  <c r="J243" i="108"/>
  <c r="J242" i="108"/>
  <c r="J241" i="108"/>
  <c r="J240" i="108"/>
  <c r="J239" i="108"/>
  <c r="J238" i="108"/>
  <c r="J226" i="108"/>
  <c r="J225" i="108"/>
  <c r="J224" i="108"/>
  <c r="J223" i="108"/>
  <c r="J218" i="108"/>
  <c r="J217" i="108"/>
  <c r="J216" i="108"/>
  <c r="J215" i="108"/>
  <c r="J212" i="108"/>
  <c r="J211" i="108"/>
  <c r="J210" i="108"/>
  <c r="J209" i="108"/>
  <c r="J208" i="108"/>
  <c r="J207" i="108"/>
  <c r="J202" i="108"/>
  <c r="J201" i="108"/>
  <c r="J196" i="108"/>
  <c r="J195" i="108"/>
  <c r="J194" i="108"/>
  <c r="J193" i="108"/>
  <c r="J188" i="108"/>
  <c r="J187" i="108"/>
  <c r="J184" i="108"/>
  <c r="J183" i="108"/>
  <c r="J178" i="108"/>
  <c r="J177" i="108"/>
  <c r="J176" i="108"/>
  <c r="J175" i="108"/>
  <c r="J174" i="108"/>
  <c r="J166" i="108"/>
  <c r="J165" i="108"/>
  <c r="J150" i="108"/>
  <c r="J149" i="108"/>
  <c r="J148" i="108"/>
  <c r="J147" i="108"/>
  <c r="J133" i="108"/>
  <c r="J132" i="108"/>
  <c r="J126" i="108"/>
  <c r="J117" i="108"/>
  <c r="J116" i="108"/>
  <c r="J115" i="108"/>
  <c r="J114" i="108"/>
  <c r="J113" i="108"/>
  <c r="J112" i="108"/>
  <c r="J111" i="108"/>
  <c r="J110" i="108"/>
  <c r="J105" i="108"/>
  <c r="J104" i="108"/>
  <c r="J103" i="108"/>
  <c r="J102" i="108"/>
  <c r="J99" i="108"/>
  <c r="J98" i="108"/>
  <c r="J97" i="108"/>
  <c r="J96" i="108"/>
  <c r="J95" i="108"/>
  <c r="J94" i="108"/>
  <c r="J93" i="108"/>
  <c r="J92" i="108"/>
  <c r="J91" i="108"/>
  <c r="J90" i="108"/>
  <c r="J89" i="108"/>
  <c r="J88" i="108"/>
  <c r="J87" i="108"/>
  <c r="J86" i="108"/>
  <c r="J85" i="108"/>
  <c r="J84" i="108"/>
  <c r="J81" i="108"/>
  <c r="J80" i="108"/>
  <c r="J79" i="108"/>
  <c r="J78" i="108"/>
  <c r="J77" i="108"/>
  <c r="J76" i="108"/>
  <c r="J75" i="108"/>
  <c r="J74" i="108"/>
  <c r="J71" i="108"/>
  <c r="J70" i="108"/>
  <c r="J69" i="108"/>
  <c r="J64" i="108"/>
  <c r="J63" i="108"/>
  <c r="J58" i="108"/>
  <c r="J57" i="108"/>
  <c r="J56" i="108"/>
  <c r="J55" i="108"/>
  <c r="J54" i="108"/>
  <c r="J53" i="108"/>
  <c r="J52" i="108"/>
  <c r="J49" i="108"/>
  <c r="J48" i="108"/>
  <c r="J47" i="108"/>
  <c r="J46" i="108"/>
  <c r="J43" i="108"/>
  <c r="J42" i="108"/>
  <c r="J39" i="108"/>
  <c r="J38" i="108"/>
  <c r="J33" i="108"/>
  <c r="J32" i="108"/>
  <c r="J29" i="108"/>
  <c r="J28" i="108"/>
  <c r="J27" i="108"/>
  <c r="J26" i="108"/>
  <c r="J25" i="108"/>
  <c r="J24" i="108"/>
  <c r="J23" i="108"/>
  <c r="J22" i="108"/>
  <c r="J21" i="108"/>
  <c r="J20" i="108"/>
  <c r="J19" i="108"/>
  <c r="J18" i="108"/>
  <c r="I309" i="108"/>
  <c r="H309" i="108"/>
  <c r="G309" i="108"/>
  <c r="F309" i="108"/>
  <c r="M311" i="2"/>
  <c r="L311" i="2"/>
  <c r="K311" i="2"/>
  <c r="J311" i="2"/>
  <c r="I311" i="2"/>
  <c r="H311" i="2"/>
  <c r="G311" i="2"/>
  <c r="F311" i="2"/>
  <c r="E311" i="2"/>
  <c r="M310" i="2"/>
  <c r="L310" i="2"/>
  <c r="K310" i="2"/>
  <c r="J310" i="2"/>
  <c r="I310" i="2"/>
  <c r="H310" i="2"/>
  <c r="G310" i="2"/>
  <c r="F310" i="2"/>
  <c r="E310" i="2"/>
  <c r="D310" i="2"/>
  <c r="F226" i="108"/>
  <c r="F225" i="108"/>
  <c r="F224" i="108"/>
  <c r="H136" i="108"/>
  <c r="H135" i="108"/>
  <c r="H134" i="108"/>
  <c r="G24" i="78"/>
  <c r="F67" i="117"/>
  <c r="E67" i="117"/>
  <c r="M66" i="117"/>
  <c r="E66" i="117"/>
  <c r="E65" i="117"/>
  <c r="M64" i="117"/>
  <c r="E64" i="117"/>
  <c r="E63" i="117"/>
  <c r="E62" i="117"/>
  <c r="E61" i="117"/>
  <c r="E60" i="117"/>
  <c r="E59" i="117"/>
  <c r="G58" i="117"/>
  <c r="G59" i="117"/>
  <c r="G60" i="117"/>
  <c r="G61" i="117"/>
  <c r="G62" i="117"/>
  <c r="G63" i="117"/>
  <c r="E58" i="117"/>
  <c r="G57" i="117"/>
  <c r="E57" i="117"/>
  <c r="E56" i="117"/>
  <c r="E55" i="117"/>
  <c r="E54" i="117"/>
  <c r="E53" i="117"/>
  <c r="E52" i="117"/>
  <c r="E51" i="117"/>
  <c r="E50" i="117"/>
  <c r="E49" i="117"/>
  <c r="E48" i="117"/>
  <c r="E47" i="117"/>
  <c r="E46" i="117"/>
  <c r="E45" i="117"/>
  <c r="E44" i="117"/>
  <c r="E43" i="117"/>
  <c r="E42" i="117"/>
  <c r="E41" i="117"/>
  <c r="E40" i="117"/>
  <c r="E39" i="117"/>
  <c r="G29" i="117"/>
  <c r="G31" i="117" s="1"/>
  <c r="G22" i="117"/>
  <c r="G25" i="117"/>
  <c r="A10" i="117"/>
  <c r="A11" i="117"/>
  <c r="A12" i="117"/>
  <c r="A13" i="117"/>
  <c r="A14" i="117"/>
  <c r="A15" i="117"/>
  <c r="A16" i="117"/>
  <c r="A17" i="117"/>
  <c r="A18" i="117"/>
  <c r="A19" i="117"/>
  <c r="A20" i="117"/>
  <c r="A21" i="117"/>
  <c r="A22" i="117"/>
  <c r="G71" i="117"/>
  <c r="G64" i="117"/>
  <c r="G65" i="117"/>
  <c r="G66" i="117"/>
  <c r="G67" i="117"/>
  <c r="E231" i="108"/>
  <c r="H22" i="117"/>
  <c r="H25" i="117"/>
  <c r="A23" i="117"/>
  <c r="A24" i="117"/>
  <c r="A25" i="117"/>
  <c r="A26" i="117"/>
  <c r="A29" i="117"/>
  <c r="H31" i="117"/>
  <c r="A30" i="117"/>
  <c r="A31" i="117"/>
  <c r="J9" i="116"/>
  <c r="A32" i="117"/>
  <c r="A33" i="117"/>
  <c r="A34" i="117"/>
  <c r="A35" i="117"/>
  <c r="A38" i="117"/>
  <c r="A3" i="116"/>
  <c r="A1" i="116"/>
  <c r="E10" i="116"/>
  <c r="E9" i="116"/>
  <c r="E8" i="116"/>
  <c r="I10" i="116"/>
  <c r="I9" i="116"/>
  <c r="I8" i="116"/>
  <c r="C10" i="116"/>
  <c r="C9" i="116"/>
  <c r="C8" i="116"/>
  <c r="H68" i="117"/>
  <c r="A68" i="117"/>
  <c r="A39" i="117"/>
  <c r="A40" i="117"/>
  <c r="A41" i="117"/>
  <c r="A42" i="117"/>
  <c r="A43" i="117"/>
  <c r="A44" i="117"/>
  <c r="A45" i="117"/>
  <c r="A46" i="117"/>
  <c r="A47" i="117"/>
  <c r="A48" i="117"/>
  <c r="A49" i="117"/>
  <c r="A50" i="117"/>
  <c r="A51" i="117"/>
  <c r="A52" i="117"/>
  <c r="A53" i="117"/>
  <c r="A54" i="117"/>
  <c r="A55" i="117"/>
  <c r="A56" i="117"/>
  <c r="A57" i="117"/>
  <c r="A58" i="117"/>
  <c r="A59" i="117"/>
  <c r="A60" i="117"/>
  <c r="A61" i="117"/>
  <c r="A62" i="117"/>
  <c r="A63" i="117"/>
  <c r="A64" i="117"/>
  <c r="A65" i="117"/>
  <c r="A66" i="117"/>
  <c r="A67" i="117"/>
  <c r="H69" i="117"/>
  <c r="J10" i="116"/>
  <c r="J8" i="116"/>
  <c r="H70" i="117"/>
  <c r="A69" i="117"/>
  <c r="A70" i="117"/>
  <c r="P45" i="44"/>
  <c r="O45" i="44"/>
  <c r="N45" i="44"/>
  <c r="M45" i="44"/>
  <c r="L45" i="44"/>
  <c r="K45" i="44"/>
  <c r="J45" i="44"/>
  <c r="I45" i="44"/>
  <c r="H45" i="44"/>
  <c r="G45" i="44"/>
  <c r="F45" i="44"/>
  <c r="E45" i="44"/>
  <c r="D45" i="44"/>
  <c r="A3" i="66"/>
  <c r="A1" i="66"/>
  <c r="O15" i="85"/>
  <c r="N15" i="85"/>
  <c r="M15" i="85"/>
  <c r="L15" i="85"/>
  <c r="K15" i="85"/>
  <c r="J15" i="85"/>
  <c r="I15" i="85"/>
  <c r="H15" i="85"/>
  <c r="G15" i="85"/>
  <c r="F15" i="85"/>
  <c r="E15" i="85"/>
  <c r="D15" i="85"/>
  <c r="C15" i="85"/>
  <c r="P15" i="85"/>
  <c r="N14" i="85"/>
  <c r="M14" i="85"/>
  <c r="L14" i="85"/>
  <c r="K14" i="85"/>
  <c r="J14" i="85"/>
  <c r="I14" i="85"/>
  <c r="H14" i="85"/>
  <c r="G14" i="85"/>
  <c r="F14" i="85"/>
  <c r="E14" i="85"/>
  <c r="D14" i="85"/>
  <c r="C14" i="85"/>
  <c r="P14" i="85"/>
  <c r="P25" i="85"/>
  <c r="D25" i="111"/>
  <c r="D24" i="111"/>
  <c r="C23" i="111"/>
  <c r="D21" i="111"/>
  <c r="D20" i="111"/>
  <c r="C19" i="111"/>
  <c r="D234" i="2"/>
  <c r="D58" i="51"/>
  <c r="H281" i="2"/>
  <c r="H280" i="2"/>
  <c r="H304" i="2"/>
  <c r="J228" i="2"/>
  <c r="F228" i="2"/>
  <c r="J227" i="2"/>
  <c r="F227" i="2"/>
  <c r="J226" i="2"/>
  <c r="F226" i="2"/>
  <c r="J225" i="2"/>
  <c r="F225" i="2"/>
  <c r="L224" i="2"/>
  <c r="H224" i="2"/>
  <c r="L136" i="2"/>
  <c r="H136" i="2"/>
  <c r="J135" i="2"/>
  <c r="F135" i="2"/>
  <c r="J134" i="2"/>
  <c r="F134" i="2"/>
  <c r="E229" i="2"/>
  <c r="D229" i="2"/>
  <c r="E137" i="2"/>
  <c r="D137" i="2"/>
  <c r="A37" i="112"/>
  <c r="A38" i="112"/>
  <c r="I316" i="108"/>
  <c r="M158" i="2"/>
  <c r="L158" i="2"/>
  <c r="K158" i="2"/>
  <c r="J158" i="2"/>
  <c r="I158" i="2"/>
  <c r="H158" i="2"/>
  <c r="G158" i="2"/>
  <c r="F158" i="2"/>
  <c r="E158" i="2"/>
  <c r="D158" i="2"/>
  <c r="F24" i="87"/>
  <c r="F25" i="87"/>
  <c r="G25" i="87"/>
  <c r="G24" i="87"/>
  <c r="E34" i="87"/>
  <c r="A25" i="87"/>
  <c r="G12" i="95"/>
  <c r="A12" i="95"/>
  <c r="A13" i="95"/>
  <c r="A14" i="95"/>
  <c r="A15" i="95"/>
  <c r="A16" i="95"/>
  <c r="A17" i="95"/>
  <c r="A18" i="95"/>
  <c r="A19" i="95"/>
  <c r="A20" i="95"/>
  <c r="A21" i="95"/>
  <c r="A22" i="95"/>
  <c r="A23" i="95"/>
  <c r="A24" i="95"/>
  <c r="A25" i="95"/>
  <c r="A26" i="95"/>
  <c r="A27" i="95"/>
  <c r="A28" i="95"/>
  <c r="A29" i="95"/>
  <c r="A30" i="95"/>
  <c r="A31" i="95"/>
  <c r="A32" i="95"/>
  <c r="A33" i="95"/>
  <c r="A34" i="95"/>
  <c r="A35" i="95"/>
  <c r="A36" i="95"/>
  <c r="A37" i="95"/>
  <c r="A38" i="95"/>
  <c r="C61" i="95"/>
  <c r="F49" i="95"/>
  <c r="G11" i="95"/>
  <c r="G39" i="95"/>
  <c r="G53" i="86"/>
  <c r="G61" i="86"/>
  <c r="G89" i="86"/>
  <c r="G101" i="86"/>
  <c r="G121" i="86"/>
  <c r="G139" i="86"/>
  <c r="A139" i="86"/>
  <c r="A140" i="86" s="1"/>
  <c r="A141" i="86" s="1"/>
  <c r="A142" i="86" s="1"/>
  <c r="G19" i="86"/>
  <c r="G21" i="86"/>
  <c r="G25" i="86"/>
  <c r="G30" i="86"/>
  <c r="G35" i="86"/>
  <c r="G39" i="86"/>
  <c r="G43" i="86"/>
  <c r="G47" i="86"/>
  <c r="G48" i="86"/>
  <c r="G52" i="86"/>
  <c r="G54" i="86"/>
  <c r="G57" i="86"/>
  <c r="G59" i="86"/>
  <c r="G60" i="86"/>
  <c r="G63" i="86"/>
  <c r="G64" i="86"/>
  <c r="G65" i="86"/>
  <c r="G66" i="86"/>
  <c r="G67" i="86"/>
  <c r="G68" i="86"/>
  <c r="G70" i="86"/>
  <c r="G71" i="86"/>
  <c r="G76" i="86"/>
  <c r="G79" i="86"/>
  <c r="G80" i="86"/>
  <c r="G81" i="86"/>
  <c r="G82" i="86"/>
  <c r="G84" i="86"/>
  <c r="G87" i="86"/>
  <c r="G88" i="86"/>
  <c r="G91" i="86"/>
  <c r="G92" i="86"/>
  <c r="G95" i="86"/>
  <c r="G96" i="86"/>
  <c r="G97" i="86"/>
  <c r="G98" i="86"/>
  <c r="G99" i="86"/>
  <c r="G100" i="86"/>
  <c r="G102" i="86"/>
  <c r="G103" i="86"/>
  <c r="G104" i="86"/>
  <c r="G105" i="86"/>
  <c r="G107" i="86"/>
  <c r="G108" i="86"/>
  <c r="G109" i="86"/>
  <c r="G110" i="86"/>
  <c r="G112" i="86"/>
  <c r="G115" i="86"/>
  <c r="G116" i="86"/>
  <c r="G119" i="86"/>
  <c r="G123" i="86"/>
  <c r="G124" i="86"/>
  <c r="G126" i="86"/>
  <c r="G127" i="86"/>
  <c r="G128" i="86"/>
  <c r="G130" i="86"/>
  <c r="G131" i="86"/>
  <c r="G135" i="86"/>
  <c r="G136" i="86"/>
  <c r="G137" i="86"/>
  <c r="G12" i="86"/>
  <c r="F27" i="102"/>
  <c r="E27" i="102"/>
  <c r="D27" i="102"/>
  <c r="A22" i="102"/>
  <c r="A23" i="102"/>
  <c r="A24" i="102"/>
  <c r="A25" i="102"/>
  <c r="A26" i="102"/>
  <c r="A27" i="102"/>
  <c r="A28" i="102"/>
  <c r="G32" i="112"/>
  <c r="G31" i="112"/>
  <c r="G30" i="112"/>
  <c r="G24" i="112"/>
  <c r="G23" i="112"/>
  <c r="G22" i="112"/>
  <c r="G18" i="112"/>
  <c r="G17" i="112"/>
  <c r="G16" i="112"/>
  <c r="G11" i="112"/>
  <c r="G10" i="112"/>
  <c r="G9" i="112"/>
  <c r="G33" i="112"/>
  <c r="G12" i="112"/>
  <c r="G19" i="112"/>
  <c r="G25" i="112"/>
  <c r="G27" i="112"/>
  <c r="I3" i="112"/>
  <c r="I1" i="112"/>
  <c r="I10" i="112"/>
  <c r="I11" i="112"/>
  <c r="I12" i="112"/>
  <c r="I13" i="112"/>
  <c r="I14" i="112"/>
  <c r="I15" i="112"/>
  <c r="I16" i="112"/>
  <c r="I17" i="112"/>
  <c r="I18" i="112"/>
  <c r="I19" i="112"/>
  <c r="I20" i="112"/>
  <c r="I21" i="112"/>
  <c r="I22" i="112"/>
  <c r="I23" i="112"/>
  <c r="I24" i="112"/>
  <c r="I25" i="112"/>
  <c r="I26" i="112"/>
  <c r="I27" i="112"/>
  <c r="I28" i="112"/>
  <c r="I29" i="112"/>
  <c r="I30" i="112"/>
  <c r="F15" i="58"/>
  <c r="I15" i="58"/>
  <c r="E15" i="58"/>
  <c r="J15" i="58"/>
  <c r="N15" i="58"/>
  <c r="H25" i="74"/>
  <c r="L25" i="74"/>
  <c r="P25" i="74"/>
  <c r="Q12" i="74"/>
  <c r="D54" i="77" s="1"/>
  <c r="D85" i="77" s="1"/>
  <c r="E85" i="77" s="1"/>
  <c r="E91" i="77" s="1"/>
  <c r="Q19" i="74"/>
  <c r="D76" i="77" s="1"/>
  <c r="E76" i="77" s="1"/>
  <c r="Q20" i="74"/>
  <c r="D77" i="77" s="1"/>
  <c r="E77" i="77" s="1"/>
  <c r="K25" i="74"/>
  <c r="O25" i="74"/>
  <c r="Q9" i="74"/>
  <c r="D51" i="77"/>
  <c r="E51" i="77" s="1"/>
  <c r="Q13" i="74"/>
  <c r="D55" i="77" s="1"/>
  <c r="E55" i="77" s="1"/>
  <c r="Q14" i="74"/>
  <c r="D61" i="77" s="1"/>
  <c r="H61" i="77" s="1"/>
  <c r="Q18" i="74"/>
  <c r="D75" i="77" s="1"/>
  <c r="E75" i="77" s="1"/>
  <c r="D22" i="74"/>
  <c r="D23" i="74"/>
  <c r="D24" i="74"/>
  <c r="Q8" i="74"/>
  <c r="N34" i="67"/>
  <c r="M34" i="67"/>
  <c r="L34" i="67"/>
  <c r="K34" i="67"/>
  <c r="J34" i="67"/>
  <c r="I34" i="67"/>
  <c r="H34" i="67"/>
  <c r="G34" i="67"/>
  <c r="F34" i="67"/>
  <c r="E34" i="67"/>
  <c r="D34" i="67"/>
  <c r="C34" i="67"/>
  <c r="O34" i="67"/>
  <c r="O30" i="67"/>
  <c r="O33" i="67"/>
  <c r="O32" i="67"/>
  <c r="O31" i="67"/>
  <c r="I168" i="77"/>
  <c r="D168" i="77"/>
  <c r="I115" i="77"/>
  <c r="I103" i="77"/>
  <c r="D103" i="77"/>
  <c r="I40" i="77"/>
  <c r="D40" i="77"/>
  <c r="I28" i="77"/>
  <c r="D28" i="77"/>
  <c r="I16" i="77"/>
  <c r="D16" i="77"/>
  <c r="A3" i="114"/>
  <c r="A1" i="114"/>
  <c r="B70" i="115"/>
  <c r="C70" i="115"/>
  <c r="D70" i="115"/>
  <c r="E70" i="115"/>
  <c r="B71" i="115"/>
  <c r="C71" i="115"/>
  <c r="D71" i="115"/>
  <c r="E71" i="115"/>
  <c r="B72" i="115"/>
  <c r="C72" i="115"/>
  <c r="D72" i="115"/>
  <c r="E72" i="115"/>
  <c r="B73" i="115"/>
  <c r="C73" i="115"/>
  <c r="D73" i="115"/>
  <c r="E73" i="115"/>
  <c r="B74" i="115"/>
  <c r="C74" i="115"/>
  <c r="D74" i="115"/>
  <c r="E74" i="115"/>
  <c r="B75" i="115"/>
  <c r="C75" i="115"/>
  <c r="D75" i="115"/>
  <c r="E75" i="115"/>
  <c r="B76" i="115"/>
  <c r="C76" i="115"/>
  <c r="D76" i="115"/>
  <c r="E76" i="115"/>
  <c r="B77" i="115"/>
  <c r="C77" i="115"/>
  <c r="D77" i="115"/>
  <c r="E77" i="115"/>
  <c r="B78" i="115"/>
  <c r="C78" i="115"/>
  <c r="D78" i="115"/>
  <c r="E78" i="115"/>
  <c r="B79" i="115"/>
  <c r="C79" i="115"/>
  <c r="D79" i="115"/>
  <c r="E79" i="115"/>
  <c r="B80" i="115"/>
  <c r="C80" i="115"/>
  <c r="D80" i="115"/>
  <c r="E80" i="115"/>
  <c r="B83" i="115"/>
  <c r="C83" i="115"/>
  <c r="D83" i="115"/>
  <c r="E83" i="115"/>
  <c r="B84" i="115"/>
  <c r="C84" i="115"/>
  <c r="D84" i="115"/>
  <c r="E84" i="115"/>
  <c r="B85" i="115"/>
  <c r="C85" i="115"/>
  <c r="D85" i="115"/>
  <c r="E85" i="115"/>
  <c r="B86" i="115"/>
  <c r="C86" i="115"/>
  <c r="D86" i="115"/>
  <c r="E86" i="115"/>
  <c r="B87" i="115"/>
  <c r="C87" i="115"/>
  <c r="D87" i="115"/>
  <c r="E87" i="115"/>
  <c r="B88" i="115"/>
  <c r="C88" i="115"/>
  <c r="D88" i="115"/>
  <c r="E88" i="115"/>
  <c r="B89" i="115"/>
  <c r="C89" i="115"/>
  <c r="D89" i="115"/>
  <c r="E89" i="115"/>
  <c r="B90" i="115"/>
  <c r="C90" i="115"/>
  <c r="D90" i="115"/>
  <c r="E90" i="115"/>
  <c r="B91" i="115"/>
  <c r="C91" i="115"/>
  <c r="D91" i="115"/>
  <c r="E91" i="115"/>
  <c r="B92" i="115"/>
  <c r="C92" i="115"/>
  <c r="D92" i="115"/>
  <c r="E92" i="115"/>
  <c r="B93" i="115"/>
  <c r="C93" i="115"/>
  <c r="D93" i="115"/>
  <c r="E93" i="115"/>
  <c r="B94" i="115"/>
  <c r="C94" i="115"/>
  <c r="D94" i="115"/>
  <c r="E94" i="115"/>
  <c r="B95" i="115"/>
  <c r="C95" i="115"/>
  <c r="D95" i="115"/>
  <c r="E95" i="115"/>
  <c r="B96" i="115"/>
  <c r="B98" i="115"/>
  <c r="C98" i="115"/>
  <c r="D98" i="115"/>
  <c r="E98" i="115"/>
  <c r="B100" i="115"/>
  <c r="C100" i="115"/>
  <c r="D100" i="115"/>
  <c r="E100" i="115"/>
  <c r="B103" i="115"/>
  <c r="C103" i="115"/>
  <c r="D103" i="115"/>
  <c r="E103" i="115"/>
  <c r="B107" i="115"/>
  <c r="C107" i="115"/>
  <c r="D107" i="115"/>
  <c r="E107" i="115"/>
  <c r="B113" i="115"/>
  <c r="C113" i="115"/>
  <c r="D113" i="115"/>
  <c r="E113" i="115"/>
  <c r="B118" i="115"/>
  <c r="C118" i="115"/>
  <c r="D118" i="115"/>
  <c r="E118" i="115"/>
  <c r="B119" i="115"/>
  <c r="C119" i="115"/>
  <c r="D119" i="115"/>
  <c r="E119" i="115"/>
  <c r="B122" i="115"/>
  <c r="C122" i="115"/>
  <c r="D122" i="115"/>
  <c r="E122" i="115"/>
  <c r="B128" i="115"/>
  <c r="C128" i="115"/>
  <c r="D128" i="115"/>
  <c r="E128" i="115"/>
  <c r="B131" i="115"/>
  <c r="C131" i="115"/>
  <c r="D131" i="115"/>
  <c r="E131" i="115"/>
  <c r="B134" i="115"/>
  <c r="C134" i="115"/>
  <c r="D134" i="115"/>
  <c r="E134" i="115"/>
  <c r="B148" i="115"/>
  <c r="C148" i="115"/>
  <c r="D148" i="115"/>
  <c r="E148" i="115"/>
  <c r="B163" i="115"/>
  <c r="C163" i="115"/>
  <c r="D163" i="115"/>
  <c r="E163" i="115"/>
  <c r="B166" i="115"/>
  <c r="C166" i="115"/>
  <c r="D166" i="115"/>
  <c r="E166" i="115"/>
  <c r="B169" i="115"/>
  <c r="C169" i="115"/>
  <c r="D169" i="115"/>
  <c r="E169" i="115"/>
  <c r="B174" i="115"/>
  <c r="C174" i="115"/>
  <c r="D174" i="115"/>
  <c r="E174" i="115"/>
  <c r="B175" i="115"/>
  <c r="C175" i="115"/>
  <c r="D175" i="115"/>
  <c r="E175" i="115"/>
  <c r="B176" i="115"/>
  <c r="C176" i="115"/>
  <c r="D176" i="115"/>
  <c r="E176" i="115"/>
  <c r="B177" i="115"/>
  <c r="C177" i="115"/>
  <c r="D177" i="115"/>
  <c r="E177" i="115"/>
  <c r="B178" i="115"/>
  <c r="C178" i="115"/>
  <c r="D178" i="115"/>
  <c r="E178" i="115"/>
  <c r="B179" i="115"/>
  <c r="C179" i="115"/>
  <c r="D179" i="115"/>
  <c r="E179" i="115"/>
  <c r="B180" i="115"/>
  <c r="C180" i="115"/>
  <c r="D180" i="115"/>
  <c r="E180" i="115"/>
  <c r="B181" i="115"/>
  <c r="C181" i="115"/>
  <c r="D181" i="115"/>
  <c r="E181" i="115"/>
  <c r="B182" i="115"/>
  <c r="C182" i="115"/>
  <c r="D182" i="115"/>
  <c r="E182" i="115"/>
  <c r="B183" i="115"/>
  <c r="C183" i="115"/>
  <c r="D183" i="115"/>
  <c r="E183" i="115"/>
  <c r="B184" i="115"/>
  <c r="C184" i="115"/>
  <c r="D184" i="115"/>
  <c r="E184" i="115"/>
  <c r="B187" i="115"/>
  <c r="C187" i="115"/>
  <c r="D187" i="115"/>
  <c r="E187" i="115"/>
  <c r="B188" i="115"/>
  <c r="C188" i="115"/>
  <c r="D188" i="115"/>
  <c r="E188" i="115"/>
  <c r="B189" i="115"/>
  <c r="C189" i="115"/>
  <c r="D189" i="115"/>
  <c r="E189" i="115"/>
  <c r="B190" i="115"/>
  <c r="C190" i="115"/>
  <c r="D190" i="115"/>
  <c r="E190" i="115"/>
  <c r="B191" i="115"/>
  <c r="C191" i="115"/>
  <c r="D191" i="115"/>
  <c r="E191" i="115"/>
  <c r="B192" i="115"/>
  <c r="C192" i="115"/>
  <c r="D192" i="115"/>
  <c r="E192" i="115"/>
  <c r="B193" i="115"/>
  <c r="C193" i="115"/>
  <c r="D193" i="115"/>
  <c r="E193" i="115"/>
  <c r="B194" i="115"/>
  <c r="C194" i="115"/>
  <c r="D194" i="115"/>
  <c r="E194" i="115"/>
  <c r="B195" i="115"/>
  <c r="C195" i="115"/>
  <c r="D195" i="115"/>
  <c r="E195" i="115"/>
  <c r="B196" i="115"/>
  <c r="C196" i="115"/>
  <c r="D196" i="115"/>
  <c r="E196" i="115"/>
  <c r="B197" i="115"/>
  <c r="C197" i="115"/>
  <c r="D197" i="115"/>
  <c r="E197" i="115"/>
  <c r="B198" i="115"/>
  <c r="C198" i="115"/>
  <c r="D198" i="115"/>
  <c r="E198" i="115"/>
  <c r="B199" i="115"/>
  <c r="C199" i="115"/>
  <c r="D199" i="115"/>
  <c r="E199" i="115"/>
  <c r="B202" i="115"/>
  <c r="C202" i="115"/>
  <c r="D202" i="115"/>
  <c r="E202" i="115"/>
  <c r="B205" i="115"/>
  <c r="C205" i="115"/>
  <c r="D205" i="115"/>
  <c r="E205" i="115"/>
  <c r="A8" i="114"/>
  <c r="G8" i="114"/>
  <c r="H8" i="114"/>
  <c r="I8" i="114"/>
  <c r="M68" i="114"/>
  <c r="K8" i="114"/>
  <c r="N22" i="114"/>
  <c r="L8" i="114"/>
  <c r="P8" i="114"/>
  <c r="T8" i="114"/>
  <c r="A9" i="114"/>
  <c r="G9" i="114"/>
  <c r="H9" i="114"/>
  <c r="I9" i="114"/>
  <c r="K9" i="114"/>
  <c r="L9" i="114"/>
  <c r="M9" i="114"/>
  <c r="N9" i="114"/>
  <c r="A10" i="114"/>
  <c r="G10" i="114"/>
  <c r="H10" i="114"/>
  <c r="I10" i="114"/>
  <c r="A11" i="114"/>
  <c r="G11" i="114"/>
  <c r="H11" i="114"/>
  <c r="I11" i="114"/>
  <c r="A12" i="114"/>
  <c r="G12" i="114"/>
  <c r="H12" i="114"/>
  <c r="I12" i="114"/>
  <c r="A13" i="114"/>
  <c r="E13" i="114"/>
  <c r="F13" i="114"/>
  <c r="G13" i="114"/>
  <c r="H13" i="114"/>
  <c r="I13" i="114"/>
  <c r="M23" i="114"/>
  <c r="K13" i="114"/>
  <c r="N23" i="114"/>
  <c r="L13" i="114"/>
  <c r="P13" i="114"/>
  <c r="T13" i="114"/>
  <c r="A14" i="114"/>
  <c r="G14" i="114"/>
  <c r="H14" i="114"/>
  <c r="I14" i="114"/>
  <c r="K14" i="114"/>
  <c r="L14" i="114"/>
  <c r="M14" i="114"/>
  <c r="N14" i="114"/>
  <c r="A15" i="114"/>
  <c r="G15" i="114"/>
  <c r="H15" i="114"/>
  <c r="I15" i="114"/>
  <c r="A16" i="114"/>
  <c r="G16" i="114"/>
  <c r="H16" i="114"/>
  <c r="I16" i="114"/>
  <c r="A17" i="114"/>
  <c r="E17" i="114"/>
  <c r="F17" i="114"/>
  <c r="G17" i="114"/>
  <c r="H17" i="114"/>
  <c r="I17" i="114"/>
  <c r="A18" i="114"/>
  <c r="G18" i="114"/>
  <c r="H18" i="114"/>
  <c r="I18" i="114"/>
  <c r="M18" i="114"/>
  <c r="N18" i="114"/>
  <c r="A19" i="114"/>
  <c r="G19" i="114"/>
  <c r="H19" i="114"/>
  <c r="I19" i="114"/>
  <c r="M19" i="114"/>
  <c r="N19" i="114"/>
  <c r="A20" i="114"/>
  <c r="G20" i="114"/>
  <c r="H20" i="114"/>
  <c r="I20" i="114"/>
  <c r="M20" i="114"/>
  <c r="N20" i="114"/>
  <c r="A21" i="114"/>
  <c r="G21" i="114"/>
  <c r="H21" i="114"/>
  <c r="I21" i="114"/>
  <c r="M21" i="114"/>
  <c r="N21" i="114"/>
  <c r="A22" i="114"/>
  <c r="K28" i="114"/>
  <c r="M22" i="114"/>
  <c r="M24" i="114"/>
  <c r="M25" i="114"/>
  <c r="M26" i="114"/>
  <c r="M27" i="114"/>
  <c r="M28" i="114"/>
  <c r="E22" i="114"/>
  <c r="L28" i="114"/>
  <c r="N24" i="114"/>
  <c r="N25" i="114"/>
  <c r="N26" i="114"/>
  <c r="N27" i="114"/>
  <c r="N28" i="114"/>
  <c r="F22" i="114"/>
  <c r="G22" i="114"/>
  <c r="H22" i="114"/>
  <c r="I22" i="114"/>
  <c r="A23" i="114"/>
  <c r="G23" i="114"/>
  <c r="H23" i="114"/>
  <c r="I23" i="114"/>
  <c r="A24" i="114"/>
  <c r="G24" i="114"/>
  <c r="H24" i="114"/>
  <c r="I24" i="114"/>
  <c r="A25" i="114"/>
  <c r="G25" i="114"/>
  <c r="H25" i="114"/>
  <c r="I25" i="114"/>
  <c r="A26" i="114"/>
  <c r="G26" i="114"/>
  <c r="H26" i="114"/>
  <c r="I26" i="114"/>
  <c r="A27" i="114"/>
  <c r="K32" i="114"/>
  <c r="K33" i="114"/>
  <c r="K34" i="114"/>
  <c r="K35" i="114"/>
  <c r="K36" i="114"/>
  <c r="K37" i="114"/>
  <c r="M37" i="114"/>
  <c r="E27" i="114"/>
  <c r="L32" i="114"/>
  <c r="L33" i="114"/>
  <c r="L34" i="114"/>
  <c r="L35" i="114"/>
  <c r="L36" i="114"/>
  <c r="L37" i="114"/>
  <c r="N37" i="114"/>
  <c r="F27" i="114"/>
  <c r="G27" i="114"/>
  <c r="H27" i="114"/>
  <c r="I27" i="114"/>
  <c r="A28" i="114"/>
  <c r="G28" i="114"/>
  <c r="H28" i="114"/>
  <c r="I28" i="114"/>
  <c r="A29" i="114"/>
  <c r="G29" i="114"/>
  <c r="H29" i="114"/>
  <c r="I29" i="114"/>
  <c r="A30" i="114"/>
  <c r="M67" i="114"/>
  <c r="K42" i="114"/>
  <c r="K43" i="114"/>
  <c r="M43" i="114"/>
  <c r="E30" i="114"/>
  <c r="L42" i="114"/>
  <c r="L43" i="114"/>
  <c r="N43" i="114"/>
  <c r="F30" i="114"/>
  <c r="G30" i="114"/>
  <c r="H30" i="114"/>
  <c r="I30" i="114"/>
  <c r="A31" i="114"/>
  <c r="G31" i="114"/>
  <c r="H31" i="114"/>
  <c r="I31" i="114"/>
  <c r="A32" i="114"/>
  <c r="K48" i="114"/>
  <c r="M48" i="114"/>
  <c r="E32" i="114"/>
  <c r="N48" i="114"/>
  <c r="F32" i="114"/>
  <c r="G32" i="114"/>
  <c r="H32" i="114"/>
  <c r="I32" i="114"/>
  <c r="P32" i="114"/>
  <c r="A33" i="114"/>
  <c r="G33" i="114"/>
  <c r="H33" i="114"/>
  <c r="I33" i="114"/>
  <c r="P33" i="114"/>
  <c r="T33" i="114"/>
  <c r="A34" i="114"/>
  <c r="G34" i="114"/>
  <c r="H34" i="114"/>
  <c r="I34" i="114"/>
  <c r="P34" i="114"/>
  <c r="T34" i="114"/>
  <c r="A35" i="114"/>
  <c r="K52" i="114"/>
  <c r="K53" i="114"/>
  <c r="K54" i="114"/>
  <c r="M52" i="114"/>
  <c r="M53" i="114"/>
  <c r="M54" i="114"/>
  <c r="E35" i="114"/>
  <c r="L52" i="114"/>
  <c r="L53" i="114"/>
  <c r="L54" i="114"/>
  <c r="N52" i="114"/>
  <c r="N53" i="114"/>
  <c r="N54" i="114"/>
  <c r="F35" i="114"/>
  <c r="G35" i="114"/>
  <c r="H35" i="114"/>
  <c r="I35" i="114"/>
  <c r="P35" i="114"/>
  <c r="T35" i="114"/>
  <c r="A36" i="114"/>
  <c r="G36" i="114"/>
  <c r="H36" i="114"/>
  <c r="I36" i="114"/>
  <c r="P36" i="114"/>
  <c r="T36" i="114"/>
  <c r="A37" i="114"/>
  <c r="K70" i="114"/>
  <c r="E37" i="114" s="1"/>
  <c r="M58" i="114"/>
  <c r="M59" i="114"/>
  <c r="M60" i="114"/>
  <c r="M61" i="114"/>
  <c r="M62" i="114"/>
  <c r="M63" i="114"/>
  <c r="M64" i="114"/>
  <c r="M66" i="114"/>
  <c r="M69" i="114"/>
  <c r="M70" i="114"/>
  <c r="M72" i="114" s="1"/>
  <c r="L70" i="114"/>
  <c r="N58" i="114"/>
  <c r="N59" i="114"/>
  <c r="N60" i="114"/>
  <c r="N61" i="114"/>
  <c r="N62" i="114"/>
  <c r="N63" i="114"/>
  <c r="N64" i="114"/>
  <c r="N65" i="114"/>
  <c r="N66" i="114"/>
  <c r="N67" i="114"/>
  <c r="N68" i="114"/>
  <c r="N69" i="114"/>
  <c r="N70" i="114"/>
  <c r="F37" i="114"/>
  <c r="H37" i="114"/>
  <c r="A38" i="114"/>
  <c r="G38" i="114"/>
  <c r="I38" i="114" s="1"/>
  <c r="H38" i="114"/>
  <c r="A39" i="114"/>
  <c r="G39" i="114"/>
  <c r="H39" i="114"/>
  <c r="I39" i="114"/>
  <c r="A40" i="114"/>
  <c r="G40" i="114"/>
  <c r="H40" i="114"/>
  <c r="I40" i="114"/>
  <c r="C41" i="114"/>
  <c r="D41" i="114"/>
  <c r="F41" i="114"/>
  <c r="H41" i="114"/>
  <c r="A42" i="114"/>
  <c r="P42" i="114"/>
  <c r="T42" i="114"/>
  <c r="A43" i="114"/>
  <c r="A44" i="114"/>
  <c r="A45" i="114"/>
  <c r="C45" i="114"/>
  <c r="D45" i="114"/>
  <c r="E45" i="114"/>
  <c r="F45" i="114"/>
  <c r="G45" i="114"/>
  <c r="H45" i="114"/>
  <c r="I45" i="114"/>
  <c r="A46" i="114"/>
  <c r="C46" i="114"/>
  <c r="D46" i="114"/>
  <c r="E46" i="114"/>
  <c r="F46" i="114"/>
  <c r="G46" i="114"/>
  <c r="H46" i="114"/>
  <c r="I46" i="114"/>
  <c r="A47" i="114"/>
  <c r="C47" i="114"/>
  <c r="D47" i="114"/>
  <c r="E47" i="114"/>
  <c r="F47" i="114"/>
  <c r="G47" i="114"/>
  <c r="H47" i="114"/>
  <c r="I47" i="114"/>
  <c r="T47" i="114"/>
  <c r="A48" i="114"/>
  <c r="C48" i="114"/>
  <c r="D48" i="114"/>
  <c r="E48" i="114"/>
  <c r="F48" i="114"/>
  <c r="G48" i="114"/>
  <c r="H48" i="114"/>
  <c r="I48" i="114"/>
  <c r="A49" i="114"/>
  <c r="A50" i="114"/>
  <c r="A51" i="114"/>
  <c r="C51" i="114"/>
  <c r="D51" i="114"/>
  <c r="E51" i="114"/>
  <c r="F51" i="114"/>
  <c r="G51" i="114"/>
  <c r="H51" i="114"/>
  <c r="I51" i="114"/>
  <c r="A52" i="114"/>
  <c r="C52" i="114"/>
  <c r="D52" i="114"/>
  <c r="E52" i="114"/>
  <c r="F52" i="114"/>
  <c r="G52" i="114"/>
  <c r="H52" i="114"/>
  <c r="I52" i="114"/>
  <c r="P52" i="114"/>
  <c r="T52" i="114"/>
  <c r="A53" i="114"/>
  <c r="C53" i="114"/>
  <c r="D53" i="114"/>
  <c r="E53" i="114"/>
  <c r="F53" i="114"/>
  <c r="G53" i="114"/>
  <c r="H53" i="114"/>
  <c r="I53" i="114"/>
  <c r="P53" i="114"/>
  <c r="T53" i="114"/>
  <c r="A54" i="114"/>
  <c r="C54" i="114"/>
  <c r="D54" i="114"/>
  <c r="E54" i="114"/>
  <c r="F54" i="114"/>
  <c r="G54" i="114"/>
  <c r="H54" i="114"/>
  <c r="I54" i="114"/>
  <c r="A55" i="114"/>
  <c r="C55" i="114"/>
  <c r="D55" i="114"/>
  <c r="E55" i="114"/>
  <c r="F55" i="114"/>
  <c r="G55" i="114"/>
  <c r="H55" i="114"/>
  <c r="I55" i="114"/>
  <c r="A56" i="114"/>
  <c r="C56" i="114"/>
  <c r="D56" i="114"/>
  <c r="E56" i="114"/>
  <c r="F56" i="114"/>
  <c r="G56" i="114"/>
  <c r="H56" i="114"/>
  <c r="I56" i="114"/>
  <c r="A57" i="114"/>
  <c r="C57" i="114"/>
  <c r="D57" i="114"/>
  <c r="E57" i="114"/>
  <c r="F57" i="114"/>
  <c r="G57" i="114"/>
  <c r="H57" i="114"/>
  <c r="I57" i="114"/>
  <c r="A58" i="114"/>
  <c r="C58" i="114"/>
  <c r="D58" i="114"/>
  <c r="E58" i="114"/>
  <c r="F58" i="114"/>
  <c r="G58" i="114"/>
  <c r="H58" i="114"/>
  <c r="I58" i="114"/>
  <c r="A59" i="114"/>
  <c r="C59" i="114"/>
  <c r="D59" i="114"/>
  <c r="E59" i="114"/>
  <c r="F59" i="114"/>
  <c r="G59" i="114"/>
  <c r="H59" i="114"/>
  <c r="I59" i="114"/>
  <c r="A60" i="114"/>
  <c r="C60" i="114"/>
  <c r="C61" i="114" s="1"/>
  <c r="D60" i="114"/>
  <c r="F60" i="114"/>
  <c r="H60" i="114"/>
  <c r="A61" i="114"/>
  <c r="B61" i="114"/>
  <c r="D61" i="114"/>
  <c r="F61" i="114"/>
  <c r="H61" i="114"/>
  <c r="A62" i="114"/>
  <c r="A63" i="114"/>
  <c r="D63" i="114"/>
  <c r="F63" i="114"/>
  <c r="H63" i="114"/>
  <c r="K72" i="114"/>
  <c r="K74" i="114" s="1"/>
  <c r="L72" i="114"/>
  <c r="N72" i="114"/>
  <c r="M74" i="114"/>
  <c r="A59" i="77"/>
  <c r="A60" i="77" s="1"/>
  <c r="F36" i="49"/>
  <c r="A37" i="49"/>
  <c r="G56" i="51"/>
  <c r="G55" i="51"/>
  <c r="G54" i="51"/>
  <c r="G60" i="51"/>
  <c r="G59" i="51"/>
  <c r="D59" i="51" s="1"/>
  <c r="G58" i="51"/>
  <c r="E58" i="51" s="1"/>
  <c r="E64" i="51" s="1"/>
  <c r="E60" i="51"/>
  <c r="A3" i="113"/>
  <c r="A1" i="113"/>
  <c r="A8" i="113"/>
  <c r="A9" i="113"/>
  <c r="A10" i="113"/>
  <c r="A11" i="113"/>
  <c r="A12" i="113"/>
  <c r="A13" i="113"/>
  <c r="A14" i="113"/>
  <c r="A15" i="113"/>
  <c r="A16" i="113"/>
  <c r="A17" i="113"/>
  <c r="A18" i="113"/>
  <c r="A19" i="113"/>
  <c r="A20" i="113"/>
  <c r="A21" i="113"/>
  <c r="A22" i="113"/>
  <c r="E21" i="113"/>
  <c r="D21" i="113"/>
  <c r="C18" i="113"/>
  <c r="C19" i="113"/>
  <c r="C20" i="113"/>
  <c r="C21" i="113"/>
  <c r="E16" i="113"/>
  <c r="D16" i="113"/>
  <c r="C13" i="113"/>
  <c r="C14" i="113"/>
  <c r="C15" i="113"/>
  <c r="C16" i="113"/>
  <c r="E10" i="113"/>
  <c r="D10" i="113"/>
  <c r="C7" i="113"/>
  <c r="C8" i="113"/>
  <c r="C9" i="113"/>
  <c r="C10" i="113"/>
  <c r="C43" i="112"/>
  <c r="C42" i="112"/>
  <c r="D45" i="112"/>
  <c r="D44" i="112"/>
  <c r="D43" i="112"/>
  <c r="D42" i="112"/>
  <c r="C33" i="112"/>
  <c r="L21" i="62"/>
  <c r="H27" i="75"/>
  <c r="L40" i="62"/>
  <c r="H28" i="75"/>
  <c r="H29" i="75"/>
  <c r="H45" i="75"/>
  <c r="H44" i="75"/>
  <c r="H46" i="75"/>
  <c r="D53" i="93"/>
  <c r="D45" i="93"/>
  <c r="D11" i="77"/>
  <c r="H40" i="75"/>
  <c r="H56" i="75"/>
  <c r="H55" i="75"/>
  <c r="H57" i="75"/>
  <c r="H53" i="75"/>
  <c r="E27" i="111"/>
  <c r="G230" i="75"/>
  <c r="L9" i="62"/>
  <c r="L10" i="62"/>
  <c r="L11" i="62"/>
  <c r="L12" i="62"/>
  <c r="L13" i="62"/>
  <c r="L14" i="62"/>
  <c r="L15" i="62"/>
  <c r="L16" i="62"/>
  <c r="L17" i="62"/>
  <c r="L18" i="62"/>
  <c r="L19" i="62"/>
  <c r="L20" i="62"/>
  <c r="L23" i="62"/>
  <c r="G27" i="75"/>
  <c r="L28" i="62"/>
  <c r="L29" i="62"/>
  <c r="L30" i="62"/>
  <c r="L31" i="62"/>
  <c r="L32" i="62"/>
  <c r="L33" i="62"/>
  <c r="L34" i="62"/>
  <c r="L35" i="62"/>
  <c r="L36" i="62"/>
  <c r="L37" i="62"/>
  <c r="L38" i="62"/>
  <c r="L39" i="62"/>
  <c r="L42" i="62"/>
  <c r="G28" i="75"/>
  <c r="G29" i="75"/>
  <c r="C23" i="62"/>
  <c r="G45" i="75"/>
  <c r="K23" i="62"/>
  <c r="G44" i="75"/>
  <c r="G46" i="75"/>
  <c r="G23" i="62"/>
  <c r="G40" i="75"/>
  <c r="G42" i="75"/>
  <c r="C42" i="62"/>
  <c r="G56" i="75"/>
  <c r="G57" i="75"/>
  <c r="K42" i="62"/>
  <c r="G55" i="75"/>
  <c r="G42" i="62"/>
  <c r="G53" i="75"/>
  <c r="A3" i="112"/>
  <c r="A1" i="112"/>
  <c r="A3" i="111"/>
  <c r="A1" i="111"/>
  <c r="F33" i="112"/>
  <c r="E33" i="112"/>
  <c r="D33" i="112"/>
  <c r="D39" i="112"/>
  <c r="A9" i="112"/>
  <c r="A10" i="112"/>
  <c r="A11" i="112"/>
  <c r="A12" i="112"/>
  <c r="A13" i="112"/>
  <c r="A14" i="112"/>
  <c r="A15" i="112"/>
  <c r="A16" i="112"/>
  <c r="A17" i="112"/>
  <c r="A18" i="112"/>
  <c r="A19" i="112"/>
  <c r="A20" i="112"/>
  <c r="A21" i="112"/>
  <c r="A22" i="112"/>
  <c r="A23" i="112"/>
  <c r="A24" i="112"/>
  <c r="A25" i="112"/>
  <c r="A26" i="112"/>
  <c r="A27" i="112"/>
  <c r="A28" i="112"/>
  <c r="A29" i="112"/>
  <c r="A30" i="112"/>
  <c r="A31" i="112"/>
  <c r="A32" i="112"/>
  <c r="A33" i="112"/>
  <c r="A34" i="112"/>
  <c r="A35" i="112"/>
  <c r="A36" i="112"/>
  <c r="C44" i="112"/>
  <c r="A39" i="112"/>
  <c r="A40" i="112"/>
  <c r="A41" i="112"/>
  <c r="A42" i="112"/>
  <c r="A43" i="112"/>
  <c r="A44" i="112"/>
  <c r="A45" i="112"/>
  <c r="F12" i="112"/>
  <c r="F19" i="112"/>
  <c r="F25" i="112"/>
  <c r="E12" i="112"/>
  <c r="E19" i="112"/>
  <c r="E25" i="112"/>
  <c r="D12" i="112"/>
  <c r="D19" i="112"/>
  <c r="D25" i="112"/>
  <c r="A17" i="111"/>
  <c r="A18" i="111"/>
  <c r="A22" i="111"/>
  <c r="A26" i="111"/>
  <c r="A27" i="111"/>
  <c r="A28" i="111"/>
  <c r="D11" i="111"/>
  <c r="D27" i="111"/>
  <c r="G233" i="75"/>
  <c r="D12" i="111"/>
  <c r="C10" i="111"/>
  <c r="C27" i="111"/>
  <c r="G232" i="75"/>
  <c r="A23" i="111"/>
  <c r="A24" i="111"/>
  <c r="A25" i="111"/>
  <c r="A19" i="111"/>
  <c r="A20" i="111"/>
  <c r="A21" i="111"/>
  <c r="A10" i="111"/>
  <c r="A11" i="111"/>
  <c r="A12" i="111"/>
  <c r="A13" i="111"/>
  <c r="A14" i="111"/>
  <c r="A15" i="111"/>
  <c r="E308" i="108"/>
  <c r="F303" i="108"/>
  <c r="H301" i="108"/>
  <c r="F300" i="108"/>
  <c r="F297" i="108"/>
  <c r="F296" i="108"/>
  <c r="F295" i="108"/>
  <c r="F292" i="108"/>
  <c r="F291" i="108"/>
  <c r="F289" i="108"/>
  <c r="F288" i="108"/>
  <c r="F287" i="108"/>
  <c r="F284" i="108"/>
  <c r="F283" i="108"/>
  <c r="F281" i="108"/>
  <c r="F280" i="108"/>
  <c r="H279" i="108"/>
  <c r="F276" i="108"/>
  <c r="F275" i="108"/>
  <c r="F273" i="108"/>
  <c r="F269" i="108"/>
  <c r="F268" i="108"/>
  <c r="F267" i="108"/>
  <c r="F264" i="108"/>
  <c r="G263" i="108"/>
  <c r="F261" i="108"/>
  <c r="F260" i="108"/>
  <c r="F258" i="108"/>
  <c r="H256" i="108"/>
  <c r="I255" i="108"/>
  <c r="I254" i="108"/>
  <c r="F252" i="108"/>
  <c r="F251" i="108"/>
  <c r="F250" i="108"/>
  <c r="F248" i="108"/>
  <c r="G247" i="108"/>
  <c r="G246" i="108"/>
  <c r="F244" i="108"/>
  <c r="F243" i="108"/>
  <c r="F242" i="108"/>
  <c r="F239" i="108"/>
  <c r="F238" i="108"/>
  <c r="F223" i="108"/>
  <c r="G220" i="108"/>
  <c r="G219" i="108"/>
  <c r="F217" i="108"/>
  <c r="F215" i="108"/>
  <c r="H213" i="108"/>
  <c r="F212" i="108"/>
  <c r="F211" i="108"/>
  <c r="F208" i="108"/>
  <c r="F207" i="108"/>
  <c r="H205" i="108"/>
  <c r="H203" i="108"/>
  <c r="F201" i="108"/>
  <c r="H200" i="108"/>
  <c r="H199" i="108"/>
  <c r="I197" i="108"/>
  <c r="F196" i="108"/>
  <c r="F195" i="108"/>
  <c r="F193" i="108"/>
  <c r="H192" i="108"/>
  <c r="H191" i="108"/>
  <c r="I189" i="108"/>
  <c r="F188" i="108"/>
  <c r="F187" i="108"/>
  <c r="H185" i="108"/>
  <c r="F184" i="108"/>
  <c r="F183" i="108"/>
  <c r="H181" i="108"/>
  <c r="I180" i="108"/>
  <c r="I179" i="108"/>
  <c r="F176" i="108"/>
  <c r="F175" i="108"/>
  <c r="H173" i="108"/>
  <c r="H172" i="108"/>
  <c r="H171" i="108"/>
  <c r="H169" i="108"/>
  <c r="H168" i="108"/>
  <c r="H167" i="108"/>
  <c r="H164" i="108"/>
  <c r="H163" i="108"/>
  <c r="F149" i="108"/>
  <c r="F148" i="108"/>
  <c r="F147" i="108"/>
  <c r="H131" i="108"/>
  <c r="H130" i="108"/>
  <c r="H128" i="108"/>
  <c r="I127" i="108"/>
  <c r="F126" i="108"/>
  <c r="H124" i="108"/>
  <c r="H123" i="108"/>
  <c r="H122" i="108"/>
  <c r="H120" i="108"/>
  <c r="H119" i="108"/>
  <c r="H118" i="108"/>
  <c r="F116" i="108"/>
  <c r="F115" i="108"/>
  <c r="F114" i="108"/>
  <c r="F112" i="108"/>
  <c r="F111" i="108"/>
  <c r="F110" i="108"/>
  <c r="I108" i="108"/>
  <c r="I107" i="108"/>
  <c r="I106" i="108"/>
  <c r="F104" i="108"/>
  <c r="F103" i="108"/>
  <c r="F102" i="108"/>
  <c r="I100" i="108"/>
  <c r="F99" i="108"/>
  <c r="F98" i="108"/>
  <c r="F96" i="108"/>
  <c r="F95" i="108"/>
  <c r="F94" i="108"/>
  <c r="F92" i="108"/>
  <c r="F91" i="108"/>
  <c r="F90" i="108"/>
  <c r="F88" i="108"/>
  <c r="F87" i="108"/>
  <c r="F86" i="108"/>
  <c r="F84" i="108"/>
  <c r="H83" i="108"/>
  <c r="H82" i="108"/>
  <c r="F80" i="108"/>
  <c r="F79" i="108"/>
  <c r="F78" i="108"/>
  <c r="F76" i="108"/>
  <c r="F75" i="108"/>
  <c r="F74" i="108"/>
  <c r="H72" i="108"/>
  <c r="F71" i="108"/>
  <c r="F70" i="108"/>
  <c r="H68" i="108"/>
  <c r="H67" i="108"/>
  <c r="I66" i="108"/>
  <c r="F64" i="108"/>
  <c r="F63" i="108"/>
  <c r="I62" i="108"/>
  <c r="I60" i="108"/>
  <c r="I59" i="108"/>
  <c r="F58" i="108"/>
  <c r="F55" i="108"/>
  <c r="F54" i="108"/>
  <c r="F52" i="108"/>
  <c r="H51" i="108"/>
  <c r="H50" i="108"/>
  <c r="F48" i="108"/>
  <c r="F47" i="108"/>
  <c r="F46" i="108"/>
  <c r="I44" i="108"/>
  <c r="F43" i="108"/>
  <c r="F42" i="108"/>
  <c r="I40" i="108"/>
  <c r="F39" i="108"/>
  <c r="F38" i="108"/>
  <c r="H36" i="108"/>
  <c r="I35" i="108"/>
  <c r="I34" i="108"/>
  <c r="F32" i="108"/>
  <c r="H31" i="108"/>
  <c r="H30" i="108"/>
  <c r="F28" i="108"/>
  <c r="F27" i="108"/>
  <c r="F26" i="108"/>
  <c r="F23" i="108"/>
  <c r="F22" i="108"/>
  <c r="F20" i="108"/>
  <c r="F19" i="108"/>
  <c r="F18" i="108"/>
  <c r="F69" i="108"/>
  <c r="A236" i="75"/>
  <c r="A237" i="75"/>
  <c r="A238" i="75"/>
  <c r="F236" i="75"/>
  <c r="F234" i="75"/>
  <c r="F231" i="75"/>
  <c r="A12" i="75"/>
  <c r="A13" i="75"/>
  <c r="A15" i="75"/>
  <c r="A16" i="75"/>
  <c r="A17" i="75"/>
  <c r="A19" i="75"/>
  <c r="A20" i="75"/>
  <c r="A21" i="75"/>
  <c r="A23" i="75"/>
  <c r="A24" i="75"/>
  <c r="A27" i="75"/>
  <c r="A28" i="75"/>
  <c r="A29" i="75"/>
  <c r="A31" i="75"/>
  <c r="A32" i="75"/>
  <c r="A34" i="75"/>
  <c r="A35" i="75"/>
  <c r="A40" i="75"/>
  <c r="A41" i="75"/>
  <c r="A42" i="75"/>
  <c r="A44" i="75"/>
  <c r="A45" i="75"/>
  <c r="A46" i="75"/>
  <c r="A47" i="75"/>
  <c r="A48" i="75"/>
  <c r="A50" i="75"/>
  <c r="A53" i="75"/>
  <c r="A55" i="75"/>
  <c r="A56" i="75"/>
  <c r="A57" i="75"/>
  <c r="A58" i="75"/>
  <c r="A59" i="75"/>
  <c r="A61" i="75"/>
  <c r="A63" i="75"/>
  <c r="A68" i="75"/>
  <c r="A69" i="75"/>
  <c r="A70" i="75"/>
  <c r="A71" i="75"/>
  <c r="A72" i="75"/>
  <c r="A73" i="75"/>
  <c r="A74" i="75"/>
  <c r="A75" i="75"/>
  <c r="A77" i="75"/>
  <c r="A80" i="75"/>
  <c r="A81" i="75"/>
  <c r="A82" i="75"/>
  <c r="A83" i="75"/>
  <c r="A84" i="75"/>
  <c r="A85" i="75"/>
  <c r="A86" i="75"/>
  <c r="A87" i="75"/>
  <c r="A90" i="75"/>
  <c r="A91" i="75"/>
  <c r="A92" i="75"/>
  <c r="A93" i="75"/>
  <c r="A94" i="75"/>
  <c r="A97" i="75"/>
  <c r="A98" i="75"/>
  <c r="A99" i="75"/>
  <c r="A100" i="75"/>
  <c r="A101" i="75"/>
  <c r="A102" i="75"/>
  <c r="A103" i="75"/>
  <c r="A104" i="75"/>
  <c r="A106" i="75"/>
  <c r="A109" i="75"/>
  <c r="A110" i="75"/>
  <c r="A111" i="75"/>
  <c r="A114" i="75"/>
  <c r="A115" i="75"/>
  <c r="A116" i="75"/>
  <c r="A118" i="75"/>
  <c r="A120" i="75"/>
  <c r="A125" i="75"/>
  <c r="A126" i="75"/>
  <c r="A127" i="75"/>
  <c r="A128" i="75"/>
  <c r="A129" i="75"/>
  <c r="A130" i="75"/>
  <c r="A133" i="75"/>
  <c r="A134" i="75"/>
  <c r="A135" i="75"/>
  <c r="A136" i="75"/>
  <c r="A137" i="75"/>
  <c r="A138" i="75"/>
  <c r="A139" i="75"/>
  <c r="A140" i="75"/>
  <c r="A141" i="75"/>
  <c r="A142" i="75"/>
  <c r="A143" i="75"/>
  <c r="A146" i="75"/>
  <c r="A147" i="75"/>
  <c r="A148" i="75"/>
  <c r="A149" i="75"/>
  <c r="A150" i="75"/>
  <c r="A151" i="75"/>
  <c r="A152" i="75"/>
  <c r="A153" i="75"/>
  <c r="A154" i="75"/>
  <c r="A155" i="75"/>
  <c r="A156" i="75"/>
  <c r="A161" i="75"/>
  <c r="A162" i="75"/>
  <c r="A163" i="75"/>
  <c r="A164" i="75"/>
  <c r="A165" i="75"/>
  <c r="A166" i="75"/>
  <c r="A167" i="75"/>
  <c r="A168" i="75"/>
  <c r="A169" i="75"/>
  <c r="A170" i="75"/>
  <c r="A174" i="75"/>
  <c r="A175" i="75"/>
  <c r="A176" i="75"/>
  <c r="A177" i="75"/>
  <c r="A178" i="75"/>
  <c r="A179" i="75"/>
  <c r="A180" i="75"/>
  <c r="A181" i="75"/>
  <c r="A182" i="75"/>
  <c r="A183" i="75"/>
  <c r="A184" i="75"/>
  <c r="A185" i="75"/>
  <c r="A189" i="75"/>
  <c r="A190" i="75"/>
  <c r="A191" i="75"/>
  <c r="A192" i="75"/>
  <c r="A193" i="75"/>
  <c r="A197" i="75"/>
  <c r="A198" i="75"/>
  <c r="A199" i="75"/>
  <c r="A200" i="75"/>
  <c r="A201" i="75"/>
  <c r="A202" i="75"/>
  <c r="A204" i="75"/>
  <c r="A205" i="75"/>
  <c r="A206" i="75"/>
  <c r="A208" i="75"/>
  <c r="A209" i="75"/>
  <c r="A210" i="75"/>
  <c r="A212" i="75"/>
  <c r="A213" i="75"/>
  <c r="A214" i="75"/>
  <c r="A215" i="75"/>
  <c r="A217" i="75"/>
  <c r="A222" i="75"/>
  <c r="A223" i="75"/>
  <c r="A224" i="75"/>
  <c r="A225" i="75"/>
  <c r="A226" i="75"/>
  <c r="A229" i="75"/>
  <c r="F259" i="108"/>
  <c r="J15" i="108"/>
  <c r="F15" i="108"/>
  <c r="A308" i="108"/>
  <c r="A309" i="108"/>
  <c r="A310" i="108"/>
  <c r="H278" i="108"/>
  <c r="H302" i="108"/>
  <c r="F270" i="108"/>
  <c r="F271" i="108"/>
  <c r="F274" i="108"/>
  <c r="F277" i="108"/>
  <c r="F282" i="108"/>
  <c r="F285" i="108"/>
  <c r="F286" i="108"/>
  <c r="F290" i="108"/>
  <c r="F293" i="108"/>
  <c r="F294" i="108"/>
  <c r="F298" i="108"/>
  <c r="D308" i="108"/>
  <c r="D309" i="108"/>
  <c r="A306" i="108"/>
  <c r="A231" i="108"/>
  <c r="F266" i="108"/>
  <c r="F265" i="108"/>
  <c r="G262" i="108"/>
  <c r="H257" i="108"/>
  <c r="F253" i="108"/>
  <c r="F249" i="108"/>
  <c r="F245" i="108"/>
  <c r="F241" i="108"/>
  <c r="F240" i="108"/>
  <c r="J237" i="108"/>
  <c r="F237" i="108"/>
  <c r="M233" i="108"/>
  <c r="L232" i="108"/>
  <c r="L233" i="108"/>
  <c r="K233" i="108"/>
  <c r="I190" i="108"/>
  <c r="I198" i="108"/>
  <c r="I233" i="108"/>
  <c r="H162" i="108"/>
  <c r="H170" i="108"/>
  <c r="H182" i="108"/>
  <c r="H186" i="108"/>
  <c r="H204" i="108"/>
  <c r="H206" i="108"/>
  <c r="H214" i="108"/>
  <c r="H221" i="108"/>
  <c r="H222" i="108"/>
  <c r="H232" i="108"/>
  <c r="H233" i="108"/>
  <c r="G233" i="108"/>
  <c r="F165" i="108"/>
  <c r="F166" i="108"/>
  <c r="F174" i="108"/>
  <c r="F177" i="108"/>
  <c r="F178" i="108"/>
  <c r="F194" i="108"/>
  <c r="F202" i="108"/>
  <c r="F210" i="108"/>
  <c r="F216" i="108"/>
  <c r="F218" i="108"/>
  <c r="D231" i="108"/>
  <c r="D233" i="108"/>
  <c r="A229" i="108"/>
  <c r="A8" i="108"/>
  <c r="A9" i="108"/>
  <c r="J160" i="108"/>
  <c r="F160" i="108"/>
  <c r="M155" i="108"/>
  <c r="M158" i="108" s="1"/>
  <c r="L155" i="108"/>
  <c r="L158" i="108" s="1"/>
  <c r="K155" i="108"/>
  <c r="K158" i="108" s="1"/>
  <c r="I155" i="108"/>
  <c r="I158" i="108" s="1"/>
  <c r="H155" i="108"/>
  <c r="H158" i="108" s="1"/>
  <c r="G155" i="108"/>
  <c r="G158" i="108" s="1"/>
  <c r="F156" i="108"/>
  <c r="D155" i="108"/>
  <c r="D158" i="108" s="1"/>
  <c r="F29" i="108"/>
  <c r="F146" i="108"/>
  <c r="M142" i="108"/>
  <c r="L142" i="108"/>
  <c r="K141" i="108"/>
  <c r="K142" i="108"/>
  <c r="K144" i="108" s="1"/>
  <c r="I41" i="108"/>
  <c r="I45" i="108"/>
  <c r="I61" i="108"/>
  <c r="I65" i="108"/>
  <c r="I101" i="108"/>
  <c r="I109" i="108"/>
  <c r="I142" i="108"/>
  <c r="H37" i="108"/>
  <c r="H73" i="108"/>
  <c r="H121" i="108"/>
  <c r="H125" i="108"/>
  <c r="H129" i="108"/>
  <c r="H142" i="108"/>
  <c r="G141" i="108"/>
  <c r="G142" i="108"/>
  <c r="F21" i="108"/>
  <c r="F24" i="108"/>
  <c r="F25" i="108"/>
  <c r="F33" i="108"/>
  <c r="F49" i="108"/>
  <c r="F53" i="108"/>
  <c r="F56" i="108"/>
  <c r="F57" i="108"/>
  <c r="F77" i="108"/>
  <c r="F81" i="108"/>
  <c r="F85" i="108"/>
  <c r="F89" i="108"/>
  <c r="F93" i="108"/>
  <c r="F97" i="108"/>
  <c r="F105" i="108"/>
  <c r="F113" i="108"/>
  <c r="F117" i="108"/>
  <c r="F132" i="108"/>
  <c r="F133" i="108"/>
  <c r="D141" i="108"/>
  <c r="D142" i="108"/>
  <c r="D144" i="108" s="1"/>
  <c r="D143" i="2" s="1"/>
  <c r="J17" i="108"/>
  <c r="F17" i="108"/>
  <c r="A3" i="108"/>
  <c r="A1" i="108"/>
  <c r="A310" i="2"/>
  <c r="H303" i="2"/>
  <c r="J273" i="2"/>
  <c r="J275" i="2"/>
  <c r="J277" i="2"/>
  <c r="J279" i="2"/>
  <c r="J283" i="2"/>
  <c r="J284" i="2"/>
  <c r="J285" i="2"/>
  <c r="J286" i="2"/>
  <c r="J287" i="2"/>
  <c r="J288" i="2"/>
  <c r="J291" i="2"/>
  <c r="J292" i="2"/>
  <c r="J293" i="2"/>
  <c r="J295" i="2"/>
  <c r="J296" i="2"/>
  <c r="J299" i="2"/>
  <c r="J300" i="2"/>
  <c r="J302" i="2"/>
  <c r="J305" i="2"/>
  <c r="E306" i="2"/>
  <c r="E307" i="2"/>
  <c r="E308" i="2"/>
  <c r="D306" i="2"/>
  <c r="D307" i="2"/>
  <c r="D308" i="2"/>
  <c r="J147" i="2"/>
  <c r="J149" i="2"/>
  <c r="F149" i="2"/>
  <c r="E151" i="2"/>
  <c r="E152" i="2"/>
  <c r="E153" i="2"/>
  <c r="D151" i="2"/>
  <c r="D152" i="2"/>
  <c r="D153" i="2"/>
  <c r="M179" i="2"/>
  <c r="M180" i="2"/>
  <c r="M189" i="2"/>
  <c r="M190" i="2"/>
  <c r="M197" i="2"/>
  <c r="M198" i="2"/>
  <c r="L161" i="2"/>
  <c r="L162" i="2"/>
  <c r="L163" i="2"/>
  <c r="L164" i="2"/>
  <c r="L167" i="2"/>
  <c r="L168" i="2"/>
  <c r="L169" i="2"/>
  <c r="L170" i="2"/>
  <c r="L171" i="2"/>
  <c r="L172" i="2"/>
  <c r="L173" i="2"/>
  <c r="L181" i="2"/>
  <c r="L182" i="2"/>
  <c r="L185" i="2"/>
  <c r="L186" i="2"/>
  <c r="L191" i="2"/>
  <c r="L192" i="2"/>
  <c r="L199" i="2"/>
  <c r="L200" i="2"/>
  <c r="L203" i="2"/>
  <c r="L204" i="2"/>
  <c r="L205" i="2"/>
  <c r="L206" i="2"/>
  <c r="L213" i="2"/>
  <c r="L214" i="2"/>
  <c r="L221" i="2"/>
  <c r="L222" i="2"/>
  <c r="K219" i="2"/>
  <c r="K220" i="2"/>
  <c r="J165" i="2"/>
  <c r="J166" i="2"/>
  <c r="J174" i="2"/>
  <c r="J175" i="2"/>
  <c r="J176" i="2"/>
  <c r="J177" i="2"/>
  <c r="J178" i="2"/>
  <c r="J183" i="2"/>
  <c r="J184" i="2"/>
  <c r="J187" i="2"/>
  <c r="J188" i="2"/>
  <c r="J193" i="2"/>
  <c r="J194" i="2"/>
  <c r="J195" i="2"/>
  <c r="J196" i="2"/>
  <c r="J201" i="2"/>
  <c r="J202" i="2"/>
  <c r="J207" i="2"/>
  <c r="J209" i="2"/>
  <c r="J210" i="2"/>
  <c r="J211" i="2"/>
  <c r="J212" i="2"/>
  <c r="J215" i="2"/>
  <c r="J216" i="2"/>
  <c r="J217" i="2"/>
  <c r="J218" i="2"/>
  <c r="J223" i="2"/>
  <c r="I179" i="2"/>
  <c r="I189" i="2"/>
  <c r="I197" i="2"/>
  <c r="I198" i="2"/>
  <c r="H162" i="2"/>
  <c r="H163" i="2"/>
  <c r="H167" i="2"/>
  <c r="H169" i="2"/>
  <c r="H171" i="2"/>
  <c r="H172" i="2"/>
  <c r="H181" i="2"/>
  <c r="H185" i="2"/>
  <c r="H191" i="2"/>
  <c r="H199" i="2"/>
  <c r="H200" i="2"/>
  <c r="H204" i="2"/>
  <c r="H206" i="2"/>
  <c r="H214" i="2"/>
  <c r="H221" i="2"/>
  <c r="G219" i="2"/>
  <c r="G220" i="2"/>
  <c r="F165" i="2"/>
  <c r="F174" i="2"/>
  <c r="F176" i="2"/>
  <c r="F178" i="2"/>
  <c r="F184" i="2"/>
  <c r="F187" i="2"/>
  <c r="F193" i="2"/>
  <c r="F195" i="2"/>
  <c r="F201" i="2"/>
  <c r="F202" i="2"/>
  <c r="F208" i="2"/>
  <c r="F210" i="2"/>
  <c r="F212" i="2"/>
  <c r="F216" i="2"/>
  <c r="F217" i="2"/>
  <c r="F223" i="2"/>
  <c r="E230" i="2"/>
  <c r="E231" i="2"/>
  <c r="D230" i="2"/>
  <c r="D231" i="2"/>
  <c r="M34" i="2"/>
  <c r="M35" i="2"/>
  <c r="M40" i="2"/>
  <c r="M41" i="2"/>
  <c r="M44" i="2"/>
  <c r="M45" i="2"/>
  <c r="M59" i="2"/>
  <c r="M60" i="2"/>
  <c r="M61" i="2"/>
  <c r="M62" i="2"/>
  <c r="M65" i="2"/>
  <c r="M66" i="2"/>
  <c r="M100" i="2"/>
  <c r="M101" i="2"/>
  <c r="M106" i="2"/>
  <c r="M107" i="2"/>
  <c r="M108" i="2"/>
  <c r="M109" i="2"/>
  <c r="M127" i="2"/>
  <c r="L30" i="2"/>
  <c r="L36" i="2"/>
  <c r="L37" i="2"/>
  <c r="L50" i="2"/>
  <c r="L51" i="2"/>
  <c r="L67" i="2"/>
  <c r="L68" i="2"/>
  <c r="L72" i="2"/>
  <c r="L82" i="2"/>
  <c r="L83" i="2"/>
  <c r="L118" i="2"/>
  <c r="L119" i="2"/>
  <c r="L120" i="2"/>
  <c r="L122" i="2"/>
  <c r="L124" i="2"/>
  <c r="L125" i="2"/>
  <c r="L128" i="2"/>
  <c r="L129" i="2"/>
  <c r="L130" i="2"/>
  <c r="L131" i="2"/>
  <c r="J18" i="2"/>
  <c r="J21" i="2"/>
  <c r="J22" i="2"/>
  <c r="J23" i="2"/>
  <c r="J24" i="2"/>
  <c r="J25" i="2"/>
  <c r="J26" i="2"/>
  <c r="J27" i="2"/>
  <c r="J28" i="2"/>
  <c r="J29" i="2"/>
  <c r="J146" i="2"/>
  <c r="J32" i="2"/>
  <c r="J33" i="2"/>
  <c r="J38" i="2"/>
  <c r="J39" i="2"/>
  <c r="J42" i="2"/>
  <c r="J43" i="2"/>
  <c r="J47" i="2"/>
  <c r="J48" i="2"/>
  <c r="J49" i="2"/>
  <c r="J52" i="2"/>
  <c r="J53" i="2"/>
  <c r="J54" i="2"/>
  <c r="J55" i="2"/>
  <c r="J56" i="2"/>
  <c r="J57" i="2"/>
  <c r="J58" i="2"/>
  <c r="J63" i="2"/>
  <c r="J64" i="2"/>
  <c r="J69" i="2"/>
  <c r="J70" i="2"/>
  <c r="J71" i="2"/>
  <c r="J74" i="2"/>
  <c r="J75" i="2"/>
  <c r="J76" i="2"/>
  <c r="J77" i="2"/>
  <c r="J78" i="2"/>
  <c r="J79" i="2"/>
  <c r="J80" i="2"/>
  <c r="J81" i="2"/>
  <c r="J84" i="2"/>
  <c r="J85" i="2"/>
  <c r="J86" i="2"/>
  <c r="J87" i="2"/>
  <c r="J88" i="2"/>
  <c r="J89" i="2"/>
  <c r="J90" i="2"/>
  <c r="J91" i="2"/>
  <c r="J92" i="2"/>
  <c r="J93" i="2"/>
  <c r="J94" i="2"/>
  <c r="J95" i="2"/>
  <c r="J96" i="2"/>
  <c r="J97" i="2"/>
  <c r="J98" i="2"/>
  <c r="J99" i="2"/>
  <c r="J102" i="2"/>
  <c r="J103" i="2"/>
  <c r="J104" i="2"/>
  <c r="J105" i="2"/>
  <c r="J110" i="2"/>
  <c r="J111" i="2"/>
  <c r="J112" i="2"/>
  <c r="J113" i="2"/>
  <c r="J114" i="2"/>
  <c r="J115" i="2"/>
  <c r="J116" i="2"/>
  <c r="J126" i="2"/>
  <c r="J132" i="2"/>
  <c r="J133" i="2"/>
  <c r="I34" i="2"/>
  <c r="I35" i="2"/>
  <c r="I40" i="2"/>
  <c r="I44" i="2"/>
  <c r="I59" i="2"/>
  <c r="I60" i="2"/>
  <c r="I61" i="2"/>
  <c r="I62" i="2"/>
  <c r="I65" i="2"/>
  <c r="I100" i="2"/>
  <c r="I106" i="2"/>
  <c r="I107" i="2"/>
  <c r="I108" i="2"/>
  <c r="I109" i="2"/>
  <c r="I127" i="2"/>
  <c r="H30" i="2"/>
  <c r="H36" i="2"/>
  <c r="H67" i="2"/>
  <c r="H68" i="2"/>
  <c r="H83" i="2"/>
  <c r="H119" i="2"/>
  <c r="H120" i="2"/>
  <c r="F21" i="2"/>
  <c r="F22" i="2"/>
  <c r="F24" i="2"/>
  <c r="F26" i="2"/>
  <c r="F28" i="2"/>
  <c r="F42" i="2"/>
  <c r="F48" i="2"/>
  <c r="F49" i="2"/>
  <c r="F55" i="2"/>
  <c r="F56" i="2"/>
  <c r="F58" i="2"/>
  <c r="F64" i="2"/>
  <c r="F74" i="2"/>
  <c r="F76" i="2"/>
  <c r="F81" i="2"/>
  <c r="F84" i="2"/>
  <c r="F86" i="2"/>
  <c r="F88" i="2"/>
  <c r="F92" i="2"/>
  <c r="F94" i="2"/>
  <c r="F99" i="2"/>
  <c r="F102" i="2"/>
  <c r="F104" i="2"/>
  <c r="F110" i="2"/>
  <c r="F114" i="2"/>
  <c r="F116" i="2"/>
  <c r="E138" i="2"/>
  <c r="E139" i="2"/>
  <c r="D138" i="2"/>
  <c r="D139" i="2"/>
  <c r="A8" i="103"/>
  <c r="M257" i="2"/>
  <c r="M256" i="2"/>
  <c r="C16" i="61"/>
  <c r="C32" i="61"/>
  <c r="D58" i="93"/>
  <c r="E8" i="56"/>
  <c r="E9" i="56"/>
  <c r="E53" i="56"/>
  <c r="E28" i="56"/>
  <c r="E58" i="56"/>
  <c r="E29" i="56"/>
  <c r="E59" i="56"/>
  <c r="E31" i="56"/>
  <c r="E60" i="56"/>
  <c r="E30" i="56"/>
  <c r="E61" i="56"/>
  <c r="E32" i="56"/>
  <c r="E33" i="56"/>
  <c r="E34" i="56"/>
  <c r="E35" i="56"/>
  <c r="E36" i="56"/>
  <c r="E37" i="56"/>
  <c r="E38" i="56"/>
  <c r="E39" i="56"/>
  <c r="E40" i="56"/>
  <c r="E41" i="56"/>
  <c r="E42" i="56"/>
  <c r="E62" i="56"/>
  <c r="D37" i="77"/>
  <c r="D8" i="95"/>
  <c r="D9" i="95"/>
  <c r="D10" i="95"/>
  <c r="D50" i="95"/>
  <c r="D13" i="95"/>
  <c r="D51" i="95"/>
  <c r="D15" i="95"/>
  <c r="D16" i="95"/>
  <c r="D17" i="95"/>
  <c r="D18" i="95"/>
  <c r="G18" i="95"/>
  <c r="D19" i="95"/>
  <c r="D20" i="95"/>
  <c r="D21" i="95"/>
  <c r="D53" i="95"/>
  <c r="D22" i="95"/>
  <c r="D23" i="95"/>
  <c r="D24" i="95"/>
  <c r="D25" i="95"/>
  <c r="D26" i="95"/>
  <c r="D27" i="95"/>
  <c r="D55" i="95"/>
  <c r="D28" i="95"/>
  <c r="D29" i="95"/>
  <c r="D56" i="95"/>
  <c r="D30" i="95"/>
  <c r="D57" i="95"/>
  <c r="D31" i="95"/>
  <c r="D34" i="95"/>
  <c r="D35" i="95"/>
  <c r="D36" i="95"/>
  <c r="D37" i="95"/>
  <c r="D38" i="95"/>
  <c r="C31" i="61"/>
  <c r="C33" i="61"/>
  <c r="H225" i="75"/>
  <c r="H236" i="75"/>
  <c r="D9" i="84"/>
  <c r="D10" i="84"/>
  <c r="D23" i="66"/>
  <c r="H164" i="75"/>
  <c r="G164" i="75"/>
  <c r="D36" i="66"/>
  <c r="H163" i="75"/>
  <c r="G163" i="75"/>
  <c r="D52" i="66"/>
  <c r="H161" i="75"/>
  <c r="A8" i="66"/>
  <c r="A24" i="66"/>
  <c r="A25" i="66"/>
  <c r="A26" i="66"/>
  <c r="A27" i="66"/>
  <c r="A28" i="66"/>
  <c r="A29" i="66"/>
  <c r="A30" i="66"/>
  <c r="A31" i="66"/>
  <c r="A32" i="66"/>
  <c r="A33" i="66"/>
  <c r="A34" i="66"/>
  <c r="A35" i="66"/>
  <c r="A36" i="66"/>
  <c r="F163" i="75"/>
  <c r="A9" i="66"/>
  <c r="A10" i="66"/>
  <c r="A11" i="66"/>
  <c r="A12" i="66"/>
  <c r="A13" i="66"/>
  <c r="A14" i="66"/>
  <c r="A15" i="66"/>
  <c r="A16" i="66"/>
  <c r="A17" i="66"/>
  <c r="A18" i="66"/>
  <c r="A19" i="66"/>
  <c r="A20" i="66"/>
  <c r="A21" i="66"/>
  <c r="A22" i="66"/>
  <c r="A23" i="66"/>
  <c r="F164" i="75"/>
  <c r="A37" i="66"/>
  <c r="A38" i="66"/>
  <c r="A39" i="66"/>
  <c r="A40" i="66"/>
  <c r="A41" i="66"/>
  <c r="A42" i="66"/>
  <c r="A43" i="66"/>
  <c r="A44" i="66"/>
  <c r="A45" i="66"/>
  <c r="A46" i="66"/>
  <c r="A47" i="66"/>
  <c r="A48" i="66"/>
  <c r="A49" i="66"/>
  <c r="A50" i="66"/>
  <c r="A51" i="66"/>
  <c r="A52" i="66"/>
  <c r="F161" i="75"/>
  <c r="F239" i="75"/>
  <c r="D9" i="87"/>
  <c r="F9" i="87"/>
  <c r="D10" i="87"/>
  <c r="E46" i="87"/>
  <c r="F46" i="87"/>
  <c r="G46" i="87"/>
  <c r="D166" i="77"/>
  <c r="D11" i="87"/>
  <c r="F11" i="87"/>
  <c r="D12" i="87"/>
  <c r="F12" i="87"/>
  <c r="G12" i="87"/>
  <c r="D13" i="87"/>
  <c r="F13" i="87"/>
  <c r="G13" i="87"/>
  <c r="D14" i="87"/>
  <c r="D15" i="87"/>
  <c r="F15" i="87"/>
  <c r="D16" i="87"/>
  <c r="F16" i="87"/>
  <c r="G16" i="87"/>
  <c r="D17" i="87"/>
  <c r="F17" i="87"/>
  <c r="G17" i="87"/>
  <c r="D18" i="87"/>
  <c r="D19" i="87"/>
  <c r="F19" i="87"/>
  <c r="D20" i="87"/>
  <c r="F20" i="87"/>
  <c r="G20" i="87"/>
  <c r="D21" i="87"/>
  <c r="F21" i="87"/>
  <c r="G21" i="87"/>
  <c r="D22" i="87"/>
  <c r="D50" i="87"/>
  <c r="D23" i="87"/>
  <c r="F23" i="87"/>
  <c r="C52" i="87"/>
  <c r="D26" i="87"/>
  <c r="F26" i="87"/>
  <c r="G26" i="87"/>
  <c r="D27" i="87"/>
  <c r="E52" i="87"/>
  <c r="F52" i="87"/>
  <c r="F27" i="87"/>
  <c r="G27" i="87"/>
  <c r="D28" i="87"/>
  <c r="F28" i="87"/>
  <c r="G28" i="87"/>
  <c r="D29" i="87"/>
  <c r="D30" i="87"/>
  <c r="F30" i="87"/>
  <c r="G30" i="87"/>
  <c r="D31" i="87"/>
  <c r="F31" i="87"/>
  <c r="G31" i="87"/>
  <c r="D32" i="87"/>
  <c r="F32" i="87"/>
  <c r="G32" i="87"/>
  <c r="D33" i="87"/>
  <c r="C46" i="87"/>
  <c r="D46" i="87"/>
  <c r="D47" i="87"/>
  <c r="D48" i="87"/>
  <c r="D52" i="87"/>
  <c r="E53" i="87"/>
  <c r="E165" i="75"/>
  <c r="E164" i="75"/>
  <c r="I11" i="55"/>
  <c r="J11" i="55"/>
  <c r="C11" i="55"/>
  <c r="D11" i="55"/>
  <c r="F11" i="55"/>
  <c r="I12" i="55"/>
  <c r="J12" i="55"/>
  <c r="C12" i="55"/>
  <c r="D12" i="55"/>
  <c r="F12" i="55"/>
  <c r="I13" i="55"/>
  <c r="J13" i="55"/>
  <c r="C13" i="55"/>
  <c r="D13" i="55"/>
  <c r="F13" i="55"/>
  <c r="I14" i="55"/>
  <c r="J14" i="55"/>
  <c r="C14" i="55"/>
  <c r="D14" i="55"/>
  <c r="F14" i="55"/>
  <c r="A8" i="73"/>
  <c r="A34" i="73"/>
  <c r="A36" i="73"/>
  <c r="A37" i="73"/>
  <c r="A38" i="73"/>
  <c r="A39" i="73"/>
  <c r="A40" i="73"/>
  <c r="A41" i="73"/>
  <c r="A42" i="73"/>
  <c r="A43" i="73"/>
  <c r="A44" i="73"/>
  <c r="A45" i="73"/>
  <c r="A46" i="73"/>
  <c r="A47" i="73"/>
  <c r="A48" i="73"/>
  <c r="A49" i="73"/>
  <c r="A50" i="73"/>
  <c r="A51" i="73"/>
  <c r="A52" i="73"/>
  <c r="A53" i="73"/>
  <c r="A54" i="73"/>
  <c r="A55" i="73"/>
  <c r="B41" i="73"/>
  <c r="B42" i="73"/>
  <c r="B43" i="73"/>
  <c r="B44" i="73"/>
  <c r="B45" i="73"/>
  <c r="B46" i="73"/>
  <c r="B47" i="73"/>
  <c r="B48" i="73"/>
  <c r="B49" i="73"/>
  <c r="B50" i="73"/>
  <c r="B51" i="73"/>
  <c r="B52" i="73"/>
  <c r="B53" i="73"/>
  <c r="B54" i="73"/>
  <c r="A8" i="2"/>
  <c r="A9" i="2"/>
  <c r="A10" i="2"/>
  <c r="A11" i="2"/>
  <c r="A12" i="2"/>
  <c r="A13" i="2"/>
  <c r="F69" i="75"/>
  <c r="A233" i="2"/>
  <c r="A234" i="2"/>
  <c r="A10" i="51"/>
  <c r="A11" i="51"/>
  <c r="A12" i="51"/>
  <c r="A13" i="51"/>
  <c r="A14" i="51" s="1"/>
  <c r="A41" i="62"/>
  <c r="A26" i="62"/>
  <c r="M235" i="2"/>
  <c r="L235" i="2"/>
  <c r="K235" i="2"/>
  <c r="I235" i="2"/>
  <c r="H235" i="2"/>
  <c r="G235" i="2"/>
  <c r="B52" i="66"/>
  <c r="B36" i="66"/>
  <c r="B23" i="66"/>
  <c r="I102" i="77"/>
  <c r="A39" i="95"/>
  <c r="A40" i="95"/>
  <c r="A41" i="95"/>
  <c r="A42" i="95"/>
  <c r="A43" i="95"/>
  <c r="A44" i="95"/>
  <c r="A45" i="95"/>
  <c r="I101" i="77"/>
  <c r="A34" i="87"/>
  <c r="A35" i="87"/>
  <c r="A36" i="87"/>
  <c r="A37" i="87"/>
  <c r="A38" i="87"/>
  <c r="A39" i="87"/>
  <c r="A40" i="87"/>
  <c r="I100" i="77"/>
  <c r="I15" i="55"/>
  <c r="I66" i="55" s="1"/>
  <c r="C15" i="55"/>
  <c r="D15" i="55"/>
  <c r="D66" i="55" s="1"/>
  <c r="F15" i="55"/>
  <c r="F66" i="55" s="1"/>
  <c r="E16" i="93"/>
  <c r="E45" i="93"/>
  <c r="D97" i="77"/>
  <c r="G265" i="2"/>
  <c r="J262" i="2"/>
  <c r="F262" i="2"/>
  <c r="J261" i="2"/>
  <c r="H258" i="2"/>
  <c r="J255" i="2"/>
  <c r="F255" i="2"/>
  <c r="J254" i="2"/>
  <c r="J253" i="2"/>
  <c r="F253" i="2"/>
  <c r="J252" i="2"/>
  <c r="F252" i="2"/>
  <c r="J251" i="2"/>
  <c r="F251" i="2"/>
  <c r="J250" i="2"/>
  <c r="K249" i="2"/>
  <c r="J247" i="2"/>
  <c r="F247" i="2"/>
  <c r="J246" i="2"/>
  <c r="F246" i="2"/>
  <c r="J245" i="2"/>
  <c r="F245" i="2"/>
  <c r="J244" i="2"/>
  <c r="F244" i="2"/>
  <c r="J243" i="2"/>
  <c r="F243" i="2"/>
  <c r="J242" i="2"/>
  <c r="J241" i="2"/>
  <c r="F241" i="2"/>
  <c r="F240" i="2"/>
  <c r="E30" i="102"/>
  <c r="D30" i="102"/>
  <c r="D31" i="102"/>
  <c r="F40" i="62"/>
  <c r="E26" i="102"/>
  <c r="F28" i="62"/>
  <c r="D26" i="102"/>
  <c r="E18" i="102"/>
  <c r="D18" i="102"/>
  <c r="E13" i="102"/>
  <c r="E14" i="102"/>
  <c r="D13" i="102"/>
  <c r="D14" i="102"/>
  <c r="E9" i="102"/>
  <c r="D9" i="102"/>
  <c r="D13" i="73"/>
  <c r="E13" i="73"/>
  <c r="F13" i="73"/>
  <c r="G13" i="73"/>
  <c r="H13" i="73"/>
  <c r="I13" i="73"/>
  <c r="J13" i="73"/>
  <c r="K13" i="73"/>
  <c r="L13" i="73"/>
  <c r="M13" i="73"/>
  <c r="N13" i="73"/>
  <c r="O13" i="73"/>
  <c r="P13" i="73"/>
  <c r="D22" i="73"/>
  <c r="E22" i="73"/>
  <c r="F22" i="73"/>
  <c r="G22" i="73"/>
  <c r="H22" i="73"/>
  <c r="I22" i="73"/>
  <c r="J22" i="73"/>
  <c r="K22" i="73"/>
  <c r="L22" i="73"/>
  <c r="M22" i="73"/>
  <c r="N22" i="73"/>
  <c r="O22" i="73"/>
  <c r="P22" i="73"/>
  <c r="D32" i="73"/>
  <c r="D34" i="73" s="1"/>
  <c r="E32" i="73"/>
  <c r="F32" i="73"/>
  <c r="F34" i="73" s="1"/>
  <c r="G32" i="73"/>
  <c r="H32" i="73"/>
  <c r="I32" i="73"/>
  <c r="J32" i="73"/>
  <c r="J34" i="73" s="1"/>
  <c r="K32" i="73"/>
  <c r="L32" i="73"/>
  <c r="M32" i="73"/>
  <c r="N32" i="73"/>
  <c r="N34" i="73" s="1"/>
  <c r="O32" i="73"/>
  <c r="P32" i="73"/>
  <c r="D33" i="73"/>
  <c r="E33" i="73"/>
  <c r="Q33" i="73" s="1"/>
  <c r="D64" i="73" s="1"/>
  <c r="F33" i="73"/>
  <c r="G33" i="73"/>
  <c r="H33" i="73"/>
  <c r="I33" i="73"/>
  <c r="I34" i="73" s="1"/>
  <c r="J33" i="73"/>
  <c r="K33" i="73"/>
  <c r="L33" i="73"/>
  <c r="M33" i="73"/>
  <c r="M34" i="73" s="1"/>
  <c r="N33" i="73"/>
  <c r="O33" i="73"/>
  <c r="P33" i="73"/>
  <c r="A9" i="73"/>
  <c r="A10" i="73"/>
  <c r="A11" i="73"/>
  <c r="A12" i="73"/>
  <c r="A13" i="73"/>
  <c r="A14" i="73"/>
  <c r="A15" i="73"/>
  <c r="A16" i="73" s="1"/>
  <c r="A17" i="73" s="1"/>
  <c r="A18" i="73" s="1"/>
  <c r="A19" i="73" s="1"/>
  <c r="A20" i="73" s="1"/>
  <c r="A21" i="73" s="1"/>
  <c r="A22" i="73" s="1"/>
  <c r="A23" i="73" s="1"/>
  <c r="A24" i="73" s="1"/>
  <c r="A25" i="73" s="1"/>
  <c r="A26" i="73" s="1"/>
  <c r="A27" i="73" s="1"/>
  <c r="A28" i="73" s="1"/>
  <c r="A29" i="73" s="1"/>
  <c r="A30" i="73" s="1"/>
  <c r="A31" i="73" s="1"/>
  <c r="G10" i="49"/>
  <c r="G9" i="49"/>
  <c r="G13" i="49"/>
  <c r="G25" i="49"/>
  <c r="G40" i="49"/>
  <c r="C15" i="49"/>
  <c r="C16" i="49"/>
  <c r="C19" i="49"/>
  <c r="C24" i="49"/>
  <c r="C33" i="49"/>
  <c r="C34" i="49"/>
  <c r="E144" i="86"/>
  <c r="G144" i="86" s="1"/>
  <c r="F144" i="86"/>
  <c r="E143" i="86"/>
  <c r="G143" i="86" s="1"/>
  <c r="F143" i="86"/>
  <c r="E142" i="86"/>
  <c r="F142" i="86"/>
  <c r="F8" i="86" s="1"/>
  <c r="F179" i="77" s="1"/>
  <c r="G134" i="86"/>
  <c r="G125" i="86"/>
  <c r="G118" i="86"/>
  <c r="G111" i="86"/>
  <c r="G94" i="86"/>
  <c r="G93" i="86"/>
  <c r="G86" i="86"/>
  <c r="G83" i="86"/>
  <c r="G78" i="86"/>
  <c r="G75" i="86"/>
  <c r="G73" i="86"/>
  <c r="G62" i="86"/>
  <c r="G55" i="86"/>
  <c r="G46" i="86"/>
  <c r="G37" i="86"/>
  <c r="O27" i="85"/>
  <c r="N27" i="85"/>
  <c r="M27" i="85"/>
  <c r="L27" i="85"/>
  <c r="K27" i="85"/>
  <c r="J27" i="85"/>
  <c r="I27" i="85"/>
  <c r="H27" i="85"/>
  <c r="G27" i="85"/>
  <c r="F27" i="85"/>
  <c r="E27" i="85"/>
  <c r="D27" i="85"/>
  <c r="C27" i="85"/>
  <c r="O26" i="85"/>
  <c r="N26" i="85"/>
  <c r="M26" i="85"/>
  <c r="L26" i="85"/>
  <c r="K26" i="85"/>
  <c r="J26" i="85"/>
  <c r="I26" i="85"/>
  <c r="H26" i="85"/>
  <c r="G26" i="85"/>
  <c r="F26" i="85"/>
  <c r="E26" i="85"/>
  <c r="D26" i="85"/>
  <c r="C26" i="85"/>
  <c r="P23" i="85"/>
  <c r="O28" i="85"/>
  <c r="K28" i="85"/>
  <c r="G28" i="85"/>
  <c r="D13" i="85"/>
  <c r="E13" i="85"/>
  <c r="F13" i="85"/>
  <c r="G13" i="85"/>
  <c r="H13" i="85"/>
  <c r="I13" i="85"/>
  <c r="J13" i="85"/>
  <c r="K13" i="85"/>
  <c r="L13" i="85"/>
  <c r="M13" i="85"/>
  <c r="N13" i="85"/>
  <c r="D16" i="85"/>
  <c r="E16" i="85"/>
  <c r="F16" i="85"/>
  <c r="G16" i="85"/>
  <c r="H16" i="85"/>
  <c r="I16" i="85"/>
  <c r="J16" i="85"/>
  <c r="K16" i="85"/>
  <c r="L16" i="85"/>
  <c r="M16" i="85"/>
  <c r="N16" i="85"/>
  <c r="O16" i="85"/>
  <c r="D17" i="85"/>
  <c r="E17" i="85"/>
  <c r="F17" i="85"/>
  <c r="G17" i="85"/>
  <c r="H17" i="85"/>
  <c r="I17" i="85"/>
  <c r="J17" i="85"/>
  <c r="K17" i="85"/>
  <c r="L17" i="85"/>
  <c r="M17" i="85"/>
  <c r="N17" i="85"/>
  <c r="O17" i="85"/>
  <c r="C17" i="85"/>
  <c r="C16" i="85"/>
  <c r="C13" i="85"/>
  <c r="P12" i="85"/>
  <c r="C61" i="51"/>
  <c r="G61" i="51"/>
  <c r="G20" i="51"/>
  <c r="D18" i="67"/>
  <c r="E18" i="67"/>
  <c r="F18" i="67"/>
  <c r="G18" i="67"/>
  <c r="H18" i="67"/>
  <c r="I18" i="67"/>
  <c r="J18" i="67"/>
  <c r="K18" i="67"/>
  <c r="L18" i="67"/>
  <c r="M18" i="67"/>
  <c r="N18" i="67"/>
  <c r="D26" i="67"/>
  <c r="E26" i="67"/>
  <c r="F26" i="67"/>
  <c r="G26" i="67"/>
  <c r="H26" i="67"/>
  <c r="I26" i="67"/>
  <c r="J26" i="67"/>
  <c r="K26" i="67"/>
  <c r="L26" i="67"/>
  <c r="M26" i="67"/>
  <c r="N26" i="67"/>
  <c r="D27" i="67"/>
  <c r="E27" i="67"/>
  <c r="E37" i="67"/>
  <c r="E54" i="67"/>
  <c r="E58" i="67"/>
  <c r="F27" i="67"/>
  <c r="G27" i="67"/>
  <c r="H27" i="67"/>
  <c r="I27" i="67"/>
  <c r="J27" i="67"/>
  <c r="K27" i="67"/>
  <c r="L27" i="67"/>
  <c r="M27" i="67"/>
  <c r="N27" i="67"/>
  <c r="D28" i="67"/>
  <c r="E28" i="67"/>
  <c r="F28" i="67"/>
  <c r="G28" i="67"/>
  <c r="H28" i="67"/>
  <c r="I28" i="67"/>
  <c r="J28" i="67"/>
  <c r="K28" i="67"/>
  <c r="L28" i="67"/>
  <c r="M28" i="67"/>
  <c r="N28" i="67"/>
  <c r="D35" i="67"/>
  <c r="E35" i="67"/>
  <c r="F35" i="67"/>
  <c r="G35" i="67"/>
  <c r="H35" i="67"/>
  <c r="I35" i="67"/>
  <c r="J35" i="67"/>
  <c r="K35" i="67"/>
  <c r="L35" i="67"/>
  <c r="M35" i="67"/>
  <c r="N35" i="67"/>
  <c r="D36" i="67"/>
  <c r="D37" i="67"/>
  <c r="D54" i="67"/>
  <c r="D58" i="67"/>
  <c r="E36" i="67"/>
  <c r="F36" i="67"/>
  <c r="G36" i="67"/>
  <c r="H36" i="67"/>
  <c r="H37" i="67"/>
  <c r="H54" i="67"/>
  <c r="H58" i="67"/>
  <c r="I36" i="67"/>
  <c r="J36" i="67"/>
  <c r="K36" i="67"/>
  <c r="L36" i="67"/>
  <c r="L37" i="67"/>
  <c r="L54" i="67"/>
  <c r="L58" i="67"/>
  <c r="M36" i="67"/>
  <c r="N36" i="67"/>
  <c r="O29" i="67"/>
  <c r="C35" i="67"/>
  <c r="C36" i="67"/>
  <c r="C18" i="67"/>
  <c r="O19" i="67"/>
  <c r="O20" i="67"/>
  <c r="O22" i="67"/>
  <c r="O23" i="67"/>
  <c r="O24" i="67"/>
  <c r="O25" i="67"/>
  <c r="C26" i="67"/>
  <c r="C27" i="67"/>
  <c r="C28" i="67"/>
  <c r="O15" i="67"/>
  <c r="P24" i="74"/>
  <c r="O24" i="74"/>
  <c r="N24" i="74"/>
  <c r="M24" i="74"/>
  <c r="L24" i="74"/>
  <c r="K24" i="74"/>
  <c r="J24" i="74"/>
  <c r="I24" i="74"/>
  <c r="H24" i="74"/>
  <c r="G24" i="74"/>
  <c r="F24" i="74"/>
  <c r="E24" i="74"/>
  <c r="P23" i="74"/>
  <c r="O23" i="74"/>
  <c r="N23" i="74"/>
  <c r="M23" i="74"/>
  <c r="L23" i="74"/>
  <c r="K23" i="74"/>
  <c r="J23" i="74"/>
  <c r="I23" i="74"/>
  <c r="H23" i="74"/>
  <c r="G23" i="74"/>
  <c r="F23" i="74"/>
  <c r="E23" i="74"/>
  <c r="P22" i="74"/>
  <c r="O22" i="74"/>
  <c r="N22" i="74"/>
  <c r="M22" i="74"/>
  <c r="L22" i="74"/>
  <c r="K22" i="74"/>
  <c r="J22" i="74"/>
  <c r="I22" i="74"/>
  <c r="H22" i="74"/>
  <c r="G22" i="74"/>
  <c r="Q22" i="74"/>
  <c r="F22" i="74"/>
  <c r="E22" i="74"/>
  <c r="F25" i="74"/>
  <c r="A3" i="103"/>
  <c r="A1" i="103"/>
  <c r="K11" i="103"/>
  <c r="K12" i="103"/>
  <c r="K13" i="103"/>
  <c r="K14" i="103"/>
  <c r="K15" i="103"/>
  <c r="K16" i="103"/>
  <c r="K17" i="103"/>
  <c r="K18" i="103"/>
  <c r="K19" i="103"/>
  <c r="K20" i="103"/>
  <c r="K21" i="103"/>
  <c r="K22" i="103"/>
  <c r="K10" i="103"/>
  <c r="F22" i="103"/>
  <c r="F21" i="103"/>
  <c r="F20" i="103"/>
  <c r="F19" i="103"/>
  <c r="F18" i="103"/>
  <c r="F17" i="103"/>
  <c r="F16" i="103"/>
  <c r="F15" i="103"/>
  <c r="F14" i="103"/>
  <c r="F13" i="103"/>
  <c r="F12" i="103"/>
  <c r="F11" i="103"/>
  <c r="I41" i="55"/>
  <c r="C41" i="55"/>
  <c r="D41" i="55"/>
  <c r="F41" i="55"/>
  <c r="I42" i="55"/>
  <c r="C42" i="55"/>
  <c r="D42" i="55"/>
  <c r="F42" i="55"/>
  <c r="I43" i="55"/>
  <c r="C43" i="55"/>
  <c r="D43" i="55"/>
  <c r="F43" i="55"/>
  <c r="I44" i="55"/>
  <c r="C44" i="55"/>
  <c r="E44" i="55" s="1"/>
  <c r="D44" i="55"/>
  <c r="F44" i="55"/>
  <c r="I45" i="55"/>
  <c r="C45" i="55"/>
  <c r="D45" i="55"/>
  <c r="F45" i="55"/>
  <c r="I46" i="55"/>
  <c r="C46" i="55"/>
  <c r="D46" i="55"/>
  <c r="F46" i="55"/>
  <c r="I47" i="55"/>
  <c r="C47" i="55"/>
  <c r="D47" i="55"/>
  <c r="F47" i="55"/>
  <c r="I48" i="55"/>
  <c r="C48" i="55"/>
  <c r="D48" i="55"/>
  <c r="F48" i="55"/>
  <c r="I49" i="55"/>
  <c r="C49" i="55"/>
  <c r="D49" i="55"/>
  <c r="F49" i="55"/>
  <c r="I50" i="55"/>
  <c r="C50" i="55"/>
  <c r="D50" i="55"/>
  <c r="F50" i="55"/>
  <c r="I51" i="55"/>
  <c r="C51" i="55"/>
  <c r="D51" i="55"/>
  <c r="F51" i="55"/>
  <c r="E52" i="55"/>
  <c r="G52" i="55" s="1"/>
  <c r="K52" i="55" s="1"/>
  <c r="I53" i="55"/>
  <c r="J53" i="55"/>
  <c r="E53" i="55"/>
  <c r="G53" i="55" s="1"/>
  <c r="I54" i="55"/>
  <c r="J54" i="55"/>
  <c r="E54" i="55"/>
  <c r="G54" i="55" s="1"/>
  <c r="A11" i="55"/>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J73" i="55"/>
  <c r="I40" i="55"/>
  <c r="I39" i="55"/>
  <c r="I38" i="55"/>
  <c r="I37" i="55"/>
  <c r="J70" i="55"/>
  <c r="I36" i="55"/>
  <c r="I35" i="55"/>
  <c r="I34" i="55"/>
  <c r="I33" i="55"/>
  <c r="I32" i="55"/>
  <c r="I31" i="55"/>
  <c r="I30" i="55"/>
  <c r="I29" i="55"/>
  <c r="J59" i="55"/>
  <c r="I28" i="55"/>
  <c r="I59" i="55" s="1"/>
  <c r="I27" i="55"/>
  <c r="I16" i="55"/>
  <c r="I67" i="55" s="1"/>
  <c r="I17" i="55"/>
  <c r="I18" i="55"/>
  <c r="I19" i="55"/>
  <c r="I20" i="55"/>
  <c r="I21" i="55"/>
  <c r="I22" i="55"/>
  <c r="I23" i="55"/>
  <c r="I24" i="55"/>
  <c r="I25" i="55"/>
  <c r="I26" i="55"/>
  <c r="F45" i="87"/>
  <c r="G45" i="87"/>
  <c r="D150" i="77"/>
  <c r="C39" i="87"/>
  <c r="C40" i="87"/>
  <c r="E39" i="87"/>
  <c r="D39" i="87"/>
  <c r="D40" i="87"/>
  <c r="D19" i="96"/>
  <c r="E19" i="96"/>
  <c r="D20" i="96"/>
  <c r="D21" i="96"/>
  <c r="D22" i="96"/>
  <c r="D23" i="96"/>
  <c r="E23" i="96"/>
  <c r="D24" i="96"/>
  <c r="D25" i="96"/>
  <c r="D26" i="96"/>
  <c r="D27" i="96"/>
  <c r="E27" i="96"/>
  <c r="D28" i="96"/>
  <c r="D29" i="96"/>
  <c r="D30" i="96"/>
  <c r="E30" i="96"/>
  <c r="D31" i="96"/>
  <c r="E31" i="96"/>
  <c r="D8" i="96"/>
  <c r="D9" i="96"/>
  <c r="D10" i="96"/>
  <c r="D11" i="96"/>
  <c r="E11" i="96"/>
  <c r="D12" i="96"/>
  <c r="D13" i="96"/>
  <c r="D14" i="96"/>
  <c r="E14" i="96"/>
  <c r="D15" i="96"/>
  <c r="E15" i="96"/>
  <c r="D16" i="96"/>
  <c r="D17" i="96"/>
  <c r="E18" i="96"/>
  <c r="C38" i="95"/>
  <c r="G38" i="95"/>
  <c r="C37" i="95"/>
  <c r="C35" i="95"/>
  <c r="G35" i="95"/>
  <c r="D32" i="95"/>
  <c r="C32" i="95"/>
  <c r="C57" i="95"/>
  <c r="G57" i="95"/>
  <c r="C31" i="95"/>
  <c r="G31" i="95"/>
  <c r="C30" i="95"/>
  <c r="C29" i="95"/>
  <c r="C28" i="95"/>
  <c r="C27" i="95"/>
  <c r="G27" i="95"/>
  <c r="C26" i="95"/>
  <c r="C25" i="95"/>
  <c r="C24" i="95"/>
  <c r="C23" i="95"/>
  <c r="G23" i="95"/>
  <c r="C22" i="95"/>
  <c r="C21" i="95"/>
  <c r="C20" i="95"/>
  <c r="C42" i="95"/>
  <c r="C19" i="95"/>
  <c r="C18" i="95"/>
  <c r="C17" i="95"/>
  <c r="C16" i="95"/>
  <c r="G16" i="95"/>
  <c r="C15" i="95"/>
  <c r="G15" i="95"/>
  <c r="C9" i="95"/>
  <c r="C8" i="95"/>
  <c r="G190" i="75"/>
  <c r="H190" i="75"/>
  <c r="H189" i="75"/>
  <c r="G189" i="75"/>
  <c r="H151" i="75"/>
  <c r="G151" i="75"/>
  <c r="H147" i="75"/>
  <c r="G147" i="75"/>
  <c r="G128" i="75"/>
  <c r="H128" i="75"/>
  <c r="G55" i="105"/>
  <c r="G56" i="105"/>
  <c r="G57" i="105"/>
  <c r="G58" i="105"/>
  <c r="G59" i="105"/>
  <c r="G60" i="105"/>
  <c r="G61" i="105"/>
  <c r="G62" i="105"/>
  <c r="G63" i="105"/>
  <c r="G64" i="105"/>
  <c r="G65" i="105"/>
  <c r="A10" i="105"/>
  <c r="A11" i="105"/>
  <c r="A12" i="105"/>
  <c r="A13" i="105"/>
  <c r="A14" i="105"/>
  <c r="A15" i="105"/>
  <c r="A16" i="105"/>
  <c r="A17" i="105"/>
  <c r="A18" i="105"/>
  <c r="A19" i="105"/>
  <c r="A20" i="105"/>
  <c r="A21" i="105"/>
  <c r="A22" i="105"/>
  <c r="A23" i="105"/>
  <c r="A24" i="105"/>
  <c r="A25" i="105"/>
  <c r="A26" i="105"/>
  <c r="A27" i="105"/>
  <c r="A28" i="105"/>
  <c r="A29" i="105"/>
  <c r="A30" i="105"/>
  <c r="A31" i="105"/>
  <c r="A32" i="105"/>
  <c r="A33" i="105"/>
  <c r="A36" i="105"/>
  <c r="A66" i="105"/>
  <c r="A67" i="105"/>
  <c r="H68" i="105"/>
  <c r="G22" i="105"/>
  <c r="G25" i="105"/>
  <c r="G29"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F65" i="105"/>
  <c r="A68" i="105"/>
  <c r="H67" i="105"/>
  <c r="H66" i="105"/>
  <c r="A37" i="105"/>
  <c r="A38" i="105"/>
  <c r="A39" i="105"/>
  <c r="A40" i="105"/>
  <c r="A41" i="105"/>
  <c r="A42" i="105"/>
  <c r="A43" i="105"/>
  <c r="A44" i="105"/>
  <c r="A45" i="105"/>
  <c r="A46" i="105"/>
  <c r="A47" i="105"/>
  <c r="A48" i="105"/>
  <c r="A49" i="105"/>
  <c r="A50" i="105"/>
  <c r="A51" i="105"/>
  <c r="A52" i="105"/>
  <c r="A53" i="105"/>
  <c r="A54" i="105"/>
  <c r="A55" i="105"/>
  <c r="A56" i="105"/>
  <c r="A57" i="105"/>
  <c r="A58" i="105"/>
  <c r="A59" i="105"/>
  <c r="A60" i="105"/>
  <c r="A61" i="105"/>
  <c r="A62" i="105"/>
  <c r="A63" i="105"/>
  <c r="A64" i="105"/>
  <c r="A65" i="105"/>
  <c r="M64" i="105"/>
  <c r="M62" i="105"/>
  <c r="H29" i="105"/>
  <c r="H25" i="105"/>
  <c r="H22" i="105"/>
  <c r="D42" i="95"/>
  <c r="D43" i="95"/>
  <c r="G43" i="95"/>
  <c r="D44" i="95"/>
  <c r="D45" i="95"/>
  <c r="D15" i="77"/>
  <c r="C23" i="55"/>
  <c r="D23" i="55"/>
  <c r="F23" i="55"/>
  <c r="C24" i="55"/>
  <c r="D24" i="55"/>
  <c r="F24" i="55"/>
  <c r="C25" i="55"/>
  <c r="D25" i="55"/>
  <c r="F25" i="55"/>
  <c r="C27" i="55"/>
  <c r="D27" i="55"/>
  <c r="E27" i="55"/>
  <c r="F27" i="55"/>
  <c r="C28" i="55"/>
  <c r="D28" i="55"/>
  <c r="D59" i="55" s="1"/>
  <c r="F28" i="55"/>
  <c r="F59" i="55" s="1"/>
  <c r="C30" i="55"/>
  <c r="D30" i="55"/>
  <c r="F30" i="55"/>
  <c r="C31" i="55"/>
  <c r="E31" i="55" s="1"/>
  <c r="G31" i="55" s="1"/>
  <c r="D31" i="55"/>
  <c r="F31" i="55"/>
  <c r="C32" i="55"/>
  <c r="D32" i="55"/>
  <c r="F32" i="55"/>
  <c r="C33" i="55"/>
  <c r="D33" i="55"/>
  <c r="F33" i="55"/>
  <c r="C26" i="55"/>
  <c r="D26" i="55"/>
  <c r="F26" i="55"/>
  <c r="C29" i="55"/>
  <c r="D29" i="55"/>
  <c r="F29" i="55"/>
  <c r="C34" i="55"/>
  <c r="D34" i="55"/>
  <c r="F34" i="55"/>
  <c r="C35" i="55"/>
  <c r="D35" i="55"/>
  <c r="F35" i="55"/>
  <c r="E22" i="56"/>
  <c r="E23" i="56"/>
  <c r="E24" i="56"/>
  <c r="E25" i="56"/>
  <c r="E26" i="56"/>
  <c r="E27" i="56"/>
  <c r="E49" i="56"/>
  <c r="D13" i="77"/>
  <c r="C16" i="55"/>
  <c r="C67" i="55" s="1"/>
  <c r="D16" i="55"/>
  <c r="F16" i="55"/>
  <c r="F67" i="55" s="1"/>
  <c r="C17" i="55"/>
  <c r="E17" i="55" s="1"/>
  <c r="D17" i="55"/>
  <c r="F17" i="55"/>
  <c r="C18" i="55"/>
  <c r="D18" i="55"/>
  <c r="F18" i="55"/>
  <c r="C19" i="55"/>
  <c r="D19" i="55"/>
  <c r="F19" i="55"/>
  <c r="C20" i="55"/>
  <c r="D20" i="55"/>
  <c r="F20" i="55"/>
  <c r="C21" i="55"/>
  <c r="E21" i="55" s="1"/>
  <c r="D21" i="55"/>
  <c r="F21" i="55"/>
  <c r="C22" i="55"/>
  <c r="D22" i="55"/>
  <c r="F22" i="55"/>
  <c r="C36" i="55"/>
  <c r="D36" i="55"/>
  <c r="D70" i="55" s="1"/>
  <c r="F36" i="55"/>
  <c r="F70" i="55" s="1"/>
  <c r="C37" i="55"/>
  <c r="D37" i="55"/>
  <c r="F37" i="55"/>
  <c r="C38" i="55"/>
  <c r="D38" i="55"/>
  <c r="F38" i="55"/>
  <c r="C40" i="55"/>
  <c r="D40" i="55"/>
  <c r="F40" i="55"/>
  <c r="C39" i="55"/>
  <c r="D39" i="55"/>
  <c r="F39" i="55"/>
  <c r="F73" i="55" s="1"/>
  <c r="F10" i="103"/>
  <c r="A9" i="103"/>
  <c r="A10" i="103"/>
  <c r="A11" i="103"/>
  <c r="A12" i="103"/>
  <c r="A13" i="103"/>
  <c r="A14" i="103"/>
  <c r="A15" i="103"/>
  <c r="A16" i="103"/>
  <c r="A17" i="103"/>
  <c r="A18" i="103"/>
  <c r="A19" i="103"/>
  <c r="A20" i="103"/>
  <c r="A21" i="103"/>
  <c r="A22" i="103"/>
  <c r="A23" i="103"/>
  <c r="A24" i="103"/>
  <c r="E55" i="75"/>
  <c r="A27" i="62"/>
  <c r="A28" i="62"/>
  <c r="A29" i="62"/>
  <c r="A30" i="62"/>
  <c r="A31" i="62"/>
  <c r="A32" i="62"/>
  <c r="A33" i="62"/>
  <c r="A34" i="62"/>
  <c r="A35" i="62"/>
  <c r="A36" i="62"/>
  <c r="A37" i="62"/>
  <c r="A38" i="62"/>
  <c r="A39" i="62"/>
  <c r="A40" i="62"/>
  <c r="E10" i="102"/>
  <c r="E31" i="102"/>
  <c r="D10" i="102"/>
  <c r="A8" i="102"/>
  <c r="A9" i="102"/>
  <c r="A10" i="102"/>
  <c r="F18" i="102"/>
  <c r="F26" i="102"/>
  <c r="F30" i="102"/>
  <c r="F13" i="102"/>
  <c r="A3" i="102"/>
  <c r="A1" i="102"/>
  <c r="G15" i="51"/>
  <c r="G16" i="51"/>
  <c r="G17" i="51"/>
  <c r="G18" i="51"/>
  <c r="G19" i="51"/>
  <c r="G21" i="51"/>
  <c r="G22" i="51"/>
  <c r="G23" i="51"/>
  <c r="G27" i="51"/>
  <c r="G28" i="51"/>
  <c r="G29" i="51"/>
  <c r="G33" i="51"/>
  <c r="G34" i="51"/>
  <c r="G35" i="51"/>
  <c r="G37" i="51"/>
  <c r="G42" i="51"/>
  <c r="G43" i="51"/>
  <c r="G44" i="51"/>
  <c r="G46" i="51"/>
  <c r="G47" i="51"/>
  <c r="G48" i="51"/>
  <c r="G50" i="51"/>
  <c r="G51" i="51"/>
  <c r="E24" i="51"/>
  <c r="E26" i="51"/>
  <c r="E32" i="51"/>
  <c r="E39" i="51"/>
  <c r="E41" i="51"/>
  <c r="E45" i="51"/>
  <c r="D38" i="51"/>
  <c r="D25" i="51"/>
  <c r="D30" i="51"/>
  <c r="D31" i="51"/>
  <c r="D40" i="51"/>
  <c r="D49" i="51"/>
  <c r="D52" i="51"/>
  <c r="D53" i="51"/>
  <c r="G287" i="75"/>
  <c r="A3" i="51"/>
  <c r="A1" i="51"/>
  <c r="E49" i="95"/>
  <c r="C50" i="95"/>
  <c r="G50" i="95"/>
  <c r="D151" i="77"/>
  <c r="C51" i="95"/>
  <c r="G51" i="95"/>
  <c r="D167" i="77"/>
  <c r="E58" i="95"/>
  <c r="E59" i="95"/>
  <c r="F58" i="95"/>
  <c r="F59" i="95"/>
  <c r="C43" i="95"/>
  <c r="D46" i="95"/>
  <c r="G10" i="95"/>
  <c r="G13" i="95"/>
  <c r="G17" i="95"/>
  <c r="G20" i="95"/>
  <c r="G21" i="95"/>
  <c r="G22" i="95"/>
  <c r="G25" i="95"/>
  <c r="G26" i="95"/>
  <c r="G29" i="95"/>
  <c r="G30" i="95"/>
  <c r="G33" i="95"/>
  <c r="G36" i="95"/>
  <c r="G37" i="95"/>
  <c r="F39" i="95"/>
  <c r="E39" i="95"/>
  <c r="A8" i="67"/>
  <c r="A9" i="67"/>
  <c r="A10" i="67"/>
  <c r="A11" i="67"/>
  <c r="A12" i="67"/>
  <c r="A13" i="67"/>
  <c r="A14" i="67"/>
  <c r="H15" i="58"/>
  <c r="L15" i="58"/>
  <c r="I152" i="77"/>
  <c r="E8" i="98"/>
  <c r="E9" i="98"/>
  <c r="E10" i="98"/>
  <c r="E11" i="98"/>
  <c r="E12" i="98"/>
  <c r="E13" i="98"/>
  <c r="E14" i="98"/>
  <c r="E15" i="98"/>
  <c r="E16" i="98"/>
  <c r="E17" i="98"/>
  <c r="E18" i="98"/>
  <c r="E19" i="98"/>
  <c r="E20" i="98"/>
  <c r="E21" i="98"/>
  <c r="E22" i="98"/>
  <c r="A3" i="98"/>
  <c r="A1" i="98"/>
  <c r="A25" i="98"/>
  <c r="D8" i="98"/>
  <c r="C9" i="98"/>
  <c r="B9" i="98"/>
  <c r="B10" i="98"/>
  <c r="B11" i="98"/>
  <c r="B12" i="98"/>
  <c r="B13" i="98"/>
  <c r="B14" i="98"/>
  <c r="B15" i="98"/>
  <c r="B16" i="98"/>
  <c r="B17" i="98"/>
  <c r="B18" i="98"/>
  <c r="B19" i="98"/>
  <c r="B20" i="98"/>
  <c r="B21" i="98"/>
  <c r="B22" i="98"/>
  <c r="A8" i="98"/>
  <c r="A9" i="98"/>
  <c r="A10" i="98"/>
  <c r="A11" i="98"/>
  <c r="A12" i="98"/>
  <c r="A13" i="98"/>
  <c r="A14" i="98"/>
  <c r="A15" i="98"/>
  <c r="A16" i="98"/>
  <c r="A17" i="98"/>
  <c r="A18" i="98"/>
  <c r="A19" i="98"/>
  <c r="A20" i="98"/>
  <c r="A21" i="98"/>
  <c r="A22" i="98"/>
  <c r="C18" i="96"/>
  <c r="D27" i="56"/>
  <c r="D26" i="56"/>
  <c r="D25" i="56"/>
  <c r="D24" i="56"/>
  <c r="D23" i="56"/>
  <c r="D22" i="56"/>
  <c r="E21" i="56"/>
  <c r="D21" i="56"/>
  <c r="E20" i="56"/>
  <c r="D20" i="56"/>
  <c r="E19" i="56"/>
  <c r="D19" i="56"/>
  <c r="E18" i="56"/>
  <c r="D18" i="56"/>
  <c r="E17" i="56"/>
  <c r="D17" i="56"/>
  <c r="E16" i="56"/>
  <c r="D16" i="56"/>
  <c r="E15" i="56"/>
  <c r="D15" i="56"/>
  <c r="E14" i="56"/>
  <c r="D14" i="56"/>
  <c r="E13" i="56"/>
  <c r="D13" i="56"/>
  <c r="E12" i="56"/>
  <c r="D12" i="56"/>
  <c r="E11" i="56"/>
  <c r="D11" i="56"/>
  <c r="E10" i="56"/>
  <c r="D10" i="56"/>
  <c r="D42" i="56"/>
  <c r="D41" i="56"/>
  <c r="D40" i="56"/>
  <c r="D39" i="56"/>
  <c r="D38" i="56"/>
  <c r="D37" i="56"/>
  <c r="D36" i="56"/>
  <c r="D35" i="56"/>
  <c r="D34" i="56"/>
  <c r="D33" i="56"/>
  <c r="D32" i="56"/>
  <c r="D62" i="56"/>
  <c r="D31" i="56"/>
  <c r="D60" i="56"/>
  <c r="D30" i="56"/>
  <c r="D29" i="56"/>
  <c r="D28" i="56"/>
  <c r="F28" i="56"/>
  <c r="F58" i="56"/>
  <c r="D9" i="56"/>
  <c r="D8" i="56"/>
  <c r="I10" i="51"/>
  <c r="Q47" i="44"/>
  <c r="Q38" i="44"/>
  <c r="Q36" i="44"/>
  <c r="K39" i="44"/>
  <c r="K48" i="44"/>
  <c r="Q34" i="44"/>
  <c r="M39" i="44"/>
  <c r="M48" i="44"/>
  <c r="I39" i="44"/>
  <c r="I48" i="44"/>
  <c r="E39" i="44"/>
  <c r="P30" i="44"/>
  <c r="G199" i="75"/>
  <c r="Q17" i="44"/>
  <c r="P12" i="44"/>
  <c r="H197" i="75"/>
  <c r="Q9" i="44"/>
  <c r="M12" i="44"/>
  <c r="M20" i="44"/>
  <c r="I12" i="44"/>
  <c r="I20" i="44"/>
  <c r="F28" i="49"/>
  <c r="D24" i="49"/>
  <c r="D16" i="49"/>
  <c r="C53" i="93"/>
  <c r="Q19" i="73"/>
  <c r="D50" i="73" s="1"/>
  <c r="H50" i="73" s="1"/>
  <c r="Q12" i="73"/>
  <c r="D43" i="73" s="1"/>
  <c r="H43" i="73" s="1"/>
  <c r="Q11" i="73"/>
  <c r="D42" i="73" s="1"/>
  <c r="L34" i="73"/>
  <c r="G34" i="73"/>
  <c r="Q9" i="73"/>
  <c r="D40" i="73"/>
  <c r="F37" i="62"/>
  <c r="F36" i="62"/>
  <c r="F34" i="62"/>
  <c r="F33" i="62"/>
  <c r="H42" i="62"/>
  <c r="F29" i="62"/>
  <c r="I42" i="62"/>
  <c r="F177" i="77"/>
  <c r="F178" i="77"/>
  <c r="O18" i="85"/>
  <c r="L10" i="88"/>
  <c r="D127" i="88" s="1"/>
  <c r="M127" i="88" s="1"/>
  <c r="H23" i="62"/>
  <c r="D177" i="77"/>
  <c r="I23" i="62"/>
  <c r="D178" i="77"/>
  <c r="P10" i="85"/>
  <c r="P11" i="85"/>
  <c r="P16" i="85"/>
  <c r="D28" i="85"/>
  <c r="E28" i="85"/>
  <c r="E30" i="85" s="1"/>
  <c r="H28" i="85"/>
  <c r="L28" i="85"/>
  <c r="M28" i="85"/>
  <c r="F20" i="62"/>
  <c r="F18" i="62"/>
  <c r="F16" i="62"/>
  <c r="F14" i="62"/>
  <c r="F12" i="62"/>
  <c r="H299" i="75"/>
  <c r="H298" i="75"/>
  <c r="H289" i="75"/>
  <c r="G289" i="75"/>
  <c r="H257" i="75"/>
  <c r="G257" i="75"/>
  <c r="H256" i="75"/>
  <c r="G256" i="75"/>
  <c r="F22" i="56"/>
  <c r="F23" i="56"/>
  <c r="F24" i="56"/>
  <c r="F25" i="56"/>
  <c r="F26" i="56"/>
  <c r="F27" i="56"/>
  <c r="F49" i="56"/>
  <c r="D99" i="77"/>
  <c r="C38" i="96"/>
  <c r="H115" i="75"/>
  <c r="G115" i="75"/>
  <c r="G114" i="75"/>
  <c r="G116" i="75"/>
  <c r="H114" i="75"/>
  <c r="H116" i="75"/>
  <c r="H110" i="75"/>
  <c r="G110" i="75"/>
  <c r="H77" i="75"/>
  <c r="G77" i="75"/>
  <c r="N43" i="67"/>
  <c r="N49" i="67"/>
  <c r="L43" i="67"/>
  <c r="L49" i="67"/>
  <c r="J43" i="67"/>
  <c r="J49" i="67"/>
  <c r="O52" i="67"/>
  <c r="G9" i="51"/>
  <c r="C9" i="51"/>
  <c r="F35" i="49"/>
  <c r="F34" i="49"/>
  <c r="F40" i="49"/>
  <c r="H176" i="75"/>
  <c r="F31" i="49"/>
  <c r="F29" i="49"/>
  <c r="F27" i="49"/>
  <c r="F26" i="49"/>
  <c r="F23" i="49"/>
  <c r="D21" i="49"/>
  <c r="F14" i="49"/>
  <c r="F11" i="49"/>
  <c r="F20" i="49"/>
  <c r="F22" i="49"/>
  <c r="G182" i="75"/>
  <c r="D33" i="49"/>
  <c r="C43" i="67"/>
  <c r="C49" i="67"/>
  <c r="K155" i="2"/>
  <c r="L155" i="2"/>
  <c r="M155" i="2"/>
  <c r="I155" i="2"/>
  <c r="H155" i="2"/>
  <c r="G155" i="2"/>
  <c r="D43" i="67"/>
  <c r="D49" i="67"/>
  <c r="E43" i="67"/>
  <c r="E49" i="67"/>
  <c r="F43" i="67"/>
  <c r="F49" i="67"/>
  <c r="G43" i="67"/>
  <c r="G49" i="67"/>
  <c r="H43" i="67"/>
  <c r="H49" i="67"/>
  <c r="I43" i="67"/>
  <c r="I49" i="67"/>
  <c r="K43" i="67"/>
  <c r="K49" i="67"/>
  <c r="M43" i="67"/>
  <c r="M49" i="67"/>
  <c r="A8" i="49"/>
  <c r="A9" i="49"/>
  <c r="A10" i="49"/>
  <c r="A8" i="85"/>
  <c r="A9" i="85"/>
  <c r="A10" i="85"/>
  <c r="A11" i="85"/>
  <c r="A12" i="85"/>
  <c r="A13" i="85"/>
  <c r="A14" i="85"/>
  <c r="A15" i="85"/>
  <c r="A231" i="2"/>
  <c r="L303" i="2"/>
  <c r="J294" i="2"/>
  <c r="J290" i="2"/>
  <c r="J260" i="2"/>
  <c r="F156" i="2"/>
  <c r="F250" i="2"/>
  <c r="P24" i="85"/>
  <c r="Q23" i="73"/>
  <c r="D54" i="73"/>
  <c r="H54" i="73" s="1"/>
  <c r="A308" i="2"/>
  <c r="A7" i="86"/>
  <c r="A8" i="86" s="1"/>
  <c r="A9" i="86" s="1"/>
  <c r="A10" i="86" s="1"/>
  <c r="A11" i="86" s="1"/>
  <c r="F239" i="2"/>
  <c r="J239" i="2"/>
  <c r="J160" i="2"/>
  <c r="F160" i="2"/>
  <c r="J17" i="2"/>
  <c r="F17" i="2"/>
  <c r="D30" i="49"/>
  <c r="K248" i="2"/>
  <c r="E35" i="93"/>
  <c r="I68" i="77"/>
  <c r="I69" i="77"/>
  <c r="D141" i="77"/>
  <c r="G146" i="75" s="1"/>
  <c r="G141" i="2"/>
  <c r="G142" i="2"/>
  <c r="H142" i="2"/>
  <c r="I142" i="2"/>
  <c r="F59" i="77"/>
  <c r="F91" i="77"/>
  <c r="F66" i="77"/>
  <c r="F73" i="77"/>
  <c r="F82" i="77"/>
  <c r="G59" i="77"/>
  <c r="G66" i="77"/>
  <c r="G73" i="77"/>
  <c r="G82" i="77"/>
  <c r="G91" i="77"/>
  <c r="H59" i="77"/>
  <c r="H82" i="77"/>
  <c r="F65" i="73"/>
  <c r="G97" i="75" s="1"/>
  <c r="E40" i="49"/>
  <c r="G174" i="75"/>
  <c r="D163" i="77"/>
  <c r="D147" i="77"/>
  <c r="G22" i="78"/>
  <c r="G55" i="78"/>
  <c r="G56" i="78" s="1"/>
  <c r="G57" i="78" s="1"/>
  <c r="G58" i="78" s="1"/>
  <c r="G59" i="78" s="1"/>
  <c r="G60" i="78" s="1"/>
  <c r="G61" i="78" s="1"/>
  <c r="G62" i="78" s="1"/>
  <c r="G63" i="78" s="1"/>
  <c r="G64" i="78" s="1"/>
  <c r="G65" i="78" s="1"/>
  <c r="D61" i="56"/>
  <c r="D53" i="56"/>
  <c r="D58" i="56"/>
  <c r="D59" i="56"/>
  <c r="D54" i="56"/>
  <c r="D55" i="56"/>
  <c r="D56" i="56"/>
  <c r="D57" i="56"/>
  <c r="L280" i="2"/>
  <c r="A7" i="74"/>
  <c r="A8" i="74"/>
  <c r="A9" i="74"/>
  <c r="A10" i="74"/>
  <c r="E48" i="44"/>
  <c r="G39" i="44"/>
  <c r="G48" i="44"/>
  <c r="H39" i="44"/>
  <c r="H48" i="44"/>
  <c r="L39" i="44"/>
  <c r="L48" i="44"/>
  <c r="O39" i="44"/>
  <c r="O48" i="44"/>
  <c r="P39" i="44"/>
  <c r="P48" i="44"/>
  <c r="H202" i="75"/>
  <c r="D39" i="44"/>
  <c r="F30" i="56"/>
  <c r="F61" i="56"/>
  <c r="F31" i="56"/>
  <c r="F60" i="56"/>
  <c r="C63" i="73"/>
  <c r="C64" i="73"/>
  <c r="A10" i="78"/>
  <c r="A11" i="78"/>
  <c r="A12" i="78"/>
  <c r="A13" i="78"/>
  <c r="A14" i="78"/>
  <c r="A15" i="78"/>
  <c r="A16" i="78"/>
  <c r="A17" i="78"/>
  <c r="A18" i="78"/>
  <c r="A19" i="78"/>
  <c r="A20" i="78"/>
  <c r="A21" i="78"/>
  <c r="A22" i="78"/>
  <c r="E37" i="78"/>
  <c r="E38" i="78"/>
  <c r="E39" i="78"/>
  <c r="E40" i="78"/>
  <c r="E41" i="78"/>
  <c r="E42" i="78"/>
  <c r="E43" i="78"/>
  <c r="E44" i="78"/>
  <c r="E45" i="78"/>
  <c r="E46" i="78"/>
  <c r="E47" i="78"/>
  <c r="E48" i="78"/>
  <c r="E49" i="78"/>
  <c r="E50" i="78"/>
  <c r="E51" i="78"/>
  <c r="E52" i="78"/>
  <c r="E53" i="78"/>
  <c r="E54" i="78"/>
  <c r="E55" i="78"/>
  <c r="E56" i="78"/>
  <c r="E57" i="78"/>
  <c r="E58" i="78"/>
  <c r="E59" i="78"/>
  <c r="E60" i="78"/>
  <c r="E61" i="78"/>
  <c r="E62" i="78"/>
  <c r="E63" i="78"/>
  <c r="E64" i="78"/>
  <c r="E65" i="78"/>
  <c r="F65" i="78"/>
  <c r="E8" i="93"/>
  <c r="E9" i="93"/>
  <c r="E10" i="93"/>
  <c r="E11" i="93"/>
  <c r="E12" i="93"/>
  <c r="E13" i="93"/>
  <c r="E14" i="93"/>
  <c r="E15" i="93"/>
  <c r="E17" i="93"/>
  <c r="E18" i="93"/>
  <c r="E19" i="93"/>
  <c r="E20" i="93"/>
  <c r="E21" i="93"/>
  <c r="E22" i="93"/>
  <c r="E23" i="93"/>
  <c r="E24" i="93"/>
  <c r="F47" i="56"/>
  <c r="F48" i="56"/>
  <c r="C37" i="96"/>
  <c r="D37" i="96"/>
  <c r="E54" i="56"/>
  <c r="E55" i="56"/>
  <c r="E56" i="56"/>
  <c r="E57" i="56"/>
  <c r="C11" i="57"/>
  <c r="G134" i="75"/>
  <c r="E25" i="93"/>
  <c r="E26" i="93"/>
  <c r="E27" i="93"/>
  <c r="E28" i="93"/>
  <c r="E29" i="93"/>
  <c r="E30" i="93"/>
  <c r="E31" i="93"/>
  <c r="E33" i="93"/>
  <c r="E34" i="93"/>
  <c r="E38" i="93"/>
  <c r="F33" i="56"/>
  <c r="F34" i="56"/>
  <c r="F36" i="56"/>
  <c r="F37" i="56"/>
  <c r="F38" i="56"/>
  <c r="F40" i="56"/>
  <c r="F41" i="56"/>
  <c r="F42" i="56"/>
  <c r="E65" i="93"/>
  <c r="G150" i="75"/>
  <c r="G262" i="75"/>
  <c r="Q11" i="44"/>
  <c r="Q33" i="44"/>
  <c r="Q35" i="44"/>
  <c r="Q39" i="44"/>
  <c r="G200" i="75"/>
  <c r="D212" i="88"/>
  <c r="Q44" i="44"/>
  <c r="Q46" i="44"/>
  <c r="Q16" i="44"/>
  <c r="G201" i="75"/>
  <c r="G209" i="75"/>
  <c r="F10" i="56"/>
  <c r="F54" i="56"/>
  <c r="D149" i="77"/>
  <c r="D8" i="49"/>
  <c r="D12" i="49"/>
  <c r="D17" i="49"/>
  <c r="D18" i="49"/>
  <c r="D19" i="49"/>
  <c r="D32" i="49"/>
  <c r="F11" i="56"/>
  <c r="F55" i="56"/>
  <c r="D165" i="77"/>
  <c r="D10" i="51"/>
  <c r="H271" i="75"/>
  <c r="G271" i="75"/>
  <c r="F10" i="51"/>
  <c r="G272" i="75"/>
  <c r="B319" i="2"/>
  <c r="B318" i="2"/>
  <c r="B317" i="2"/>
  <c r="B316" i="2"/>
  <c r="C178" i="88"/>
  <c r="C116" i="88"/>
  <c r="C56" i="88"/>
  <c r="A8" i="77"/>
  <c r="A9" i="77" s="1"/>
  <c r="A10" i="77" s="1"/>
  <c r="A50" i="77"/>
  <c r="A51" i="77" s="1"/>
  <c r="A52" i="77" s="1"/>
  <c r="A53" i="77" s="1"/>
  <c r="A54" i="77" s="1"/>
  <c r="I85" i="77" s="1"/>
  <c r="L304" i="2"/>
  <c r="J282" i="2"/>
  <c r="J278" i="2"/>
  <c r="J276" i="2"/>
  <c r="J274" i="2"/>
  <c r="J270" i="2"/>
  <c r="J269" i="2"/>
  <c r="J268" i="2"/>
  <c r="J267" i="2"/>
  <c r="J266" i="2"/>
  <c r="K265" i="2"/>
  <c r="J263" i="2"/>
  <c r="L258" i="2"/>
  <c r="F254" i="2"/>
  <c r="F242" i="2"/>
  <c r="J240" i="2"/>
  <c r="M142" i="2"/>
  <c r="L142" i="2"/>
  <c r="K142" i="2"/>
  <c r="A18" i="85"/>
  <c r="A19" i="85"/>
  <c r="A20" i="85"/>
  <c r="A21" i="85"/>
  <c r="A22" i="85"/>
  <c r="A23" i="85"/>
  <c r="A24" i="85"/>
  <c r="B54" i="67"/>
  <c r="F8" i="56"/>
  <c r="F29" i="56"/>
  <c r="F12" i="56"/>
  <c r="F13" i="56"/>
  <c r="F14" i="56"/>
  <c r="F15" i="56"/>
  <c r="F16" i="56"/>
  <c r="F17" i="56"/>
  <c r="F18" i="56"/>
  <c r="F19" i="56"/>
  <c r="F20" i="56"/>
  <c r="F21" i="56"/>
  <c r="D49" i="56"/>
  <c r="D47" i="56"/>
  <c r="D48" i="56"/>
  <c r="A8" i="56"/>
  <c r="A9" i="56"/>
  <c r="A10" i="56"/>
  <c r="A11" i="56"/>
  <c r="A12" i="56"/>
  <c r="A13" i="56"/>
  <c r="A14" i="56"/>
  <c r="A15" i="56"/>
  <c r="A16" i="56"/>
  <c r="F49" i="87"/>
  <c r="F51" i="87"/>
  <c r="A46" i="95"/>
  <c r="A47" i="95"/>
  <c r="A48" i="95"/>
  <c r="A49" i="95"/>
  <c r="A50" i="95"/>
  <c r="A51" i="95"/>
  <c r="A52" i="95"/>
  <c r="A53" i="95"/>
  <c r="A54" i="95"/>
  <c r="A55" i="95"/>
  <c r="A56" i="95"/>
  <c r="A57" i="95"/>
  <c r="A58" i="95"/>
  <c r="A59" i="95"/>
  <c r="A60" i="95"/>
  <c r="A61" i="95"/>
  <c r="B59" i="95"/>
  <c r="A8" i="95"/>
  <c r="A9" i="95"/>
  <c r="A10" i="95"/>
  <c r="A11" i="95"/>
  <c r="C42" i="96"/>
  <c r="D42" i="96"/>
  <c r="E42" i="96"/>
  <c r="E43" i="96"/>
  <c r="C44" i="96"/>
  <c r="D44" i="96"/>
  <c r="E44" i="96"/>
  <c r="C45" i="96"/>
  <c r="C46" i="96"/>
  <c r="E47" i="96"/>
  <c r="C48" i="96"/>
  <c r="E49" i="96"/>
  <c r="C50" i="96"/>
  <c r="D50" i="96"/>
  <c r="C51" i="96"/>
  <c r="A32" i="96"/>
  <c r="A33" i="96"/>
  <c r="A34" i="96"/>
  <c r="A35" i="96"/>
  <c r="E35" i="96"/>
  <c r="E36" i="96"/>
  <c r="E37" i="96"/>
  <c r="E8" i="96"/>
  <c r="E9" i="96"/>
  <c r="E12" i="96"/>
  <c r="E13" i="96"/>
  <c r="E16" i="96"/>
  <c r="E17" i="96"/>
  <c r="E20" i="96"/>
  <c r="E21" i="96"/>
  <c r="E24" i="96"/>
  <c r="E25" i="96"/>
  <c r="E28" i="96"/>
  <c r="E29" i="96"/>
  <c r="C32" i="96"/>
  <c r="B32" i="96"/>
  <c r="A8" i="96"/>
  <c r="O46" i="67"/>
  <c r="O47" i="67"/>
  <c r="O48" i="67"/>
  <c r="A3" i="67"/>
  <c r="K141" i="2"/>
  <c r="H106" i="75"/>
  <c r="H134" i="75"/>
  <c r="P20" i="44"/>
  <c r="H198" i="75"/>
  <c r="H201" i="75"/>
  <c r="E66" i="77"/>
  <c r="A58" i="77"/>
  <c r="O56" i="67"/>
  <c r="O42" i="67"/>
  <c r="O41" i="67"/>
  <c r="O40" i="67"/>
  <c r="J42" i="62"/>
  <c r="F30" i="62"/>
  <c r="F31" i="62"/>
  <c r="F32" i="62"/>
  <c r="F35" i="62"/>
  <c r="F38" i="62"/>
  <c r="F39" i="62"/>
  <c r="D42" i="62"/>
  <c r="D23" i="62"/>
  <c r="F9" i="62"/>
  <c r="F11" i="62"/>
  <c r="F13" i="62"/>
  <c r="F15" i="62"/>
  <c r="F17" i="62"/>
  <c r="F19" i="62"/>
  <c r="F21" i="62"/>
  <c r="J23" i="62"/>
  <c r="H174" i="75"/>
  <c r="H287" i="75"/>
  <c r="A39" i="93"/>
  <c r="A40" i="93"/>
  <c r="A41" i="93"/>
  <c r="A42" i="93"/>
  <c r="A43" i="93"/>
  <c r="A44" i="93"/>
  <c r="A45" i="93"/>
  <c r="M107" i="88"/>
  <c r="M64" i="78"/>
  <c r="M62" i="78"/>
  <c r="A10" i="61"/>
  <c r="A11" i="61"/>
  <c r="A12" i="61"/>
  <c r="A13" i="61"/>
  <c r="A14" i="61"/>
  <c r="A15" i="61"/>
  <c r="A16" i="61"/>
  <c r="A17" i="61"/>
  <c r="A18" i="61"/>
  <c r="A19" i="61"/>
  <c r="A20" i="61"/>
  <c r="A21" i="61"/>
  <c r="C10" i="60"/>
  <c r="A7" i="60"/>
  <c r="D128" i="88"/>
  <c r="I25" i="88"/>
  <c r="M133" i="88"/>
  <c r="M136" i="88"/>
  <c r="M142" i="88"/>
  <c r="M147" i="88"/>
  <c r="M148" i="88"/>
  <c r="M149" i="88"/>
  <c r="M150" i="88"/>
  <c r="M151" i="88"/>
  <c r="M152" i="88"/>
  <c r="A8" i="93"/>
  <c r="A9" i="93"/>
  <c r="A10" i="93"/>
  <c r="A11" i="93"/>
  <c r="A12" i="93"/>
  <c r="A13" i="93"/>
  <c r="A14" i="93"/>
  <c r="A15" i="93"/>
  <c r="A16" i="93"/>
  <c r="A17" i="93"/>
  <c r="A18" i="93"/>
  <c r="A19" i="93"/>
  <c r="A20" i="93"/>
  <c r="A21" i="93"/>
  <c r="A22" i="93"/>
  <c r="A23" i="93"/>
  <c r="A24" i="93"/>
  <c r="A25" i="93"/>
  <c r="A26" i="93"/>
  <c r="A27" i="93"/>
  <c r="A28" i="93"/>
  <c r="A29" i="93"/>
  <c r="A30" i="93"/>
  <c r="A31" i="93"/>
  <c r="A32" i="93"/>
  <c r="A33" i="93"/>
  <c r="A34" i="93"/>
  <c r="A35" i="93"/>
  <c r="A36" i="93"/>
  <c r="P22" i="85"/>
  <c r="A40" i="49"/>
  <c r="A41" i="49"/>
  <c r="A42" i="49"/>
  <c r="B30" i="49"/>
  <c r="B55" i="67"/>
  <c r="B49" i="67"/>
  <c r="B43" i="67"/>
  <c r="B39" i="67"/>
  <c r="B37" i="67"/>
  <c r="J66" i="55"/>
  <c r="D67" i="55"/>
  <c r="J67" i="55"/>
  <c r="I70" i="55"/>
  <c r="F59" i="56"/>
  <c r="G51" i="87"/>
  <c r="G49" i="87"/>
  <c r="C45" i="93"/>
  <c r="C46" i="93"/>
  <c r="D43" i="93"/>
  <c r="D44" i="93"/>
  <c r="D39" i="93"/>
  <c r="C43" i="93"/>
  <c r="C44" i="93"/>
  <c r="F39" i="87"/>
  <c r="A127" i="88"/>
  <c r="A128" i="88"/>
  <c r="A129" i="88"/>
  <c r="B10" i="60"/>
  <c r="A10" i="60"/>
  <c r="A8" i="44"/>
  <c r="A9" i="44"/>
  <c r="A10" i="44"/>
  <c r="A11" i="44"/>
  <c r="A12" i="44"/>
  <c r="A13" i="44"/>
  <c r="A14" i="44"/>
  <c r="A15" i="44"/>
  <c r="A16" i="44"/>
  <c r="A17" i="44"/>
  <c r="A18" i="44"/>
  <c r="A19" i="44"/>
  <c r="A20" i="44"/>
  <c r="F12" i="44"/>
  <c r="F20" i="44"/>
  <c r="H12" i="44"/>
  <c r="H20" i="44"/>
  <c r="J12" i="44"/>
  <c r="J20" i="44"/>
  <c r="L12" i="44"/>
  <c r="L20" i="44"/>
  <c r="N12" i="44"/>
  <c r="N20" i="44"/>
  <c r="D12" i="44"/>
  <c r="D20" i="44"/>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2" i="56"/>
  <c r="E151" i="75"/>
  <c r="E147" i="75"/>
  <c r="E146" i="75"/>
  <c r="E138" i="75"/>
  <c r="A10" i="57"/>
  <c r="A11" i="57"/>
  <c r="F134" i="75"/>
  <c r="B16" i="57"/>
  <c r="F197" i="75"/>
  <c r="A7" i="62"/>
  <c r="A8" i="62"/>
  <c r="A9" i="62"/>
  <c r="A10" i="62"/>
  <c r="A11" i="62"/>
  <c r="A12" i="62"/>
  <c r="A13" i="62"/>
  <c r="A14" i="62"/>
  <c r="A15" i="62"/>
  <c r="A16" i="62"/>
  <c r="A17" i="62"/>
  <c r="A18" i="62"/>
  <c r="A19" i="62"/>
  <c r="A20" i="62"/>
  <c r="A21" i="62"/>
  <c r="A22" i="62"/>
  <c r="A23" i="62"/>
  <c r="E28" i="75"/>
  <c r="E27" i="75"/>
  <c r="A212" i="88"/>
  <c r="A213" i="88"/>
  <c r="A198" i="88"/>
  <c r="A199" i="88"/>
  <c r="A200" i="88"/>
  <c r="A201" i="88"/>
  <c r="A204" i="88"/>
  <c r="A67" i="88"/>
  <c r="A69" i="88"/>
  <c r="A70" i="88"/>
  <c r="A71" i="88"/>
  <c r="A32" i="88"/>
  <c r="A33" i="88"/>
  <c r="A34" i="88"/>
  <c r="A35" i="88"/>
  <c r="A36" i="88"/>
  <c r="A37" i="88"/>
  <c r="A38" i="88"/>
  <c r="C28" i="88"/>
  <c r="A15" i="88"/>
  <c r="A16" i="88"/>
  <c r="A17" i="88"/>
  <c r="A18" i="88"/>
  <c r="A55" i="55"/>
  <c r="A56" i="55" s="1"/>
  <c r="A57" i="55" s="1"/>
  <c r="A58" i="55" s="1"/>
  <c r="A59" i="55" s="1"/>
  <c r="A60" i="55" s="1"/>
  <c r="A61" i="55" s="1"/>
  <c r="A8" i="58"/>
  <c r="A9" i="58"/>
  <c r="A10" i="58"/>
  <c r="A11" i="58"/>
  <c r="E263" i="75"/>
  <c r="A68" i="88"/>
  <c r="K7" i="55"/>
  <c r="H7" i="55"/>
  <c r="E7" i="55"/>
  <c r="G7" i="55"/>
  <c r="B34" i="87"/>
  <c r="A9" i="87"/>
  <c r="A11" i="87"/>
  <c r="G38" i="87"/>
  <c r="A12" i="87"/>
  <c r="A13" i="87"/>
  <c r="A14" i="87"/>
  <c r="A15" i="87"/>
  <c r="A16" i="87"/>
  <c r="A17" i="87"/>
  <c r="A18" i="87"/>
  <c r="A19" i="87"/>
  <c r="A20" i="87"/>
  <c r="A21" i="87"/>
  <c r="A22" i="87"/>
  <c r="A23" i="87"/>
  <c r="A11" i="74"/>
  <c r="I53" i="77"/>
  <c r="A12" i="74"/>
  <c r="A13" i="74"/>
  <c r="I55" i="77"/>
  <c r="A14" i="74"/>
  <c r="I61" i="77"/>
  <c r="A15" i="74"/>
  <c r="D18" i="85"/>
  <c r="E18" i="85"/>
  <c r="F18" i="85"/>
  <c r="H18" i="85"/>
  <c r="I18" i="85"/>
  <c r="J18" i="85"/>
  <c r="M18" i="85"/>
  <c r="N18" i="85"/>
  <c r="E299" i="75"/>
  <c r="E298" i="75"/>
  <c r="C288" i="75"/>
  <c r="I221" i="88"/>
  <c r="B46" i="93"/>
  <c r="A189" i="88"/>
  <c r="A190" i="88"/>
  <c r="A191" i="88"/>
  <c r="C193" i="88"/>
  <c r="C191" i="88"/>
  <c r="B39" i="88"/>
  <c r="E198" i="75"/>
  <c r="E40" i="75"/>
  <c r="C285" i="75"/>
  <c r="F21" i="75"/>
  <c r="F17" i="75"/>
  <c r="F13" i="75"/>
  <c r="E115" i="75"/>
  <c r="E114" i="75"/>
  <c r="E106" i="75"/>
  <c r="F272" i="75"/>
  <c r="F271" i="75"/>
  <c r="C274" i="75"/>
  <c r="C273" i="75"/>
  <c r="A167" i="88"/>
  <c r="A169" i="88"/>
  <c r="C174" i="88"/>
  <c r="C7" i="88"/>
  <c r="C60" i="88" s="1"/>
  <c r="C120" i="88" s="1"/>
  <c r="C182" i="88" s="1"/>
  <c r="E101" i="75"/>
  <c r="E98" i="75"/>
  <c r="E97" i="75"/>
  <c r="E77" i="75"/>
  <c r="C82" i="77"/>
  <c r="C73" i="77"/>
  <c r="C66" i="77"/>
  <c r="E8" i="75"/>
  <c r="E43" i="93"/>
  <c r="E44" i="93"/>
  <c r="B44" i="93"/>
  <c r="B16" i="88"/>
  <c r="B15" i="88"/>
  <c r="D207" i="88"/>
  <c r="B34" i="85"/>
  <c r="B148" i="86"/>
  <c r="E303" i="75"/>
  <c r="E257" i="75"/>
  <c r="E256" i="75"/>
  <c r="E222" i="75"/>
  <c r="E134" i="75"/>
  <c r="E110" i="75"/>
  <c r="E104" i="75"/>
  <c r="E67" i="75"/>
  <c r="B186" i="77"/>
  <c r="A65" i="73"/>
  <c r="F101" i="75"/>
  <c r="F97" i="75"/>
  <c r="E41" i="75"/>
  <c r="E197" i="75"/>
  <c r="E199" i="75"/>
  <c r="E133" i="75"/>
  <c r="E125" i="75"/>
  <c r="G39" i="87"/>
  <c r="A4" i="87"/>
  <c r="A1" i="87"/>
  <c r="A43" i="56"/>
  <c r="A44" i="56"/>
  <c r="A45" i="56"/>
  <c r="A46" i="56"/>
  <c r="A47" i="56"/>
  <c r="A48" i="56"/>
  <c r="A49" i="56"/>
  <c r="B63" i="56"/>
  <c r="E47" i="56"/>
  <c r="E48" i="56"/>
  <c r="E43" i="56"/>
  <c r="A3" i="56"/>
  <c r="A1" i="56"/>
  <c r="B55" i="55"/>
  <c r="A3" i="55"/>
  <c r="A1" i="55"/>
  <c r="B39" i="93"/>
  <c r="A3" i="93"/>
  <c r="A1" i="93"/>
  <c r="C25" i="74"/>
  <c r="A25" i="74"/>
  <c r="A3" i="74"/>
  <c r="A1" i="74"/>
  <c r="A1" i="67"/>
  <c r="A8" i="51"/>
  <c r="A9" i="51"/>
  <c r="A28" i="85"/>
  <c r="B31" i="85"/>
  <c r="B28" i="85"/>
  <c r="B18" i="85"/>
  <c r="A3" i="85"/>
  <c r="A1" i="85"/>
  <c r="A3" i="86"/>
  <c r="A1" i="86"/>
  <c r="C12" i="44"/>
  <c r="A3" i="44"/>
  <c r="A1" i="44"/>
  <c r="B40" i="49"/>
  <c r="A3" i="49"/>
  <c r="A1" i="49"/>
  <c r="A3" i="57"/>
  <c r="A1" i="57"/>
  <c r="A3" i="60"/>
  <c r="A1" i="60"/>
  <c r="P8" i="58"/>
  <c r="P9" i="58"/>
  <c r="P10" i="58"/>
  <c r="P13" i="58"/>
  <c r="P14" i="58"/>
  <c r="O15" i="58"/>
  <c r="M15" i="58"/>
  <c r="K15" i="58"/>
  <c r="G15" i="58"/>
  <c r="D15" i="58"/>
  <c r="A3" i="58"/>
  <c r="A1" i="58"/>
  <c r="C65" i="73"/>
  <c r="B65" i="73"/>
  <c r="B40" i="73"/>
  <c r="C38" i="73"/>
  <c r="B38" i="73"/>
  <c r="K34" i="73"/>
  <c r="C34" i="73"/>
  <c r="A3" i="73"/>
  <c r="A1" i="73"/>
  <c r="A9" i="91"/>
  <c r="A10" i="91"/>
  <c r="F91" i="75"/>
  <c r="A3" i="91"/>
  <c r="A1" i="91"/>
  <c r="A3" i="2"/>
  <c r="A1" i="2"/>
  <c r="A8" i="84"/>
  <c r="A9" i="84"/>
  <c r="A10" i="84"/>
  <c r="A11" i="84"/>
  <c r="A12" i="84"/>
  <c r="A13" i="84"/>
  <c r="A14" i="84"/>
  <c r="A15" i="84"/>
  <c r="A16" i="84"/>
  <c r="A17" i="84"/>
  <c r="A18" i="84"/>
  <c r="A19" i="84"/>
  <c r="A20" i="84"/>
  <c r="A21" i="84"/>
  <c r="A22" i="84"/>
  <c r="F41" i="75"/>
  <c r="A3" i="84"/>
  <c r="A1" i="84"/>
  <c r="B40" i="62"/>
  <c r="B39" i="62"/>
  <c r="B38" i="62"/>
  <c r="B37" i="62"/>
  <c r="B36" i="62"/>
  <c r="B35" i="62"/>
  <c r="B34" i="62"/>
  <c r="B33" i="62"/>
  <c r="B32" i="62"/>
  <c r="B31" i="62"/>
  <c r="B30" i="62"/>
  <c r="B29" i="62"/>
  <c r="B28" i="62"/>
  <c r="A3" i="62"/>
  <c r="A1" i="62"/>
  <c r="A27" i="61"/>
  <c r="A28" i="61"/>
  <c r="A29" i="61"/>
  <c r="A30" i="61"/>
  <c r="A31" i="61"/>
  <c r="A32" i="61"/>
  <c r="B33" i="61"/>
  <c r="D27" i="61"/>
  <c r="A8" i="61"/>
  <c r="A9" i="61"/>
  <c r="D15" i="61"/>
  <c r="D10" i="61"/>
  <c r="A3" i="61"/>
  <c r="A1" i="61"/>
  <c r="C181" i="77"/>
  <c r="I179" i="77"/>
  <c r="C141" i="77"/>
  <c r="C132" i="77"/>
  <c r="C91" i="77"/>
  <c r="I59" i="77"/>
  <c r="C59" i="77"/>
  <c r="I54" i="77"/>
  <c r="I52" i="77"/>
  <c r="I51" i="77"/>
  <c r="I50" i="77"/>
  <c r="C44" i="77"/>
  <c r="C32" i="77"/>
  <c r="C20" i="77"/>
  <c r="A3" i="77"/>
  <c r="A1" i="77"/>
  <c r="H22" i="78"/>
  <c r="A3" i="78"/>
  <c r="A1" i="78"/>
  <c r="E289" i="75"/>
  <c r="E287" i="75"/>
  <c r="E286" i="75"/>
  <c r="C283" i="75"/>
  <c r="C282" i="75"/>
  <c r="C262" i="75"/>
  <c r="C246" i="75"/>
  <c r="E229" i="75"/>
  <c r="E228" i="75"/>
  <c r="E224" i="75"/>
  <c r="E223" i="75"/>
  <c r="E210" i="75"/>
  <c r="E202" i="75"/>
  <c r="E200" i="75"/>
  <c r="E193" i="75"/>
  <c r="C192" i="75"/>
  <c r="C184" i="75"/>
  <c r="F182" i="75"/>
  <c r="C180" i="75"/>
  <c r="C179" i="75"/>
  <c r="E177" i="75"/>
  <c r="F176" i="75"/>
  <c r="F174" i="75"/>
  <c r="E163" i="75"/>
  <c r="E161" i="75"/>
  <c r="E150" i="75"/>
  <c r="C143" i="75"/>
  <c r="E140" i="75"/>
  <c r="E136" i="75"/>
  <c r="E129" i="75"/>
  <c r="E126" i="75"/>
  <c r="C103" i="75"/>
  <c r="C100" i="75"/>
  <c r="E91" i="75"/>
  <c r="F90" i="75"/>
  <c r="E90" i="75"/>
  <c r="E87" i="75"/>
  <c r="C86" i="75"/>
  <c r="E84" i="75"/>
  <c r="C83" i="75"/>
  <c r="E81" i="75"/>
  <c r="E80" i="75"/>
  <c r="C74" i="75"/>
  <c r="E72" i="75"/>
  <c r="C71" i="75"/>
  <c r="C70" i="75"/>
  <c r="E69" i="75"/>
  <c r="E68" i="75"/>
  <c r="C58" i="75"/>
  <c r="E56" i="75"/>
  <c r="E53" i="75"/>
  <c r="E45" i="75"/>
  <c r="E44" i="75"/>
  <c r="B39" i="75"/>
  <c r="E34" i="75"/>
  <c r="C34" i="75"/>
  <c r="C31" i="75"/>
  <c r="E20" i="75"/>
  <c r="E16" i="75"/>
  <c r="F15" i="75"/>
  <c r="E12" i="75"/>
  <c r="F11" i="75"/>
  <c r="A3" i="75"/>
  <c r="A1" i="75"/>
  <c r="G213" i="88"/>
  <c r="C198" i="88"/>
  <c r="C197" i="88"/>
  <c r="A193" i="88"/>
  <c r="C59" i="88"/>
  <c r="C119" i="88"/>
  <c r="C181" i="88"/>
  <c r="K179" i="88"/>
  <c r="K176" i="88"/>
  <c r="A174" i="88"/>
  <c r="C155" i="88"/>
  <c r="F141" i="88"/>
  <c r="F126" i="88"/>
  <c r="F127" i="88"/>
  <c r="F129" i="88"/>
  <c r="F131" i="88"/>
  <c r="F132" i="88"/>
  <c r="K117" i="88"/>
  <c r="K114" i="88"/>
  <c r="D75" i="88"/>
  <c r="D69" i="88"/>
  <c r="G78" i="88"/>
  <c r="K57" i="88"/>
  <c r="K54" i="88"/>
  <c r="I52" i="88"/>
  <c r="I51" i="88"/>
  <c r="C12" i="88"/>
  <c r="E50" i="56"/>
  <c r="C52" i="96"/>
  <c r="F57" i="56"/>
  <c r="D50" i="56"/>
  <c r="F56" i="56"/>
  <c r="I13" i="77"/>
  <c r="I99" i="77"/>
  <c r="A50" i="56"/>
  <c r="A51" i="56"/>
  <c r="A52" i="56"/>
  <c r="A53" i="56"/>
  <c r="A54" i="56"/>
  <c r="F198" i="75"/>
  <c r="A21" i="44"/>
  <c r="A22" i="44"/>
  <c r="A23" i="44"/>
  <c r="F45" i="75"/>
  <c r="F44" i="75"/>
  <c r="F27" i="75"/>
  <c r="I178" i="77"/>
  <c r="A24" i="62"/>
  <c r="A25" i="62"/>
  <c r="I177" i="77"/>
  <c r="F40" i="75"/>
  <c r="A72" i="88"/>
  <c r="A75" i="88"/>
  <c r="C72" i="88"/>
  <c r="A130" i="88"/>
  <c r="A133" i="88"/>
  <c r="A136" i="88"/>
  <c r="A137" i="88"/>
  <c r="B28" i="49"/>
  <c r="B27" i="49"/>
  <c r="B26" i="49"/>
  <c r="B25" i="49"/>
  <c r="B29" i="49"/>
  <c r="B39" i="87"/>
  <c r="A16" i="74"/>
  <c r="A17" i="74"/>
  <c r="A18" i="74"/>
  <c r="I62" i="77"/>
  <c r="C19" i="88"/>
  <c r="A19" i="88"/>
  <c r="A205" i="88"/>
  <c r="A206" i="88"/>
  <c r="C207" i="88"/>
  <c r="A207" i="88"/>
  <c r="F106" i="75"/>
  <c r="A12" i="58"/>
  <c r="A13" i="58"/>
  <c r="A14" i="58"/>
  <c r="A15" i="58"/>
  <c r="D33" i="61"/>
  <c r="A33" i="61"/>
  <c r="F19" i="75"/>
  <c r="A39" i="88"/>
  <c r="C39" i="88"/>
  <c r="C69" i="88"/>
  <c r="A22" i="61"/>
  <c r="A23" i="61"/>
  <c r="D31" i="61"/>
  <c r="A10" i="96"/>
  <c r="A11" i="96"/>
  <c r="A12" i="96"/>
  <c r="A13" i="96"/>
  <c r="A14" i="96"/>
  <c r="A15" i="96"/>
  <c r="A16" i="96"/>
  <c r="A17" i="96"/>
  <c r="A18" i="96"/>
  <c r="A19" i="96"/>
  <c r="A20" i="96"/>
  <c r="A21" i="96"/>
  <c r="A22" i="96"/>
  <c r="A23" i="96"/>
  <c r="A24" i="96"/>
  <c r="A25" i="96"/>
  <c r="A26" i="96"/>
  <c r="A27" i="96"/>
  <c r="A28" i="96"/>
  <c r="A29" i="96"/>
  <c r="A30" i="96"/>
  <c r="A31" i="96"/>
  <c r="A9" i="96"/>
  <c r="C20" i="44"/>
  <c r="A46" i="93"/>
  <c r="A47" i="93"/>
  <c r="A48" i="93"/>
  <c r="A49" i="93"/>
  <c r="I97" i="77"/>
  <c r="I11" i="77"/>
  <c r="F23" i="75"/>
  <c r="A29" i="85"/>
  <c r="A30" i="85"/>
  <c r="I180" i="77"/>
  <c r="F98" i="75"/>
  <c r="A214" i="88"/>
  <c r="A219" i="88"/>
  <c r="C214" i="88"/>
  <c r="A10" i="87"/>
  <c r="C39" i="96"/>
  <c r="E50" i="96"/>
  <c r="O49" i="67"/>
  <c r="A23" i="78"/>
  <c r="B37" i="96"/>
  <c r="A36" i="96"/>
  <c r="A37" i="96"/>
  <c r="A38" i="96"/>
  <c r="A39" i="96"/>
  <c r="A40" i="96"/>
  <c r="A41" i="96"/>
  <c r="A42" i="96"/>
  <c r="A43" i="96"/>
  <c r="A44" i="96"/>
  <c r="A45" i="96"/>
  <c r="A46" i="96"/>
  <c r="A47" i="96"/>
  <c r="A48" i="96"/>
  <c r="A49" i="96"/>
  <c r="A50" i="96"/>
  <c r="A51" i="96"/>
  <c r="A52" i="96"/>
  <c r="A25" i="85"/>
  <c r="A144" i="86"/>
  <c r="A11" i="49"/>
  <c r="A12" i="49"/>
  <c r="A13" i="49"/>
  <c r="A14" i="49"/>
  <c r="A15" i="49"/>
  <c r="A16" i="49"/>
  <c r="A17" i="49"/>
  <c r="A18" i="49"/>
  <c r="A19" i="49"/>
  <c r="A20" i="49"/>
  <c r="A21" i="49"/>
  <c r="A22" i="49"/>
  <c r="A23" i="49"/>
  <c r="A24" i="49"/>
  <c r="A25" i="49"/>
  <c r="A26" i="49"/>
  <c r="A27" i="49"/>
  <c r="A28" i="49"/>
  <c r="A29" i="49"/>
  <c r="A30" i="49"/>
  <c r="A31" i="49"/>
  <c r="A32" i="49"/>
  <c r="A33" i="49"/>
  <c r="F50" i="56"/>
  <c r="A24" i="61"/>
  <c r="D32" i="61"/>
  <c r="A41" i="88"/>
  <c r="C41" i="88"/>
  <c r="A19" i="74"/>
  <c r="I75" i="77"/>
  <c r="A34" i="49"/>
  <c r="C84" i="88"/>
  <c r="A76" i="88"/>
  <c r="A24" i="44"/>
  <c r="A25" i="44"/>
  <c r="A26" i="44"/>
  <c r="A27" i="44"/>
  <c r="A28" i="44"/>
  <c r="A29" i="44"/>
  <c r="A30" i="44"/>
  <c r="A41" i="87"/>
  <c r="A42" i="87"/>
  <c r="A43" i="87"/>
  <c r="A44" i="87"/>
  <c r="F24" i="75"/>
  <c r="C201" i="88"/>
  <c r="A21" i="88"/>
  <c r="C23" i="88"/>
  <c r="A55" i="56"/>
  <c r="I149" i="77"/>
  <c r="C137" i="88"/>
  <c r="A42" i="62"/>
  <c r="C78" i="88"/>
  <c r="A24" i="78"/>
  <c r="A25" i="78"/>
  <c r="A26" i="78"/>
  <c r="A27" i="78"/>
  <c r="A220" i="88"/>
  <c r="C221" i="88"/>
  <c r="A221" i="88"/>
  <c r="A223" i="88"/>
  <c r="A50" i="93"/>
  <c r="A140" i="88"/>
  <c r="A141" i="88"/>
  <c r="A142" i="88"/>
  <c r="A143" i="88"/>
  <c r="I165" i="77"/>
  <c r="A56" i="56"/>
  <c r="A57" i="56"/>
  <c r="A58" i="56"/>
  <c r="A59" i="56"/>
  <c r="A60" i="56"/>
  <c r="A61" i="56"/>
  <c r="A62" i="56"/>
  <c r="A31" i="44"/>
  <c r="A32" i="44"/>
  <c r="A33" i="44"/>
  <c r="F199" i="75"/>
  <c r="C47" i="88"/>
  <c r="C46" i="88"/>
  <c r="C48" i="88"/>
  <c r="A42" i="88"/>
  <c r="A46" i="88"/>
  <c r="A47" i="88"/>
  <c r="A48" i="88"/>
  <c r="A51" i="88"/>
  <c r="A52" i="88"/>
  <c r="C42" i="88"/>
  <c r="A45" i="87"/>
  <c r="A46" i="87"/>
  <c r="A47" i="87"/>
  <c r="A48" i="87"/>
  <c r="A49" i="87"/>
  <c r="A50" i="87"/>
  <c r="A51" i="87"/>
  <c r="A52" i="87"/>
  <c r="A53" i="87"/>
  <c r="B54" i="87"/>
  <c r="B56" i="87"/>
  <c r="A54" i="87"/>
  <c r="A55" i="87"/>
  <c r="A56" i="87"/>
  <c r="A35" i="49"/>
  <c r="B41" i="87"/>
  <c r="A77" i="88"/>
  <c r="C86" i="88"/>
  <c r="C85" i="88"/>
  <c r="A78" i="88"/>
  <c r="I147" i="77"/>
  <c r="A51" i="93"/>
  <c r="F53" i="75"/>
  <c r="F28" i="75"/>
  <c r="F56" i="75"/>
  <c r="F55" i="75"/>
  <c r="F92" i="75"/>
  <c r="F58" i="75"/>
  <c r="F273" i="75"/>
  <c r="F191" i="75"/>
  <c r="F73" i="75"/>
  <c r="F183" i="75"/>
  <c r="F142" i="75"/>
  <c r="F282" i="75"/>
  <c r="F167" i="75"/>
  <c r="F102" i="75"/>
  <c r="F85" i="75"/>
  <c r="F47" i="75"/>
  <c r="A20" i="74"/>
  <c r="I76" i="77"/>
  <c r="A28" i="78"/>
  <c r="A29" i="78"/>
  <c r="H29" i="78"/>
  <c r="A226" i="88"/>
  <c r="C15" i="88"/>
  <c r="C30" i="44"/>
  <c r="H25" i="78"/>
  <c r="A34" i="44"/>
  <c r="A35" i="44"/>
  <c r="A36" i="44"/>
  <c r="A37" i="44"/>
  <c r="A38" i="44"/>
  <c r="A39" i="44"/>
  <c r="C39" i="44"/>
  <c r="A21" i="74"/>
  <c r="I77" i="77"/>
  <c r="A36" i="49"/>
  <c r="C143" i="88"/>
  <c r="A146" i="88"/>
  <c r="I163" i="77"/>
  <c r="A52" i="93"/>
  <c r="A53" i="93"/>
  <c r="A54" i="93"/>
  <c r="A55" i="93"/>
  <c r="A56" i="93"/>
  <c r="A57" i="93"/>
  <c r="I112" i="77"/>
  <c r="A63" i="56"/>
  <c r="I37" i="77"/>
  <c r="A30" i="78"/>
  <c r="A31" i="78"/>
  <c r="A32" i="78"/>
  <c r="A33" i="78"/>
  <c r="A36" i="78"/>
  <c r="F29" i="75"/>
  <c r="A79" i="88"/>
  <c r="C87" i="88"/>
  <c r="A227" i="88"/>
  <c r="A230" i="88"/>
  <c r="H66" i="78"/>
  <c r="A66" i="78"/>
  <c r="A37" i="78"/>
  <c r="A38" i="78"/>
  <c r="A39" i="78"/>
  <c r="A40" i="78"/>
  <c r="A41" i="78"/>
  <c r="A42" i="78"/>
  <c r="A43" i="78"/>
  <c r="A44" i="78"/>
  <c r="A45" i="78"/>
  <c r="A46" i="78"/>
  <c r="A47" i="78"/>
  <c r="A48" i="78"/>
  <c r="A49" i="78"/>
  <c r="A50" i="78"/>
  <c r="A51" i="78"/>
  <c r="A52" i="78"/>
  <c r="A53" i="78"/>
  <c r="A54" i="78"/>
  <c r="A55" i="78"/>
  <c r="A56" i="78"/>
  <c r="A57" i="78"/>
  <c r="A58" i="78"/>
  <c r="A59" i="78"/>
  <c r="A60" i="78"/>
  <c r="A61" i="78"/>
  <c r="A62" i="78"/>
  <c r="A63" i="78"/>
  <c r="A64" i="78"/>
  <c r="A65" i="78"/>
  <c r="A22" i="74"/>
  <c r="I78" i="77"/>
  <c r="H67" i="78"/>
  <c r="A58" i="93"/>
  <c r="B61" i="93"/>
  <c r="F32" i="75"/>
  <c r="A147" i="88"/>
  <c r="A148" i="88"/>
  <c r="A149" i="88"/>
  <c r="A150" i="88"/>
  <c r="A151" i="88"/>
  <c r="A152" i="88"/>
  <c r="A153" i="88"/>
  <c r="C153" i="88"/>
  <c r="C230" i="88"/>
  <c r="I25" i="77"/>
  <c r="A64" i="56"/>
  <c r="A65" i="56"/>
  <c r="A80" i="88"/>
  <c r="C88" i="88"/>
  <c r="C16" i="88"/>
  <c r="A233" i="88"/>
  <c r="A234" i="88"/>
  <c r="A235" i="88"/>
  <c r="A40" i="44"/>
  <c r="A41" i="44"/>
  <c r="F200" i="75"/>
  <c r="C45" i="44"/>
  <c r="A42" i="44"/>
  <c r="A43" i="44"/>
  <c r="A44" i="44"/>
  <c r="F201" i="75"/>
  <c r="A156" i="88"/>
  <c r="I110" i="77"/>
  <c r="A59" i="93"/>
  <c r="I35" i="77"/>
  <c r="B59" i="93"/>
  <c r="A81" i="88"/>
  <c r="A84" i="88"/>
  <c r="C81" i="88"/>
  <c r="F179" i="75"/>
  <c r="F70" i="75"/>
  <c r="A67" i="78"/>
  <c r="A68" i="78"/>
  <c r="F293" i="75"/>
  <c r="H68" i="78"/>
  <c r="A85" i="88"/>
  <c r="A157" i="88"/>
  <c r="A158" i="88"/>
  <c r="A159" i="88"/>
  <c r="A160" i="88"/>
  <c r="A161" i="88"/>
  <c r="C162" i="88"/>
  <c r="A162" i="88"/>
  <c r="C167" i="88"/>
  <c r="A45" i="44"/>
  <c r="A46" i="44"/>
  <c r="A47" i="44"/>
  <c r="A48" i="44"/>
  <c r="F202" i="75"/>
  <c r="I23" i="77"/>
  <c r="A60" i="93"/>
  <c r="A61" i="93"/>
  <c r="A62" i="93"/>
  <c r="A63" i="93"/>
  <c r="F35" i="75"/>
  <c r="C48" i="44"/>
  <c r="F99" i="75"/>
  <c r="F153" i="75"/>
  <c r="F82" i="75"/>
  <c r="A64" i="93"/>
  <c r="A65" i="93"/>
  <c r="F150" i="75"/>
  <c r="A86" i="88"/>
  <c r="A87" i="88"/>
  <c r="A88" i="88"/>
  <c r="A89" i="88"/>
  <c r="A90" i="88"/>
  <c r="C90" i="88"/>
  <c r="F42" i="75"/>
  <c r="B65" i="93"/>
  <c r="C68" i="88"/>
  <c r="A95" i="88"/>
  <c r="F262" i="75"/>
  <c r="A97" i="88"/>
  <c r="A98" i="88"/>
  <c r="A99" i="88"/>
  <c r="A100" i="88"/>
  <c r="A101" i="88"/>
  <c r="C102" i="88"/>
  <c r="A102" i="88"/>
  <c r="A104" i="88"/>
  <c r="A107" i="88"/>
  <c r="F48" i="75"/>
  <c r="F46" i="75"/>
  <c r="A108" i="88"/>
  <c r="A109" i="88"/>
  <c r="A110" i="88"/>
  <c r="C110" i="88"/>
  <c r="F50" i="75"/>
  <c r="F31" i="75"/>
  <c r="A112" i="88"/>
  <c r="C112" i="88"/>
  <c r="F57" i="75"/>
  <c r="F59" i="75"/>
  <c r="F61" i="75"/>
  <c r="F63" i="75"/>
  <c r="F34" i="75"/>
  <c r="F246" i="75"/>
  <c r="F71" i="75"/>
  <c r="F74" i="75"/>
  <c r="F75" i="75"/>
  <c r="C95" i="88"/>
  <c r="F83" i="75"/>
  <c r="F86" i="75"/>
  <c r="F87" i="75"/>
  <c r="C99" i="88"/>
  <c r="F93" i="75"/>
  <c r="F94" i="75"/>
  <c r="C108" i="88"/>
  <c r="F100" i="75"/>
  <c r="F103" i="75"/>
  <c r="F104" i="75"/>
  <c r="C109" i="88"/>
  <c r="C104" i="88"/>
  <c r="F111" i="75"/>
  <c r="F116" i="75"/>
  <c r="F118" i="75"/>
  <c r="F247" i="75"/>
  <c r="F120" i="75"/>
  <c r="F248" i="75"/>
  <c r="C125" i="88"/>
  <c r="C127" i="88"/>
  <c r="C126" i="88"/>
  <c r="F130" i="75"/>
  <c r="C128" i="88"/>
  <c r="C132" i="88"/>
  <c r="F141" i="75"/>
  <c r="F143" i="75"/>
  <c r="C130" i="88"/>
  <c r="C131" i="88"/>
  <c r="F148" i="75"/>
  <c r="F152" i="75"/>
  <c r="F154" i="75"/>
  <c r="C129" i="88"/>
  <c r="F156" i="75"/>
  <c r="F109" i="75"/>
  <c r="F250" i="75"/>
  <c r="C140" i="88"/>
  <c r="F166" i="75"/>
  <c r="F168" i="75"/>
  <c r="C141" i="88"/>
  <c r="F170" i="75"/>
  <c r="F251" i="75"/>
  <c r="F178" i="75"/>
  <c r="F180" i="75"/>
  <c r="F184" i="75"/>
  <c r="F185" i="75"/>
  <c r="C146" i="88"/>
  <c r="F252" i="75"/>
  <c r="C134" i="88"/>
  <c r="F192" i="75"/>
  <c r="C135" i="88"/>
  <c r="F193" i="75"/>
  <c r="F253" i="75"/>
  <c r="C211" i="88"/>
  <c r="F208" i="75"/>
  <c r="C212" i="88"/>
  <c r="F209" i="75"/>
  <c r="F206" i="75"/>
  <c r="C213" i="88"/>
  <c r="F205" i="75"/>
  <c r="F204" i="75"/>
  <c r="F212" i="75"/>
  <c r="F213" i="75"/>
  <c r="F214" i="75"/>
  <c r="F215" i="75"/>
  <c r="F217" i="75"/>
  <c r="F254" i="75"/>
  <c r="C165" i="88"/>
  <c r="C233" i="88"/>
  <c r="C234" i="88"/>
  <c r="C235" i="88"/>
  <c r="A239" i="75"/>
  <c r="A241" i="75"/>
  <c r="F241" i="75"/>
  <c r="A246" i="75"/>
  <c r="A247" i="75"/>
  <c r="A248" i="75"/>
  <c r="A250" i="75"/>
  <c r="F255" i="75"/>
  <c r="C156" i="88"/>
  <c r="A251" i="75"/>
  <c r="A252" i="75"/>
  <c r="A253" i="75"/>
  <c r="A254" i="75"/>
  <c r="A255" i="75"/>
  <c r="A256" i="75"/>
  <c r="A257" i="75"/>
  <c r="C170" i="88"/>
  <c r="A259" i="75"/>
  <c r="C173" i="88"/>
  <c r="F259" i="75"/>
  <c r="A262" i="75"/>
  <c r="F266" i="75"/>
  <c r="A263" i="75"/>
  <c r="F264" i="75"/>
  <c r="C188" i="88"/>
  <c r="A264" i="75"/>
  <c r="C189" i="88"/>
  <c r="A265" i="75"/>
  <c r="F265" i="75"/>
  <c r="A266" i="75"/>
  <c r="A267" i="75"/>
  <c r="F267" i="75"/>
  <c r="A271" i="75"/>
  <c r="A272" i="75"/>
  <c r="A273" i="75"/>
  <c r="A274" i="75"/>
  <c r="A275" i="75"/>
  <c r="F275" i="75"/>
  <c r="F274" i="75"/>
  <c r="A278" i="75"/>
  <c r="C223" i="88"/>
  <c r="A279" i="75"/>
  <c r="F280" i="75"/>
  <c r="A280" i="75"/>
  <c r="F285" i="75"/>
  <c r="A281" i="75"/>
  <c r="A282" i="75"/>
  <c r="A283" i="75"/>
  <c r="A284" i="75"/>
  <c r="F284" i="75"/>
  <c r="F283" i="75"/>
  <c r="A285" i="75"/>
  <c r="C226" i="88"/>
  <c r="A286" i="75"/>
  <c r="C227" i="88"/>
  <c r="A287" i="75"/>
  <c r="B71" i="51"/>
  <c r="C228" i="88"/>
  <c r="F288" i="75"/>
  <c r="A288" i="75"/>
  <c r="C229" i="88"/>
  <c r="A289" i="75"/>
  <c r="A291" i="75"/>
  <c r="F291" i="75"/>
  <c r="A293" i="75"/>
  <c r="F295" i="75"/>
  <c r="A295" i="75"/>
  <c r="C21" i="88"/>
  <c r="A297" i="75"/>
  <c r="A298" i="75"/>
  <c r="A299" i="75"/>
  <c r="F300" i="75"/>
  <c r="C25" i="88"/>
  <c r="A300" i="75"/>
  <c r="C26" i="88"/>
  <c r="A303" i="75"/>
  <c r="A304" i="75"/>
  <c r="C32" i="88"/>
  <c r="F304" i="75"/>
  <c r="F305" i="75"/>
  <c r="A305" i="75"/>
  <c r="O43" i="67"/>
  <c r="O16" i="67"/>
  <c r="O17" i="67"/>
  <c r="O21" i="67"/>
  <c r="H182" i="75"/>
  <c r="H209" i="75"/>
  <c r="H150" i="75"/>
  <c r="H152" i="75"/>
  <c r="G152" i="75"/>
  <c r="E65" i="56"/>
  <c r="D61" i="93"/>
  <c r="H272" i="75"/>
  <c r="D46" i="93"/>
  <c r="E23" i="62"/>
  <c r="F10" i="62"/>
  <c r="F23" i="62"/>
  <c r="E42" i="62"/>
  <c r="F42" i="62"/>
  <c r="E34" i="73"/>
  <c r="Q10" i="73"/>
  <c r="D41" i="73"/>
  <c r="G41" i="73" s="1"/>
  <c r="Q18" i="73"/>
  <c r="D49" i="73"/>
  <c r="G49" i="73" s="1"/>
  <c r="Q14" i="73"/>
  <c r="D45" i="73" s="1"/>
  <c r="E45" i="73" s="1"/>
  <c r="Q17" i="73"/>
  <c r="D48" i="73" s="1"/>
  <c r="H48" i="73" s="1"/>
  <c r="Q21" i="73"/>
  <c r="D52" i="73" s="1"/>
  <c r="E52" i="73" s="1"/>
  <c r="Q22" i="73"/>
  <c r="D53" i="73"/>
  <c r="H53" i="73" s="1"/>
  <c r="E53" i="93"/>
  <c r="H199" i="75"/>
  <c r="Q32" i="73"/>
  <c r="D63" i="73" s="1"/>
  <c r="Q13" i="73"/>
  <c r="D44" i="73"/>
  <c r="E44" i="73" s="1"/>
  <c r="D68" i="88"/>
  <c r="D86" i="88" s="1"/>
  <c r="E46" i="93"/>
  <c r="I32" i="88"/>
  <c r="I39" i="88" s="1"/>
  <c r="I188" i="88"/>
  <c r="I86" i="77"/>
  <c r="I87" i="77"/>
  <c r="G286" i="75"/>
  <c r="I228" i="88"/>
  <c r="H286" i="75"/>
  <c r="F36" i="51"/>
  <c r="F64" i="51"/>
  <c r="G281" i="75" s="1"/>
  <c r="C64" i="51"/>
  <c r="C65" i="51" s="1"/>
  <c r="O30" i="85"/>
  <c r="F180" i="77"/>
  <c r="H30" i="85"/>
  <c r="M30" i="85"/>
  <c r="D30" i="85"/>
  <c r="G64" i="51"/>
  <c r="G65" i="51" s="1"/>
  <c r="F277" i="2"/>
  <c r="F275" i="2"/>
  <c r="F282" i="2"/>
  <c r="F276" i="2"/>
  <c r="F274" i="2"/>
  <c r="F126" i="2"/>
  <c r="F91" i="2"/>
  <c r="F78" i="2"/>
  <c r="F33" i="2"/>
  <c r="H130" i="2"/>
  <c r="F218" i="2"/>
  <c r="F215" i="2"/>
  <c r="F209" i="2"/>
  <c r="F194" i="2"/>
  <c r="F177" i="2"/>
  <c r="F166" i="2"/>
  <c r="H205" i="2"/>
  <c r="H186" i="2"/>
  <c r="H173" i="2"/>
  <c r="H170" i="2"/>
  <c r="H164" i="2"/>
  <c r="I190" i="2"/>
  <c r="F302" i="2"/>
  <c r="F113" i="2"/>
  <c r="F96" i="2"/>
  <c r="F71" i="2"/>
  <c r="F52" i="2"/>
  <c r="F39" i="2"/>
  <c r="F29" i="2"/>
  <c r="F146" i="2"/>
  <c r="H128" i="2"/>
  <c r="F211" i="2"/>
  <c r="F207" i="2"/>
  <c r="F196" i="2"/>
  <c r="F188" i="2"/>
  <c r="F183" i="2"/>
  <c r="F175" i="2"/>
  <c r="H222" i="2"/>
  <c r="H213" i="2"/>
  <c r="H203" i="2"/>
  <c r="H192" i="2"/>
  <c r="H182" i="2"/>
  <c r="H168" i="2"/>
  <c r="I180" i="2"/>
  <c r="F297" i="2"/>
  <c r="G233" i="2"/>
  <c r="N13" i="2"/>
  <c r="J297" i="2"/>
  <c r="G248" i="2"/>
  <c r="F260" i="2"/>
  <c r="F266" i="2"/>
  <c r="F268" i="2"/>
  <c r="F270" i="2"/>
  <c r="I257" i="2"/>
  <c r="F112" i="2"/>
  <c r="F90" i="2"/>
  <c r="F70" i="2"/>
  <c r="H124" i="2"/>
  <c r="H82" i="2"/>
  <c r="H123" i="2"/>
  <c r="H31" i="2"/>
  <c r="F299" i="2"/>
  <c r="F291" i="2"/>
  <c r="K233" i="2"/>
  <c r="F267" i="2"/>
  <c r="F269" i="2"/>
  <c r="F133" i="2"/>
  <c r="F98" i="2"/>
  <c r="F80" i="2"/>
  <c r="F54" i="2"/>
  <c r="F25" i="2"/>
  <c r="F18" i="2"/>
  <c r="H122" i="2"/>
  <c r="H73" i="2"/>
  <c r="E233" i="2"/>
  <c r="F300" i="2"/>
  <c r="F294" i="2"/>
  <c r="F292" i="2"/>
  <c r="F290" i="2"/>
  <c r="F286" i="2"/>
  <c r="F272" i="2"/>
  <c r="F298" i="2"/>
  <c r="J298" i="2"/>
  <c r="G264" i="2"/>
  <c r="K264" i="2"/>
  <c r="F38" i="2"/>
  <c r="J208" i="2"/>
  <c r="J235" i="2"/>
  <c r="E235" i="2"/>
  <c r="F285" i="2"/>
  <c r="L281" i="2"/>
  <c r="F271" i="2"/>
  <c r="J271" i="2"/>
  <c r="A311" i="2"/>
  <c r="J272" i="2"/>
  <c r="L259" i="2"/>
  <c r="H259" i="2"/>
  <c r="A235" i="2"/>
  <c r="F32" i="2"/>
  <c r="H50" i="2"/>
  <c r="F289" i="2"/>
  <c r="J289" i="2"/>
  <c r="F47" i="2"/>
  <c r="F23" i="2"/>
  <c r="H118" i="2"/>
  <c r="H72" i="2"/>
  <c r="H51" i="2"/>
  <c r="F305" i="2"/>
  <c r="F301" i="2"/>
  <c r="F287" i="2"/>
  <c r="F284" i="2"/>
  <c r="G249" i="2"/>
  <c r="F261" i="2"/>
  <c r="F263" i="2"/>
  <c r="F132" i="2"/>
  <c r="F111" i="2"/>
  <c r="F97" i="2"/>
  <c r="F89" i="2"/>
  <c r="F79" i="2"/>
  <c r="F69" i="2"/>
  <c r="F53" i="2"/>
  <c r="F43" i="2"/>
  <c r="H129" i="2"/>
  <c r="H121" i="2"/>
  <c r="F295" i="2"/>
  <c r="F293" i="2"/>
  <c r="F283" i="2"/>
  <c r="F279" i="2"/>
  <c r="A14" i="2"/>
  <c r="A15" i="2"/>
  <c r="A16" i="2"/>
  <c r="A17" i="2"/>
  <c r="F72" i="75"/>
  <c r="F68" i="75"/>
  <c r="M141" i="2"/>
  <c r="B45" i="112"/>
  <c r="C39" i="112"/>
  <c r="F27" i="112"/>
  <c r="E27" i="112"/>
  <c r="D27" i="112"/>
  <c r="G43" i="105"/>
  <c r="G44" i="105"/>
  <c r="G45" i="105"/>
  <c r="F67" i="105"/>
  <c r="G40" i="105"/>
  <c r="G41" i="105"/>
  <c r="G42" i="105"/>
  <c r="G37" i="105"/>
  <c r="H37" i="105"/>
  <c r="G38" i="105"/>
  <c r="G39" i="105"/>
  <c r="G46" i="105"/>
  <c r="G47" i="105"/>
  <c r="G48" i="105"/>
  <c r="G52" i="87"/>
  <c r="A26" i="87"/>
  <c r="A27" i="87"/>
  <c r="A28" i="87"/>
  <c r="A29" i="87"/>
  <c r="A30" i="87"/>
  <c r="A31" i="87"/>
  <c r="A32" i="87"/>
  <c r="A33" i="87"/>
  <c r="A24" i="87"/>
  <c r="G15" i="87"/>
  <c r="D17" i="102"/>
  <c r="D19" i="102"/>
  <c r="D9" i="98"/>
  <c r="E25" i="98"/>
  <c r="D152" i="77"/>
  <c r="A11" i="102"/>
  <c r="A12" i="102"/>
  <c r="D33" i="102"/>
  <c r="D35" i="102"/>
  <c r="F10" i="102"/>
  <c r="H281" i="75"/>
  <c r="F65" i="51"/>
  <c r="D48" i="44"/>
  <c r="G9" i="95"/>
  <c r="C49" i="95"/>
  <c r="C44" i="95"/>
  <c r="G42" i="95"/>
  <c r="C56" i="95"/>
  <c r="G56" i="95"/>
  <c r="G28" i="95"/>
  <c r="D45" i="96"/>
  <c r="D32" i="96"/>
  <c r="D51" i="96"/>
  <c r="E51" i="96"/>
  <c r="C41" i="87"/>
  <c r="C50" i="87"/>
  <c r="G23" i="87"/>
  <c r="E10" i="96"/>
  <c r="G8" i="51"/>
  <c r="H10" i="51"/>
  <c r="G32" i="95"/>
  <c r="C52" i="95"/>
  <c r="F33" i="87"/>
  <c r="D34" i="87"/>
  <c r="D53" i="87"/>
  <c r="F53" i="87"/>
  <c r="C47" i="87"/>
  <c r="C34" i="87"/>
  <c r="G11" i="87"/>
  <c r="G9" i="87"/>
  <c r="G176" i="75"/>
  <c r="E26" i="96"/>
  <c r="E32" i="96"/>
  <c r="D46" i="96"/>
  <c r="E46" i="96"/>
  <c r="D63" i="56"/>
  <c r="D132" i="77"/>
  <c r="G138" i="75" s="1"/>
  <c r="H138" i="75" s="1"/>
  <c r="E12" i="44"/>
  <c r="E20" i="44"/>
  <c r="Q8" i="44"/>
  <c r="P17" i="85"/>
  <c r="I28" i="85"/>
  <c r="I30" i="85" s="1"/>
  <c r="G14" i="86"/>
  <c r="C15" i="61"/>
  <c r="C27" i="61"/>
  <c r="C10" i="61"/>
  <c r="D39" i="96"/>
  <c r="C55" i="95"/>
  <c r="G55" i="95"/>
  <c r="G24" i="95"/>
  <c r="D48" i="96"/>
  <c r="E48" i="96"/>
  <c r="E22" i="96"/>
  <c r="Q24" i="73"/>
  <c r="D55" i="73" s="1"/>
  <c r="H40" i="73"/>
  <c r="D41" i="87"/>
  <c r="H200" i="75"/>
  <c r="H205" i="75"/>
  <c r="H213" i="75"/>
  <c r="H34" i="73"/>
  <c r="Q23" i="74"/>
  <c r="Q24" i="74"/>
  <c r="O26" i="67"/>
  <c r="M37" i="67"/>
  <c r="M54" i="67"/>
  <c r="M58" i="67"/>
  <c r="I37" i="67"/>
  <c r="I54" i="67"/>
  <c r="I58" i="67"/>
  <c r="P8" i="85"/>
  <c r="C18" i="85"/>
  <c r="K18" i="85"/>
  <c r="K30" i="85"/>
  <c r="G18" i="85"/>
  <c r="G30" i="85"/>
  <c r="C28" i="85"/>
  <c r="P21" i="85"/>
  <c r="C48" i="87"/>
  <c r="G19" i="87"/>
  <c r="G225" i="75"/>
  <c r="G236" i="75"/>
  <c r="D233" i="88"/>
  <c r="E63" i="56"/>
  <c r="D25" i="77"/>
  <c r="F32" i="56"/>
  <c r="E32" i="93"/>
  <c r="C58" i="93"/>
  <c r="C59" i="93"/>
  <c r="C39" i="93"/>
  <c r="G12" i="44"/>
  <c r="G20" i="44"/>
  <c r="K12" i="44"/>
  <c r="K20" i="44"/>
  <c r="O12" i="44"/>
  <c r="O20" i="44"/>
  <c r="Q10" i="44"/>
  <c r="Q15" i="44"/>
  <c r="Q18" i="44"/>
  <c r="Q19" i="44"/>
  <c r="F39" i="44"/>
  <c r="F48" i="44"/>
  <c r="J39" i="44"/>
  <c r="J48" i="44"/>
  <c r="N39" i="44"/>
  <c r="N48" i="44"/>
  <c r="Q37" i="44"/>
  <c r="F9" i="56"/>
  <c r="F43" i="56"/>
  <c r="D43" i="56"/>
  <c r="F35" i="56"/>
  <c r="F39" i="56"/>
  <c r="G18" i="86"/>
  <c r="C53" i="87"/>
  <c r="G33" i="87"/>
  <c r="E50" i="87"/>
  <c r="F50" i="87"/>
  <c r="E48" i="87"/>
  <c r="F48" i="87"/>
  <c r="E40" i="87"/>
  <c r="E41" i="87"/>
  <c r="E47" i="87"/>
  <c r="F47" i="87"/>
  <c r="D49" i="95"/>
  <c r="G14" i="95"/>
  <c r="D39" i="95"/>
  <c r="H131" i="2"/>
  <c r="L123" i="2"/>
  <c r="L121" i="2"/>
  <c r="L73" i="2"/>
  <c r="L31" i="2"/>
  <c r="G8" i="95"/>
  <c r="C39" i="95"/>
  <c r="C53" i="95"/>
  <c r="G53" i="95"/>
  <c r="G19" i="95"/>
  <c r="G34" i="95"/>
  <c r="C58" i="95"/>
  <c r="P13" i="85"/>
  <c r="P9" i="85"/>
  <c r="L18" i="85"/>
  <c r="L30" i="85"/>
  <c r="F28" i="85"/>
  <c r="F30" i="85"/>
  <c r="J28" i="85"/>
  <c r="J30" i="85"/>
  <c r="N28" i="85"/>
  <c r="N30" i="85"/>
  <c r="P26" i="85"/>
  <c r="P27" i="85"/>
  <c r="C40" i="49"/>
  <c r="D15" i="49"/>
  <c r="D40" i="49"/>
  <c r="Q20" i="73"/>
  <c r="D51" i="73" s="1"/>
  <c r="E51" i="73" s="1"/>
  <c r="Q16" i="73"/>
  <c r="D47" i="73"/>
  <c r="E47" i="73"/>
  <c r="Q15" i="73"/>
  <c r="D46" i="73" s="1"/>
  <c r="E46" i="73" s="1"/>
  <c r="O34" i="73"/>
  <c r="P34" i="73"/>
  <c r="D58" i="95"/>
  <c r="D39" i="77"/>
  <c r="J117" i="2"/>
  <c r="J142" i="2"/>
  <c r="E142" i="2"/>
  <c r="J46" i="2"/>
  <c r="F46" i="2"/>
  <c r="J20" i="2"/>
  <c r="F20" i="2"/>
  <c r="D155" i="2"/>
  <c r="F147" i="2"/>
  <c r="J148" i="2"/>
  <c r="F148" i="2"/>
  <c r="E155" i="2"/>
  <c r="J301" i="2"/>
  <c r="O28" i="67"/>
  <c r="K37" i="67"/>
  <c r="K54" i="67"/>
  <c r="K58" i="67"/>
  <c r="G37" i="67"/>
  <c r="G54" i="67"/>
  <c r="G58" i="67"/>
  <c r="G42" i="86"/>
  <c r="G50" i="86"/>
  <c r="G58" i="86"/>
  <c r="G74" i="86"/>
  <c r="G90" i="86"/>
  <c r="G106" i="86"/>
  <c r="G114" i="86"/>
  <c r="G122" i="86"/>
  <c r="G142" i="86"/>
  <c r="H125" i="2"/>
  <c r="H37" i="2"/>
  <c r="I66" i="2"/>
  <c r="I41" i="2"/>
  <c r="D233" i="2"/>
  <c r="H161" i="2"/>
  <c r="O27" i="67"/>
  <c r="O18" i="67"/>
  <c r="N37" i="67"/>
  <c r="N54" i="67"/>
  <c r="N58" i="67"/>
  <c r="J37" i="67"/>
  <c r="J54" i="67"/>
  <c r="J58" i="67"/>
  <c r="F37" i="67"/>
  <c r="F54" i="67"/>
  <c r="F58" i="67"/>
  <c r="F117" i="2"/>
  <c r="F142" i="2"/>
  <c r="D142" i="2"/>
  <c r="F105" i="2"/>
  <c r="F95" i="2"/>
  <c r="F87" i="2"/>
  <c r="F77" i="2"/>
  <c r="F63" i="2"/>
  <c r="F115" i="2"/>
  <c r="F103" i="2"/>
  <c r="F93" i="2"/>
  <c r="F85" i="2"/>
  <c r="F75" i="2"/>
  <c r="F57" i="2"/>
  <c r="F29" i="87"/>
  <c r="G29" i="87"/>
  <c r="F22" i="87"/>
  <c r="G22" i="87"/>
  <c r="F18" i="87"/>
  <c r="G18" i="87"/>
  <c r="F14" i="87"/>
  <c r="G14" i="87"/>
  <c r="F10" i="87"/>
  <c r="G10" i="87"/>
  <c r="D52" i="95"/>
  <c r="D59" i="93"/>
  <c r="D23" i="77"/>
  <c r="D35" i="77"/>
  <c r="I256" i="2"/>
  <c r="F27" i="2"/>
  <c r="F19" i="2"/>
  <c r="D141" i="2"/>
  <c r="I101" i="2"/>
  <c r="I45" i="2"/>
  <c r="J19" i="2"/>
  <c r="E141" i="2"/>
  <c r="L233" i="2"/>
  <c r="J150" i="2"/>
  <c r="F150" i="2"/>
  <c r="F296" i="2"/>
  <c r="F288" i="2"/>
  <c r="F278" i="2"/>
  <c r="F273" i="2"/>
  <c r="D235" i="2"/>
  <c r="M233" i="2"/>
  <c r="O35" i="67"/>
  <c r="A15" i="67"/>
  <c r="A16" i="67"/>
  <c r="A17" i="67"/>
  <c r="A18" i="67"/>
  <c r="A19" i="67"/>
  <c r="A20" i="67"/>
  <c r="A21" i="67"/>
  <c r="A22" i="67"/>
  <c r="A23" i="67"/>
  <c r="A24" i="67"/>
  <c r="A25" i="67"/>
  <c r="A26" i="67"/>
  <c r="A27" i="67"/>
  <c r="A28" i="67"/>
  <c r="A29" i="67"/>
  <c r="A30" i="67"/>
  <c r="A31" i="67"/>
  <c r="A32" i="67"/>
  <c r="A33" i="67"/>
  <c r="A34" i="67"/>
  <c r="A37" i="67"/>
  <c r="B62" i="67"/>
  <c r="O36" i="67"/>
  <c r="O37" i="67"/>
  <c r="C37" i="67"/>
  <c r="C54" i="67"/>
  <c r="F24" i="103"/>
  <c r="D86" i="77"/>
  <c r="H86" i="77" s="1"/>
  <c r="K24" i="103"/>
  <c r="D87" i="77"/>
  <c r="H87" i="77" s="1"/>
  <c r="C30" i="85"/>
  <c r="H233" i="2"/>
  <c r="J155" i="2"/>
  <c r="F233" i="2"/>
  <c r="I233" i="2"/>
  <c r="F155" i="2"/>
  <c r="A312" i="2"/>
  <c r="N313" i="2"/>
  <c r="A313" i="2"/>
  <c r="J233" i="2"/>
  <c r="A237" i="2"/>
  <c r="A236" i="2"/>
  <c r="N237" i="2"/>
  <c r="L141" i="2"/>
  <c r="I141" i="2"/>
  <c r="H141" i="2"/>
  <c r="A140" i="2"/>
  <c r="A141"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9" i="2"/>
  <c r="N141" i="2"/>
  <c r="H38" i="105"/>
  <c r="F37" i="105"/>
  <c r="E17" i="102"/>
  <c r="E19" i="102"/>
  <c r="E35" i="102"/>
  <c r="E234" i="2"/>
  <c r="C10" i="98"/>
  <c r="D10" i="98"/>
  <c r="C11" i="98"/>
  <c r="D11" i="98"/>
  <c r="C12" i="98"/>
  <c r="D12" i="98"/>
  <c r="C13" i="98"/>
  <c r="D13" i="98"/>
  <c r="C14" i="98"/>
  <c r="D14" i="98"/>
  <c r="C15" i="98"/>
  <c r="D15" i="98"/>
  <c r="C16" i="98"/>
  <c r="D16" i="98"/>
  <c r="C17" i="98"/>
  <c r="D17" i="98"/>
  <c r="C18" i="98"/>
  <c r="D18" i="98"/>
  <c r="C19" i="98"/>
  <c r="D19" i="98"/>
  <c r="C20" i="98"/>
  <c r="D20" i="98"/>
  <c r="C21" i="98"/>
  <c r="D21" i="98"/>
  <c r="C22" i="98"/>
  <c r="D22" i="98"/>
  <c r="A13" i="102"/>
  <c r="A14" i="102"/>
  <c r="E45" i="96"/>
  <c r="E52" i="96"/>
  <c r="D52" i="96"/>
  <c r="C45" i="95"/>
  <c r="G45" i="95"/>
  <c r="D101" i="77"/>
  <c r="C46" i="95"/>
  <c r="G46" i="95"/>
  <c r="G44" i="95"/>
  <c r="D44" i="87"/>
  <c r="D54" i="87"/>
  <c r="F53" i="56"/>
  <c r="C59" i="95"/>
  <c r="G49" i="95"/>
  <c r="J141" i="2"/>
  <c r="G58" i="95"/>
  <c r="D114" i="77"/>
  <c r="D59" i="95"/>
  <c r="D27" i="77"/>
  <c r="D61" i="95"/>
  <c r="E58" i="93"/>
  <c r="E59" i="93"/>
  <c r="E39" i="93"/>
  <c r="E39" i="96"/>
  <c r="H11" i="75"/>
  <c r="G11" i="75"/>
  <c r="Q12" i="44"/>
  <c r="Q20" i="44"/>
  <c r="G198" i="75"/>
  <c r="C44" i="87"/>
  <c r="C54" i="87"/>
  <c r="G50" i="87"/>
  <c r="G48" i="87"/>
  <c r="G34" i="87"/>
  <c r="G52" i="95"/>
  <c r="G53" i="87"/>
  <c r="D113" i="77"/>
  <c r="F141" i="2"/>
  <c r="E44" i="87"/>
  <c r="E54" i="87"/>
  <c r="F62" i="56"/>
  <c r="D112" i="77"/>
  <c r="P18" i="85"/>
  <c r="F34" i="87"/>
  <c r="F44" i="87"/>
  <c r="G47" i="87"/>
  <c r="F40" i="87"/>
  <c r="C8" i="51"/>
  <c r="C10" i="51"/>
  <c r="G10" i="51"/>
  <c r="A38" i="67"/>
  <c r="A39" i="67"/>
  <c r="C58" i="67"/>
  <c r="O58" i="67"/>
  <c r="H303" i="75"/>
  <c r="O54" i="67"/>
  <c r="N12" i="2"/>
  <c r="A314" i="2"/>
  <c r="A315" i="2"/>
  <c r="A316" i="2"/>
  <c r="A317" i="2"/>
  <c r="A318" i="2"/>
  <c r="A319" i="2"/>
  <c r="A320" i="2"/>
  <c r="A321" i="2"/>
  <c r="A322" i="2"/>
  <c r="A323" i="2"/>
  <c r="A238" i="2"/>
  <c r="A239" i="2"/>
  <c r="N11" i="2"/>
  <c r="A142" i="2"/>
  <c r="F38" i="105"/>
  <c r="H39" i="105"/>
  <c r="F39" i="105"/>
  <c r="I37" i="105"/>
  <c r="G44" i="87"/>
  <c r="G54" i="87"/>
  <c r="G59" i="95"/>
  <c r="A15" i="102"/>
  <c r="A16" i="102"/>
  <c r="F14" i="102"/>
  <c r="F41" i="87"/>
  <c r="G40" i="87"/>
  <c r="F63" i="56"/>
  <c r="F54" i="87"/>
  <c r="D197" i="88"/>
  <c r="A40" i="67"/>
  <c r="A43" i="67"/>
  <c r="B64" i="67"/>
  <c r="N310"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144" i="2"/>
  <c r="A143" i="2"/>
  <c r="N144" i="2"/>
  <c r="I38" i="105"/>
  <c r="I39" i="105"/>
  <c r="A17" i="102"/>
  <c r="A18" i="102"/>
  <c r="A19" i="102"/>
  <c r="A20" i="102"/>
  <c r="A21" i="102"/>
  <c r="D100" i="77"/>
  <c r="G41" i="87"/>
  <c r="A44" i="67"/>
  <c r="A45" i="67"/>
  <c r="A145" i="2"/>
  <c r="A146" i="2"/>
  <c r="N9" i="2"/>
  <c r="H40" i="105"/>
  <c r="F19" i="102"/>
  <c r="B65" i="67"/>
  <c r="A46" i="67"/>
  <c r="A49" i="67"/>
  <c r="A153" i="2"/>
  <c r="A154" i="2"/>
  <c r="A155" i="2"/>
  <c r="N155" i="2"/>
  <c r="A147" i="2"/>
  <c r="A148" i="2"/>
  <c r="A149" i="2"/>
  <c r="A150" i="2"/>
  <c r="A151" i="2"/>
  <c r="F40" i="105"/>
  <c r="H41" i="105"/>
  <c r="A29" i="102"/>
  <c r="A50" i="67"/>
  <c r="A51" i="67"/>
  <c r="A52" i="67"/>
  <c r="A53" i="67"/>
  <c r="A54" i="67"/>
  <c r="B66" i="67"/>
  <c r="A156" i="2"/>
  <c r="I40" i="105"/>
  <c r="F41" i="105"/>
  <c r="H42" i="105"/>
  <c r="F42" i="105"/>
  <c r="A30" i="102"/>
  <c r="A31" i="102"/>
  <c r="A32" i="102"/>
  <c r="A33" i="102"/>
  <c r="A55" i="67"/>
  <c r="A56" i="67"/>
  <c r="A57" i="67"/>
  <c r="A58" i="67"/>
  <c r="F303" i="75"/>
  <c r="A158" i="2"/>
  <c r="A159" i="2"/>
  <c r="A160" i="2"/>
  <c r="A157" i="2"/>
  <c r="N158" i="2"/>
  <c r="I41" i="105"/>
  <c r="I42" i="105"/>
  <c r="A34" i="102"/>
  <c r="A35" i="102"/>
  <c r="F31" i="102"/>
  <c r="B69" i="67"/>
  <c r="N233"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H43" i="105"/>
  <c r="F35" i="102"/>
  <c r="H44" i="105"/>
  <c r="F43" i="105"/>
  <c r="H45" i="105"/>
  <c r="F45" i="105"/>
  <c r="F44" i="105"/>
  <c r="I43" i="105"/>
  <c r="I44" i="105"/>
  <c r="I45" i="105"/>
  <c r="H46" i="105"/>
  <c r="H47" i="105"/>
  <c r="F46" i="105"/>
  <c r="I46" i="105"/>
  <c r="H48" i="105"/>
  <c r="F48" i="105"/>
  <c r="F47" i="105"/>
  <c r="I47" i="105"/>
  <c r="I48" i="105"/>
  <c r="H49" i="105"/>
  <c r="F49" i="105"/>
  <c r="I49" i="105"/>
  <c r="H50" i="105"/>
  <c r="H51" i="105"/>
  <c r="F51" i="105"/>
  <c r="F50" i="105"/>
  <c r="I50" i="105"/>
  <c r="I51" i="105"/>
  <c r="H52" i="105"/>
  <c r="F52" i="105"/>
  <c r="I52" i="105"/>
  <c r="H53" i="105"/>
  <c r="H54" i="105"/>
  <c r="F54" i="105"/>
  <c r="I54" i="105"/>
  <c r="F53" i="105"/>
  <c r="I53" i="105"/>
  <c r="G49" i="86"/>
  <c r="G41" i="86"/>
  <c r="G33" i="86"/>
  <c r="G29" i="86"/>
  <c r="G17" i="86"/>
  <c r="G13" i="86"/>
  <c r="I317" i="108"/>
  <c r="K263" i="108"/>
  <c r="J155" i="108"/>
  <c r="J158" i="108" s="1"/>
  <c r="L302" i="108"/>
  <c r="K262" i="108"/>
  <c r="J308" i="108"/>
  <c r="M180" i="108"/>
  <c r="J146" i="108"/>
  <c r="L301" i="108"/>
  <c r="J231" i="108"/>
  <c r="J233" i="108"/>
  <c r="M179" i="108"/>
  <c r="J142" i="108"/>
  <c r="J144" i="108" s="1"/>
  <c r="J143" i="2" s="1"/>
  <c r="J144" i="2" s="1"/>
  <c r="J9" i="2" s="1"/>
  <c r="J13" i="2" s="1"/>
  <c r="I308" i="108"/>
  <c r="I311" i="108" s="1"/>
  <c r="G308" i="108"/>
  <c r="G311" i="108" s="1"/>
  <c r="G312" i="2"/>
  <c r="G313" i="2" s="1"/>
  <c r="G12" i="2" s="1"/>
  <c r="H308" i="108"/>
  <c r="D110" i="77"/>
  <c r="H19" i="75"/>
  <c r="G19" i="75"/>
  <c r="H15" i="75"/>
  <c r="G15" i="75"/>
  <c r="J25" i="74"/>
  <c r="N25" i="74"/>
  <c r="D11" i="84"/>
  <c r="D12" i="84" s="1"/>
  <c r="D13" i="84" s="1"/>
  <c r="D14" i="84" s="1"/>
  <c r="D15" i="84" s="1"/>
  <c r="D16" i="84" s="1"/>
  <c r="D17" i="84" s="1"/>
  <c r="D18" i="84" s="1"/>
  <c r="D19" i="84" s="1"/>
  <c r="D20" i="84" s="1"/>
  <c r="G34" i="86"/>
  <c r="G26" i="86"/>
  <c r="G22" i="86"/>
  <c r="G141" i="86"/>
  <c r="Q17" i="74"/>
  <c r="D69" i="77" s="1"/>
  <c r="E69" i="77" s="1"/>
  <c r="E73" i="77" s="1"/>
  <c r="G31" i="86"/>
  <c r="G27" i="86"/>
  <c r="G23" i="86"/>
  <c r="H55" i="105"/>
  <c r="E142" i="108"/>
  <c r="K143" i="2"/>
  <c r="K144" i="2" s="1"/>
  <c r="K9" i="2" s="1"/>
  <c r="G231" i="108"/>
  <c r="G235" i="108"/>
  <c r="D144" i="2"/>
  <c r="G144" i="108"/>
  <c r="G143" i="2" s="1"/>
  <c r="G144" i="2" s="1"/>
  <c r="G9" i="2"/>
  <c r="D235" i="108"/>
  <c r="D236" i="2" s="1"/>
  <c r="D237" i="2" s="1"/>
  <c r="F142" i="108"/>
  <c r="F144" i="108" s="1"/>
  <c r="I141" i="108"/>
  <c r="I144" i="108"/>
  <c r="I143" i="2"/>
  <c r="I144" i="2"/>
  <c r="I9" i="2" s="1"/>
  <c r="I231" i="108"/>
  <c r="I235" i="108"/>
  <c r="I236" i="2"/>
  <c r="I237" i="2" s="1"/>
  <c r="I11" i="2" s="1"/>
  <c r="E141" i="108"/>
  <c r="H161" i="108"/>
  <c r="H231" i="108"/>
  <c r="H235" i="108" s="1"/>
  <c r="H236" i="2" s="1"/>
  <c r="H237" i="2" s="1"/>
  <c r="H11" i="2" s="1"/>
  <c r="A311" i="108"/>
  <c r="A10" i="108"/>
  <c r="A11" i="108"/>
  <c r="A12" i="108"/>
  <c r="A13" i="108"/>
  <c r="A14" i="108"/>
  <c r="A15" i="108"/>
  <c r="A16" i="108"/>
  <c r="A17" i="108"/>
  <c r="D311" i="108"/>
  <c r="D312" i="2"/>
  <c r="D313" i="2" s="1"/>
  <c r="F272" i="108"/>
  <c r="F141" i="108"/>
  <c r="H141" i="108"/>
  <c r="H144" i="108"/>
  <c r="F150" i="108"/>
  <c r="F155" i="108"/>
  <c r="F158" i="108" s="1"/>
  <c r="E155" i="108"/>
  <c r="E158" i="108"/>
  <c r="F209" i="108"/>
  <c r="F233" i="108"/>
  <c r="F299" i="108"/>
  <c r="A233" i="108"/>
  <c r="A232" i="108"/>
  <c r="D132" i="88"/>
  <c r="G25" i="74"/>
  <c r="G138" i="86"/>
  <c r="L234" i="2"/>
  <c r="H234" i="2"/>
  <c r="G44" i="86"/>
  <c r="G40" i="86"/>
  <c r="G32" i="86"/>
  <c r="G28" i="86"/>
  <c r="G24" i="86"/>
  <c r="E25" i="74"/>
  <c r="Q10" i="91"/>
  <c r="H91" i="75"/>
  <c r="Q21" i="74"/>
  <c r="D78" i="77" s="1"/>
  <c r="E78" i="77" s="1"/>
  <c r="C15" i="58"/>
  <c r="G161" i="75"/>
  <c r="H226" i="75"/>
  <c r="G226" i="75"/>
  <c r="G15" i="86"/>
  <c r="F145" i="86"/>
  <c r="E7" i="86"/>
  <c r="D25" i="74"/>
  <c r="Q15" i="74"/>
  <c r="D62" i="77" s="1"/>
  <c r="H62" i="77" s="1"/>
  <c r="Q10" i="74"/>
  <c r="D52" i="77" s="1"/>
  <c r="E52" i="77" s="1"/>
  <c r="M25" i="74"/>
  <c r="I25" i="74"/>
  <c r="G91" i="75"/>
  <c r="Q9" i="91"/>
  <c r="C21" i="84"/>
  <c r="F7" i="86"/>
  <c r="F9" i="86" s="1"/>
  <c r="Q16" i="74"/>
  <c r="D68" i="77" s="1"/>
  <c r="H68" i="77" s="1"/>
  <c r="H73" i="77" s="1"/>
  <c r="P12" i="58"/>
  <c r="P11" i="58"/>
  <c r="G106" i="75" s="1"/>
  <c r="Q45" i="44"/>
  <c r="Q48" i="44"/>
  <c r="G202" i="75"/>
  <c r="D213" i="88"/>
  <c r="H206" i="75"/>
  <c r="G208" i="75"/>
  <c r="H208" i="75"/>
  <c r="H214" i="75"/>
  <c r="H204" i="75"/>
  <c r="H212" i="75"/>
  <c r="G197" i="75"/>
  <c r="J235" i="108"/>
  <c r="J11" i="108" s="1"/>
  <c r="M231" i="108"/>
  <c r="M235" i="108"/>
  <c r="J141" i="108"/>
  <c r="L141" i="108"/>
  <c r="L144" i="108"/>
  <c r="L143" i="2"/>
  <c r="L144" i="2"/>
  <c r="L9" i="2" s="1"/>
  <c r="K308" i="108"/>
  <c r="K311" i="108"/>
  <c r="K312" i="2"/>
  <c r="K313" i="2" s="1"/>
  <c r="K12" i="2" s="1"/>
  <c r="M308" i="108"/>
  <c r="M311" i="108"/>
  <c r="M12" i="108" s="1"/>
  <c r="M141" i="108"/>
  <c r="M144" i="108"/>
  <c r="M143" i="2"/>
  <c r="M144" i="2" s="1"/>
  <c r="M9" i="2" s="1"/>
  <c r="L231" i="108"/>
  <c r="L235" i="108" s="1"/>
  <c r="L11" i="108" s="1"/>
  <c r="K231" i="108"/>
  <c r="K235" i="108"/>
  <c r="K11" i="108" s="1"/>
  <c r="L308" i="108"/>
  <c r="L311" i="108"/>
  <c r="G12" i="108"/>
  <c r="F308" i="108"/>
  <c r="F311" i="108" s="1"/>
  <c r="F55" i="105"/>
  <c r="H56" i="105"/>
  <c r="K12" i="108"/>
  <c r="K9" i="108"/>
  <c r="K13" i="108" s="1"/>
  <c r="E235" i="108"/>
  <c r="E236" i="2" s="1"/>
  <c r="E237" i="2" s="1"/>
  <c r="I9" i="108"/>
  <c r="E144" i="108"/>
  <c r="E143" i="2" s="1"/>
  <c r="E144" i="2" s="1"/>
  <c r="G9" i="108"/>
  <c r="N13" i="108"/>
  <c r="I11" i="108"/>
  <c r="A235" i="108"/>
  <c r="A236" i="108"/>
  <c r="A237" i="108"/>
  <c r="A238" i="108"/>
  <c r="A239" i="108"/>
  <c r="A240" i="108"/>
  <c r="A241" i="108"/>
  <c r="A242" i="108"/>
  <c r="A243" i="108"/>
  <c r="A244" i="108"/>
  <c r="A245" i="108"/>
  <c r="A246" i="108"/>
  <c r="A247" i="108"/>
  <c r="A248" i="108"/>
  <c r="A249" i="108"/>
  <c r="A250" i="108"/>
  <c r="A251" i="108"/>
  <c r="A252" i="108"/>
  <c r="A253" i="108"/>
  <c r="A254" i="108"/>
  <c r="A255" i="108"/>
  <c r="A256" i="108"/>
  <c r="A257" i="108"/>
  <c r="A258" i="108"/>
  <c r="A259" i="108"/>
  <c r="A234" i="108"/>
  <c r="H311" i="108"/>
  <c r="H312" i="2" s="1"/>
  <c r="H143" i="2"/>
  <c r="H144" i="2" s="1"/>
  <c r="H9" i="2" s="1"/>
  <c r="H9" i="108"/>
  <c r="E311" i="108"/>
  <c r="E312" i="2"/>
  <c r="E313" i="2"/>
  <c r="A140" i="108"/>
  <c r="A141" i="108"/>
  <c r="A18" i="108"/>
  <c r="A19" i="108"/>
  <c r="A20" i="108"/>
  <c r="A21" i="108"/>
  <c r="A22" i="108"/>
  <c r="A23" i="108"/>
  <c r="A24" i="108"/>
  <c r="A25" i="108"/>
  <c r="A26" i="108"/>
  <c r="A27" i="108"/>
  <c r="A28" i="108"/>
  <c r="A29" i="108"/>
  <c r="A30" i="108"/>
  <c r="A31" i="108"/>
  <c r="A32" i="108"/>
  <c r="A33" i="108"/>
  <c r="A34" i="108"/>
  <c r="A35" i="108"/>
  <c r="A36" i="108"/>
  <c r="A37" i="108"/>
  <c r="A38" i="108"/>
  <c r="A39" i="108"/>
  <c r="A40" i="108"/>
  <c r="A41" i="108"/>
  <c r="A42" i="108"/>
  <c r="A43" i="108"/>
  <c r="A44" i="108"/>
  <c r="A45" i="108"/>
  <c r="A46" i="108"/>
  <c r="A47" i="108"/>
  <c r="A48" i="108"/>
  <c r="A49" i="108"/>
  <c r="A50" i="108"/>
  <c r="A51" i="108"/>
  <c r="A52" i="108"/>
  <c r="A53" i="108"/>
  <c r="A54" i="108"/>
  <c r="A55" i="108"/>
  <c r="A56" i="108"/>
  <c r="A57" i="108"/>
  <c r="A58" i="108"/>
  <c r="A59" i="108"/>
  <c r="A60" i="108"/>
  <c r="A61" i="108"/>
  <c r="A62" i="108"/>
  <c r="A63" i="108"/>
  <c r="A64" i="108"/>
  <c r="A65" i="108"/>
  <c r="A66" i="108"/>
  <c r="A67" i="108"/>
  <c r="A68" i="108"/>
  <c r="A69" i="108"/>
  <c r="A70" i="108"/>
  <c r="A71" i="108"/>
  <c r="A72" i="108"/>
  <c r="A73" i="108"/>
  <c r="A74" i="108"/>
  <c r="A75" i="108"/>
  <c r="A76" i="108"/>
  <c r="A77" i="108"/>
  <c r="A78" i="108"/>
  <c r="A79" i="108"/>
  <c r="A80" i="108"/>
  <c r="A81" i="108"/>
  <c r="A82" i="108"/>
  <c r="A83" i="108"/>
  <c r="A84" i="108"/>
  <c r="A85" i="108"/>
  <c r="A86" i="108"/>
  <c r="A87" i="108"/>
  <c r="A88" i="108"/>
  <c r="A89" i="108"/>
  <c r="A90" i="108"/>
  <c r="A91" i="108"/>
  <c r="A92" i="108"/>
  <c r="A93" i="108"/>
  <c r="A94" i="108"/>
  <c r="A95" i="108"/>
  <c r="A96" i="108"/>
  <c r="A97" i="108"/>
  <c r="A98" i="108"/>
  <c r="A99" i="108"/>
  <c r="A100" i="108"/>
  <c r="A101" i="108"/>
  <c r="A102" i="108"/>
  <c r="A103" i="108"/>
  <c r="A104" i="108"/>
  <c r="A105" i="108"/>
  <c r="A106" i="108"/>
  <c r="A107" i="108"/>
  <c r="A108" i="108"/>
  <c r="A109" i="108"/>
  <c r="A110" i="108"/>
  <c r="A111" i="108"/>
  <c r="A112" i="108"/>
  <c r="A113" i="108"/>
  <c r="A114" i="108"/>
  <c r="A115" i="108"/>
  <c r="A116" i="108"/>
  <c r="A117" i="108"/>
  <c r="A118" i="108"/>
  <c r="A119" i="108"/>
  <c r="A120" i="108"/>
  <c r="A121" i="108"/>
  <c r="A122" i="108"/>
  <c r="A123" i="108"/>
  <c r="A124" i="108"/>
  <c r="A125" i="108"/>
  <c r="A126" i="108"/>
  <c r="A127" i="108"/>
  <c r="A128" i="108"/>
  <c r="A129" i="108"/>
  <c r="A130" i="108"/>
  <c r="A131" i="108"/>
  <c r="A132" i="108"/>
  <c r="A133" i="108"/>
  <c r="A134" i="108"/>
  <c r="A139" i="108"/>
  <c r="N141" i="108"/>
  <c r="F231" i="108"/>
  <c r="F235" i="108" s="1"/>
  <c r="F11" i="108" s="1"/>
  <c r="H215" i="75"/>
  <c r="H90" i="75"/>
  <c r="G90" i="75"/>
  <c r="P15" i="58"/>
  <c r="G205" i="75"/>
  <c r="G206" i="75"/>
  <c r="G214" i="75"/>
  <c r="G215" i="75" s="1"/>
  <c r="M312" i="2"/>
  <c r="M313" i="2" s="1"/>
  <c r="M12" i="2" s="1"/>
  <c r="M9" i="108"/>
  <c r="K236" i="2"/>
  <c r="K237" i="2" s="1"/>
  <c r="K11" i="2" s="1"/>
  <c r="J236" i="2"/>
  <c r="J237" i="2" s="1"/>
  <c r="J11" i="2" s="1"/>
  <c r="L9" i="108"/>
  <c r="L13" i="108" s="1"/>
  <c r="A135" i="108"/>
  <c r="A137" i="108"/>
  <c r="A136" i="108"/>
  <c r="H57" i="105"/>
  <c r="F57" i="105"/>
  <c r="F56" i="105"/>
  <c r="I55" i="105"/>
  <c r="I56" i="105"/>
  <c r="I57" i="105"/>
  <c r="L312" i="2"/>
  <c r="L313" i="2"/>
  <c r="L12" i="2"/>
  <c r="L12" i="108"/>
  <c r="F236" i="2"/>
  <c r="F237" i="2" s="1"/>
  <c r="F11" i="2" s="1"/>
  <c r="A142" i="108"/>
  <c r="N143" i="108"/>
  <c r="J311" i="108"/>
  <c r="H313" i="2"/>
  <c r="H12" i="2" s="1"/>
  <c r="H12" i="108"/>
  <c r="A260" i="108"/>
  <c r="A261" i="108"/>
  <c r="G204" i="75"/>
  <c r="G212" i="75"/>
  <c r="G213" i="75"/>
  <c r="H58" i="105"/>
  <c r="N261" i="108"/>
  <c r="A262" i="108"/>
  <c r="A263" i="108"/>
  <c r="A264" i="108"/>
  <c r="A265" i="108"/>
  <c r="A266" i="108"/>
  <c r="A267" i="108"/>
  <c r="A268" i="108"/>
  <c r="A269" i="108"/>
  <c r="A270" i="108"/>
  <c r="A271" i="108"/>
  <c r="A272" i="108"/>
  <c r="A273" i="108"/>
  <c r="A274" i="108"/>
  <c r="A275" i="108"/>
  <c r="A276" i="108"/>
  <c r="A277" i="108"/>
  <c r="A278" i="108"/>
  <c r="A279" i="108"/>
  <c r="A280" i="108"/>
  <c r="A281" i="108"/>
  <c r="A282" i="108"/>
  <c r="A283" i="108"/>
  <c r="A284" i="108"/>
  <c r="A285" i="108"/>
  <c r="A286" i="108"/>
  <c r="A287" i="108"/>
  <c r="A288" i="108"/>
  <c r="A289" i="108"/>
  <c r="A290" i="108"/>
  <c r="A291" i="108"/>
  <c r="A292" i="108"/>
  <c r="A293" i="108"/>
  <c r="A294" i="108"/>
  <c r="A295" i="108"/>
  <c r="A296" i="108"/>
  <c r="A297" i="108"/>
  <c r="A298" i="108"/>
  <c r="A299" i="108"/>
  <c r="A300" i="108"/>
  <c r="A301" i="108"/>
  <c r="A302" i="108"/>
  <c r="A303" i="108"/>
  <c r="A304" i="108"/>
  <c r="N12" i="108"/>
  <c r="J312" i="2"/>
  <c r="J313" i="2" s="1"/>
  <c r="J12" i="2" s="1"/>
  <c r="J12" i="108"/>
  <c r="A143" i="108"/>
  <c r="N9" i="108"/>
  <c r="A144" i="108"/>
  <c r="A145" i="108"/>
  <c r="H59" i="105"/>
  <c r="F58" i="105"/>
  <c r="A146" i="108"/>
  <c r="N212" i="108"/>
  <c r="H60" i="105"/>
  <c r="F60" i="105"/>
  <c r="F59" i="105"/>
  <c r="I58" i="105"/>
  <c r="A147" i="108"/>
  <c r="A148" i="108"/>
  <c r="A149" i="108"/>
  <c r="A150" i="108"/>
  <c r="A151" i="108"/>
  <c r="A154" i="108"/>
  <c r="A155" i="108"/>
  <c r="A156" i="108"/>
  <c r="A153" i="108"/>
  <c r="I59" i="105"/>
  <c r="I60" i="105"/>
  <c r="A158" i="108"/>
  <c r="A159" i="108"/>
  <c r="A160" i="108"/>
  <c r="A161" i="108"/>
  <c r="A162" i="108"/>
  <c r="A163" i="108"/>
  <c r="A164" i="108"/>
  <c r="A165" i="108"/>
  <c r="A166" i="108"/>
  <c r="A167" i="108"/>
  <c r="A168" i="108"/>
  <c r="A169" i="108"/>
  <c r="A170" i="108"/>
  <c r="A171" i="108"/>
  <c r="A172" i="108"/>
  <c r="A173" i="108"/>
  <c r="A174" i="108"/>
  <c r="A175" i="108"/>
  <c r="A176" i="108"/>
  <c r="A177" i="108"/>
  <c r="A178" i="108"/>
  <c r="A179" i="108"/>
  <c r="A180" i="108"/>
  <c r="A181" i="108"/>
  <c r="A182" i="108"/>
  <c r="A183" i="108"/>
  <c r="A184" i="108"/>
  <c r="A185" i="108"/>
  <c r="A186" i="108"/>
  <c r="A187" i="108"/>
  <c r="A188" i="108"/>
  <c r="A189" i="108"/>
  <c r="A190" i="108"/>
  <c r="A191" i="108"/>
  <c r="A192" i="108"/>
  <c r="A193" i="108"/>
  <c r="A194" i="108"/>
  <c r="A195" i="108"/>
  <c r="A196" i="108"/>
  <c r="A197" i="108"/>
  <c r="A198" i="108"/>
  <c r="A199" i="108"/>
  <c r="A200" i="108"/>
  <c r="A201" i="108"/>
  <c r="A202" i="108"/>
  <c r="A203" i="108"/>
  <c r="A204" i="108"/>
  <c r="A205" i="108"/>
  <c r="A206" i="108"/>
  <c r="A207" i="108"/>
  <c r="A208" i="108"/>
  <c r="A209" i="108"/>
  <c r="A210" i="108"/>
  <c r="A211" i="108"/>
  <c r="A212" i="108"/>
  <c r="A157" i="108"/>
  <c r="H61" i="105"/>
  <c r="A213" i="108"/>
  <c r="A214" i="108"/>
  <c r="F61" i="105"/>
  <c r="I61" i="105"/>
  <c r="H62" i="105"/>
  <c r="N11" i="108"/>
  <c r="A215" i="108"/>
  <c r="A216" i="108"/>
  <c r="N214" i="108"/>
  <c r="H63" i="105"/>
  <c r="F63" i="105"/>
  <c r="F62" i="105"/>
  <c r="I62" i="105"/>
  <c r="A217" i="108"/>
  <c r="A218" i="108"/>
  <c r="A219" i="108"/>
  <c r="A220" i="108"/>
  <c r="A221" i="108"/>
  <c r="A222" i="108"/>
  <c r="A223" i="108"/>
  <c r="A224" i="108"/>
  <c r="A225" i="108"/>
  <c r="A226" i="108"/>
  <c r="A227" i="108"/>
  <c r="N259" i="108"/>
  <c r="I63" i="105"/>
  <c r="H64" i="105"/>
  <c r="F64" i="105"/>
  <c r="F66" i="105"/>
  <c r="F68" i="105"/>
  <c r="I64" i="105"/>
  <c r="I65" i="105"/>
  <c r="D173" i="88" l="1"/>
  <c r="I173" i="88" s="1"/>
  <c r="D66" i="88"/>
  <c r="D84" i="88" s="1"/>
  <c r="D234" i="88"/>
  <c r="D170" i="88"/>
  <c r="I170" i="88" s="1"/>
  <c r="D134" i="88"/>
  <c r="M134" i="88" s="1"/>
  <c r="D211" i="88"/>
  <c r="D214" i="88" s="1"/>
  <c r="F211" i="88" s="1"/>
  <c r="M68" i="88"/>
  <c r="M86" i="88" s="1"/>
  <c r="C76" i="88"/>
  <c r="C67" i="88"/>
  <c r="D67" i="88"/>
  <c r="M67" i="88" s="1"/>
  <c r="F65" i="55"/>
  <c r="D69" i="55"/>
  <c r="E40" i="55"/>
  <c r="G40" i="55" s="1"/>
  <c r="E34" i="55"/>
  <c r="G34" i="55" s="1"/>
  <c r="E35" i="55"/>
  <c r="G35" i="55" s="1"/>
  <c r="J61" i="55"/>
  <c r="J68" i="55"/>
  <c r="I72" i="55"/>
  <c r="C65" i="55"/>
  <c r="E37" i="55"/>
  <c r="G37" i="55" s="1"/>
  <c r="E26" i="55"/>
  <c r="G26" i="55" s="1"/>
  <c r="H26" i="55" s="1"/>
  <c r="E24" i="55"/>
  <c r="G24" i="55" s="1"/>
  <c r="H24" i="55" s="1"/>
  <c r="I58" i="55"/>
  <c r="I60" i="55" s="1"/>
  <c r="J72" i="55"/>
  <c r="G44" i="55"/>
  <c r="H44" i="55" s="1"/>
  <c r="K54" i="55"/>
  <c r="H54" i="55"/>
  <c r="D72" i="55"/>
  <c r="E16" i="55"/>
  <c r="G16" i="55" s="1"/>
  <c r="J58" i="55"/>
  <c r="J60" i="55" s="1"/>
  <c r="C73" i="55"/>
  <c r="E30" i="55"/>
  <c r="G30" i="55" s="1"/>
  <c r="K30" i="55" s="1"/>
  <c r="F69" i="55"/>
  <c r="E42" i="55"/>
  <c r="G42" i="55" s="1"/>
  <c r="K42" i="55" s="1"/>
  <c r="E12" i="55"/>
  <c r="G12" i="55" s="1"/>
  <c r="I55" i="55"/>
  <c r="D58" i="55"/>
  <c r="D60" i="55" s="1"/>
  <c r="D74" i="55"/>
  <c r="D61" i="55"/>
  <c r="F72" i="55"/>
  <c r="E22" i="55"/>
  <c r="G22" i="55" s="1"/>
  <c r="K22" i="55" s="1"/>
  <c r="E18" i="55"/>
  <c r="G18" i="55" s="1"/>
  <c r="E32" i="55"/>
  <c r="G32" i="55" s="1"/>
  <c r="K32" i="55" s="1"/>
  <c r="I68" i="55"/>
  <c r="E51" i="55"/>
  <c r="G51" i="55" s="1"/>
  <c r="K51" i="55" s="1"/>
  <c r="E47" i="55"/>
  <c r="G47" i="55" s="1"/>
  <c r="H47" i="55" s="1"/>
  <c r="I74" i="55"/>
  <c r="F74" i="55"/>
  <c r="J74" i="55"/>
  <c r="E36" i="55"/>
  <c r="G36" i="55" s="1"/>
  <c r="E33" i="55"/>
  <c r="G33" i="55" s="1"/>
  <c r="K33" i="55" s="1"/>
  <c r="E50" i="55"/>
  <c r="G50" i="55" s="1"/>
  <c r="H50" i="55" s="1"/>
  <c r="F61" i="55"/>
  <c r="C68" i="55"/>
  <c r="F58" i="55"/>
  <c r="F60" i="55" s="1"/>
  <c r="D73" i="55"/>
  <c r="E29" i="55"/>
  <c r="G29" i="55" s="1"/>
  <c r="K29" i="55" s="1"/>
  <c r="E49" i="55"/>
  <c r="G49" i="55" s="1"/>
  <c r="K49" i="55" s="1"/>
  <c r="E45" i="55"/>
  <c r="G45" i="55" s="1"/>
  <c r="H45" i="55" s="1"/>
  <c r="E14" i="55"/>
  <c r="G14" i="55" s="1"/>
  <c r="E19" i="55"/>
  <c r="G19" i="55" s="1"/>
  <c r="G27" i="55"/>
  <c r="H27" i="55" s="1"/>
  <c r="H52" i="55"/>
  <c r="E46" i="55"/>
  <c r="G46" i="55" s="1"/>
  <c r="K46" i="55" s="1"/>
  <c r="E43" i="55"/>
  <c r="G43" i="55" s="1"/>
  <c r="K43" i="55" s="1"/>
  <c r="I65" i="55"/>
  <c r="C70" i="55"/>
  <c r="E39" i="55"/>
  <c r="G39" i="55" s="1"/>
  <c r="G17" i="55"/>
  <c r="K17" i="55" s="1"/>
  <c r="I73" i="55"/>
  <c r="E48" i="55"/>
  <c r="G48" i="55" s="1"/>
  <c r="H48" i="55" s="1"/>
  <c r="E13" i="55"/>
  <c r="G13" i="55" s="1"/>
  <c r="H13" i="55" s="1"/>
  <c r="K31" i="55"/>
  <c r="H31" i="55"/>
  <c r="I12" i="77"/>
  <c r="I98" i="77"/>
  <c r="A62" i="55"/>
  <c r="A63" i="55" s="1"/>
  <c r="A64" i="55" s="1"/>
  <c r="A65" i="55" s="1"/>
  <c r="G21" i="55"/>
  <c r="E20" i="55"/>
  <c r="F68" i="55"/>
  <c r="F55" i="55"/>
  <c r="J55" i="55"/>
  <c r="D65" i="55"/>
  <c r="D55" i="55"/>
  <c r="E11" i="55"/>
  <c r="B60" i="55"/>
  <c r="E38" i="55"/>
  <c r="G38" i="55" s="1"/>
  <c r="C72" i="55"/>
  <c r="E28" i="55"/>
  <c r="G28" i="55" s="1"/>
  <c r="C59" i="55"/>
  <c r="E59" i="55" s="1"/>
  <c r="G59" i="55" s="1"/>
  <c r="E25" i="55"/>
  <c r="G25" i="55" s="1"/>
  <c r="C58" i="55"/>
  <c r="E23" i="55"/>
  <c r="C61" i="55"/>
  <c r="C69" i="55"/>
  <c r="J69" i="55"/>
  <c r="E15" i="55"/>
  <c r="C66" i="55"/>
  <c r="C55" i="55"/>
  <c r="D68" i="55"/>
  <c r="I61" i="55"/>
  <c r="I69" i="55"/>
  <c r="K53" i="55"/>
  <c r="H53" i="55"/>
  <c r="K44" i="55"/>
  <c r="H32" i="55"/>
  <c r="E41" i="55"/>
  <c r="C74" i="55"/>
  <c r="K65" i="55"/>
  <c r="N67" i="88"/>
  <c r="D140" i="88"/>
  <c r="M140" i="88" s="1"/>
  <c r="G211" i="88"/>
  <c r="I211" i="88" s="1"/>
  <c r="D104" i="88"/>
  <c r="M104" i="88" s="1"/>
  <c r="C75" i="88"/>
  <c r="C70" i="88"/>
  <c r="D78" i="88"/>
  <c r="D87" i="88" s="1"/>
  <c r="D235" i="88"/>
  <c r="D70" i="88"/>
  <c r="I26" i="88"/>
  <c r="I229" i="88"/>
  <c r="F213" i="88"/>
  <c r="I213" i="88" s="1"/>
  <c r="D79" i="88"/>
  <c r="C79" i="88"/>
  <c r="C66" i="88"/>
  <c r="D125" i="88"/>
  <c r="M125" i="88" s="1"/>
  <c r="D76" i="88"/>
  <c r="G212" i="88"/>
  <c r="F143" i="2"/>
  <c r="F144" i="2" s="1"/>
  <c r="F9" i="2" s="1"/>
  <c r="F9" i="108"/>
  <c r="N10" i="112"/>
  <c r="E38" i="112"/>
  <c r="N14" i="112"/>
  <c r="N13" i="112"/>
  <c r="N17" i="112"/>
  <c r="N18" i="112" s="1"/>
  <c r="N19" i="112" s="1"/>
  <c r="N20" i="112" s="1"/>
  <c r="N21" i="112" s="1"/>
  <c r="N22" i="112" s="1"/>
  <c r="N23" i="112" s="1"/>
  <c r="N24" i="112" s="1"/>
  <c r="N25" i="112" s="1"/>
  <c r="N26" i="112" s="1"/>
  <c r="N27" i="112" s="1"/>
  <c r="N28" i="112" s="1"/>
  <c r="N29" i="112" s="1"/>
  <c r="N15" i="112"/>
  <c r="N16" i="112"/>
  <c r="N12" i="112"/>
  <c r="M15" i="112"/>
  <c r="M10" i="112"/>
  <c r="M16" i="112"/>
  <c r="E37" i="112"/>
  <c r="M17" i="112"/>
  <c r="M18" i="112" s="1"/>
  <c r="M19" i="112" s="1"/>
  <c r="M20" i="112" s="1"/>
  <c r="M21" i="112" s="1"/>
  <c r="M22" i="112" s="1"/>
  <c r="M23" i="112" s="1"/>
  <c r="M24" i="112" s="1"/>
  <c r="M25" i="112" s="1"/>
  <c r="M26" i="112" s="1"/>
  <c r="M27" i="112" s="1"/>
  <c r="M28" i="112" s="1"/>
  <c r="M29" i="112" s="1"/>
  <c r="M12" i="112"/>
  <c r="M14" i="112"/>
  <c r="M13" i="112"/>
  <c r="G13" i="2"/>
  <c r="G68" i="75" s="1"/>
  <c r="X9" i="108"/>
  <c r="X13" i="108" s="1"/>
  <c r="T13" i="108"/>
  <c r="K8" i="112" s="1"/>
  <c r="L236" i="2"/>
  <c r="L237" i="2" s="1"/>
  <c r="L11" i="2" s="1"/>
  <c r="H11" i="108"/>
  <c r="H13" i="108" s="1"/>
  <c r="F312" i="2"/>
  <c r="F313" i="2" s="1"/>
  <c r="F12" i="2" s="1"/>
  <c r="F12" i="108"/>
  <c r="L13" i="2"/>
  <c r="J9" i="108"/>
  <c r="J13" i="108" s="1"/>
  <c r="G11" i="108"/>
  <c r="G13" i="108" s="1"/>
  <c r="G236" i="2"/>
  <c r="G237" i="2" s="1"/>
  <c r="G11" i="2" s="1"/>
  <c r="X309" i="108"/>
  <c r="X311" i="108" s="1"/>
  <c r="U13" i="108"/>
  <c r="L8" i="112" s="1"/>
  <c r="H13" i="2"/>
  <c r="G69" i="75" s="1"/>
  <c r="M11" i="108"/>
  <c r="M13" i="108" s="1"/>
  <c r="M236" i="2"/>
  <c r="M237" i="2" s="1"/>
  <c r="M11" i="2" s="1"/>
  <c r="M13" i="2" s="1"/>
  <c r="K13" i="2"/>
  <c r="H68" i="75" s="1"/>
  <c r="I12" i="108"/>
  <c r="I13" i="108" s="1"/>
  <c r="I312" i="2"/>
  <c r="I313" i="2" s="1"/>
  <c r="I12" i="2" s="1"/>
  <c r="I13" i="2" s="1"/>
  <c r="G72" i="75" s="1"/>
  <c r="E60" i="114"/>
  <c r="E61" i="114" s="1"/>
  <c r="E41" i="114"/>
  <c r="G37" i="114"/>
  <c r="G41" i="114" s="1"/>
  <c r="P74" i="114"/>
  <c r="F92" i="77"/>
  <c r="G80" i="75" s="1"/>
  <c r="G92" i="77"/>
  <c r="G81" i="75" s="1"/>
  <c r="A65" i="77"/>
  <c r="A61" i="77"/>
  <c r="A62" i="77" s="1"/>
  <c r="A63" i="77" s="1"/>
  <c r="I66" i="77"/>
  <c r="A66" i="77"/>
  <c r="A67" i="77" s="1"/>
  <c r="I20" i="77"/>
  <c r="A11" i="77"/>
  <c r="A12" i="77" s="1"/>
  <c r="A13" i="77" s="1"/>
  <c r="A14" i="77" s="1"/>
  <c r="A15" i="77" s="1"/>
  <c r="A16" i="77" s="1"/>
  <c r="A17" i="77" s="1"/>
  <c r="A19" i="77"/>
  <c r="A20" i="77"/>
  <c r="H279" i="75"/>
  <c r="H285" i="75" s="1"/>
  <c r="E65" i="51"/>
  <c r="G23" i="78" s="1"/>
  <c r="G25" i="78" s="1"/>
  <c r="G279" i="75"/>
  <c r="G285" i="75" s="1"/>
  <c r="I227" i="88" s="1"/>
  <c r="B64" i="51"/>
  <c r="A64" i="51"/>
  <c r="A15" i="5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D64" i="51"/>
  <c r="P28" i="85"/>
  <c r="P30" i="85" s="1"/>
  <c r="D180" i="77" s="1"/>
  <c r="H66" i="77"/>
  <c r="D22" i="84"/>
  <c r="H41" i="75" s="1"/>
  <c r="H42" i="75" s="1"/>
  <c r="H262" i="75" s="1"/>
  <c r="D50" i="77"/>
  <c r="Q11" i="74"/>
  <c r="D53" i="77" s="1"/>
  <c r="E53" i="77" s="1"/>
  <c r="G133" i="86"/>
  <c r="G117" i="86"/>
  <c r="G113" i="86"/>
  <c r="G129" i="86"/>
  <c r="G85" i="86"/>
  <c r="G69" i="86"/>
  <c r="G45" i="86"/>
  <c r="E145" i="86"/>
  <c r="G77" i="86"/>
  <c r="G132" i="86"/>
  <c r="G120" i="86"/>
  <c r="G72" i="86"/>
  <c r="G56" i="86"/>
  <c r="G36" i="86"/>
  <c r="G20" i="86"/>
  <c r="G16" i="86"/>
  <c r="G51" i="86"/>
  <c r="C7" i="86"/>
  <c r="A145" i="86"/>
  <c r="C8" i="86"/>
  <c r="A12" i="86"/>
  <c r="A13" i="86" s="1"/>
  <c r="A14" i="86" s="1"/>
  <c r="A15" i="86" s="1"/>
  <c r="A16" i="86" s="1"/>
  <c r="A17" i="86" s="1"/>
  <c r="A18" i="86" s="1"/>
  <c r="A19" i="86" s="1"/>
  <c r="A20" i="86" s="1"/>
  <c r="A21" i="86" s="1"/>
  <c r="A22" i="86" s="1"/>
  <c r="A23" i="86" s="1"/>
  <c r="A24" i="86" s="1"/>
  <c r="A25" i="86" s="1"/>
  <c r="A26" i="86" s="1"/>
  <c r="A27" i="86" s="1"/>
  <c r="A28" i="86" s="1"/>
  <c r="A29" i="86" s="1"/>
  <c r="A30" i="86" s="1"/>
  <c r="A31" i="86" s="1"/>
  <c r="A32" i="86" s="1"/>
  <c r="A33" i="86" s="1"/>
  <c r="A34" i="86" s="1"/>
  <c r="A35" i="86" s="1"/>
  <c r="A36" i="86" s="1"/>
  <c r="A37" i="86" s="1"/>
  <c r="A38" i="86" s="1"/>
  <c r="A39" i="86" s="1"/>
  <c r="A40" i="86" s="1"/>
  <c r="A41" i="86" s="1"/>
  <c r="A42" i="86" s="1"/>
  <c r="A43" i="86" s="1"/>
  <c r="A44" i="86" s="1"/>
  <c r="A45" i="86" s="1"/>
  <c r="A46" i="86" s="1"/>
  <c r="A47" i="86" s="1"/>
  <c r="A48" i="86" s="1"/>
  <c r="A49" i="86" s="1"/>
  <c r="A50" i="86" s="1"/>
  <c r="A51" i="86" s="1"/>
  <c r="A52" i="86" s="1"/>
  <c r="A53" i="86" s="1"/>
  <c r="A54" i="86" s="1"/>
  <c r="A55" i="86" s="1"/>
  <c r="A56" i="86" s="1"/>
  <c r="A57" i="86" s="1"/>
  <c r="A58" i="86" s="1"/>
  <c r="A59" i="86" s="1"/>
  <c r="A60" i="86" s="1"/>
  <c r="A61" i="86" s="1"/>
  <c r="A62" i="86" s="1"/>
  <c r="A63" i="86" s="1"/>
  <c r="A64" i="86" s="1"/>
  <c r="A65" i="86" s="1"/>
  <c r="A66" i="86" s="1"/>
  <c r="A67" i="86" s="1"/>
  <c r="A68" i="86" s="1"/>
  <c r="A69" i="86" s="1"/>
  <c r="A70" i="86" s="1"/>
  <c r="A71" i="86" s="1"/>
  <c r="A72" i="86" s="1"/>
  <c r="A73" i="86" s="1"/>
  <c r="A74" i="86" s="1"/>
  <c r="A75" i="86" s="1"/>
  <c r="A76" i="86" s="1"/>
  <c r="A77" i="86" s="1"/>
  <c r="A78" i="86" s="1"/>
  <c r="A79" i="86" s="1"/>
  <c r="A80" i="86" s="1"/>
  <c r="A81" i="86" s="1"/>
  <c r="A82" i="86" s="1"/>
  <c r="A83" i="86" s="1"/>
  <c r="A84" i="86" s="1"/>
  <c r="A85" i="86" s="1"/>
  <c r="A86" i="86" s="1"/>
  <c r="A87" i="86" s="1"/>
  <c r="A88" i="86" s="1"/>
  <c r="A89" i="86" s="1"/>
  <c r="A90" i="86" s="1"/>
  <c r="A91" i="86" s="1"/>
  <c r="A92" i="86" s="1"/>
  <c r="A93" i="86" s="1"/>
  <c r="A94" i="86" s="1"/>
  <c r="A95" i="86" s="1"/>
  <c r="A96" i="86" s="1"/>
  <c r="A97" i="86" s="1"/>
  <c r="A98" i="86" s="1"/>
  <c r="A99" i="86" s="1"/>
  <c r="A100" i="86" s="1"/>
  <c r="A101" i="86" s="1"/>
  <c r="A102" i="86" s="1"/>
  <c r="A103" i="86" s="1"/>
  <c r="A104" i="86" s="1"/>
  <c r="A105" i="86" s="1"/>
  <c r="A106" i="86" s="1"/>
  <c r="A107" i="86" s="1"/>
  <c r="A108" i="86" s="1"/>
  <c r="A109" i="86" s="1"/>
  <c r="A110" i="86" s="1"/>
  <c r="A111" i="86" s="1"/>
  <c r="A112" i="86" s="1"/>
  <c r="A113" i="86" s="1"/>
  <c r="A114" i="86" s="1"/>
  <c r="A115" i="86" s="1"/>
  <c r="A116" i="86" s="1"/>
  <c r="A117" i="86" s="1"/>
  <c r="A118" i="86" s="1"/>
  <c r="A119" i="86" s="1"/>
  <c r="A120" i="86" s="1"/>
  <c r="A121" i="86" s="1"/>
  <c r="A122" i="86" s="1"/>
  <c r="A123" i="86" s="1"/>
  <c r="A124" i="86" s="1"/>
  <c r="A125" i="86" s="1"/>
  <c r="A126" i="86" s="1"/>
  <c r="A127" i="86" s="1"/>
  <c r="A128" i="86" s="1"/>
  <c r="A129" i="86" s="1"/>
  <c r="A130" i="86" s="1"/>
  <c r="A131" i="86" s="1"/>
  <c r="A132" i="86" s="1"/>
  <c r="A133" i="86" s="1"/>
  <c r="A134" i="86" s="1"/>
  <c r="A135" i="86" s="1"/>
  <c r="A136" i="86" s="1"/>
  <c r="A137" i="86" s="1"/>
  <c r="G7" i="86"/>
  <c r="E8" i="86"/>
  <c r="G8" i="86" s="1"/>
  <c r="D179" i="77" s="1"/>
  <c r="D181" i="77" s="1"/>
  <c r="G263" i="75" s="1"/>
  <c r="I189" i="88" s="1"/>
  <c r="I191" i="88" s="1"/>
  <c r="I193" i="88" s="1"/>
  <c r="G38" i="86"/>
  <c r="G140" i="86"/>
  <c r="G41" i="117"/>
  <c r="G50" i="117"/>
  <c r="G42" i="117"/>
  <c r="G47" i="117"/>
  <c r="G46" i="117"/>
  <c r="G43" i="117"/>
  <c r="G49" i="117"/>
  <c r="G39" i="117"/>
  <c r="H39" i="117" s="1"/>
  <c r="G48" i="117"/>
  <c r="G40" i="117"/>
  <c r="G45" i="117"/>
  <c r="F69" i="117"/>
  <c r="G44" i="117"/>
  <c r="H146" i="75"/>
  <c r="H148" i="75" s="1"/>
  <c r="G148" i="75"/>
  <c r="E54" i="77"/>
  <c r="A55" i="77"/>
  <c r="A56" i="77" s="1"/>
  <c r="D73" i="77"/>
  <c r="E82" i="77"/>
  <c r="D82" i="77"/>
  <c r="D66" i="77"/>
  <c r="H91" i="77"/>
  <c r="F181" i="77"/>
  <c r="H263" i="75" s="1"/>
  <c r="H264" i="75" s="1"/>
  <c r="H265" i="75" s="1"/>
  <c r="D91" i="77"/>
  <c r="G65" i="73"/>
  <c r="H98" i="75" s="1"/>
  <c r="H97" i="75"/>
  <c r="H65" i="73"/>
  <c r="G101" i="75" s="1"/>
  <c r="D65" i="73"/>
  <c r="E42" i="73"/>
  <c r="E65" i="73" s="1"/>
  <c r="G98" i="75"/>
  <c r="Q34" i="73"/>
  <c r="D72" i="88" l="1"/>
  <c r="F212" i="88"/>
  <c r="D81" i="88"/>
  <c r="K26" i="55"/>
  <c r="K27" i="55"/>
  <c r="H22" i="55"/>
  <c r="E67" i="55"/>
  <c r="H43" i="55"/>
  <c r="E70" i="55"/>
  <c r="H46" i="55"/>
  <c r="K24" i="55"/>
  <c r="K48" i="55"/>
  <c r="K47" i="55"/>
  <c r="F62" i="55"/>
  <c r="H29" i="55"/>
  <c r="H51" i="55"/>
  <c r="H42" i="55"/>
  <c r="J75" i="55"/>
  <c r="K35" i="55"/>
  <c r="H35" i="55"/>
  <c r="I62" i="55"/>
  <c r="E61" i="55"/>
  <c r="G61" i="55" s="1"/>
  <c r="E73" i="55"/>
  <c r="J62" i="55"/>
  <c r="F75" i="55"/>
  <c r="H49" i="55"/>
  <c r="D62" i="55"/>
  <c r="K50" i="55"/>
  <c r="H33" i="55"/>
  <c r="K12" i="55"/>
  <c r="H12" i="55"/>
  <c r="H30" i="55"/>
  <c r="E72" i="55"/>
  <c r="H18" i="55"/>
  <c r="K18" i="55"/>
  <c r="H17" i="55"/>
  <c r="K45" i="55"/>
  <c r="H40" i="55"/>
  <c r="K40" i="55"/>
  <c r="K13" i="55"/>
  <c r="H34" i="55"/>
  <c r="K34" i="55"/>
  <c r="I75" i="55"/>
  <c r="H14" i="55"/>
  <c r="K14" i="55"/>
  <c r="E58" i="55"/>
  <c r="C60" i="55"/>
  <c r="C62" i="55" s="1"/>
  <c r="H39" i="55"/>
  <c r="G73" i="55"/>
  <c r="K39" i="55"/>
  <c r="H19" i="55"/>
  <c r="K19" i="55"/>
  <c r="K25" i="55"/>
  <c r="H25" i="55"/>
  <c r="H16" i="55"/>
  <c r="H67" i="55" s="1"/>
  <c r="K16" i="55"/>
  <c r="K67" i="55" s="1"/>
  <c r="D164" i="77" s="1"/>
  <c r="D172" i="77" s="1"/>
  <c r="H177" i="75" s="1"/>
  <c r="H178" i="75" s="1"/>
  <c r="G67" i="55"/>
  <c r="H38" i="55"/>
  <c r="K38" i="55"/>
  <c r="D75" i="55"/>
  <c r="G20" i="55"/>
  <c r="G68" i="55" s="1"/>
  <c r="E68" i="55"/>
  <c r="C75" i="55"/>
  <c r="H21" i="55"/>
  <c r="K21" i="55"/>
  <c r="E74" i="55"/>
  <c r="G41" i="55"/>
  <c r="K37" i="55"/>
  <c r="G72" i="55"/>
  <c r="H37" i="55"/>
  <c r="E66" i="55"/>
  <c r="G15" i="55"/>
  <c r="G23" i="55"/>
  <c r="E69" i="55"/>
  <c r="K28" i="55"/>
  <c r="K59" i="55" s="1"/>
  <c r="H28" i="55"/>
  <c r="H59" i="55" s="1"/>
  <c r="K36" i="55"/>
  <c r="K70" i="55" s="1"/>
  <c r="H36" i="55"/>
  <c r="H70" i="55" s="1"/>
  <c r="G70" i="55"/>
  <c r="G11" i="55"/>
  <c r="E65" i="55"/>
  <c r="E55" i="55"/>
  <c r="A66" i="55"/>
  <c r="D131" i="88"/>
  <c r="M131" i="88" s="1"/>
  <c r="D88" i="88"/>
  <c r="D85" i="88"/>
  <c r="L199" i="88"/>
  <c r="G135" i="88"/>
  <c r="G76" i="88"/>
  <c r="I76" i="88" s="1"/>
  <c r="G146" i="88"/>
  <c r="G104" i="88"/>
  <c r="I104" i="88" s="1"/>
  <c r="G141" i="88"/>
  <c r="G125" i="88"/>
  <c r="I125" i="88" s="1"/>
  <c r="G67" i="88"/>
  <c r="I67" i="88" s="1"/>
  <c r="G165" i="88"/>
  <c r="G140" i="88"/>
  <c r="I140" i="88" s="1"/>
  <c r="G129" i="88"/>
  <c r="G109" i="88"/>
  <c r="G95" i="88"/>
  <c r="G156" i="88"/>
  <c r="G127" i="88"/>
  <c r="I127" i="88" s="1"/>
  <c r="G108" i="88"/>
  <c r="F198" i="88"/>
  <c r="G134" i="88"/>
  <c r="I134" i="88" s="1"/>
  <c r="G126" i="88"/>
  <c r="G68" i="88"/>
  <c r="I68" i="88" s="1"/>
  <c r="I86" i="88" s="1"/>
  <c r="F197" i="88"/>
  <c r="G197" i="88" s="1"/>
  <c r="G131" i="88"/>
  <c r="G99" i="88"/>
  <c r="M76" i="88"/>
  <c r="M85" i="88" s="1"/>
  <c r="I212" i="88"/>
  <c r="I214" i="88" s="1"/>
  <c r="H72" i="75"/>
  <c r="L12" i="112"/>
  <c r="L15" i="112"/>
  <c r="L14" i="112"/>
  <c r="L13" i="112"/>
  <c r="L17" i="112"/>
  <c r="L18" i="112" s="1"/>
  <c r="L19" i="112" s="1"/>
  <c r="L20" i="112" s="1"/>
  <c r="L21" i="112" s="1"/>
  <c r="L22" i="112" s="1"/>
  <c r="L23" i="112" s="1"/>
  <c r="L24" i="112" s="1"/>
  <c r="L25" i="112" s="1"/>
  <c r="L26" i="112" s="1"/>
  <c r="L27" i="112" s="1"/>
  <c r="L28" i="112" s="1"/>
  <c r="L29" i="112" s="1"/>
  <c r="E36" i="112"/>
  <c r="L10" i="112"/>
  <c r="L16" i="112"/>
  <c r="E44" i="112"/>
  <c r="F38" i="112"/>
  <c r="F44" i="112" s="1"/>
  <c r="F37" i="112"/>
  <c r="F43" i="112" s="1"/>
  <c r="E43" i="112"/>
  <c r="F13" i="108"/>
  <c r="K14" i="112"/>
  <c r="O8" i="112"/>
  <c r="K12" i="112"/>
  <c r="K17" i="112"/>
  <c r="K16" i="112"/>
  <c r="K15" i="112"/>
  <c r="K10" i="112"/>
  <c r="K13" i="112"/>
  <c r="F13" i="2"/>
  <c r="I37" i="114"/>
  <c r="G60" i="114"/>
  <c r="G61" i="114" s="1"/>
  <c r="D59" i="77"/>
  <c r="D92" i="77" s="1"/>
  <c r="H80" i="75"/>
  <c r="H81" i="75"/>
  <c r="F12" i="75"/>
  <c r="A21" i="77"/>
  <c r="A22" i="77" s="1"/>
  <c r="A73" i="77"/>
  <c r="A74" i="77" s="1"/>
  <c r="A72" i="77"/>
  <c r="I73" i="77"/>
  <c r="A68" i="77"/>
  <c r="A69" i="77" s="1"/>
  <c r="A70" i="77" s="1"/>
  <c r="H92" i="77"/>
  <c r="H84" i="75" s="1"/>
  <c r="E50" i="77"/>
  <c r="E59" i="77" s="1"/>
  <c r="E92" i="77" s="1"/>
  <c r="G278" i="75"/>
  <c r="G280" i="75" s="1"/>
  <c r="D65" i="51"/>
  <c r="H278" i="75"/>
  <c r="H280" i="75" s="1"/>
  <c r="A53" i="51"/>
  <c r="F286" i="75"/>
  <c r="F278" i="75"/>
  <c r="F279" i="75"/>
  <c r="A65" i="51"/>
  <c r="H23" i="78" s="1"/>
  <c r="B65" i="51"/>
  <c r="F281" i="75"/>
  <c r="G145" i="86"/>
  <c r="Q25" i="74"/>
  <c r="E9" i="86"/>
  <c r="G9" i="86" s="1"/>
  <c r="F39" i="117"/>
  <c r="H40" i="117"/>
  <c r="G264" i="75"/>
  <c r="G265" i="75" s="1"/>
  <c r="H101" i="75"/>
  <c r="N76" i="88" l="1"/>
  <c r="K58" i="55"/>
  <c r="H72" i="55"/>
  <c r="H73" i="55"/>
  <c r="E75" i="55"/>
  <c r="G177" i="75"/>
  <c r="G178" i="75" s="1"/>
  <c r="K73" i="55"/>
  <c r="K72" i="55"/>
  <c r="G65" i="55"/>
  <c r="G55" i="55"/>
  <c r="H11" i="55"/>
  <c r="K11" i="55"/>
  <c r="G66" i="55"/>
  <c r="K15" i="55"/>
  <c r="K66" i="55" s="1"/>
  <c r="H15" i="55"/>
  <c r="H66" i="55" s="1"/>
  <c r="A67" i="55"/>
  <c r="I148" i="77"/>
  <c r="K60" i="55"/>
  <c r="H41" i="55"/>
  <c r="H74" i="55" s="1"/>
  <c r="D36" i="77" s="1"/>
  <c r="D44" i="77" s="1"/>
  <c r="K41" i="55"/>
  <c r="K74" i="55" s="1"/>
  <c r="D111" i="77" s="1"/>
  <c r="G74" i="55"/>
  <c r="K20" i="55"/>
  <c r="K68" i="55" s="1"/>
  <c r="H20" i="55"/>
  <c r="H68" i="55" s="1"/>
  <c r="E60" i="55"/>
  <c r="E62" i="55" s="1"/>
  <c r="G58" i="55"/>
  <c r="G60" i="55" s="1"/>
  <c r="G62" i="55" s="1"/>
  <c r="H58" i="55"/>
  <c r="H60" i="55" s="1"/>
  <c r="K23" i="55"/>
  <c r="G69" i="55"/>
  <c r="H23" i="55"/>
  <c r="I131" i="88"/>
  <c r="I85" i="88"/>
  <c r="N85" i="88"/>
  <c r="D90" i="88"/>
  <c r="G43" i="112"/>
  <c r="E15" i="111"/>
  <c r="E28" i="111" s="1"/>
  <c r="H230" i="75" s="1"/>
  <c r="G36" i="112"/>
  <c r="G39" i="112" s="1"/>
  <c r="G45" i="112" s="1"/>
  <c r="E39" i="112"/>
  <c r="E45" i="112" s="1"/>
  <c r="E42" i="112"/>
  <c r="F36" i="112"/>
  <c r="O17" i="112"/>
  <c r="O14" i="112"/>
  <c r="O10" i="112"/>
  <c r="O16" i="112"/>
  <c r="O15" i="112"/>
  <c r="O12" i="112"/>
  <c r="O13" i="112"/>
  <c r="G44" i="112"/>
  <c r="D15" i="111"/>
  <c r="D28" i="111" s="1"/>
  <c r="H233" i="75" s="1"/>
  <c r="G37" i="112"/>
  <c r="K18" i="112"/>
  <c r="G38" i="112"/>
  <c r="I41" i="114"/>
  <c r="P75" i="114" s="1"/>
  <c r="P76" i="114" s="1"/>
  <c r="I60" i="114"/>
  <c r="G84" i="75"/>
  <c r="A75" i="77"/>
  <c r="A76" i="77" s="1"/>
  <c r="A77" i="77" s="1"/>
  <c r="A78" i="77" s="1"/>
  <c r="A79" i="77" s="1"/>
  <c r="I82" i="77"/>
  <c r="A82" i="77"/>
  <c r="A83" i="77" s="1"/>
  <c r="A84" i="77" s="1"/>
  <c r="A81" i="77"/>
  <c r="A23" i="77"/>
  <c r="A24" i="77" s="1"/>
  <c r="A25" i="77" s="1"/>
  <c r="A26" i="77" s="1"/>
  <c r="A27" i="77" s="1"/>
  <c r="A28" i="77" s="1"/>
  <c r="A29" i="77" s="1"/>
  <c r="I32" i="77"/>
  <c r="A31" i="77"/>
  <c r="A32" i="77"/>
  <c r="A54" i="51"/>
  <c r="A55" i="51" s="1"/>
  <c r="A56" i="51" s="1"/>
  <c r="F287" i="75"/>
  <c r="H41" i="117"/>
  <c r="F41" i="117" s="1"/>
  <c r="F40" i="117"/>
  <c r="I39" i="117"/>
  <c r="I40" i="117" s="1"/>
  <c r="I41" i="117" s="1"/>
  <c r="K55" i="55" l="1"/>
  <c r="G20" i="75"/>
  <c r="G21" i="75" s="1"/>
  <c r="H20" i="75"/>
  <c r="H21" i="75" s="1"/>
  <c r="H65" i="55"/>
  <c r="H55" i="55"/>
  <c r="D148" i="77"/>
  <c r="D158" i="77" s="1"/>
  <c r="I164" i="77"/>
  <c r="A68" i="55"/>
  <c r="A69" i="55" s="1"/>
  <c r="A70" i="55" s="1"/>
  <c r="A71" i="55" s="1"/>
  <c r="A72" i="55" s="1"/>
  <c r="A73" i="55" s="1"/>
  <c r="K69" i="55"/>
  <c r="K75" i="55" s="1"/>
  <c r="K61" i="55"/>
  <c r="D98" i="77" s="1"/>
  <c r="D107" i="77" s="1"/>
  <c r="H61" i="55"/>
  <c r="D12" i="77" s="1"/>
  <c r="D20" i="77" s="1"/>
  <c r="H69" i="55"/>
  <c r="G75" i="55"/>
  <c r="F42" i="112"/>
  <c r="F39" i="112"/>
  <c r="F45" i="112" s="1"/>
  <c r="K19" i="112"/>
  <c r="O18" i="112"/>
  <c r="G42" i="112"/>
  <c r="C15" i="111"/>
  <c r="C28" i="111" s="1"/>
  <c r="H232" i="75" s="1"/>
  <c r="I61" i="114"/>
  <c r="D115" i="77"/>
  <c r="D119" i="77" s="1"/>
  <c r="A33" i="77"/>
  <c r="A34" i="77" s="1"/>
  <c r="F16" i="75"/>
  <c r="A85" i="77"/>
  <c r="A86" i="77" s="1"/>
  <c r="A87" i="77" s="1"/>
  <c r="A88" i="77" s="1"/>
  <c r="A91" i="77"/>
  <c r="I91" i="77"/>
  <c r="A90" i="77"/>
  <c r="H42" i="117"/>
  <c r="G165" i="75" l="1"/>
  <c r="G166" i="75" s="1"/>
  <c r="H165" i="75"/>
  <c r="H166" i="75" s="1"/>
  <c r="H77" i="55"/>
  <c r="H75" i="55"/>
  <c r="D24" i="77" s="1"/>
  <c r="D32" i="77" s="1"/>
  <c r="A74" i="55"/>
  <c r="B77" i="55"/>
  <c r="K62" i="55"/>
  <c r="G12" i="75"/>
  <c r="G13" i="75" s="1"/>
  <c r="H12" i="75"/>
  <c r="H62" i="55"/>
  <c r="H129" i="75"/>
  <c r="G129" i="75"/>
  <c r="G130" i="75" s="1"/>
  <c r="O19" i="112"/>
  <c r="K20" i="112"/>
  <c r="H140" i="75"/>
  <c r="H141" i="75" s="1"/>
  <c r="G140" i="75"/>
  <c r="A92" i="77"/>
  <c r="I92" i="77"/>
  <c r="A43" i="77"/>
  <c r="A44" i="77"/>
  <c r="A35" i="77"/>
  <c r="A36" i="77" s="1"/>
  <c r="A37" i="77" s="1"/>
  <c r="A38" i="77" s="1"/>
  <c r="A39" i="77" s="1"/>
  <c r="A40" i="77" s="1"/>
  <c r="A41" i="77" s="1"/>
  <c r="I44" i="77"/>
  <c r="H43" i="117"/>
  <c r="F42" i="117"/>
  <c r="G16" i="75" l="1"/>
  <c r="G17" i="75" s="1"/>
  <c r="G23" i="75" s="1"/>
  <c r="G24" i="75" s="1"/>
  <c r="H16" i="75"/>
  <c r="H17" i="75" s="1"/>
  <c r="H23" i="75" s="1"/>
  <c r="H130" i="75"/>
  <c r="D126" i="88"/>
  <c r="H13" i="75"/>
  <c r="D198" i="88"/>
  <c r="I111" i="77"/>
  <c r="A75" i="55"/>
  <c r="I36" i="77"/>
  <c r="B75" i="55"/>
  <c r="K21" i="112"/>
  <c r="O20" i="112"/>
  <c r="G141" i="75"/>
  <c r="D130" i="88"/>
  <c r="A93" i="77"/>
  <c r="A94" i="77" s="1"/>
  <c r="A95" i="77" s="1"/>
  <c r="A96" i="77" s="1"/>
  <c r="F84" i="75"/>
  <c r="F80" i="75"/>
  <c r="F81" i="75"/>
  <c r="A45" i="77"/>
  <c r="A46" i="77" s="1"/>
  <c r="A47" i="77" s="1"/>
  <c r="A48" i="77" s="1"/>
  <c r="F20" i="75"/>
  <c r="I42" i="117"/>
  <c r="H44" i="117"/>
  <c r="F44" i="117" s="1"/>
  <c r="F43" i="117"/>
  <c r="G282" i="75" l="1"/>
  <c r="G283" i="75" s="1"/>
  <c r="G284" i="75" s="1"/>
  <c r="G288" i="75" s="1"/>
  <c r="G92" i="75"/>
  <c r="G93" i="75" s="1"/>
  <c r="G94" i="75" s="1"/>
  <c r="G47" i="75"/>
  <c r="G48" i="75" s="1"/>
  <c r="G50" i="75" s="1"/>
  <c r="G167" i="75"/>
  <c r="G168" i="75" s="1"/>
  <c r="G170" i="75" s="1"/>
  <c r="G251" i="75" s="1"/>
  <c r="G234" i="75"/>
  <c r="G183" i="75"/>
  <c r="G184" i="75" s="1"/>
  <c r="G142" i="75"/>
  <c r="G143" i="75" s="1"/>
  <c r="G191" i="75"/>
  <c r="G192" i="75" s="1"/>
  <c r="G193" i="75" s="1"/>
  <c r="G253" i="75" s="1"/>
  <c r="G102" i="75"/>
  <c r="G103" i="75" s="1"/>
  <c r="G273" i="75"/>
  <c r="G274" i="75" s="1"/>
  <c r="G275" i="75" s="1"/>
  <c r="G85" i="75"/>
  <c r="G86" i="75" s="1"/>
  <c r="G58" i="75"/>
  <c r="G59" i="75" s="1"/>
  <c r="G61" i="75" s="1"/>
  <c r="G73" i="75"/>
  <c r="G74" i="75" s="1"/>
  <c r="I24" i="77"/>
  <c r="A76" i="55"/>
  <c r="A77" i="55" s="1"/>
  <c r="M126" i="88"/>
  <c r="N127" i="88" s="1"/>
  <c r="O127" i="88" s="1"/>
  <c r="I126" i="88"/>
  <c r="G198" i="88"/>
  <c r="G201" i="88" s="1"/>
  <c r="D201" i="88"/>
  <c r="L70" i="88" s="1"/>
  <c r="H24" i="75"/>
  <c r="O21" i="112"/>
  <c r="K22" i="112"/>
  <c r="A107" i="77"/>
  <c r="A106" i="77"/>
  <c r="A97" i="77"/>
  <c r="A98" i="77" s="1"/>
  <c r="A99" i="77" s="1"/>
  <c r="A100" i="77" s="1"/>
  <c r="A101" i="77" s="1"/>
  <c r="A102" i="77" s="1"/>
  <c r="A103" i="77" s="1"/>
  <c r="A104" i="77" s="1"/>
  <c r="I107" i="77"/>
  <c r="I43" i="117"/>
  <c r="I44" i="117" s="1"/>
  <c r="L198" i="88" l="1"/>
  <c r="L200" i="88" s="1"/>
  <c r="I201" i="88"/>
  <c r="G128" i="88" s="1"/>
  <c r="I128" i="88" s="1"/>
  <c r="H92" i="75"/>
  <c r="H93" i="75" s="1"/>
  <c r="H94" i="75" s="1"/>
  <c r="D108" i="88" s="1"/>
  <c r="H282" i="75"/>
  <c r="H283" i="75" s="1"/>
  <c r="H284" i="75" s="1"/>
  <c r="H85" i="75"/>
  <c r="H86" i="75" s="1"/>
  <c r="H234" i="75"/>
  <c r="H47" i="75"/>
  <c r="H48" i="75" s="1"/>
  <c r="H50" i="75" s="1"/>
  <c r="H102" i="75"/>
  <c r="H103" i="75" s="1"/>
  <c r="H142" i="75"/>
  <c r="H143" i="75" s="1"/>
  <c r="H73" i="75"/>
  <c r="H74" i="75" s="1"/>
  <c r="H58" i="75"/>
  <c r="H59" i="75" s="1"/>
  <c r="H61" i="75" s="1"/>
  <c r="H167" i="75"/>
  <c r="H168" i="75" s="1"/>
  <c r="H183" i="75"/>
  <c r="H184" i="75" s="1"/>
  <c r="H191" i="75"/>
  <c r="H192" i="75" s="1"/>
  <c r="H273" i="75"/>
  <c r="H274" i="75" s="1"/>
  <c r="H275" i="75" s="1"/>
  <c r="I223" i="88" s="1"/>
  <c r="D15" i="88" s="1"/>
  <c r="I15" i="88" s="1"/>
  <c r="G63" i="75"/>
  <c r="G31" i="75"/>
  <c r="G32" i="75" s="1"/>
  <c r="M70" i="88"/>
  <c r="L79" i="88"/>
  <c r="K23" i="112"/>
  <c r="O22" i="112"/>
  <c r="F129" i="75"/>
  <c r="A108" i="77"/>
  <c r="A109" i="77" s="1"/>
  <c r="H45" i="117"/>
  <c r="G70" i="88" l="1"/>
  <c r="I70" i="88" s="1"/>
  <c r="G79" i="88"/>
  <c r="I79" i="88" s="1"/>
  <c r="I81" i="88" s="1"/>
  <c r="G132" i="88"/>
  <c r="I132" i="88" s="1"/>
  <c r="G130" i="88"/>
  <c r="I130" i="88" s="1"/>
  <c r="I108" i="88"/>
  <c r="M108" i="88"/>
  <c r="H193" i="75"/>
  <c r="H253" i="75" s="1"/>
  <c r="D135" i="88"/>
  <c r="I135" i="88" s="1"/>
  <c r="G246" i="75"/>
  <c r="G34" i="75"/>
  <c r="G35" i="75" s="1"/>
  <c r="G70" i="75"/>
  <c r="G71" i="75" s="1"/>
  <c r="G75" i="75" s="1"/>
  <c r="G179" i="75"/>
  <c r="G180" i="75" s="1"/>
  <c r="G185" i="75" s="1"/>
  <c r="G252" i="75" s="1"/>
  <c r="M79" i="88"/>
  <c r="M81" i="88" s="1"/>
  <c r="L128" i="88"/>
  <c r="H170" i="75"/>
  <c r="D141" i="88"/>
  <c r="H288" i="75"/>
  <c r="I226" i="88"/>
  <c r="I230" i="88" s="1"/>
  <c r="D16" i="88" s="1"/>
  <c r="I16" i="88" s="1"/>
  <c r="I19" i="88" s="1"/>
  <c r="M72" i="88"/>
  <c r="H31" i="75"/>
  <c r="H32" i="75" s="1"/>
  <c r="H63" i="75"/>
  <c r="O23" i="112"/>
  <c r="K24" i="112"/>
  <c r="I119" i="77"/>
  <c r="A110" i="77"/>
  <c r="A111" i="77" s="1"/>
  <c r="A112" i="77" s="1"/>
  <c r="A113" i="77" s="1"/>
  <c r="A114" i="77" s="1"/>
  <c r="A115" i="77" s="1"/>
  <c r="A116" i="77" s="1"/>
  <c r="A119" i="77"/>
  <c r="A118" i="77"/>
  <c r="F45" i="117"/>
  <c r="H46" i="117"/>
  <c r="I88" i="88" l="1"/>
  <c r="I90" i="88" s="1"/>
  <c r="I72" i="88"/>
  <c r="M88" i="88"/>
  <c r="M90" i="88" s="1"/>
  <c r="M141" i="88"/>
  <c r="M143" i="88" s="1"/>
  <c r="D143" i="88"/>
  <c r="I141" i="88"/>
  <c r="I143" i="88" s="1"/>
  <c r="M128" i="88"/>
  <c r="L130" i="88"/>
  <c r="G99" i="75"/>
  <c r="G100" i="75" s="1"/>
  <c r="G104" i="75" s="1"/>
  <c r="G82" i="75"/>
  <c r="G83" i="75" s="1"/>
  <c r="G87" i="75" s="1"/>
  <c r="G231" i="75"/>
  <c r="G235" i="75" s="1"/>
  <c r="G238" i="75" s="1"/>
  <c r="G153" i="75"/>
  <c r="G154" i="75" s="1"/>
  <c r="G156" i="75" s="1"/>
  <c r="H251" i="75"/>
  <c r="N143" i="88"/>
  <c r="H246" i="75"/>
  <c r="H34" i="75"/>
  <c r="H35" i="75" s="1"/>
  <c r="H179" i="75"/>
  <c r="H180" i="75" s="1"/>
  <c r="H185" i="75" s="1"/>
  <c r="H70" i="75"/>
  <c r="H71" i="75" s="1"/>
  <c r="H75" i="75" s="1"/>
  <c r="D95" i="88" s="1"/>
  <c r="K25" i="112"/>
  <c r="O24" i="112"/>
  <c r="A120" i="77"/>
  <c r="A121" i="77" s="1"/>
  <c r="F140" i="75"/>
  <c r="H47" i="117"/>
  <c r="F47" i="117" s="1"/>
  <c r="F46" i="117"/>
  <c r="I45" i="117"/>
  <c r="I46" i="117" s="1"/>
  <c r="I47" i="117" s="1"/>
  <c r="L143" i="88" l="1"/>
  <c r="I95" i="88"/>
  <c r="M95" i="88"/>
  <c r="H252" i="75"/>
  <c r="D146" i="88"/>
  <c r="N153" i="88"/>
  <c r="H231" i="75"/>
  <c r="H235" i="75" s="1"/>
  <c r="H238" i="75" s="1"/>
  <c r="H153" i="75"/>
  <c r="H154" i="75" s="1"/>
  <c r="H82" i="75"/>
  <c r="H83" i="75" s="1"/>
  <c r="H87" i="75" s="1"/>
  <c r="D99" i="88" s="1"/>
  <c r="H99" i="75"/>
  <c r="H100" i="75" s="1"/>
  <c r="H104" i="75" s="1"/>
  <c r="D109" i="88" s="1"/>
  <c r="G250" i="75"/>
  <c r="G109" i="75"/>
  <c r="G111" i="75" s="1"/>
  <c r="G118" i="75" s="1"/>
  <c r="M130" i="88"/>
  <c r="L132" i="88"/>
  <c r="M132" i="88" s="1"/>
  <c r="O143" i="88"/>
  <c r="K26" i="112"/>
  <c r="O25" i="112"/>
  <c r="I132" i="77"/>
  <c r="A122" i="77"/>
  <c r="A123" i="77" s="1"/>
  <c r="A132" i="77"/>
  <c r="A131" i="77"/>
  <c r="H48" i="117"/>
  <c r="M109" i="88" l="1"/>
  <c r="M110" i="88" s="1"/>
  <c r="I109" i="88"/>
  <c r="I110" i="88" s="1"/>
  <c r="D110" i="88"/>
  <c r="G247" i="75"/>
  <c r="G120" i="75"/>
  <c r="H156" i="75"/>
  <c r="D129" i="88"/>
  <c r="M146" i="88"/>
  <c r="M153" i="88" s="1"/>
  <c r="O153" i="88" s="1"/>
  <c r="I146" i="88"/>
  <c r="I153" i="88" s="1"/>
  <c r="D153" i="88"/>
  <c r="M99" i="88"/>
  <c r="I99" i="88"/>
  <c r="I102" i="88" s="1"/>
  <c r="D102" i="88"/>
  <c r="M102" i="88" s="1"/>
  <c r="M112" i="88" s="1"/>
  <c r="A124" i="77"/>
  <c r="A125" i="77" s="1"/>
  <c r="A126" i="77" s="1"/>
  <c r="A127" i="77" s="1"/>
  <c r="A128" i="77" s="1"/>
  <c r="A129" i="77" s="1"/>
  <c r="O26" i="112"/>
  <c r="K27" i="112"/>
  <c r="A133" i="77"/>
  <c r="A134" i="77" s="1"/>
  <c r="A135" i="77" s="1"/>
  <c r="F138" i="75"/>
  <c r="H49" i="117"/>
  <c r="F48" i="117"/>
  <c r="I48" i="117" s="1"/>
  <c r="I112" i="88" l="1"/>
  <c r="D112" i="88"/>
  <c r="L153" i="88"/>
  <c r="M129" i="88"/>
  <c r="M137" i="88" s="1"/>
  <c r="D137" i="88"/>
  <c r="I129" i="88"/>
  <c r="I137" i="88" s="1"/>
  <c r="G217" i="75"/>
  <c r="G248" i="75"/>
  <c r="H250" i="75"/>
  <c r="H109" i="75"/>
  <c r="H111" i="75" s="1"/>
  <c r="H118" i="75" s="1"/>
  <c r="N137" i="88"/>
  <c r="K28" i="112"/>
  <c r="O27" i="112"/>
  <c r="A140" i="77"/>
  <c r="I141" i="77"/>
  <c r="A136" i="77"/>
  <c r="A137" i="77" s="1"/>
  <c r="A138" i="77" s="1"/>
  <c r="A141" i="77"/>
  <c r="F49" i="117"/>
  <c r="I49" i="117" s="1"/>
  <c r="H50" i="117"/>
  <c r="F50" i="117" s="1"/>
  <c r="O137" i="88" l="1"/>
  <c r="L137" i="88"/>
  <c r="H247" i="75"/>
  <c r="H120" i="75"/>
  <c r="G254" i="75"/>
  <c r="G239" i="75"/>
  <c r="G241" i="75" s="1"/>
  <c r="G255" i="75" s="1"/>
  <c r="O28" i="112"/>
  <c r="K29" i="112"/>
  <c r="O29" i="112" s="1"/>
  <c r="F146" i="75"/>
  <c r="A142" i="77"/>
  <c r="A143" i="77" s="1"/>
  <c r="A144" i="77" s="1"/>
  <c r="A145" i="77" s="1"/>
  <c r="A146" i="77" s="1"/>
  <c r="I50" i="117"/>
  <c r="H51" i="117"/>
  <c r="G259" i="75" l="1"/>
  <c r="G266" i="75" s="1"/>
  <c r="G267" i="75" s="1"/>
  <c r="G291" i="75" s="1"/>
  <c r="G27" i="78" s="1"/>
  <c r="G29" i="78" s="1"/>
  <c r="H248" i="75"/>
  <c r="H217" i="75"/>
  <c r="N112" i="88"/>
  <c r="A147" i="77"/>
  <c r="A148" i="77" s="1"/>
  <c r="A149" i="77" s="1"/>
  <c r="A150" i="77" s="1"/>
  <c r="A151" i="77" s="1"/>
  <c r="A152" i="77" s="1"/>
  <c r="A158" i="77"/>
  <c r="I158" i="77"/>
  <c r="A157" i="77"/>
  <c r="H52" i="117"/>
  <c r="F51" i="117"/>
  <c r="I51" i="117" s="1"/>
  <c r="H254" i="75" l="1"/>
  <c r="H239" i="75"/>
  <c r="H241" i="75" s="1"/>
  <c r="N165" i="88"/>
  <c r="D165" i="88"/>
  <c r="G48" i="78"/>
  <c r="G41" i="78"/>
  <c r="G47" i="78"/>
  <c r="G42" i="78"/>
  <c r="G39" i="78"/>
  <c r="G38" i="78"/>
  <c r="G44" i="78"/>
  <c r="G37" i="78"/>
  <c r="H37" i="78" s="1"/>
  <c r="G45" i="78"/>
  <c r="F67" i="78"/>
  <c r="G46" i="78"/>
  <c r="G40" i="78"/>
  <c r="G43" i="78"/>
  <c r="F165" i="75"/>
  <c r="A159" i="77"/>
  <c r="A160" i="77" s="1"/>
  <c r="A161" i="77" s="1"/>
  <c r="A162" i="77" s="1"/>
  <c r="A153" i="77"/>
  <c r="A154" i="77" s="1"/>
  <c r="A155" i="77" s="1"/>
  <c r="H53" i="117"/>
  <c r="F53" i="117" s="1"/>
  <c r="F52" i="117"/>
  <c r="I52" i="117" s="1"/>
  <c r="I53" i="117" s="1"/>
  <c r="F37" i="78" l="1"/>
  <c r="I37" i="78" s="1"/>
  <c r="H38" i="78"/>
  <c r="M165" i="88"/>
  <c r="O165" i="88" s="1"/>
  <c r="I165" i="88"/>
  <c r="H255" i="75"/>
  <c r="H259" i="75" s="1"/>
  <c r="N156" i="88"/>
  <c r="D156" i="88"/>
  <c r="I172" i="77"/>
  <c r="A163" i="77"/>
  <c r="A164" i="77" s="1"/>
  <c r="A165" i="77" s="1"/>
  <c r="A166" i="77" s="1"/>
  <c r="A167" i="77" s="1"/>
  <c r="A168" i="77" s="1"/>
  <c r="A169" i="77" s="1"/>
  <c r="A171" i="77"/>
  <c r="A172" i="77"/>
  <c r="H54" i="117"/>
  <c r="H266" i="75" l="1"/>
  <c r="H267" i="75" s="1"/>
  <c r="N167" i="88"/>
  <c r="I156" i="88"/>
  <c r="M156" i="88"/>
  <c r="M167" i="88" s="1"/>
  <c r="D162" i="88"/>
  <c r="D167" i="88" s="1"/>
  <c r="D174" i="88" s="1"/>
  <c r="L165" i="88"/>
  <c r="H39" i="78"/>
  <c r="F39" i="78" s="1"/>
  <c r="F38" i="78"/>
  <c r="I38" i="78" s="1"/>
  <c r="A173" i="77"/>
  <c r="A174" i="77" s="1"/>
  <c r="A175" i="77" s="1"/>
  <c r="A176" i="77" s="1"/>
  <c r="F177" i="75"/>
  <c r="H55" i="117"/>
  <c r="F54" i="117"/>
  <c r="I54" i="117" s="1"/>
  <c r="I39" i="78" l="1"/>
  <c r="H40" i="78" s="1"/>
  <c r="H41" i="78" s="1"/>
  <c r="H42" i="78" s="1"/>
  <c r="F42" i="78" s="1"/>
  <c r="O167" i="88"/>
  <c r="H291" i="75"/>
  <c r="L174" i="88"/>
  <c r="I162" i="88"/>
  <c r="I167" i="88" s="1"/>
  <c r="I174" i="88" s="1"/>
  <c r="I12" i="88" s="1"/>
  <c r="L156" i="88"/>
  <c r="A177" i="77"/>
  <c r="A178" i="77" s="1"/>
  <c r="A179" i="77" s="1"/>
  <c r="A180" i="77" s="1"/>
  <c r="A181" i="77"/>
  <c r="F263" i="75" s="1"/>
  <c r="I181" i="77"/>
  <c r="F55" i="117"/>
  <c r="I55" i="117" s="1"/>
  <c r="H56" i="117"/>
  <c r="F56" i="117" s="1"/>
  <c r="F40" i="78" l="1"/>
  <c r="I40" i="78" s="1"/>
  <c r="F41" i="78"/>
  <c r="M174" i="88"/>
  <c r="I56" i="117"/>
  <c r="H57" i="117"/>
  <c r="I41" i="78" l="1"/>
  <c r="I42" i="78" s="1"/>
  <c r="H43" i="78" s="1"/>
  <c r="F43" i="78" s="1"/>
  <c r="I43" i="78" s="1"/>
  <c r="F57" i="117"/>
  <c r="I57" i="117" s="1"/>
  <c r="H58" i="117"/>
  <c r="H44" i="78" l="1"/>
  <c r="F44" i="78" s="1"/>
  <c r="I44" i="78" s="1"/>
  <c r="H59" i="117"/>
  <c r="F59" i="117" s="1"/>
  <c r="F58" i="117"/>
  <c r="I58" i="117"/>
  <c r="I59" i="117" s="1"/>
  <c r="H45" i="78" l="1"/>
  <c r="F45" i="78" s="1"/>
  <c r="I45" i="78" s="1"/>
  <c r="H46" i="78" s="1"/>
  <c r="F46" i="78" s="1"/>
  <c r="I46" i="78" s="1"/>
  <c r="H60" i="117"/>
  <c r="H47" i="78" l="1"/>
  <c r="F60" i="117"/>
  <c r="I60" i="117" s="1"/>
  <c r="H61" i="117"/>
  <c r="F47" i="78" l="1"/>
  <c r="I47" i="78" s="1"/>
  <c r="I48" i="78" s="1"/>
  <c r="H49" i="78" s="1"/>
  <c r="H50" i="78" s="1"/>
  <c r="H48" i="78"/>
  <c r="F48" i="78" s="1"/>
  <c r="F61" i="117"/>
  <c r="H62" i="117"/>
  <c r="F62" i="117" s="1"/>
  <c r="I61" i="117"/>
  <c r="I62" i="117" s="1"/>
  <c r="F49" i="78" l="1"/>
  <c r="I49" i="78" s="1"/>
  <c r="H63" i="117"/>
  <c r="F50" i="78"/>
  <c r="H51" i="78"/>
  <c r="F51" i="78" s="1"/>
  <c r="I50" i="78" l="1"/>
  <c r="I51" i="78" s="1"/>
  <c r="H52" i="78" s="1"/>
  <c r="H53" i="78" s="1"/>
  <c r="H64" i="117"/>
  <c r="F63" i="117"/>
  <c r="I63" i="117" s="1"/>
  <c r="H65" i="117" l="1"/>
  <c r="F65" i="117" s="1"/>
  <c r="F64" i="117"/>
  <c r="I64" i="117" s="1"/>
  <c r="I65" i="117" s="1"/>
  <c r="F52" i="78"/>
  <c r="I52" i="78" s="1"/>
  <c r="H54" i="78"/>
  <c r="F54" i="78" s="1"/>
  <c r="F53" i="78"/>
  <c r="H66" i="117" l="1"/>
  <c r="F66" i="117" s="1"/>
  <c r="F68" i="117" s="1"/>
  <c r="F70" i="117" s="1"/>
  <c r="I66" i="117"/>
  <c r="I67" i="117" s="1"/>
  <c r="I53" i="78"/>
  <c r="I54" i="78" s="1"/>
  <c r="H55" i="78" s="1"/>
  <c r="H56" i="78" s="1"/>
  <c r="F55" i="78" l="1"/>
  <c r="I55" i="78" s="1"/>
  <c r="H57" i="78"/>
  <c r="F57" i="78" s="1"/>
  <c r="F56" i="78"/>
  <c r="I56" i="78" l="1"/>
  <c r="I57" i="78" s="1"/>
  <c r="H58" i="78" s="1"/>
  <c r="F58" i="78" s="1"/>
  <c r="I58" i="78" s="1"/>
  <c r="H59" i="78" l="1"/>
  <c r="F59" i="78" s="1"/>
  <c r="I59" i="78" s="1"/>
  <c r="H60" i="78" l="1"/>
  <c r="F60" i="78" s="1"/>
  <c r="I60" i="78" s="1"/>
  <c r="H61" i="78" s="1"/>
  <c r="F61" i="78" l="1"/>
  <c r="I61" i="78" s="1"/>
  <c r="H62" i="78"/>
  <c r="H63" i="78" l="1"/>
  <c r="F63" i="78" s="1"/>
  <c r="F62" i="78"/>
  <c r="I62" i="78" s="1"/>
  <c r="I63" i="78" l="1"/>
  <c r="H64" i="78" s="1"/>
  <c r="F64" i="78" s="1"/>
  <c r="F66" i="78" s="1"/>
  <c r="F68" i="78" s="1"/>
  <c r="H293" i="75" s="1"/>
  <c r="H295" i="75" l="1"/>
  <c r="D21" i="88"/>
  <c r="I21" i="88" s="1"/>
  <c r="M21" i="88"/>
  <c r="I64" i="78"/>
  <c r="I65" i="78" s="1"/>
  <c r="H300" i="75" l="1"/>
  <c r="H304" i="75" s="1"/>
  <c r="H305" i="75" s="1"/>
  <c r="M23" i="88"/>
  <c r="M28" i="88"/>
  <c r="N21" i="88"/>
  <c r="I23" i="88"/>
  <c r="I28" i="88" l="1"/>
  <c r="N23" i="88"/>
  <c r="D41" i="88" l="1"/>
  <c r="N28" i="88"/>
  <c r="I47" i="88" l="1"/>
  <c r="D47" i="88"/>
  <c r="D46" i="88"/>
  <c r="D48" i="88"/>
  <c r="I46" i="88"/>
  <c r="D42" i="88"/>
  <c r="I48" i="88"/>
</calcChain>
</file>

<file path=xl/sharedStrings.xml><?xml version="1.0" encoding="utf-8"?>
<sst xmlns="http://schemas.openxmlformats.org/spreadsheetml/2006/main" count="5466" uniqueCount="2325">
  <si>
    <t>Other.</t>
  </si>
  <si>
    <t>Liberalized tax depreciation.</t>
  </si>
  <si>
    <t>Plant basis difference.</t>
  </si>
  <si>
    <t>Intangible and General plant</t>
  </si>
  <si>
    <t>Securitized Plant Related.</t>
  </si>
  <si>
    <t>Mark to market of purchase power contracts.</t>
  </si>
  <si>
    <t>Miscellaneous including Account 186</t>
  </si>
  <si>
    <t>Transmission related costs deducted as repairs for tax and capitalized for books.</t>
  </si>
  <si>
    <t>Prepaid costs in FERC account 165 that were deducted for tax.</t>
  </si>
  <si>
    <t xml:space="preserve">Total </t>
  </si>
  <si>
    <t>Taxes Other Than Income</t>
  </si>
  <si>
    <t>FICA</t>
  </si>
  <si>
    <t>State Unemployment</t>
  </si>
  <si>
    <t>Gross Receipts &amp; Sales Tax</t>
  </si>
  <si>
    <t>Use Tax</t>
  </si>
  <si>
    <t>Gross Receipts Privilege Tax</t>
  </si>
  <si>
    <t>State Excise Tax</t>
  </si>
  <si>
    <t>Federal Excise Tax</t>
  </si>
  <si>
    <t>Regulatory commission</t>
  </si>
  <si>
    <t>Non Income Taxes</t>
  </si>
  <si>
    <t>Distribution</t>
  </si>
  <si>
    <t xml:space="preserve">Composite Income Taxes                                                                                                       </t>
  </si>
  <si>
    <t>Annual Point-to-Point Transmission Rate</t>
  </si>
  <si>
    <t>Net Adjusted Revenue Requirement</t>
  </si>
  <si>
    <t>T = 1-{[(1-SIT) * (1-FIT)]/(1-SIT * FIT * p)}</t>
  </si>
  <si>
    <t>Year</t>
  </si>
  <si>
    <t>May</t>
  </si>
  <si>
    <t>Jan</t>
  </si>
  <si>
    <t>Feb</t>
  </si>
  <si>
    <t>Mar</t>
  </si>
  <si>
    <t>Apr</t>
  </si>
  <si>
    <t>Jun</t>
  </si>
  <si>
    <t>Jul</t>
  </si>
  <si>
    <t>Aug</t>
  </si>
  <si>
    <t>Sep</t>
  </si>
  <si>
    <t>Oct</t>
  </si>
  <si>
    <t>Nov</t>
  </si>
  <si>
    <t>Dec</t>
  </si>
  <si>
    <t>Total Transmission Plant In Service</t>
  </si>
  <si>
    <t xml:space="preserve">Taxes Other than Income                                                    </t>
  </si>
  <si>
    <t>Gross Proceeds Outstanding LT Debt</t>
  </si>
  <si>
    <t>Net Proceeds Long Term Debt</t>
  </si>
  <si>
    <t>Total Long Term Debt Cost</t>
  </si>
  <si>
    <t>Preferred Dividend</t>
  </si>
  <si>
    <t>Total Common Stock</t>
  </si>
  <si>
    <t>Long Term Debt Cost</t>
  </si>
  <si>
    <t>Preferred Stock &amp; Dividend</t>
  </si>
  <si>
    <t>Total Preferred Stock</t>
  </si>
  <si>
    <t>13 month</t>
  </si>
  <si>
    <t>Justification</t>
  </si>
  <si>
    <t>Total Income Taxes</t>
  </si>
  <si>
    <t>Summary</t>
  </si>
  <si>
    <t>Taxes Other than Income</t>
  </si>
  <si>
    <t>Common Stock</t>
  </si>
  <si>
    <t>END</t>
  </si>
  <si>
    <t>C</t>
  </si>
  <si>
    <t>Gross Plant Allocator</t>
  </si>
  <si>
    <t>Total Long Term Debt</t>
  </si>
  <si>
    <t>Total Return ( R )</t>
  </si>
  <si>
    <t>I</t>
  </si>
  <si>
    <t>J</t>
  </si>
  <si>
    <t>Long Term Debt</t>
  </si>
  <si>
    <t>Transmission Depreciation Expense</t>
  </si>
  <si>
    <t>Transmission Wages Expense</t>
  </si>
  <si>
    <t>Total Wages Expense</t>
  </si>
  <si>
    <t xml:space="preserve"> </t>
  </si>
  <si>
    <t>E</t>
  </si>
  <si>
    <t>A</t>
  </si>
  <si>
    <t>D</t>
  </si>
  <si>
    <t>G</t>
  </si>
  <si>
    <t>Preferred Stock</t>
  </si>
  <si>
    <t>K</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</si>
  <si>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</si>
  <si>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</si>
  <si>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</si>
  <si>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</si>
  <si>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</si>
  <si>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</si>
  <si>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</si>
  <si>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</si>
  <si>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</si>
  <si>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</si>
  <si>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</si>
  <si>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Accumulated Depreciation</t>
  </si>
  <si>
    <t>Prepayments</t>
  </si>
  <si>
    <t>Cash Working Capital</t>
  </si>
  <si>
    <t>Allocators</t>
  </si>
  <si>
    <t>Wages &amp; Salary Allocation Factor</t>
  </si>
  <si>
    <t>Net Plant Allocation Factor</t>
  </si>
  <si>
    <t>Intangible Amortization</t>
  </si>
  <si>
    <t>Return / Capitalization Calculations</t>
  </si>
  <si>
    <t>SIT=State Income Tax Rate or Composite</t>
  </si>
  <si>
    <t>FIT=Federal Income Tax Rate</t>
  </si>
  <si>
    <t>Investment Return = Rate Base * Rate of Return</t>
  </si>
  <si>
    <t>Income Tax Rates</t>
  </si>
  <si>
    <t>Depreciation &amp; Amortization</t>
  </si>
  <si>
    <t>Depreciation &amp; Amortization Expense</t>
  </si>
  <si>
    <t>Total Transmission Depreciation &amp; Amortization</t>
  </si>
  <si>
    <t>L</t>
  </si>
  <si>
    <t>M</t>
  </si>
  <si>
    <t>Transmission O&amp;M</t>
  </si>
  <si>
    <t>Wages &amp; Salary Allocator</t>
  </si>
  <si>
    <t>Total Transmission O&amp;M</t>
  </si>
  <si>
    <t>Total A&amp;G</t>
  </si>
  <si>
    <t>Adjustment to Rate Base</t>
  </si>
  <si>
    <t>Plant Calculations</t>
  </si>
  <si>
    <t>Net Plant Allocator</t>
  </si>
  <si>
    <t>Rate Base</t>
  </si>
  <si>
    <t xml:space="preserve">Income Tax Component = </t>
  </si>
  <si>
    <t>Plant Allocation Factors</t>
  </si>
  <si>
    <t>Wage &amp; Salary Allocation Factor</t>
  </si>
  <si>
    <t>TOTAL Adjustment to Rate Base</t>
  </si>
  <si>
    <t>Description</t>
  </si>
  <si>
    <t>Total</t>
  </si>
  <si>
    <t>B</t>
  </si>
  <si>
    <t>Proprietary Capital</t>
  </si>
  <si>
    <t>Operation &amp; Maintenance Expense</t>
  </si>
  <si>
    <t>Total Transmission Allocated</t>
  </si>
  <si>
    <t>Investment Return</t>
  </si>
  <si>
    <t>Income Taxes</t>
  </si>
  <si>
    <t>Allocation</t>
  </si>
  <si>
    <t>Gross Revenue Requirement</t>
  </si>
  <si>
    <t>Subtotal - Transmission Related</t>
  </si>
  <si>
    <t>T/ (1-T)</t>
  </si>
  <si>
    <t>Notes</t>
  </si>
  <si>
    <t>Net Revenue Requirement</t>
  </si>
  <si>
    <t>O&amp;M</t>
  </si>
  <si>
    <t>Debt Cost</t>
  </si>
  <si>
    <t>Common Cost</t>
  </si>
  <si>
    <t>Weighted Cost of Debt</t>
  </si>
  <si>
    <t>Weighted Cost of Common</t>
  </si>
  <si>
    <t>Accumulated General Depreciation</t>
  </si>
  <si>
    <t>Preferred Cost</t>
  </si>
  <si>
    <t>Formula Rate -- Appendix A</t>
  </si>
  <si>
    <t>Weighted Cost of Preferred</t>
  </si>
  <si>
    <t>Transmission</t>
  </si>
  <si>
    <t>ADIT-190</t>
  </si>
  <si>
    <t>ADIT- 282</t>
  </si>
  <si>
    <t>ADIT-283</t>
  </si>
  <si>
    <t>Reference</t>
  </si>
  <si>
    <t>Average</t>
  </si>
  <si>
    <t>Cash Working Capital Allowance</t>
  </si>
  <si>
    <t>Labor</t>
  </si>
  <si>
    <t>ADIT</t>
  </si>
  <si>
    <t>Plant Related</t>
  </si>
  <si>
    <t>Labor Related</t>
  </si>
  <si>
    <t>Amount</t>
  </si>
  <si>
    <t>Network Credits</t>
  </si>
  <si>
    <t>Line No.</t>
  </si>
  <si>
    <t>Outstanding Network Credits</t>
  </si>
  <si>
    <t>Net Outstanding Credits</t>
  </si>
  <si>
    <t>Interest on Network Credits</t>
  </si>
  <si>
    <t>Revenue Credits &amp; Interest on Network Credits</t>
  </si>
  <si>
    <t>Other</t>
  </si>
  <si>
    <t>F</t>
  </si>
  <si>
    <t>N</t>
  </si>
  <si>
    <t>Source</t>
  </si>
  <si>
    <t>Plant</t>
  </si>
  <si>
    <t>End of Year</t>
  </si>
  <si>
    <t>Materials &amp; Supplies</t>
  </si>
  <si>
    <t>1/(1-T)</t>
  </si>
  <si>
    <t>Accumulated Intangible Depreciation</t>
  </si>
  <si>
    <t>Total Transmission Accumulated Depreciation</t>
  </si>
  <si>
    <t>Beginning of Year</t>
  </si>
  <si>
    <t>EOY</t>
  </si>
  <si>
    <t>Monthly rate</t>
  </si>
  <si>
    <t>H</t>
  </si>
  <si>
    <t>(1)</t>
  </si>
  <si>
    <t>Generation</t>
  </si>
  <si>
    <t>General Plant</t>
  </si>
  <si>
    <t>Attachment O</t>
  </si>
  <si>
    <t>Account</t>
  </si>
  <si>
    <t>560 - Oper Super &amp; Engineering Total</t>
  </si>
  <si>
    <t>566 - Misc. Transmission Expenses Total</t>
  </si>
  <si>
    <t>569 - Maintenance Of Structures Total</t>
  </si>
  <si>
    <t>Customer Services Expenses</t>
  </si>
  <si>
    <t>920 - Adm &amp; General Salaries Total</t>
  </si>
  <si>
    <t>921 - Office Supplies And Expenses</t>
  </si>
  <si>
    <t>923 - Outside Services Employed Total</t>
  </si>
  <si>
    <t>925 - Injuries &amp; Damages Expense Total</t>
  </si>
  <si>
    <t>926 - Employee Pension &amp; Benefits</t>
  </si>
  <si>
    <t>928 - Regulatory Commission Expense Total</t>
  </si>
  <si>
    <t>930.1 - General Advertising Expenses</t>
  </si>
  <si>
    <t>930.2 - Active Development Expenses Total</t>
  </si>
  <si>
    <t>935 - Maintenance Of General Plant</t>
  </si>
  <si>
    <t>Steam Production</t>
  </si>
  <si>
    <t>Nuclear Production</t>
  </si>
  <si>
    <t>Hydraulic Production</t>
  </si>
  <si>
    <t>RTMO</t>
  </si>
  <si>
    <t>General</t>
  </si>
  <si>
    <t>Note:</t>
  </si>
  <si>
    <t>Nuclear plant related.</t>
  </si>
  <si>
    <t>Reserve for Property insurance - a book accrual.</t>
  </si>
  <si>
    <t>Property O&amp;M repair costs for book required to be depreciated for tax.</t>
  </si>
  <si>
    <t>Reserve for Injuries and Damages - a book accrual.</t>
  </si>
  <si>
    <t>Customer deposit recorded in account 253</t>
  </si>
  <si>
    <t>Employee Benefit</t>
  </si>
  <si>
    <t>Production related.</t>
  </si>
  <si>
    <t>Net negative salvage is related to plant.</t>
  </si>
  <si>
    <t>FERC account 144 - Book reserve for uncollectible accounts.</t>
  </si>
  <si>
    <t>Rounding</t>
  </si>
  <si>
    <t>Unregulated partnership interest.</t>
  </si>
  <si>
    <t>Deferred Revenue FERC account 242500</t>
  </si>
  <si>
    <t>FERC Accounts 228400 and 228403</t>
  </si>
  <si>
    <t>Deferred directors compensation.</t>
  </si>
  <si>
    <t>FASB 109 is removed from filing.</t>
  </si>
  <si>
    <t>Charitable contributions deduction carried forward.</t>
  </si>
  <si>
    <t>OpCo</t>
  </si>
  <si>
    <t>ESI</t>
  </si>
  <si>
    <t>ESI - Production</t>
  </si>
  <si>
    <t>ESI - Transmission</t>
  </si>
  <si>
    <t>ESI - Regional Market</t>
  </si>
  <si>
    <t>ESI - Distribution</t>
  </si>
  <si>
    <t>ESI - Customer Accounts</t>
  </si>
  <si>
    <t>ESI - Customer Service</t>
  </si>
  <si>
    <t>ESI - Sales</t>
  </si>
  <si>
    <t>EOI - Payroll</t>
  </si>
  <si>
    <t>EOI - A&amp;G</t>
  </si>
  <si>
    <t>Accrued interest on tax deficiencies - FIN48 accrued interest.</t>
  </si>
  <si>
    <t>Difference between unbilled revenue reported for tax and book.</t>
  </si>
  <si>
    <t>ADIT- 281</t>
  </si>
  <si>
    <t>O</t>
  </si>
  <si>
    <t>P</t>
  </si>
  <si>
    <t>Q</t>
  </si>
  <si>
    <t>R</t>
  </si>
  <si>
    <t>S</t>
  </si>
  <si>
    <t>T</t>
  </si>
  <si>
    <t>U</t>
  </si>
  <si>
    <t>V</t>
  </si>
  <si>
    <t>389_1_ Land</t>
  </si>
  <si>
    <t>390_0_ Structures &amp; Improvements</t>
  </si>
  <si>
    <t>391_1_ Office Furn &amp; Equip</t>
  </si>
  <si>
    <t>391_2_ Information Systems</t>
  </si>
  <si>
    <t>391_3_ Data Handling Equipment</t>
  </si>
  <si>
    <t>392_0_ Transportation Equipment</t>
  </si>
  <si>
    <t>393_0_ Stores Equipment</t>
  </si>
  <si>
    <t>394_0_ Tools, Shop &amp; Garage Equip</t>
  </si>
  <si>
    <t>395_0_ Laboratory Equipment</t>
  </si>
  <si>
    <t>396_0_ Power Operated Equipment</t>
  </si>
  <si>
    <t>397_1_ Misc. Comm Equip</t>
  </si>
  <si>
    <t>397_2_ Comm &amp; Microwave Equip</t>
  </si>
  <si>
    <t>398_0_ Miscellaneous Equipment</t>
  </si>
  <si>
    <t>399_0_ Other Tangible Property</t>
  </si>
  <si>
    <t>350_1_Land</t>
  </si>
  <si>
    <t>350_2_Land Rights - High Voltage</t>
  </si>
  <si>
    <t>350_3_Land Rights - Low Voltage</t>
  </si>
  <si>
    <t>352_0_Structure &amp; Improvements</t>
  </si>
  <si>
    <t>353_0_Stn Eqpt-Trans</t>
  </si>
  <si>
    <t>354_0_Twrs &amp; Fxtrs-Trans</t>
  </si>
  <si>
    <t>355_0_Poles &amp; Fxtrs -Trans</t>
  </si>
  <si>
    <t>356_1_Overhd Cond &amp; Devices</t>
  </si>
  <si>
    <t>356_2_Overhd Cond &amp; Devs - Dmgs</t>
  </si>
  <si>
    <t>356_3_Overhd Cond &amp; Dev - Clr&amp;Gra</t>
  </si>
  <si>
    <t>357_0_Undergrnd Conduit-Trans</t>
  </si>
  <si>
    <t>358_0_Undergrnd Cond&amp;Devices</t>
  </si>
  <si>
    <t>359_0_Roads &amp; Trails - Trans</t>
  </si>
  <si>
    <t>Utility Account and Description</t>
  </si>
  <si>
    <t>FF1 266.8.f</t>
  </si>
  <si>
    <t>Federal Income Taxes</t>
  </si>
  <si>
    <t>State Income Taxes</t>
  </si>
  <si>
    <t>Total General Plant and Intangibles</t>
  </si>
  <si>
    <t xml:space="preserve"> Intangible</t>
  </si>
  <si>
    <t>General &amp; Intangible Plant Allocated to Transmission</t>
  </si>
  <si>
    <t>General &amp; Intangible Allocated to Transmission</t>
  </si>
  <si>
    <t>Supplemental Upgrades</t>
  </si>
  <si>
    <t>Ad Valorem Tax</t>
  </si>
  <si>
    <t>*</t>
  </si>
  <si>
    <t>13 Month Average</t>
  </si>
  <si>
    <t>Interconnection Facilities</t>
  </si>
  <si>
    <t>Account Name</t>
  </si>
  <si>
    <t>Cumulative</t>
  </si>
  <si>
    <t>301-Organization (5 year life)</t>
  </si>
  <si>
    <t>302-Franchises and Consents (5 year life)</t>
  </si>
  <si>
    <t>302-Franchises and Consents (30 year life)</t>
  </si>
  <si>
    <t>302-Franchises and Consents (50 year life)</t>
  </si>
  <si>
    <t>303-Miscellaneous Intangible Plant (5 year life)</t>
  </si>
  <si>
    <t>303-Miscellaneous Intangible Plant (10 year life)</t>
  </si>
  <si>
    <t>ESI - Administrative &amp; General</t>
  </si>
  <si>
    <t>FERC Form 1  Page # or Reference</t>
  </si>
  <si>
    <t>Tax deduction when reacquired, book amortizes to expense.</t>
  </si>
  <si>
    <t>Ln</t>
  </si>
  <si>
    <t>Debt Capitalization</t>
  </si>
  <si>
    <t>Preferred Capitalization</t>
  </si>
  <si>
    <t>Common Capitalization</t>
  </si>
  <si>
    <t>FERC Annual Interest Rate</t>
  </si>
  <si>
    <t>X</t>
  </si>
  <si>
    <t>Y</t>
  </si>
  <si>
    <t>Z</t>
  </si>
  <si>
    <t>AA</t>
  </si>
  <si>
    <t>W</t>
  </si>
  <si>
    <t>Average of the 12 CP (kW)</t>
  </si>
  <si>
    <t>Less Attachment GG Adj.</t>
  </si>
  <si>
    <t>Less Attachment MM Adj.</t>
  </si>
  <si>
    <t>Asset Location</t>
  </si>
  <si>
    <t>930.2 - Misc. General Expense</t>
  </si>
  <si>
    <t>931 - Rents</t>
  </si>
  <si>
    <t>VSP (Severance)</t>
  </si>
  <si>
    <t>Account 1823HC - HCM Deferral</t>
  </si>
  <si>
    <t>MISO cost deferral account 1823MD.</t>
  </si>
  <si>
    <t>Notes:</t>
  </si>
  <si>
    <t>Total Electric Plant In Service</t>
  </si>
  <si>
    <t>Total Accumulated Depreciation Electric Plant</t>
  </si>
  <si>
    <t>Net Electric Plant</t>
  </si>
  <si>
    <t>TOTAL Plant In Service - Transmission</t>
  </si>
  <si>
    <t>TOTAL Accumulated Depreciation - Transmission</t>
  </si>
  <si>
    <t>TOTAL Net Property, Plant &amp; Equipment - Transmission</t>
  </si>
  <si>
    <t>Unfunded Reserves Rate Base Credits/Debits</t>
  </si>
  <si>
    <t>Prepayments Allocated to Transmission</t>
  </si>
  <si>
    <t>Electric Plant Held for Future Use</t>
  </si>
  <si>
    <t>Long Term Debt Cost - Total</t>
  </si>
  <si>
    <t>Common Stock - Total</t>
  </si>
  <si>
    <t>BB</t>
  </si>
  <si>
    <t>CC</t>
  </si>
  <si>
    <t>DD</t>
  </si>
  <si>
    <t>The gain or loss on the sale of a transmission or general plant asset is only included if the asset has been included as a component of the transmission formula rate base.</t>
  </si>
  <si>
    <t>Page 1 of 4</t>
  </si>
  <si>
    <t xml:space="preserve">Formula Rate - Non-Levelized </t>
  </si>
  <si>
    <t>Rate Formula Template</t>
  </si>
  <si>
    <t>Utilizing FERC Form 1 Data</t>
  </si>
  <si>
    <t>Projected</t>
  </si>
  <si>
    <t>(2)</t>
  </si>
  <si>
    <t>(3)</t>
  </si>
  <si>
    <t>(4)</t>
  </si>
  <si>
    <t>(5)</t>
  </si>
  <si>
    <t>Line</t>
  </si>
  <si>
    <t>Allocated</t>
  </si>
  <si>
    <t>No.</t>
  </si>
  <si>
    <t>GROSS REVENUE REQUIREMENT</t>
  </si>
  <si>
    <t xml:space="preserve">REVENUE CREDITS </t>
  </si>
  <si>
    <t>Allocator</t>
  </si>
  <si>
    <t>DA</t>
  </si>
  <si>
    <t>NA</t>
  </si>
  <si>
    <t>Zero</t>
  </si>
  <si>
    <t xml:space="preserve">TOTAL REVENUE CREDITS </t>
  </si>
  <si>
    <t>NET REVENUE REQUIREMENT</t>
  </si>
  <si>
    <t>True-up Adjustment with Interest</t>
  </si>
  <si>
    <t xml:space="preserve">DIVISOR </t>
  </si>
  <si>
    <t>Annual Cost ($/kW/Yr)</t>
  </si>
  <si>
    <t xml:space="preserve">Network &amp; P-to-P Rate ($/kW/Mo) </t>
  </si>
  <si>
    <t>Peak Rate</t>
  </si>
  <si>
    <t>Off-Peak Rate</t>
  </si>
  <si>
    <t>Point-To-Point Rate ($/kW/Wk)</t>
  </si>
  <si>
    <t>Point-To-Point Rate ($/kW/Day)</t>
  </si>
  <si>
    <t>Capped at weekly rate</t>
  </si>
  <si>
    <t>Point-To-Point Rate ($/MWh)</t>
  </si>
  <si>
    <t>Capped at weekly</t>
  </si>
  <si>
    <t>and daily rates</t>
  </si>
  <si>
    <t>FERC Annual Charge($/MWh)</t>
  </si>
  <si>
    <t xml:space="preserve">          </t>
  </si>
  <si>
    <t>Short Term</t>
  </si>
  <si>
    <t>Long Term</t>
  </si>
  <si>
    <t>Page 2 of 4</t>
  </si>
  <si>
    <t>Company Total</t>
  </si>
  <si>
    <t xml:space="preserve">                  Allocator </t>
  </si>
  <si>
    <t>(Col 3 times Col 4)</t>
  </si>
  <si>
    <t xml:space="preserve">RATE BASE: </t>
  </si>
  <si>
    <t>GROSS PLANT IN SERVICE</t>
  </si>
  <si>
    <t>TP</t>
  </si>
  <si>
    <t>W/S</t>
  </si>
  <si>
    <t>TOTAL GROSS PLANT</t>
  </si>
  <si>
    <t>ACCUMULATED DEPRECIATION</t>
  </si>
  <si>
    <t xml:space="preserve">TOTAL ACCUM. DEPRECIATION </t>
  </si>
  <si>
    <t>NET PLANT IN SERVICE</t>
  </si>
  <si>
    <t>TOTAL NET PLANT</t>
  </si>
  <si>
    <t xml:space="preserve">ADJUSTMENTS TO RATE BASE </t>
  </si>
  <si>
    <t xml:space="preserve">TOTAL ADJUSTMENTS </t>
  </si>
  <si>
    <t xml:space="preserve">LAND HELD FOR FUTURE USE </t>
  </si>
  <si>
    <t xml:space="preserve">WORKING CAPITAL </t>
  </si>
  <si>
    <t xml:space="preserve">TOTAL WORKING CAPITAL  </t>
  </si>
  <si>
    <t xml:space="preserve">RATE BASE </t>
  </si>
  <si>
    <t>Page 3 of 4</t>
  </si>
  <si>
    <t xml:space="preserve">  Transmission </t>
  </si>
  <si>
    <t xml:space="preserve">  A&amp;G</t>
  </si>
  <si>
    <t>TOTAL O&amp;M</t>
  </si>
  <si>
    <t>DEPRECIATION EXPENSE</t>
  </si>
  <si>
    <t xml:space="preserve">TOTAL DEPRECIATION </t>
  </si>
  <si>
    <t xml:space="preserve">TAXES OTHER THAN INCOME TAXES </t>
  </si>
  <si>
    <t>Taxes Other Than Income Taxes</t>
  </si>
  <si>
    <t>TOTAL OTHER TAXES</t>
  </si>
  <si>
    <t xml:space="preserve">INCOME TAXES          </t>
  </si>
  <si>
    <t xml:space="preserve">RETURN </t>
  </si>
  <si>
    <t>Rate Base times Return</t>
  </si>
  <si>
    <t>REV. REQUIREMENT</t>
  </si>
  <si>
    <t xml:space="preserve">REV. REQUIREMENT TO BE COLLECTED UNDER ATTACHMENT O </t>
  </si>
  <si>
    <t>Page 4 of 4</t>
  </si>
  <si>
    <t xml:space="preserve">                SUPPORTING CALCULATIONS AND NOTES</t>
  </si>
  <si>
    <t>TRANSMISSION PLANT INCLUDED IN ISO RATES</t>
  </si>
  <si>
    <t xml:space="preserve">Total Transmission plant  </t>
  </si>
  <si>
    <t xml:space="preserve">Less Transmission plant excluded from ISO rates  </t>
  </si>
  <si>
    <t>Transmission plant included in ISO rates</t>
  </si>
  <si>
    <t xml:space="preserve">Percentage of Transmission plant included in ISO Rates  </t>
  </si>
  <si>
    <t>TP=</t>
  </si>
  <si>
    <t>WAGES &amp; SALARY ALLOCATOR  (W&amp;S)</t>
  </si>
  <si>
    <t>Form 1 Reference</t>
  </si>
  <si>
    <t>$</t>
  </si>
  <si>
    <t>W&amp;S Allocator</t>
  </si>
  <si>
    <t>($ / Allocation)</t>
  </si>
  <si>
    <t>=</t>
  </si>
  <si>
    <t>WS</t>
  </si>
  <si>
    <t>RETURN (R)</t>
  </si>
  <si>
    <t>Cost</t>
  </si>
  <si>
    <t>%</t>
  </si>
  <si>
    <t>Weighted</t>
  </si>
  <si>
    <t>WCLTD</t>
  </si>
  <si>
    <t>REVENUE CREDITS</t>
  </si>
  <si>
    <t>ACCOUNT 447 (SALES FOR RESALE)</t>
  </si>
  <si>
    <t>INCOME TAX RATES</t>
  </si>
  <si>
    <t>FIT =</t>
  </si>
  <si>
    <t>SIT=</t>
  </si>
  <si>
    <t xml:space="preserve">  (State Income Tax Rate or Composite SIT)</t>
  </si>
  <si>
    <t>p =</t>
  </si>
  <si>
    <t>Included Transmission</t>
  </si>
  <si>
    <t>Excluded Transmission</t>
  </si>
  <si>
    <t>Production</t>
  </si>
  <si>
    <t>Intangible</t>
  </si>
  <si>
    <t>13-Mo Avg</t>
  </si>
  <si>
    <t xml:space="preserve">I </t>
  </si>
  <si>
    <t>Adjustments To Rate Base</t>
  </si>
  <si>
    <t>Alt Min tax credit carry forwards caused by a preference on tax depreciation.</t>
  </si>
  <si>
    <t>Subtotal ADIT</t>
  </si>
  <si>
    <t>Gas, Prod Or Other Related</t>
  </si>
  <si>
    <t>Transmission Only Related</t>
  </si>
  <si>
    <t>Projected: End of Year</t>
  </si>
  <si>
    <t>N/A</t>
  </si>
  <si>
    <t>Reference or Description</t>
  </si>
  <si>
    <t>(In Dollars)</t>
  </si>
  <si>
    <t>Quarter</t>
  </si>
  <si>
    <t>Service Month</t>
  </si>
  <si>
    <t>Total Balance (quarterly compounding)</t>
  </si>
  <si>
    <t>Total Balance Prior Month Col H + Current Month Col E + Col F</t>
  </si>
  <si>
    <t xml:space="preserve">Excel's "Goal Seek" function in "Data\What-If" tools was used to solve for the monthly amortization amount. </t>
  </si>
  <si>
    <t>Using Goal Seek doesn't leave any indication of how the monthly amortization was calculated.</t>
  </si>
  <si>
    <t>The Goal Seek parameters used were:</t>
  </si>
  <si>
    <t>Set Cell:</t>
  </si>
  <si>
    <t>To Value:</t>
  </si>
  <si>
    <t>By Changing Cell:</t>
  </si>
  <si>
    <t>Instructions for Account 190, 281, 282, &amp; 283</t>
  </si>
  <si>
    <t>Average of BOY/EOY (Col (C+D)/2)</t>
  </si>
  <si>
    <t>Transmission Pricing Zone</t>
  </si>
  <si>
    <t>Avg 12 CP</t>
  </si>
  <si>
    <t>Peak Day</t>
  </si>
  <si>
    <t>Peak Hr</t>
  </si>
  <si>
    <t>Network Customers</t>
  </si>
  <si>
    <t>Long Term Firm PTP</t>
  </si>
  <si>
    <t>OpCo Native Load</t>
  </si>
  <si>
    <t xml:space="preserve"> I</t>
  </si>
  <si>
    <t xml:space="preserve"> J</t>
  </si>
  <si>
    <t xml:space="preserve"> K</t>
  </si>
  <si>
    <t xml:space="preserve"> L</t>
  </si>
  <si>
    <t xml:space="preserve"> M</t>
  </si>
  <si>
    <t xml:space="preserve">N </t>
  </si>
  <si>
    <t>Total Revenue Credits</t>
  </si>
  <si>
    <t>Over/Under Collections &amp; Amortization</t>
  </si>
  <si>
    <t>263.41.i</t>
  </si>
  <si>
    <t>ARO</t>
  </si>
  <si>
    <t>Step-Up Facilities</t>
  </si>
  <si>
    <t>A positive value is an under-recovery of revenues and collection from transmission service customers.  A negative value is an over-recovery of revenues and payment to transmission service customers.</t>
  </si>
  <si>
    <t>Long Term Debt - Gross Proceeds</t>
  </si>
  <si>
    <t>Long Term Debt - Net Proceeds</t>
  </si>
  <si>
    <t>Acct</t>
  </si>
  <si>
    <t>Total (1)</t>
  </si>
  <si>
    <t>454000 - Total</t>
  </si>
  <si>
    <t>454100 - Distribution</t>
  </si>
  <si>
    <t>Revenue - Rent From Electric Property</t>
  </si>
  <si>
    <t>Revenue</t>
  </si>
  <si>
    <t>Revenue - Other Electric Revenue</t>
  </si>
  <si>
    <t>Month</t>
  </si>
  <si>
    <t>228100 - Accumulated Provision For Property Insurance</t>
  </si>
  <si>
    <t>228151 - Insurance Proceeds-O&amp;M</t>
  </si>
  <si>
    <t>2281LB - Storm Damage Reserve Lock Box</t>
  </si>
  <si>
    <t>Accumulated Provision for Property Insurance</t>
  </si>
  <si>
    <t>Accumulated Provision for Pensions and Benefits</t>
  </si>
  <si>
    <t>Accumulated Miscellaneous Operating Provisions</t>
  </si>
  <si>
    <t>Income Tax Adjustments</t>
  </si>
  <si>
    <t>Total General &amp; Intangible Accumulated Depreciation</t>
  </si>
  <si>
    <t>Transmission O&amp;M (EOY)</t>
  </si>
  <si>
    <t>Allocated General Expenses (EOY)</t>
  </si>
  <si>
    <t>Adjusted A&amp;G</t>
  </si>
  <si>
    <t>Depreciation Expense (EOY)</t>
  </si>
  <si>
    <t>Total Taxes Other than Income (EOY)</t>
  </si>
  <si>
    <t>Transmission Plant in Service</t>
  </si>
  <si>
    <t>Projected Transmission Plant Capital Additions</t>
  </si>
  <si>
    <t>13-Month</t>
  </si>
  <si>
    <t>Weighted Average (1)</t>
  </si>
  <si>
    <t>Payroll Costs</t>
  </si>
  <si>
    <t>Total Costs</t>
  </si>
  <si>
    <t>Less Accounts 561.0 to 561.8</t>
  </si>
  <si>
    <t>Accumulated Provision for Injuries and Damages</t>
  </si>
  <si>
    <t>2281FR - Property Ins. Prov. Reclassification</t>
  </si>
  <si>
    <t>228200 - Accumulated Provision For Injuries &amp; Damages</t>
  </si>
  <si>
    <t>228210 - Reserve For Injuries &amp; Dam - Legal</t>
  </si>
  <si>
    <t>Other Related</t>
  </si>
  <si>
    <t>Revenue Requirement</t>
  </si>
  <si>
    <t>Total O&amp;M Adjustments</t>
  </si>
  <si>
    <t xml:space="preserve">Total A&amp;G Adjustments </t>
  </si>
  <si>
    <t xml:space="preserve">Total Depreciation Expense Adjustments </t>
  </si>
  <si>
    <t>Less Preferred Stock</t>
  </si>
  <si>
    <t>ADIT Credit - Account 255</t>
  </si>
  <si>
    <t>Enter as negative</t>
  </si>
  <si>
    <t>p205.5.g</t>
  </si>
  <si>
    <t>Adjustment to A&amp;G Wages Expense</t>
  </si>
  <si>
    <t>Net Transmission Wage Expense</t>
  </si>
  <si>
    <t>Adjustment to Transmission Wages Expense</t>
  </si>
  <si>
    <t>Net Wages Expense</t>
  </si>
  <si>
    <t>Adjustment to Wages Expense</t>
  </si>
  <si>
    <t>Total Wages Expense Less A&amp;G</t>
  </si>
  <si>
    <t>A&amp;G Wages Expense</t>
  </si>
  <si>
    <t>Less EPRI dues booked to A&amp;G</t>
  </si>
  <si>
    <t>Less Property Insurance Account 924</t>
  </si>
  <si>
    <t>Less Selected Costs from 930.2</t>
  </si>
  <si>
    <t>Transmission (1)</t>
  </si>
  <si>
    <t>Undistr. Stores Exp (2)</t>
  </si>
  <si>
    <t>Plus O&amp;M Adjustments</t>
  </si>
  <si>
    <t>A/C 5614 to 5618</t>
  </si>
  <si>
    <t>Regulatory Commission Expense Account 928</t>
  </si>
  <si>
    <t>Transmission Substation</t>
  </si>
  <si>
    <t>Total - Generator &amp; Transmission Substation</t>
  </si>
  <si>
    <t>Station Equipment - A/C 3530</t>
  </si>
  <si>
    <t>p = Percent of Federal Inc Tax Deductible for State Inc Tax</t>
  </si>
  <si>
    <t>Preferred Stock cost  =  Preferred Dividends / Total Preferred Stock</t>
  </si>
  <si>
    <t>Long Term Debt Cost = LT Debt Cost / Net Proceeds LT Debt</t>
  </si>
  <si>
    <t>Total Adjustment</t>
  </si>
  <si>
    <t>See footnote in FERC Form 1 for amount reported.</t>
  </si>
  <si>
    <t>13-Mo Avg.</t>
  </si>
  <si>
    <t>Total ADIT-190 Less FASB 109</t>
  </si>
  <si>
    <t>Less FASB 109 Above</t>
  </si>
  <si>
    <t>Reference FF1 p.234.8b &amp; c</t>
  </si>
  <si>
    <t>Reference FF1 274.2b &amp; 275.2.k</t>
  </si>
  <si>
    <t>p.204.46.b</t>
  </si>
  <si>
    <t>p.204.5.b</t>
  </si>
  <si>
    <t>p.206.58b</t>
  </si>
  <si>
    <t>p.206.75b</t>
  </si>
  <si>
    <t>p.206.99b</t>
  </si>
  <si>
    <t>p.207.99g</t>
  </si>
  <si>
    <t>p.207.75g</t>
  </si>
  <si>
    <t>p.200.21c</t>
  </si>
  <si>
    <t>p.219.28c</t>
  </si>
  <si>
    <t>Entergy shall not include any inputs in the formula for Asset Retirement Obligations (AROs) such as, ARO assets, ARO depreciation expense, accumulated provision for depreciation of ARO assets, ARO accretion expense, or ARO cost of removal/negative salvage, absent Commission approval pursuant to a section 205 or 206 filing.</t>
  </si>
  <si>
    <t>EE</t>
  </si>
  <si>
    <t>Production excluding - ARO</t>
  </si>
  <si>
    <t>(Col. C + Col. D)</t>
  </si>
  <si>
    <t>p.205.46.g</t>
  </si>
  <si>
    <t>FF</t>
  </si>
  <si>
    <t>GG</t>
  </si>
  <si>
    <t>HH</t>
  </si>
  <si>
    <t>II</t>
  </si>
  <si>
    <t>JJ</t>
  </si>
  <si>
    <t>KK</t>
  </si>
  <si>
    <t>Transmission Associated TOTI</t>
  </si>
  <si>
    <t>Work paper provided</t>
  </si>
  <si>
    <t>Rev Credits</t>
  </si>
  <si>
    <t>Transmission Service Revenues (NITS &amp; LT)</t>
  </si>
  <si>
    <t xml:space="preserve">Total Taxes Other Than Income Tax Adjustments </t>
  </si>
  <si>
    <t>General Advertising Acct 930.1 - Safety, Education &amp; Outreach</t>
  </si>
  <si>
    <t>General Plant Depreciation Expense</t>
  </si>
  <si>
    <t xml:space="preserve">Plant Associated </t>
  </si>
  <si>
    <t>Plus Adjustment to Plant Associated</t>
  </si>
  <si>
    <t>Total Plant Associated</t>
  </si>
  <si>
    <t xml:space="preserve">FERC regulatory expenses itemized in the FERC Form No. 1 at 351.h that are directly related to transmission service, RTO filings, OATT compliance and maintenance of the transmission formula rate and retail regulatory expenses associated with siting and certification of qualifying transmission facilities.  </t>
  </si>
  <si>
    <t>(Col B+C+F+I+J)</t>
  </si>
  <si>
    <t>(1)  Estimate of transmission capital additions for the current (projected) year weighted on months in service in the current year.</t>
  </si>
  <si>
    <t>Notes: Allocation Criteria</t>
  </si>
  <si>
    <t xml:space="preserve">J </t>
  </si>
  <si>
    <t>Account 223 will be limited to interest bearing amounts supporting assets and associated ADIT on the company's books.</t>
  </si>
  <si>
    <t>Total p300.19.b</t>
  </si>
  <si>
    <t>p.214.47.d</t>
  </si>
  <si>
    <t>Less FASB 109 Above (Footnote p.234)</t>
  </si>
  <si>
    <t>Less FASB 109 p.276 &amp; 277 Footnote</t>
  </si>
  <si>
    <t>Total ADIT 283 Less FASB 109</t>
  </si>
  <si>
    <t>Related</t>
  </si>
  <si>
    <t>Account 561</t>
  </si>
  <si>
    <t>Less Hedging Expense</t>
  </si>
  <si>
    <t>Account 427 Long Term Interest Expense</t>
  </si>
  <si>
    <t>Account 221 - Bonds</t>
  </si>
  <si>
    <t>Account 224 Other LT Debt</t>
  </si>
  <si>
    <t>Account 204 Preferred Stock Issued</t>
  </si>
  <si>
    <t>Account 428 Amortized Debt Discount &amp; Expense</t>
  </si>
  <si>
    <t>Less Account 429 Amortized Premium</t>
  </si>
  <si>
    <t>Less Account 226 Unamortized Discount</t>
  </si>
  <si>
    <t>Less Account 181 Unamortized Debt Expense</t>
  </si>
  <si>
    <t>Plus Account 225 Unamortized Premium</t>
  </si>
  <si>
    <t>Less Account 219</t>
  </si>
  <si>
    <t>Account 223 LT Advances from Associated Companies (1)</t>
  </si>
  <si>
    <t>p.227.8.b (BOY); p.227.8.c (EOY)</t>
  </si>
  <si>
    <t>p.227.16.b (BOY); p.227.16.c (EOY)</t>
  </si>
  <si>
    <t>Entergy Services, Inc. Income Taxes</t>
  </si>
  <si>
    <t>Long Term Debt Adjustments</t>
  </si>
  <si>
    <t>p.400.1.b</t>
  </si>
  <si>
    <t>p.400.2.b</t>
  </si>
  <si>
    <t>p.400.3.b</t>
  </si>
  <si>
    <t>p.400.5.b</t>
  </si>
  <si>
    <t>p.400.6.b</t>
  </si>
  <si>
    <t>p.400.7.b</t>
  </si>
  <si>
    <t>p.400.9.b</t>
  </si>
  <si>
    <t>p.400.10.b</t>
  </si>
  <si>
    <t>p.400.11.b</t>
  </si>
  <si>
    <t>p.400.13.b</t>
  </si>
  <si>
    <t>p.400.14.b</t>
  </si>
  <si>
    <t>p.400.15.b</t>
  </si>
  <si>
    <t>Transmission Wages &amp; Salary Expense</t>
  </si>
  <si>
    <t>Transmission Wages &amp; Salary Expense Adjustments</t>
  </si>
  <si>
    <t xml:space="preserve">Transmission </t>
  </si>
  <si>
    <t>General &amp; Intangible</t>
  </si>
  <si>
    <t>Property Insurance</t>
  </si>
  <si>
    <t xml:space="preserve">Less Adjustments  </t>
  </si>
  <si>
    <t>Less Account 565</t>
  </si>
  <si>
    <t xml:space="preserve">Long Term Debt </t>
  </si>
  <si>
    <t xml:space="preserve">Preferred Stock </t>
  </si>
  <si>
    <t>Prepayments (Account 165)</t>
  </si>
  <si>
    <t xml:space="preserve">Production </t>
  </si>
  <si>
    <t xml:space="preserve">Distribution </t>
  </si>
  <si>
    <t xml:space="preserve">  (% of FIT deductible for state purposes)</t>
  </si>
  <si>
    <t>(OVER) / UNDER COLLECTIONS BALANCE</t>
  </si>
  <si>
    <t>p.354.21.b</t>
  </si>
  <si>
    <t>p.354.28.b</t>
  </si>
  <si>
    <t>p.354.27.b</t>
  </si>
  <si>
    <t>p.111.57.d</t>
  </si>
  <si>
    <t>p.111.57.c</t>
  </si>
  <si>
    <t>13-Month Avg</t>
  </si>
  <si>
    <t>13 Month Avg</t>
  </si>
  <si>
    <t>Transmission Load</t>
  </si>
  <si>
    <t>Undistributed Stores Expense</t>
  </si>
  <si>
    <t>Accumulated. Depreciation for Network Credits</t>
  </si>
  <si>
    <t>Less Account 565 - Transmission of Electricity By Others</t>
  </si>
  <si>
    <t>Less Regulatory Commission Expense Account 928</t>
  </si>
  <si>
    <t>Less General Advertising Expense Account 930.1</t>
  </si>
  <si>
    <t>General Advertising Expense Account 930.1 - Transmission</t>
  </si>
  <si>
    <t>Amortization Investment Tax Credit-Elect</t>
  </si>
  <si>
    <t>228101 - Interest on Accumulated Provision for Property Insurance</t>
  </si>
  <si>
    <t>228400 - Accumulated Misc.-Operating Provision Accrual</t>
  </si>
  <si>
    <t>228401 - Accumulated Provision - Coal Car Maintenance</t>
  </si>
  <si>
    <t>228402 - Ltd - Decommissioning &amp; Decontamination</t>
  </si>
  <si>
    <t>228308 - Accumulated Provision-Pension &amp; Benefits - OPEB</t>
  </si>
  <si>
    <t>228301 - Accumulated Provision Pension &amp; Benefits Hosp. Reserve-Adj.</t>
  </si>
  <si>
    <t>1823FR - Property Insurance Provision Reclassification</t>
  </si>
  <si>
    <t>228403 - Accumulated Provision-Commercial Litigation</t>
  </si>
  <si>
    <t>Less Account 222 Reacquired Bonds</t>
  </si>
  <si>
    <t>Less Account 189 Unamortized Loss Reacquired Debt</t>
  </si>
  <si>
    <t>Plus Account 257 Unamortized Gain Reacquired Debt</t>
  </si>
  <si>
    <t>Account 428.1 Amortized Loss on Reacquired Debt</t>
  </si>
  <si>
    <t>Less Account 429.1 Amortized Gain Reacquired Debt</t>
  </si>
  <si>
    <t>Less Account 216.1 Unappropriated Undistributed Subsidiary Earnings</t>
  </si>
  <si>
    <t>18a</t>
  </si>
  <si>
    <t>1a</t>
  </si>
  <si>
    <t>5a</t>
  </si>
  <si>
    <t>5b</t>
  </si>
  <si>
    <t xml:space="preserve">  PLANT RELATED</t>
  </si>
  <si>
    <t>30a</t>
  </si>
  <si>
    <t>7b</t>
  </si>
  <si>
    <t>7a</t>
  </si>
  <si>
    <t>7c</t>
  </si>
  <si>
    <t xml:space="preserve">Allocator </t>
  </si>
  <si>
    <t>Plus Transmission Related Reg. Comm. Exp. &amp; Directly Assigned Acct 930.1</t>
  </si>
  <si>
    <t>6 - 11</t>
  </si>
  <si>
    <t>21 - 26</t>
  </si>
  <si>
    <t>36a</t>
  </si>
  <si>
    <t>36b</t>
  </si>
  <si>
    <t>Reserved for future use.</t>
  </si>
  <si>
    <t>WP13 - Taxes Other Than Income Taxes</t>
  </si>
  <si>
    <t>WP15 - Radial Lines (1)</t>
  </si>
  <si>
    <t>p.112.18.d,c</t>
  </si>
  <si>
    <t>p.112.19.d,c</t>
  </si>
  <si>
    <t>p.112.20.d,c</t>
  </si>
  <si>
    <t>p.112.21.d,c</t>
  </si>
  <si>
    <t>WP14 - Cost of Capital</t>
  </si>
  <si>
    <t>Note</t>
  </si>
  <si>
    <t>Enter deferral amounts as negatives.</t>
  </si>
  <si>
    <t>A/C 5611 to 5613</t>
  </si>
  <si>
    <t>B + C</t>
  </si>
  <si>
    <t>WP03 - Wages &amp; Salary Expense</t>
  </si>
  <si>
    <t>WP05 - Transmission Capital Additions in Projected Year</t>
  </si>
  <si>
    <t>WP17 - Analysis of Accounts 454 and 456 - Other Electric Revenue</t>
  </si>
  <si>
    <t>p.112.27.c,d to p.112.30.c,d</t>
  </si>
  <si>
    <t>FF1 p.267.8.h</t>
  </si>
  <si>
    <t>FF1 p353.f</t>
  </si>
  <si>
    <t>Network Customer 1</t>
  </si>
  <si>
    <t>FF1 p321.112.b</t>
  </si>
  <si>
    <t>FF1 p323.197.b</t>
  </si>
  <si>
    <t>FF1 p323.185.b</t>
  </si>
  <si>
    <t>FF1 p323.189.b</t>
  </si>
  <si>
    <t>FF1 p323.191.b</t>
  </si>
  <si>
    <t>Transmission O&amp;M  (Accounts 560 to 574)</t>
  </si>
  <si>
    <t>Production O&amp;M (Accounts 500 to 557)</t>
  </si>
  <si>
    <t>Regional &amp; Marketing O&amp;M (Accounts 575 to 576)</t>
  </si>
  <si>
    <t>Distribution O&amp;M (Accounts 580 to 598)</t>
  </si>
  <si>
    <t>Customer Accounts (Accounts 901 to 905)</t>
  </si>
  <si>
    <t>Customer Services (Accounts (906 to 917)</t>
  </si>
  <si>
    <t>A&amp;G Expenses (Accounts 920 to 935)</t>
  </si>
  <si>
    <t>Payroll Taxes (Account 408110)</t>
  </si>
  <si>
    <t>Deprec. Expense - Service Co (Account 4031AM)</t>
  </si>
  <si>
    <t>Other Accounts Not Included Below</t>
  </si>
  <si>
    <t>Less Rev. Credits from Schedules assoc. w/ Attachment MM</t>
  </si>
  <si>
    <t>Less Rev. Credits from Schedules assoc. w/ Attachment GG</t>
  </si>
  <si>
    <t>WP02 - Cost Support</t>
  </si>
  <si>
    <t>WP06 - Accumulated Deferred Income Taxes (ADIT) Worksheet</t>
  </si>
  <si>
    <t>WP11 - Facility Credits (1)</t>
  </si>
  <si>
    <t>p.112.23.d,c</t>
  </si>
  <si>
    <t>p.111.69.d,c</t>
  </si>
  <si>
    <t>p.111.81.d,c</t>
  </si>
  <si>
    <t>p.112.22.d,c</t>
  </si>
  <si>
    <t>p.113.61.d,c</t>
  </si>
  <si>
    <t>p.112.3.d,c</t>
  </si>
  <si>
    <t>Account 437 Preferred Dividend (Enter as Positive)</t>
  </si>
  <si>
    <t>p.112.16.d,c</t>
  </si>
  <si>
    <t>p.112.12.d,c</t>
  </si>
  <si>
    <t>p.112.15.d,c</t>
  </si>
  <si>
    <t>Total Unfunded Reserves Rate Base Credits/Debits &amp; Regulatory Assets</t>
  </si>
  <si>
    <t>Unfunded Reserves Rate Base Credits/Debits &amp; Regulatory Assets</t>
  </si>
  <si>
    <t>p112.6.c,d (portion)</t>
  </si>
  <si>
    <t>p.112.7.d,c (portion)</t>
  </si>
  <si>
    <t>p.112.9.d,c (portion)</t>
  </si>
  <si>
    <t>p.112.10.d,c (portion)</t>
  </si>
  <si>
    <t>p.112.13.d,c (portion)</t>
  </si>
  <si>
    <t>Other taxes incurred through ownership of plant including transmission plant (e.g., property taxes) shall be allocated based on the Gross Plant Allocator.  A plant-related other tax shall not be directly assigned to a functional plant category unless such other tax is separated by function for all functional plant.  If a plant-related other tax is so functionalized, the transmission plant related other tax shall be assigned to “Transmission,” the general and intangible plant related other tax shall be assigned to “Labor” and all other functional plant other tax components shall be assigned to “Other.”</t>
  </si>
  <si>
    <t>Income taxes shall be assigned to “Other.”</t>
  </si>
  <si>
    <t>Other taxes that are labor related (e.g., unemployment taxes and FICA taxes) shall be assigned to “Labor” and allocated based on the Wages and Salary Allocator.</t>
  </si>
  <si>
    <t>(6)</t>
  </si>
  <si>
    <t>Other taxes except those as provided for in Notes (1) - (5), above, that are incurred and (a) are not solely related to retail or (b) are not directly associated with a specific function shall be assigned to “Plant” and allocated based on the Gross Plant Allocator.</t>
  </si>
  <si>
    <t>(7)</t>
  </si>
  <si>
    <t>Entergy Services, Inc. Taxes Other Than Income Taxes charged to the Entergy Operating Company (currently reported on FF1 pp. 262-263) shall be itemized and allocated in accordance with Notes (1) – (6), above.</t>
  </si>
  <si>
    <t>Entergy Services, Taxes Other Than Income Reported Above</t>
  </si>
  <si>
    <t>Other (1)(2)(3)</t>
  </si>
  <si>
    <t>Plant (1)(6)</t>
  </si>
  <si>
    <t>Transmission (1)(4)</t>
  </si>
  <si>
    <t>Labor (1)(5)</t>
  </si>
  <si>
    <t>Production-related prepayments shall be assigned to the “Other” category.</t>
  </si>
  <si>
    <t>Prepayments incurred by virtue of ownership of plant, including transmission plant, shall be assigned to the “Plant“ category and allocated based on the Gross Plant Allocator.</t>
  </si>
  <si>
    <t>Prepayments that are labor-related shall be assigned to the “Labor” category and allocated based on the Wages &amp; Salary Allocator.</t>
  </si>
  <si>
    <t>Prepayments incurred solely by virtue of ownership of general plant or intangible plant shall be assigned to the “Labor” category and allocated based on the Wages &amp; Salary Allocator.</t>
  </si>
  <si>
    <t>(1) (2)</t>
  </si>
  <si>
    <t>(5)(6)</t>
  </si>
  <si>
    <t>Prepayments incurred solely by virtue of ownership of transmission plant shall be assigned 100% to the  “Transmission” category.</t>
  </si>
  <si>
    <t>Other taxes imposed solely on wholesale transmission service shall be assigned to "Transmission.”</t>
  </si>
  <si>
    <t>Only the Transmission portion will be included.</t>
  </si>
  <si>
    <t>Less Post Retirement Benefits Other Than Pensions</t>
  </si>
  <si>
    <t>Transmission - Capital Additions</t>
  </si>
  <si>
    <t>EOY (Col D)</t>
  </si>
  <si>
    <t>6a</t>
  </si>
  <si>
    <t>6b</t>
  </si>
  <si>
    <t xml:space="preserve">Account 454 (Rent From Electric Property: General Plant Only) </t>
  </si>
  <si>
    <t>Transmission Revenues Associated with Attachment GG</t>
  </si>
  <si>
    <t>Transmission Revenues Associated with Attachment MM</t>
  </si>
  <si>
    <t>p.354.96.d (1)</t>
  </si>
  <si>
    <t>Plant in Service (1)</t>
  </si>
  <si>
    <t>Account 924 - p323.185.b</t>
  </si>
  <si>
    <t>Less Account 924 Storm Damage Accrual</t>
  </si>
  <si>
    <t>Property Insurance Account 924 Without Storm Damage Accrual</t>
  </si>
  <si>
    <t>Entergy is not seeking recovery at FERC of the unconsummated ITC merger expenses that are included in FERC Form 1.</t>
  </si>
  <si>
    <t>The Entergy Operating Companies will not adopt an allocation factor for Common Plant and Expenses absent Commission approval pursuant to a section 205 filing.</t>
  </si>
  <si>
    <t>The formula rate shall exclude all expenses associated with (i) MISO Schedule 10 and MISO Schedule 10-FERC, for which Load Serving Entities (“LSEs”) are billed separately by MISO and (ii) all other expenses recovered by MISO through direct charges to transmission owners and transmission users pursuant to separate schedules under the MISO Tariff or otherwise.  For rate years 2015 and beyond, the Entergy Operating Companies do not expect to incur any FERC annual fees directly.</t>
  </si>
  <si>
    <t>WP12 - PBOP Costs in Account 926 (1)</t>
  </si>
  <si>
    <t>MISO Implementation Costs Deferral Adjustment</t>
  </si>
  <si>
    <t xml:space="preserve">LESS ATTACHMENT MM ADJUSTMENT [Attachment MM, Page 2, Line 3, Column 14]   </t>
  </si>
  <si>
    <t xml:space="preserve">LESS ATTACHMENT GG ADJUSTMENT [Attachment GG, Page 2, Line 3, Column 10]   </t>
  </si>
  <si>
    <t>[Revenue Requirement for facilities included on Page 2, Line 2 and also included in Attachment GG]</t>
  </si>
  <si>
    <t>[Revenue Requirement for facilities included on Page 2, Line 2 and also included in Attachment MM]</t>
  </si>
  <si>
    <t>Attachment GG Revenues (4)</t>
  </si>
  <si>
    <t>Attachment MM Revenues (4)</t>
  </si>
  <si>
    <t>Total Transmission O&amp;M  (Line 7 + Line 8)</t>
  </si>
  <si>
    <t>Net A&amp;G Wages Expense</t>
  </si>
  <si>
    <t xml:space="preserve"> FF1 p321.96.b</t>
  </si>
  <si>
    <t>Other A&amp;G Adjustments</t>
  </si>
  <si>
    <t>As of the effective date of this formula, the Entergy Operating Companies may include CIAC-related ADIT for transmission facilities in ADIT assignable to the transmission function so long as the associated facilities that create such ADIT constitute Network Upgrade Facilities under Order No. 2003, and do not constitute Network Upgrade Facilities for which Network Credits are paid or payable to the contributing customer.</t>
  </si>
  <si>
    <t>(Gain) or Loss on Sale of Assets</t>
  </si>
  <si>
    <t>(Gain) or Loss on Sales of Transmission Assets</t>
  </si>
  <si>
    <t>(Gain) or Loss on Sales of General Plant Assets</t>
  </si>
  <si>
    <t>Total (Gain) or Loss on Sales of Assets</t>
  </si>
  <si>
    <t>Enter Gains as Negative Value &amp; Losses as Positive Values</t>
  </si>
  <si>
    <t>Difference is because the MISO Cover requires the (Gain) or Loss to be included in O&amp;M where it is a separate section in Appendix A.</t>
  </si>
  <si>
    <t>Rent from Electric Property</t>
  </si>
  <si>
    <t>Revenue Credits from Rent of Electric Property</t>
  </si>
  <si>
    <t>Other Electric Revenue</t>
  </si>
  <si>
    <t>Network Rev (2)</t>
  </si>
  <si>
    <t>Total Net Adjusted Revenue Requirement</t>
  </si>
  <si>
    <t>Account 456.1 Other Electric Revenues</t>
  </si>
  <si>
    <t>ADIT- 283 (amounts are entered as sign opposite of FF1 presentation)</t>
  </si>
  <si>
    <t>ADIT- 282 (amounts are entered as sign opposite of FF1 presentation)</t>
  </si>
  <si>
    <t>Facility Credits also reported in FERC Form 1 Account 565 totals will be listed here but shown with zero amounts.</t>
  </si>
  <si>
    <t>Amount (2)</t>
  </si>
  <si>
    <t>Less PBOP Adjustment</t>
  </si>
  <si>
    <t>Storm A/C 2281 Storm Reserve Accrual Reclassification</t>
  </si>
  <si>
    <t>MISO Implementation Costs Deferral</t>
  </si>
  <si>
    <t>9302 Miscellaneous General Expenses Adjustments (3)</t>
  </si>
  <si>
    <t>Adjustments to Transmission Wages Expense (1) (2)</t>
  </si>
  <si>
    <t>Adjustment to A&amp;G Wages Expense (1) (2)</t>
  </si>
  <si>
    <t>O&amp;M Adjustments  (1) (2)</t>
  </si>
  <si>
    <t>A&amp;G Adjustments  (1) (2)</t>
  </si>
  <si>
    <t>Depreciation Expense Adjustments (1) (2)</t>
  </si>
  <si>
    <t>Taxes Other Than Income Adjustments  (1) (2)</t>
  </si>
  <si>
    <t>Adjustment to Total Wages Expense (1) (2)</t>
  </si>
  <si>
    <t xml:space="preserve">FERC Energy Regulatory Commission Annual Charges (4) </t>
  </si>
  <si>
    <t xml:space="preserve"> A/C 2281 Storm Reserve Accrual Reclassification To Transm. O&amp;M</t>
  </si>
  <si>
    <t xml:space="preserve"> MISO Implementation Costs Deferral</t>
  </si>
  <si>
    <t xml:space="preserve"> A/C 2281 Storm Reserve Accrual Reclassification</t>
  </si>
  <si>
    <t xml:space="preserve"> Storm A/C 2281 Storm Reserve Accrual Reclassification</t>
  </si>
  <si>
    <t>FERC Docket (1)</t>
  </si>
  <si>
    <t>Order Date (1)</t>
  </si>
  <si>
    <t>Accrual Expense</t>
  </si>
  <si>
    <t>Regional &amp; Marketing O&amp;M  (Account 575 and Account 576)</t>
  </si>
  <si>
    <t>Total Account 561 (Line 5 + Line 6)</t>
  </si>
  <si>
    <t>Account 456.1 Transmission Service Revenue Credits</t>
  </si>
  <si>
    <t>Transmission Service Other Revenue Credits</t>
  </si>
  <si>
    <t>Transmission Service Revenue Credits</t>
  </si>
  <si>
    <t>Transmission Network &amp; LTF Service Revenues</t>
  </si>
  <si>
    <t>Account 456.1 Transmission Network &amp; LTF Service Revenues</t>
  </si>
  <si>
    <t xml:space="preserve">General Advertising expenses that may be included are those associated with safety, education and outreach expenses relating to transmission, for example siting or billing. </t>
  </si>
  <si>
    <t xml:space="preserve">Removes from revenue credits those revenues that are distributed pursuant to Schedules associated with Attachment GG of the MISO Tariff. </t>
  </si>
  <si>
    <t>Removes from revenue credits those revenues that are distributed pursuant to Schedules associated with Attachment MM of the MISO Tariff.</t>
  </si>
  <si>
    <t>Per Settlement Agreement in ER13-948 Accounts 5611 through 5618 are not included in Transmission Expense.</t>
  </si>
  <si>
    <t>Based on gross receipts</t>
  </si>
  <si>
    <t>Retail-related other taxes that are a function of or imposed based on retail service, retail customer revenue or other retail criteria (e.g., gross receipts taxes based on retail revenues, franchise taxes based on retail service, and state regulatory taxes) shall be assigned to “Other.”</t>
  </si>
  <si>
    <t>Allocation Category (5)</t>
  </si>
  <si>
    <t>Deferral Payroll Costs are assumed to be the same proportion as Payroll Costs were to Total Costs and will be used to adjust the Wages &amp; Salary Allocator.</t>
  </si>
  <si>
    <t>228153 - Securitization Proceeds</t>
  </si>
  <si>
    <t>Network Customer OATT Section 30.9 Facilities Credits</t>
  </si>
  <si>
    <t xml:space="preserve">  Less Adjustments  </t>
  </si>
  <si>
    <t>For  the 12 Months Ended 12/31/2014</t>
  </si>
  <si>
    <t>Transm. O&amp;M Excluding Acct. 561 (Acct 560 to 574)</t>
  </si>
  <si>
    <t>The 12CP peak is the average of the 12 monthly system peaks in a calendar year, coincident with the MISO Transmission Pricing Zone's monthly transmission system peaks, calculated as the native load plus Network Service customers' monthly network loads plus the reserve capacity of all Long Term Firm Point-to-Point Customers.</t>
  </si>
  <si>
    <t xml:space="preserve">The Entergy Operating Company’s total company PBOP expense to be allocated in part to transmission each year shall not be changed absent a filing under Section 205 or 206 of the Federal Power Act, unless the Entergy Operating Company is authorized to use pay-as-you-go accounting for PBOPs. </t>
  </si>
  <si>
    <t>Network Customer 2</t>
  </si>
  <si>
    <t>Deferral</t>
  </si>
  <si>
    <t>Deferral (3)</t>
  </si>
  <si>
    <t>Amortization (3)</t>
  </si>
  <si>
    <t>Total  Sum Line 1 Subparts</t>
  </si>
  <si>
    <t xml:space="preserve">FERC </t>
  </si>
  <si>
    <t>Deferral Amortization</t>
  </si>
  <si>
    <t>Retail</t>
  </si>
  <si>
    <t>Current Year Project Costs</t>
  </si>
  <si>
    <t>Payroll</t>
  </si>
  <si>
    <t>Current Yr (2)</t>
  </si>
  <si>
    <t>Adjustment</t>
  </si>
  <si>
    <t>Payroll (3)</t>
  </si>
  <si>
    <t>Current Yr</t>
  </si>
  <si>
    <t>TP =</t>
  </si>
  <si>
    <t>(Over)/Under Collection</t>
  </si>
  <si>
    <t>Other Costs (A/C 1010 to 253107)</t>
  </si>
  <si>
    <t>Other Expenses (A/C 419100 to 432000)</t>
  </si>
  <si>
    <t>Distribution O&amp;M  (Account 580 to Account 598)</t>
  </si>
  <si>
    <t>Transmission O&amp;M Excluding Account 561 (Accounts 560 to 574)</t>
  </si>
  <si>
    <t>(2) The above totals exclude the Attachment GG and Attachment MM capital additions, if any, and other transmission facilities not includable in the Attachment O revenue requirement.</t>
  </si>
  <si>
    <t>Total Interest</t>
  </si>
  <si>
    <t>Reserved for Future Use (1)</t>
  </si>
  <si>
    <t>The above lines on this MISO Cover Rate Formula Template labeled "Reserved for Future Use" will not be used absent a Section 205 or 206 filing.</t>
  </si>
  <si>
    <t>Monthly Additions Transmission PIS (2)</t>
  </si>
  <si>
    <t>Allowed Expenses</t>
  </si>
  <si>
    <t>Difference (Ln 1 - Ln 2)  (Note 1) (Note 2)</t>
  </si>
  <si>
    <t>Account 430 Interest on Long Term Debt to Associated Companies (2)</t>
  </si>
  <si>
    <t xml:space="preserve">Only amounts associated with currently issued Preferred Stock are included in the Preferred Stock capital. </t>
  </si>
  <si>
    <t>Sum of (FF1 300.b.21 + 300.b.22) for total above.</t>
  </si>
  <si>
    <t>Fiber Optics Equalization Revenue and Fiber Optics expense in Account 921010 are allocated on the Wages &amp; Salary Allocator.</t>
  </si>
  <si>
    <t xml:space="preserve">C </t>
  </si>
  <si>
    <t>D=C/12</t>
  </si>
  <si>
    <t>E = D x G</t>
  </si>
  <si>
    <t>Payroll O&amp;M Excluding A&amp;G  Sum (Ln 12 To Ln 20)</t>
  </si>
  <si>
    <t xml:space="preserve">Costs associated with Entergy's unconsummated merger with ITC were recorded on Entergy's books in 2012, 2013, and 2014. </t>
  </si>
  <si>
    <t>Payroll amounts are determined from Entergy's accounting records where payroll amounts were recorded with a payroll indicator.</t>
  </si>
  <si>
    <t>WP AJ2 - ITC Transaction Costs (1) (2) (3)</t>
  </si>
  <si>
    <t>Customer Accounts Expenses</t>
  </si>
  <si>
    <t>This is a retail-only deferral reflected on the Company's books and in FERC Form 1.  For FERC purposes, deferral amounts and amortization amounts are reversed in the year in which they occurred.</t>
  </si>
  <si>
    <t>MISO implementation costs for FERC were deferred per FERC Docket ER14-1645-000 Order Dated May 29, 2014 and recovered under MISO Schedule 47. There is both a retail deferral and a FERC deferral reflected on the Company's books in 2012, 2013, and 2014 and in FERC Form 1.  Amortization of the FERC deferral began in 2014 and will end in 2016. For both retail and FERC purposes amortization amounts are reversed in the year in which they occurred.</t>
  </si>
  <si>
    <t>Unfunded Reserves Rate Base Credits/Debits and any Associated Balance Sheet Accounts &amp; Regulatory Assets included in this formula based on FERC approval will be categorized as follows: (i) amounts primarily incurred by virtue of ownership of transmission plant shall be assigned 100% to the “Transmission” category; (ii) amounts primarily incurred by virtue of ownership of plant, including transmission plant, shall be assigned to the “Plant“ category and allocated based on the Gross Plant Allocator; (iii)  amounts primarily incurred by virtue of ownership of general plant or intangible plant or are primarily associated with labor shall be assigned to the “Labor” category and allocated based on the Wages &amp; Salary Allocator; and, (iv) amounts primarily associated with production, gas, or other associations not previously included will be assigned to "Other" and not included in the formula determination.</t>
  </si>
  <si>
    <t>See WP02 notes for categorization of amounts in Unfunded Reserves.</t>
  </si>
  <si>
    <t>WP20 - Unfunded Reserves (1) (3)</t>
  </si>
  <si>
    <t>Associated Balance Sheet Accounts &amp; Regulatory Assets (5)</t>
  </si>
  <si>
    <t>Unfunded Reserves Rate Base Credits/Debits (5)</t>
  </si>
  <si>
    <r>
      <t>Account 430 interest will be limited to Long Term Interest associated with Long Term Debt from Associated Companies</t>
    </r>
    <r>
      <rPr>
        <sz val="10"/>
        <rFont val="Arial"/>
        <family val="2"/>
      </rPr>
      <t>.</t>
    </r>
  </si>
  <si>
    <t>Monthly Interest</t>
  </si>
  <si>
    <t>Outstanding Network Credits is the balance of Network Facilities Upgrades Credits due Transmission Customers who have made lump-sum payments (net of accumulated depreciation) towards the construction of Network Transmission Facilities consistent with Paragraph 657 of Order 2003-A. Interest on the Network Credits as booked each year is added to the revenue requirement to make the Transmission Owner whole.  Entergy will provide a supporting work paper.</t>
  </si>
  <si>
    <t>The gains and losses on hedges shall be removed from the Long-Term Debt Cost calculation unless inclusion of such hedges has been accepted by the FERC pursuant to a FPA Section 205 or 206 filing.</t>
  </si>
  <si>
    <r>
      <t xml:space="preserve">Include only the balances associated with long-term debt and </t>
    </r>
    <r>
      <rPr>
        <sz val="12"/>
        <rFont val="Arial"/>
        <family val="2"/>
      </rPr>
      <t>exclude balances associated with short-term debt.</t>
    </r>
  </si>
  <si>
    <t xml:space="preserve">Revenue Requirement associated with credits received by Network Customers for their integrated transmission facilities under Section 30.9. </t>
  </si>
  <si>
    <t>Year 2 (3)</t>
  </si>
  <si>
    <t>Non - Payroll</t>
  </si>
  <si>
    <t>All Incremental; No Payroll</t>
  </si>
  <si>
    <t>HCM Retail-Only Deferral Adjustment</t>
  </si>
  <si>
    <t xml:space="preserve">D </t>
  </si>
  <si>
    <t>C + D</t>
  </si>
  <si>
    <t>B + E</t>
  </si>
  <si>
    <t>See MISO May 31, 2013 filing in FERC Docket ER13-945 for Grandfathered status.</t>
  </si>
  <si>
    <t>Payroll Loading</t>
  </si>
  <si>
    <t>Entergy Services, Inc. 408155 Franchise Tax-Misc  (Ln 4)</t>
  </si>
  <si>
    <t>A positive result when subtracted in Appendix A or MISO Cover will lower O&amp;M.  A negative result will increase O&amp;M.</t>
  </si>
  <si>
    <t>Source Acct 253190 Employment Litigation Liab</t>
  </si>
  <si>
    <t>Units of Property Deduction - transmission</t>
  </si>
  <si>
    <t>Less Account 214 Capital Stock Expense (Pfd) (3) (4)</t>
  </si>
  <si>
    <t>Account 207 Premium on Pfd Stock (3) (4)</t>
  </si>
  <si>
    <t>WP19 - Attachment O Divisor (MW)</t>
  </si>
  <si>
    <t>p.117.62.c</t>
  </si>
  <si>
    <t>p.117.63.c</t>
  </si>
  <si>
    <t>p.117.64.c</t>
  </si>
  <si>
    <t>p.117.65.c</t>
  </si>
  <si>
    <t>p.117.66.c</t>
  </si>
  <si>
    <t>p.117.67.c</t>
  </si>
  <si>
    <t>p.118.29.c</t>
  </si>
  <si>
    <t>Group</t>
  </si>
  <si>
    <t>WP07 - 13-Month Average Materials &amp; Supplies</t>
  </si>
  <si>
    <t>WP 08 - 13-Month Average Prepayments</t>
  </si>
  <si>
    <t>WP09 - 13-Month Average Plant Held for Future Use</t>
  </si>
  <si>
    <t>WP16 - 13-Month Average Generator Interconnection Facilities (1)</t>
  </si>
  <si>
    <t>Production O&amp;M (Accounts 500 - 557)</t>
  </si>
  <si>
    <t>561.2 - Load Dispatch Monitor &amp; Operate Transm System</t>
  </si>
  <si>
    <t>561.3 - Load Dispatch Transm Service &amp; Scheduling</t>
  </si>
  <si>
    <t>561.2BA - Load Dispatch Load Balancing</t>
  </si>
  <si>
    <t>561.5 - Reliability Planning &amp; Standards Development</t>
  </si>
  <si>
    <t>562 - Station Expenses</t>
  </si>
  <si>
    <t>564 - Underground Line Expenses</t>
  </si>
  <si>
    <t>563 - Overhead Line Expenses</t>
  </si>
  <si>
    <t>567 - Rents</t>
  </si>
  <si>
    <t>567.1 - Operation Supplies &amp; Expenses</t>
  </si>
  <si>
    <t>Transm. O&amp;M Excluding A/C 561</t>
  </si>
  <si>
    <t>Revenues shall be assigned to: "Transmission Revenue Credits" if they are (i) rents derived from transmission facilities, (ii) revenues for non-firm or short-term firm transmission service, or (iii) revenues for Entergy System Agreement transmission equalization; "Transmission Network Revenue" if they are revenues for long-term firm or network transmission service; "Labor" if they are revenues from rents for general plant; or "Other" if they are for any other type of revenue resulting from production, ancillary transmission services, or distribution functions or are collected through a different tariff process than MISO Attachment O.</t>
  </si>
  <si>
    <t>561.1 - Load Dispatch Reliability</t>
  </si>
  <si>
    <t>561.4 - Scheduling System Control &amp; Dispatch Services</t>
  </si>
  <si>
    <t>920 - Administrative &amp; General Salaries Total</t>
  </si>
  <si>
    <t>Depreciation Expense - Service Co (Account 4031AM)</t>
  </si>
  <si>
    <t>570 - Maintenance Of Station Equipment</t>
  </si>
  <si>
    <t>571 - Maintenance Of Overhead of Lines</t>
  </si>
  <si>
    <t>568 - Maintenance Supervision &amp; Engineer</t>
  </si>
  <si>
    <t>Non-Payroll</t>
  </si>
  <si>
    <t>Non-Payroll Costs</t>
  </si>
  <si>
    <t>Transmission Net</t>
  </si>
  <si>
    <t>(Over) / Under Collections Balance (3)</t>
  </si>
  <si>
    <t>Other Revenue Requirement Adjustment(s) (4)</t>
  </si>
  <si>
    <t>…</t>
  </si>
  <si>
    <t>….</t>
  </si>
  <si>
    <t>4.XX</t>
  </si>
  <si>
    <t>2.XX</t>
  </si>
  <si>
    <t>7.XX</t>
  </si>
  <si>
    <t>1.XX</t>
  </si>
  <si>
    <t>6.XX</t>
  </si>
  <si>
    <t>8.XX</t>
  </si>
  <si>
    <t>11.XX</t>
  </si>
  <si>
    <t>14.XX</t>
  </si>
  <si>
    <t>Additional  Items As Applicable</t>
  </si>
  <si>
    <t>42a</t>
  </si>
  <si>
    <t>42b</t>
  </si>
  <si>
    <t>MISO Schedule</t>
  </si>
  <si>
    <t>WP10 - Actual Storm Costs Reclassified to Transmission O&amp;M Accounts &amp; Account 924 (1)</t>
  </si>
  <si>
    <t>Values brought forward from the source work paper as presented with the same sign (positive value or negative value) as is on the source work paper.  A determination must be made as to whether the value should be an increase or a decrease applied in the formula rate.</t>
  </si>
  <si>
    <t>The portion associated with preferred stock is taken from the company's detailed accounting records and is not reported in FERC Form 1 in that detail.  An informational work paper will be provided.</t>
  </si>
  <si>
    <t>Adjustments (7)</t>
  </si>
  <si>
    <r>
      <rPr>
        <b/>
        <sz val="9"/>
        <rFont val="Times New Roman"/>
        <family val="1"/>
      </rPr>
      <t>Company</t>
    </r>
    <r>
      <rPr>
        <b/>
        <sz val="10"/>
        <rFont val="Times New Roman"/>
        <family val="1"/>
      </rPr>
      <t xml:space="preserve"> Total</t>
    </r>
  </si>
  <si>
    <t>Monthly Interest Rate (5)</t>
  </si>
  <si>
    <t xml:space="preserve">Facility Credits are for transmission of wheeling of electricity provided by others and will only be included pursuant to FERC Section 205 or 206 filing approving such credits. The FERC docket number and order date will be included in this workpaper. </t>
  </si>
  <si>
    <t>Account 208-211 Other Paid in Capital (Pfd) (3) (4)</t>
  </si>
  <si>
    <t>Less Account 213 Discount on Capital Stock (Pfd) (3) (4)</t>
  </si>
  <si>
    <t>Less Account 217 Reacquired Capital Stock (Pfd) (3) (4)</t>
  </si>
  <si>
    <t>See Note V on Appendix A.</t>
  </si>
  <si>
    <t>WP AJ3 - Human Capital Management Retail Deferral &amp; Amortization (1) (2) (3)</t>
  </si>
  <si>
    <t>FF1 p321 Sum Lines 85 to 92 Column B</t>
  </si>
  <si>
    <t>Plus Account 565 - Transmission Equalization Payments to Associated Companies</t>
  </si>
  <si>
    <t xml:space="preserve"> FF1 p332.h</t>
  </si>
  <si>
    <t>ADIT net of FASB 109 Allocated to Transmission</t>
  </si>
  <si>
    <t>WP AJ5 - Acadia PB2 Deferral Amortization (1)</t>
  </si>
  <si>
    <t>Total Transmission O&amp;M Add sum of line numbers</t>
  </si>
  <si>
    <t>Total All Add sum of line numbers</t>
  </si>
  <si>
    <t>Reversal of the retail deferral and amortization expenses for transmission improvements associated with Acadia PB2.</t>
  </si>
  <si>
    <t>Entergy Louisiana, LLC</t>
  </si>
  <si>
    <t>Attachment O-ELL</t>
  </si>
  <si>
    <t>WP AJ4 - EGSL &amp; ELL Merger Costs (1) (2)</t>
  </si>
  <si>
    <t>Nonpayroll Costs</t>
  </si>
  <si>
    <t>Transmission O&amp;M Excluding Acct 561 (Accts 560 through 574)</t>
  </si>
  <si>
    <t>Payroll O&amp;M Excl A&amp;G  Sum (Ln 12 Thru Ln 20)</t>
  </si>
  <si>
    <t>Entergy is not seeking recovery at FERC of the EGSL and ELL merger expenses that are included in FERC Form 1.</t>
  </si>
  <si>
    <t>The deferral only includes incremental, non-payroll costs.</t>
  </si>
  <si>
    <t>ELTO</t>
  </si>
  <si>
    <t>ELMP</t>
  </si>
  <si>
    <t>Acadia Block 2 Unit   ELL - 0751</t>
  </si>
  <si>
    <t>Acadia 138kV Switching Station - TSL - ELI - C205</t>
  </si>
  <si>
    <t>Acadia-Richard 138kV L3 - TLA - ELI - 0303</t>
  </si>
  <si>
    <t>Acadia-Richard 138kV L4 - TLA - ELI - 0304</t>
  </si>
  <si>
    <t>Lg-Snake Farm-Orleans Airline - TLA - ELI - 0187</t>
  </si>
  <si>
    <t>LPL - 0549</t>
  </si>
  <si>
    <t>Norco (North) 115Kv Sub - TSL - ELI - 0549</t>
  </si>
  <si>
    <t>Amite-Bogalusa - TLA - ELI - 0114</t>
  </si>
  <si>
    <t>LPL - 0562</t>
  </si>
  <si>
    <t>Bogalusa (Camelia) 115Kv Sub - TSL - ELI - 0562</t>
  </si>
  <si>
    <t>Port Nickel-Carisle 115kv - TLA - ELI - 0168</t>
  </si>
  <si>
    <t>LPL - 0608</t>
  </si>
  <si>
    <t>Port Nickel 115Kv Sub - TSL - ELI - 0608</t>
  </si>
  <si>
    <t>Waterford 230Kv Sub - TSL - ELI - 0627</t>
  </si>
  <si>
    <t>LPL - 0627</t>
  </si>
  <si>
    <t>Lg-Bayou Steel - TLA - ELI - 0240</t>
  </si>
  <si>
    <t>LPL - 0240</t>
  </si>
  <si>
    <t>Winnfield-Hodge - TLA - ELI - 0112</t>
  </si>
  <si>
    <t>LPL - 0426</t>
  </si>
  <si>
    <t>Jonesboro 115Kv Sub - TSL - ELI - 0426</t>
  </si>
  <si>
    <t>Vienna-Ruston - TLA - ELI - 0173</t>
  </si>
  <si>
    <t>LPL - 0173</t>
  </si>
  <si>
    <t>Clovelly-Loop - TLA - ELI - 0236</t>
  </si>
  <si>
    <t>LPL - 0236</t>
  </si>
  <si>
    <t>Alliance to Happy Jack 115kV Transmission Line - TLA - ELI - 0268</t>
  </si>
  <si>
    <t>LPL - 0408</t>
  </si>
  <si>
    <t>Happy Jack 115kV Substation - TSL - ELI - 0408</t>
  </si>
  <si>
    <t>Minden-La Ordinance Plant - TLA - ELI - 0138</t>
  </si>
  <si>
    <t>LPL - 0425</t>
  </si>
  <si>
    <t>La Ordnance Plant 115Kv Sub - TSL - ELI - 0425</t>
  </si>
  <si>
    <t>Sarepta-Cullen - TLA - ELI - 0132</t>
  </si>
  <si>
    <t>LPL - 0453</t>
  </si>
  <si>
    <t>Internatl Paper Co 115Kv Sub - TSL - ELI - 0453</t>
  </si>
  <si>
    <t>Monroe 69Kv System - TLA - ELI - 0225</t>
  </si>
  <si>
    <t>LPL - 0481</t>
  </si>
  <si>
    <t>Buckhorn 69Kv Sub - TSL - ELI - 0481</t>
  </si>
  <si>
    <t>Jena-Midway - TLA - ELI - 0165</t>
  </si>
  <si>
    <t>LPL - 0486</t>
  </si>
  <si>
    <t>Midway 115Kv Sub - TSL - ELI - 0486</t>
  </si>
  <si>
    <t>Sorrento-Burnside - TLA - ELI - 0152</t>
  </si>
  <si>
    <t>LPL - 0539</t>
  </si>
  <si>
    <t>Burnside 115Kv Sub - TSL - ELI - 0539</t>
  </si>
  <si>
    <t>Leeville-Caminada - TLA - ELI - 0169</t>
  </si>
  <si>
    <t>LPL - 0169</t>
  </si>
  <si>
    <t>Alliance-Buras - TLA - ELI - 0234</t>
  </si>
  <si>
    <t>LPL - 0234</t>
  </si>
  <si>
    <t>Grand Isle 34.5Kv Sub - TSL - ELI - 0654</t>
  </si>
  <si>
    <t>LPL - 0654</t>
  </si>
  <si>
    <t>Venice 34.5Kv Sub (Inactive) - DSL - ELI - 6824</t>
  </si>
  <si>
    <t>LPL - 6824</t>
  </si>
  <si>
    <t>Poydras-Yscloskey (Inactive) - TLA - ELI - 0167</t>
  </si>
  <si>
    <t>LPL - 0167</t>
  </si>
  <si>
    <t>Ninemile Point Generator #6: 115kV (Ln.305) Circuit 6A &amp; 6B - TLA - ELL - 0305</t>
  </si>
  <si>
    <t>ELL - 0305</t>
  </si>
  <si>
    <t>Ninemile Point Generator #6: 230kV (Ln.306) Circuit 6C - TLA - ELL - 0306</t>
  </si>
  <si>
    <t>ELL - 0306</t>
  </si>
  <si>
    <t>Occupational License</t>
  </si>
  <si>
    <t>Inspection &amp; Supervision Fee</t>
  </si>
  <si>
    <t xml:space="preserve">Accrued interest on tax deficiencies - FIN48 accrued interest. </t>
  </si>
  <si>
    <t>Regulatory liability regarding securitized storm costs.</t>
  </si>
  <si>
    <t>This represents the inclusion in taxable income of system agreement rough production cost equalization payments received.</t>
  </si>
  <si>
    <t>CIAC is related to plant.</t>
  </si>
  <si>
    <t>Step up in tax basis of intangible plant.</t>
  </si>
  <si>
    <t>Step up in tax basis of plant.</t>
  </si>
  <si>
    <t>Securitzed Plant related.</t>
  </si>
  <si>
    <t>Regulatory liability regarding retail costs.</t>
  </si>
  <si>
    <t>Rate Refund accts 1823IL, 229000, 242010, 253000, 253060</t>
  </si>
  <si>
    <t>Source Account 232RET</t>
  </si>
  <si>
    <t>W3 SGR Disallowance</t>
  </si>
  <si>
    <t>Federal NOL carry forward is related to tax depreciation.</t>
  </si>
  <si>
    <t>Federal Net Operating Loss carryforward is related to all tax deductions including bonus tax depreciation</t>
  </si>
  <si>
    <t>State Net Operating Loss carryforward is related to all tax deductions including bonus tax depreciation</t>
  </si>
  <si>
    <t>Employee tax credit carryforwards.</t>
  </si>
  <si>
    <t>Federal ADIT on state tax accruals is related to net operating loss carryforward.</t>
  </si>
  <si>
    <t>Pensions capitalized to plant for book deducted for tax.</t>
  </si>
  <si>
    <t>Taxes capitalized to plant for book deducted for tax.</t>
  </si>
  <si>
    <t>Plant related - account 432000</t>
  </si>
  <si>
    <t>General Plant related</t>
  </si>
  <si>
    <t>Intangible Plant basis difference.</t>
  </si>
  <si>
    <t>Nuclear</t>
  </si>
  <si>
    <t>128313 - Prefund prop ins escrw Gus/Ike</t>
  </si>
  <si>
    <t>Storm Rider SCO (182)</t>
  </si>
  <si>
    <t>MISO cost deferral account 1823MN.</t>
  </si>
  <si>
    <t>Miscellaneous</t>
  </si>
  <si>
    <t>Regulatory Asset</t>
  </si>
  <si>
    <t>Nuclear related.</t>
  </si>
  <si>
    <t>WP AJ4 LA Merger Ln 8 Col. C</t>
  </si>
  <si>
    <t>WP AJ4 LA Merger Ln 22 Col. C</t>
  </si>
  <si>
    <t>WP AJ4 LA Merger Ln 21 Col. C</t>
  </si>
  <si>
    <t>MTM Vidalia Initial Tax Year</t>
  </si>
  <si>
    <t>Little Gypsy Securitization</t>
  </si>
  <si>
    <t>p.207.58g</t>
  </si>
  <si>
    <t>p.219.25c</t>
  </si>
  <si>
    <t>5.  Deferred income taxes arise when items are included in taxable income in different periods than they are included in rates, therefore if the item giving rise to the ADIT is not included in the formula, the associated ADIT amount shall be excluded</t>
  </si>
  <si>
    <t>6.  In filling out this work paper, a full and complete description of each item and justification for the classification in Columns "E" through "H" and Columns "I" through "L" and each separate ADIT item will be listed, dissimilar items exceeding $100,000 will be listed separately.</t>
  </si>
  <si>
    <t>Adjustments as applicable or needed.</t>
  </si>
  <si>
    <t>WP AJ1 - RTO/MISO Start-up Costs (1) (4)</t>
  </si>
  <si>
    <t>MISO Cover</t>
  </si>
  <si>
    <t>READ ME: Cell L6 is a toggle in the Excel workbook. It switches between the Projected Rate results and the True-up results.</t>
  </si>
  <si>
    <t>True-up</t>
  </si>
  <si>
    <t xml:space="preserve">Removes the dollar amount of revenue requirements for facilities calculated pursuant to Attachment GG of the MISO Tariff.  The True-up amount in Column G is based on the True-up result in the GG template.  The Projected amount in Column H is based on the Projected result in the GG Template. </t>
  </si>
  <si>
    <t xml:space="preserve">Removes the dollar amount of revenue requirements for facilities calculated pursuant to Attachment MM of the MISO Tariff.  The True-up amount in Column G is based on the True-up result in the MM template.  The Projected amount in Column H is based on the Projected result in the MM Template. </t>
  </si>
  <si>
    <t>The components of capitalization for the Projected Rate determined in the Annual Update shall be based on end-of-year values for the historical calendar year.  The True-up for the same historical calendar year shall be based upon 13-month average balances.</t>
  </si>
  <si>
    <t>Use average of beginning-of-year and end-of-year balances for the True-up column.  Use end-of-year balances for Projected column.</t>
  </si>
  <si>
    <t>Use 13-month average balance for both the True-up and Projected columns.</t>
  </si>
  <si>
    <t>WP01 True-up: Interest &amp; Amortization for Attachment O Transmission Revenue Requirement Over/Under Collection Balance (1)</t>
  </si>
  <si>
    <t>Imputed True-up Year Revenues</t>
  </si>
  <si>
    <t>Total Imputed True-up Year Revenues</t>
  </si>
  <si>
    <t xml:space="preserve">Attachment O Revenues for True-up purposes are those Bundled Load Exemption, Network, and Long-Term Firm revenues whose demands are summed in the peak demand calculations and are the denominator in the Point-to-Point rate calculation. </t>
  </si>
  <si>
    <t>Radial Lines (BOY/EOY Average Used for True-up)</t>
  </si>
  <si>
    <t>For 2014 the FERC annual fees to be recovered are limited to the amounts billed by the FERC directly to the Entergy Operating Company and paid directly by the Entergy Operating Company to the FERC.  After the 2014 True-up Year, FERC Annual Fees will be billed through MISO Schedule 10.</t>
  </si>
  <si>
    <t>True-up: Average Beginning of Year and End of Year</t>
  </si>
  <si>
    <t>Credit for Transmission Customer Network Service revenues is applied in the True-up calculation and Projected calculation.</t>
  </si>
  <si>
    <t>Net RTO/MISO related Start-Up costs recorded in True-up Year</t>
  </si>
  <si>
    <t>Reversal of deferrals not approved by FERC are entered as positive amounts so that the full amount of the deferral is reflected in the True-up Year values.  True-up Year amortizations of deferrals not approved by FERC are entered as negative amounts to decrease O&amp;M.</t>
  </si>
  <si>
    <t>Appendix A True-up Column Line 193</t>
  </si>
  <si>
    <t>B=C+D+E+F</t>
  </si>
  <si>
    <t>F=G+H</t>
  </si>
  <si>
    <t>Sum of (MISO Schedule 42a Revenue + MISO Schedule 42b Revenue) = Account 456142</t>
  </si>
  <si>
    <t>(8)</t>
  </si>
  <si>
    <t>Added 2014</t>
  </si>
  <si>
    <t>The projected charges for the Annual Update shall be based on end-of-year plant-related values for the historical base year plus new plant (excluding capital additions that will be recovered through MISO rate Schedules other than Schedules 7, 8 and 9) that is projected to be placed into service in the immediately subsequent calendar year weighted by the number of months the new plant is projected to be in service.  The True-up calculation for each calendar year shall be based upon 13-month average plant-related balances.  Supporting work papers will be provided.</t>
  </si>
  <si>
    <r>
      <t>Property Insurance excludes prior period adjustments for the first year, calendar year 2014, of the formula's operation</t>
    </r>
    <r>
      <rPr>
        <sz val="12"/>
        <rFont val="Arial"/>
        <family val="2"/>
      </rPr>
      <t>.  Property Insurance includes prior period adjustments, if any, in calendar year 2015 and subsequent years .</t>
    </r>
  </si>
  <si>
    <r>
      <t>Transmission plant excluded from rates will include Step-Up Facilities, Supplemental Upgrades, Radial lines and Generator Interconnection facilities.  Radial lines will be reported in a supporting work paper and will be updated annually as part of the annual rate update process to identify the radial facilities included in transmission rate base for the relevant rate year and Entergy will indicate any changes to the listing from the prior year.  If new radial facilities are added or changes made to facilities identified on the work paper, the status of those new or changed facilities as radial transmission facilities will be assessed using the criteria identified in Section 3 of MISO’s Business Practice Manual 28, Transmission Determination Process for Prospective or Existing Unregulated Transmission Owner’s Facilities, Application for Transmission Determination of FERC Seven Factors Test for Local Distribution (“BPM-028”).  Entergy will report Generator Interconnection Facilities in a work paper and must remove from transmission rates those</t>
    </r>
    <r>
      <rPr>
        <sz val="12"/>
        <rFont val="Arial"/>
        <family val="2"/>
      </rPr>
      <t xml:space="preserve"> facilities constructed or purchased by Entergy on or after March 15, 2000 (FERC Order 2003: Docket RM02-1-000, Issued July 24, 2003, page 154).</t>
    </r>
  </si>
  <si>
    <t xml:space="preserve">Less True-up Amount Billed in True-up Year (2) </t>
  </si>
  <si>
    <t>Attachment O Revenues For True-up (1)</t>
  </si>
  <si>
    <t>True-up Revenue Requirement</t>
  </si>
  <si>
    <t>True-up Amortization &amp; Interest Calculation</t>
  </si>
  <si>
    <t>The True-up billed during the calendar year will be the sum of the True-up amounts billed during each of the 12 months of the calendar year.</t>
  </si>
  <si>
    <t xml:space="preserve">FERC approved regulatory deferral adjustments and Entergy voluntary adjustments are used in the determination of account balances.  Entergy shall provide a detailed supporting work paper and accompanying detailed explanations for the need for the adjustment, in conformance with Section II of the Entergy Operating Company's Annual Update, Information Exchange and Challenge Procedures.  Additional lines may be added or removed as needed and appropriate.   </t>
  </si>
  <si>
    <t>Rounded amounts are reported on Page 400, FERC Form 1.</t>
  </si>
  <si>
    <r>
      <t xml:space="preserve">Load For Rate Development  </t>
    </r>
    <r>
      <rPr>
        <sz val="8.8000000000000007"/>
        <rFont val="Arial"/>
        <family val="2"/>
      </rPr>
      <t>(8)</t>
    </r>
  </si>
  <si>
    <t>F (6)</t>
  </si>
  <si>
    <t>G (7)</t>
  </si>
  <si>
    <r>
      <rPr>
        <sz val="10"/>
        <rFont val="Arial"/>
        <family val="2"/>
      </rPr>
      <t>Total True-up Amount</t>
    </r>
  </si>
  <si>
    <t>Total True Up Amount with Interest</t>
  </si>
  <si>
    <t>Other Revenue Requirement Adjustments are adjustments not included or reflected in the test year revenue requirement and include, but are not limited to, out-of-period adjustments relating to FERC ordered adjustments, settlements, or corrections.  Other Revenue Requirement Adjustments will be included in the True-Up and Amortization calculation in the appropriate month.  Interest, if applied, will be calculated at the FERC interest rate in effect during the period related to the Other Revenue Requirement Adjustment and in conjunction with Note 5 below.</t>
  </si>
  <si>
    <t>Interest will be calculated for the prior True-Up Year's true-up amount in accordance with 18 CFR § 35.19.a and will be included in the subsequent rate year charges to customers to whom charges under which this Attachment O is applied.</t>
  </si>
  <si>
    <t xml:space="preserve">Lines 26.01 to 26.29 Column F will be calculated as follows: (i) for Lines 26.01 to 26.12, Column F is 1/12 of Line 21; (ii) for Lines 26.13 to 26.17, Column F is blank; (iii) for Lines 26.18 to 26.29, Column F is a constant equal amount determined by iteration, with Line 26.18 as the single input and Lines 26.19 to 26.29 equal to Line 26.18, where those amounts will produce full amortization to zero (Line 26.29, Column H) for Line 29 Total True-up Amount with Interest; and, (iv) Lines 26.01 to 26.17, Column F may be adjusted by an Other Revenue Requirement Adjustment amount pursuant to Note 4. </t>
  </si>
  <si>
    <t>Lines 26.01 to 26.29 Column G will be calculated as follows: (i) for Line 26.01, Column G = Column F; (ii) for Lines 26.04 to 26.28 where Column A = 1, Column G = Column F for the current month + Column H for the prior month; (iii) for Lines 26.02 to 26.29, where Column A is blank, Column G = Column F for the current month + Column G for the prior month.</t>
  </si>
  <si>
    <t>True-up with Interest</t>
  </si>
  <si>
    <t>For Checking Purposes Only –Do Not Print</t>
  </si>
  <si>
    <r>
      <t>General Advertising expenses recorded in Account 930.1 and associated solely with safety, education and outreach shall be included, except  that General Advertising expenses</t>
    </r>
    <r>
      <rPr>
        <sz val="10.8"/>
        <rFont val="Arial"/>
        <family val="2"/>
      </rPr>
      <t xml:space="preserve"> </t>
    </r>
    <r>
      <rPr>
        <sz val="12"/>
        <rFont val="Arial"/>
        <family val="2"/>
      </rPr>
      <t xml:space="preserve">that are 100% recovered at or allocable to retail will not be included.  </t>
    </r>
  </si>
  <si>
    <t>Total Transmission O&amp;M (Line 7 + Line 8)</t>
  </si>
  <si>
    <r>
      <t xml:space="preserve">In conformance with Section II of the Entergy Operating Company's Annual </t>
    </r>
    <r>
      <rPr>
        <sz val="10.8"/>
        <rFont val="Arial"/>
        <family val="2"/>
      </rPr>
      <t>Update</t>
    </r>
    <r>
      <rPr>
        <sz val="12"/>
        <rFont val="Arial"/>
        <family val="2"/>
      </rPr>
      <t>, Information Exchange and Challenge Procedures, Entergy shall provide a supporting work paper with accompanying detailed descriptions of the need for each adjustment.  Entergy will include in the description</t>
    </r>
    <r>
      <rPr>
        <b/>
        <sz val="12"/>
        <rFont val="Arial"/>
        <family val="2"/>
      </rPr>
      <t xml:space="preserve"> </t>
    </r>
    <r>
      <rPr>
        <sz val="12"/>
        <rFont val="Arial"/>
        <family val="2"/>
      </rPr>
      <t>the docket number in which FERC approved each adjustment.  No adjustments will be included absent FERC approval.</t>
    </r>
  </si>
  <si>
    <r>
      <t xml:space="preserve">Unfunded Reserves are Reserves that are charged to accounts recovered in the formula rate, </t>
    </r>
    <r>
      <rPr>
        <sz val="10.8"/>
        <rFont val="Arial"/>
        <family val="2"/>
      </rPr>
      <t xml:space="preserve">and </t>
    </r>
    <r>
      <rPr>
        <sz val="12"/>
        <rFont val="Arial"/>
        <family val="2"/>
      </rPr>
      <t>are offset (reduced) by any contra accounts that are not deposited into trusts or restricted accounts.</t>
    </r>
  </si>
  <si>
    <t>ITC Transaction Charge                                          (Enter as Negative)</t>
  </si>
  <si>
    <t>EGSL/ELL Merger Expense Adjustment                   (Enter as Negative)</t>
  </si>
  <si>
    <t>ITC Transaction Costs Not Charged to Customers    (Enter as Negative)</t>
  </si>
  <si>
    <r>
      <t xml:space="preserve">Acadia Power Block 2 Deferral Adjustment              </t>
    </r>
    <r>
      <rPr>
        <b/>
        <sz val="10"/>
        <rFont val="Arial"/>
        <family val="2"/>
      </rPr>
      <t xml:space="preserve"> </t>
    </r>
    <r>
      <rPr>
        <sz val="10"/>
        <rFont val="Arial"/>
        <family val="2"/>
      </rPr>
      <t>(Enter as Negative)</t>
    </r>
  </si>
  <si>
    <t>Retail-related prepayments, such as taxes imposed on retail customers, services, operations or revenues, are excluded from allocation in the transmission revenue requirement and assigned to the “Other” category.</t>
  </si>
  <si>
    <t>No storm damage accrual, storm damage reserve, or regulatory asset for transmission storm damage expense will be included in the formula except where authorized by FERC pursuant to a limited, single-issue Section 205 filing seeking recovery of the storm costs from wholesale customers.  The unamortized amount will be included in rate base and the authorized amortization will be added to transmission expense.  Entergy may seek FERC authorization for storm damage treatment when a Qualifying Storm and Property Damage Event ("Qualifying Event") occurs that is defined as an event, occurrence, or incident that causes damage and outages to the Entergy transmission system where either (A) a single such event, occurrence, or incident in a calendar year that results in transmission-related non-capital (i.e., operation and maintenance) costs that equal or exceed five percent (5%) of the Projected Net Revenue Requirement, or (B) the aggregate of multiple such events, occurrences, or incidents over the course of a calendar year results in transmission-related noncapital costs that equal or exceed ten percent (10%) of the Projected Net Revenue Requirement where the term “Projected Net Revenue Requirement” means the revenue requirement that is being billed on December 31 of the year in which the storm(s) at issue occurred.  If the storm is not a Qualifying Event then the formula rate inputs will be modified to add back any O&amp;M expenses that were offset by the retail storm reserve under transmission expenses.</t>
  </si>
  <si>
    <t>See Appendix A Note D. For the accrual OpCo's (EAI, EMI, ENOI, and ETI), the difference is the annual Account 926 accrual amount less Entergy's annual FERC 205 PBOP filing amount (FERC allowed expenses).</t>
  </si>
  <si>
    <t xml:space="preserve">Positive values above result in decreases to O&amp;M expense.  Similarly, negative amounts are increases to O&amp;M expense. </t>
  </si>
  <si>
    <t>WP AJ3 HCM Ln 13 Column F</t>
  </si>
  <si>
    <t xml:space="preserve">WP AJ3 HCM Ln 14 Column F </t>
  </si>
  <si>
    <t>DO NOT PRINT</t>
  </si>
  <si>
    <t>Agreement with Joint Customers and MISO to complete the Description of the Group on the Blank Template and to leave Col C highlighted because the Group could change</t>
  </si>
  <si>
    <t>WP AJ3 HCM Ln 21 Column F</t>
  </si>
  <si>
    <t>Co-owner Big Cajun</t>
  </si>
  <si>
    <t>Co-owner credits</t>
  </si>
  <si>
    <t>FERC Account 253017</t>
  </si>
  <si>
    <t>FERC Account 253018</t>
  </si>
  <si>
    <t>Mark to market of purchase power contracts</t>
  </si>
  <si>
    <t>This represents the elimination of book expenses for the future clean up of hazardous waste at various locations. These costs are not deductible for tax purposes until actually incurred. (Account 242U95)</t>
  </si>
  <si>
    <t>This represents the elimination of book expenses for the future clean up of hazardous waste at various locations. These costs are not deductible for tax purposes until actually incurred. (Account 253U09 &amp; 253U25)</t>
  </si>
  <si>
    <t>Nuclear Related</t>
  </si>
  <si>
    <t>Abeyed River Bend</t>
  </si>
  <si>
    <t>Production Related</t>
  </si>
  <si>
    <t>Reference FF1 p.272.8.b &amp; 273.8.k</t>
  </si>
  <si>
    <t>Nuclear plant related</t>
  </si>
  <si>
    <t>Relates to Nelson 6 generator, included in rate basis</t>
  </si>
  <si>
    <t>RiverBend related</t>
  </si>
  <si>
    <t>Accounts 182348 &amp; 253348-Current balance amt owed to ETI</t>
  </si>
  <si>
    <t>Southern Gulf Railway</t>
  </si>
  <si>
    <t>ADIT- 281 (amounts are entered as sign opposite of FF1 presentation)</t>
  </si>
  <si>
    <t>Seventy Second Substation - TSL - EGSI - 37008</t>
  </si>
  <si>
    <t>GSU - 37008</t>
  </si>
  <si>
    <t>Jaguar To Mickens 69Kv Ln - TLA - EGSI - 67370</t>
  </si>
  <si>
    <t>Baker Substation - TSL - EGSI - 37030</t>
  </si>
  <si>
    <t>GSU - 37030</t>
  </si>
  <si>
    <t>Maurice Substation - TSL - EGSI - 38019</t>
  </si>
  <si>
    <t>GSU - 38019</t>
  </si>
  <si>
    <t>Ford Substation - TSL - EGSI - 38148</t>
  </si>
  <si>
    <t>GSU - 38148</t>
  </si>
  <si>
    <t>East Broad To Lake 69Kv Ln - TLA - EGSI - 67624</t>
  </si>
  <si>
    <t>Lone Star - TSL - EGSI - 38174</t>
  </si>
  <si>
    <t>GSU - 38174</t>
  </si>
  <si>
    <t>Line #15 To Lone Star Cement 6 - TLA - EGSI - 67293R</t>
  </si>
  <si>
    <t>Carlin Trans. Metering Sub-Lak - TSL - EGSI - 28284</t>
  </si>
  <si>
    <t>GSU - 28284</t>
  </si>
  <si>
    <t>Line #280 To Texas Erath 69Kv - TLA - EGSI - 67281R</t>
  </si>
  <si>
    <t>Duson Substation - TSL - EGSI - 38024</t>
  </si>
  <si>
    <t>GSU - 38024</t>
  </si>
  <si>
    <t>Dixie Suplhur Substation - TSL - EGSI - 38056</t>
  </si>
  <si>
    <t>GSU - 38056</t>
  </si>
  <si>
    <t>Line #630 To Hillebrandt 69Kv - TLA - EGSI - 67231R</t>
  </si>
  <si>
    <t>Parks Substation - TSL - EGSI - 38062</t>
  </si>
  <si>
    <t>GSU - 38062</t>
  </si>
  <si>
    <t>Cecelia To Moril 69Kv Ln - TLA - EGSI - 67625</t>
  </si>
  <si>
    <t>St Martinville Substation - TSL - EGSI - 38076</t>
  </si>
  <si>
    <t>GSU - 38076</t>
  </si>
  <si>
    <t>Line #220 To St Martinville 69 - TLA - EGSI - 67294</t>
  </si>
  <si>
    <t>Colonial L C Substation - TSL - EGSI - 38078</t>
  </si>
  <si>
    <t>GSU - 38078</t>
  </si>
  <si>
    <t>Line #285-Colonial Lake Charle - TLA - EGSI - 67633R</t>
  </si>
  <si>
    <t>Maplewood Substation - TSL - EGSI - 38087</t>
  </si>
  <si>
    <t>GSU - 38087</t>
  </si>
  <si>
    <t>Sulphur Switching To Mossville - TLA - EGSI - 67227</t>
  </si>
  <si>
    <t>Air Force Base - TSL - EGSI - 38100</t>
  </si>
  <si>
    <t>GSU - 38100</t>
  </si>
  <si>
    <t>Chlomal To Smith 69Kv Ln - TLA - EGSI - 67278</t>
  </si>
  <si>
    <t>Egan Substation - TSL - EGSI - 38181</t>
  </si>
  <si>
    <t>GSU - 38181</t>
  </si>
  <si>
    <t>Jennings To Scott 69Kv Ln - TLA - EGSI - 67018</t>
  </si>
  <si>
    <t>Line #623 To Alligator 69Kv Ln - TLA - EGSI - 67208</t>
  </si>
  <si>
    <t>GSU - 38211</t>
  </si>
  <si>
    <t>Pci To Hercules #2 69Kv Ln - TLA - EGSI - 67284</t>
  </si>
  <si>
    <t>GSU - 38305</t>
  </si>
  <si>
    <t>Port Barre Substation - TSL - EGSI - 38044</t>
  </si>
  <si>
    <t>GSU - 38044</t>
  </si>
  <si>
    <t>Line #637 To Ort Barre 69Kv Ln - TLA - EGSI - 67632R</t>
  </si>
  <si>
    <t>Colonial Springs - TSL - EGSI - 38123</t>
  </si>
  <si>
    <t>GSU - 38123</t>
  </si>
  <si>
    <t>Line #641 To Colonial Springs - TLA - EGSI - 64642R</t>
  </si>
  <si>
    <t>Butadiene To Cities Service 69 - TLA - EGSI - 67291R</t>
  </si>
  <si>
    <t>GSU - 38193</t>
  </si>
  <si>
    <t>Expline Substation - TSL - EGSI - 38210</t>
  </si>
  <si>
    <t>GSU - 38210</t>
  </si>
  <si>
    <t>Line #292 To Expline 69Kv Ln - TLA - EGSI - 67285</t>
  </si>
  <si>
    <t>Sweet Crude Substation - TSL - EGSI - 38300</t>
  </si>
  <si>
    <t>GSU - 38300</t>
  </si>
  <si>
    <t>Line #292 To Sweet Crude Sub 6 - TLA - EGSI - 67238R</t>
  </si>
  <si>
    <t>Sidco Substation - TSL - EGSI - 37166</t>
  </si>
  <si>
    <t>GSU - 37166</t>
  </si>
  <si>
    <t>Line #739 To Sidco 69Kv Ln - TLA - EGSI - 67725R</t>
  </si>
  <si>
    <t>Gillis Gas - TSL - EGSI - 38264</t>
  </si>
  <si>
    <t>GSU - 38264</t>
  </si>
  <si>
    <t>Line #602 To Gillis Gas 69Kv L - TLA - EGSI - 67673R</t>
  </si>
  <si>
    <t>Plantation Pipe Line - TSL - EGSI - 38311</t>
  </si>
  <si>
    <t>GSU - 38311</t>
  </si>
  <si>
    <t>Starhill Substation - TSL - EGSI - 37091</t>
  </si>
  <si>
    <t>GSU - 37091</t>
  </si>
  <si>
    <t>Line #368 To Starhill 138Kv Ln - TLA - EGSI - 64338R</t>
  </si>
  <si>
    <t>Grant Substation - TSL - EGSI - 37199</t>
  </si>
  <si>
    <t>GSU - 37199</t>
  </si>
  <si>
    <t>Line #723 To Grant 69Kv Ln - TLA - EGSI - 67724R</t>
  </si>
  <si>
    <t>Interstate Pipe Line Substatio - TSL - EGSI - 38021</t>
  </si>
  <si>
    <t>GSU - 38021</t>
  </si>
  <si>
    <t>Line #216 To Interstate Pipeli - TLA - EGSI - 67622R</t>
  </si>
  <si>
    <t>Iowa Substation - TSL - EGSI - 38093</t>
  </si>
  <si>
    <t>GSU - 38093</t>
  </si>
  <si>
    <t>Line 288-La - TLA - EGSI - 67288</t>
  </si>
  <si>
    <t>Cokhan Substation - TSL - EGSI - 38118</t>
  </si>
  <si>
    <t>GSU - 38118</t>
  </si>
  <si>
    <t>Line #282 To Cokhan 69Kv Ln - TLA - EGSI - 67655R</t>
  </si>
  <si>
    <t>Dixie Breaux Substation - TSL - EGSI - 38054</t>
  </si>
  <si>
    <t>GSU - 38054</t>
  </si>
  <si>
    <t>Line #259 To Dixie Breaux 69Kv - TLA - EGSI - 67626R</t>
  </si>
  <si>
    <t>Angola Substation - TSL - EGSI - 37018</t>
  </si>
  <si>
    <t>GSU - 37018</t>
  </si>
  <si>
    <t>Francis To Angola 69Kv Ln - TLA - EGSI - 67386R</t>
  </si>
  <si>
    <t>Salt Dome Substation - TSL - EGSI - 37019</t>
  </si>
  <si>
    <t>GSU - 37019</t>
  </si>
  <si>
    <t>Line #739 To Salt Dome 69Kv Ln - TLA - EGSI - 67310R</t>
  </si>
  <si>
    <t>Dixie Baker Substation - TSL - EGSI - 37028</t>
  </si>
  <si>
    <t>GSU - 37028</t>
  </si>
  <si>
    <t>Colfel Substation - TSL - EGSI - 37085</t>
  </si>
  <si>
    <t>GSU - 37085</t>
  </si>
  <si>
    <t>Coly To Colfel 230Kv Ln - TLA - EGSI - 62747</t>
  </si>
  <si>
    <t>Fairground Substation - TSL - EGSI - 37185</t>
  </si>
  <si>
    <t>GSU - 37185</t>
  </si>
  <si>
    <t>Coly To Fairground 69Kv Ln - TLA - EGSI - 67360R</t>
  </si>
  <si>
    <t>Nesser Substation - TSL - EGSI - 37188</t>
  </si>
  <si>
    <t>GSU - 37188</t>
  </si>
  <si>
    <t>Nesser To Line #399 69Kv Ln - TLA - EGSI - 67372R</t>
  </si>
  <si>
    <t>Pam Substation - TSL - EGSI - 37228</t>
  </si>
  <si>
    <t>GSU - 37228</t>
  </si>
  <si>
    <t>Line #739 To Pam 69Kv Ln - TLA - EGSI - 67349R</t>
  </si>
  <si>
    <t>Church Substation - TSL - EGSI - 38006</t>
  </si>
  <si>
    <t>GSU - 38006</t>
  </si>
  <si>
    <t>Jennings To Church 69Kv Ln - TLA - EGSI - 67611R</t>
  </si>
  <si>
    <t>Estherwood Substation - TSL - EGSI - 38046</t>
  </si>
  <si>
    <t>GSU - 38046</t>
  </si>
  <si>
    <t>Line #18 To Estherwood 69Kv Ln - TLA - EGSI - 67045R</t>
  </si>
  <si>
    <t>Texas Erath Substation - TSL - EGSI - 38058</t>
  </si>
  <si>
    <t>GSU - 38058</t>
  </si>
  <si>
    <t>Barnett Oil Mill Substation - TSL - EGSI - 38059</t>
  </si>
  <si>
    <t>GSU - 38059</t>
  </si>
  <si>
    <t>Line #217 To Barnet Oil Mill 6 - TLA - EGSI - 67658</t>
  </si>
  <si>
    <t>Gulf Krotz Substation - TSL - EGSI - 38064</t>
  </si>
  <si>
    <t>GSU - 38064</t>
  </si>
  <si>
    <t>Champagne To Str #294 69Kv Ln - TLA - EGSI - 67612</t>
  </si>
  <si>
    <t>Line #216 To Gulk Krotz 69Kv L - TLA - EGSI - 67689R</t>
  </si>
  <si>
    <t>Dischler Substation - TSL - EGSI - 38065</t>
  </si>
  <si>
    <t>GSU - 38065</t>
  </si>
  <si>
    <t>Line #18 To Dischler 69Kv Ln - TLA - EGSI - 67212R</t>
  </si>
  <si>
    <t>Jungle Gardens Substation - TSL - EGSI - 38074</t>
  </si>
  <si>
    <t>GSU - 38074</t>
  </si>
  <si>
    <t>Line #224 To Jungle Gardens 69 - TLA - EGSI - 67635R</t>
  </si>
  <si>
    <t>Colonial Welsh Substation - TSL - EGSI - 38122</t>
  </si>
  <si>
    <t>GSU - 38122</t>
  </si>
  <si>
    <t>Line #298 To Colonial Welsh 13 - TLA - EGSI - 64640R</t>
  </si>
  <si>
    <t>Averico Substation - TSL - EGSI - 38129</t>
  </si>
  <si>
    <t>GSU - 38129</t>
  </si>
  <si>
    <t>Line #249 To Averico 69Kv Ln - TLA - EGSI - 67645</t>
  </si>
  <si>
    <t>Ellis Substation - TSL - EGSI - 38176</t>
  </si>
  <si>
    <t>GSU - 38176</t>
  </si>
  <si>
    <t>Line #18 To Ellis 69Kv Ln - TLA - EGSI - 67662R</t>
  </si>
  <si>
    <t>International Substation - TSL - EGSI - 38202</t>
  </si>
  <si>
    <t>GSU - 38202</t>
  </si>
  <si>
    <t>Mobil To International 69Kv Ln - TLA - EGSI - 67224R</t>
  </si>
  <si>
    <t>Mermentau Sub - TSL - EGSI - 38223</t>
  </si>
  <si>
    <t>GSU - 38223</t>
  </si>
  <si>
    <t>Opel Substation - TSL - EGSI - 38205</t>
  </si>
  <si>
    <t>GSU - 38205</t>
  </si>
  <si>
    <t>Sunset To Champagne 69Kv Ln - TLA - EGSI - 67217</t>
  </si>
  <si>
    <t>Brittany - Westlake #1 230Kv Line (Ln. 239) - TLA - EGSL - 62239</t>
  </si>
  <si>
    <t>EGSL - 62239</t>
  </si>
  <si>
    <t>Brittany - Westlake #2 230Kv Line (Ln. 246) - TLA - EGSL - 62246</t>
  </si>
  <si>
    <t>EGSL - 62246</t>
  </si>
  <si>
    <t>Brittany - Westlake #3 230Kv Line (Ln. 261) - TLA - EGSL - 62261</t>
  </si>
  <si>
    <t>EGSL - 62261</t>
  </si>
  <si>
    <t>Calcasieu Generation Facility Common - CGC - EGSI - 0150</t>
  </si>
  <si>
    <t>Calcasieu Generation Facility Unit 2 - CG2 - EGSI - 0152</t>
  </si>
  <si>
    <t>Calcasieu Generation Facility Unit 1 - CG1 - EGSI - 0151</t>
  </si>
  <si>
    <t>Ouachita Plant Unit 3 - Prod. Other - EGSL - 1503</t>
  </si>
  <si>
    <t>Merged from EGSL Template</t>
  </si>
  <si>
    <t>Added 2015</t>
  </si>
  <si>
    <t xml:space="preserve">Description </t>
  </si>
  <si>
    <t>Business Combination of EGSL &amp; ELL</t>
  </si>
  <si>
    <t>Federal NOL carryforward related to tax attributes left at old company</t>
  </si>
  <si>
    <t>State NOL carryforward related to tax attributes left at old company</t>
  </si>
  <si>
    <t>ADIT for tax attributes left at old company</t>
  </si>
  <si>
    <t>Justification corrected</t>
  </si>
  <si>
    <t>Corporate Franchise Tax</t>
  </si>
  <si>
    <t>Federal Unemployment Tax</t>
  </si>
  <si>
    <t>Pipeline Safety Inspect Fee</t>
  </si>
  <si>
    <t xml:space="preserve">State and Local Use Taxes </t>
  </si>
  <si>
    <t>Corrected formula 3/38/2016</t>
  </si>
  <si>
    <t>added functionalization 3/18/2016</t>
  </si>
  <si>
    <t>Added formula to "End of Year" 3/18/2016</t>
  </si>
  <si>
    <t>Includes all Regulatory Commission Expenses.</t>
  </si>
  <si>
    <t>Electric portion only.</t>
  </si>
  <si>
    <t>Cash working capital allowance is 0.00% of O&amp;M.</t>
  </si>
  <si>
    <r>
      <t>AEP</t>
    </r>
    <r>
      <rPr>
        <b/>
        <sz val="10"/>
        <color rgb="FFFF0000"/>
        <rFont val="Arial"/>
        <family val="2"/>
      </rPr>
      <t/>
    </r>
  </si>
  <si>
    <t>AEP MINDEN</t>
  </si>
  <si>
    <r>
      <t>CLECO NORTHLAKE</t>
    </r>
    <r>
      <rPr>
        <b/>
        <sz val="10"/>
        <rFont val="Arial"/>
        <family val="2"/>
      </rPr>
      <t/>
    </r>
  </si>
  <si>
    <t>CLECO VALLEY</t>
  </si>
  <si>
    <t>EWOM/SRMPA</t>
  </si>
  <si>
    <r>
      <t>LAGEN</t>
    </r>
    <r>
      <rPr>
        <b/>
        <sz val="10"/>
        <rFont val="Arial"/>
        <family val="2"/>
      </rPr>
      <t/>
    </r>
  </si>
  <si>
    <t>DEMCO</t>
  </si>
  <si>
    <t>LEPA</t>
  </si>
  <si>
    <r>
      <t>RUSTON</t>
    </r>
    <r>
      <rPr>
        <b/>
        <sz val="10"/>
        <rFont val="Arial"/>
        <family val="2"/>
      </rPr>
      <t/>
    </r>
  </si>
  <si>
    <t>CLECO ABBEVILLE</t>
  </si>
  <si>
    <r>
      <t>CLECO STMVL</t>
    </r>
    <r>
      <rPr>
        <b/>
        <sz val="10"/>
        <rFont val="Arial"/>
        <family val="2"/>
      </rPr>
      <t/>
    </r>
  </si>
  <si>
    <t>LAGEN</t>
  </si>
  <si>
    <r>
      <t>DEMCO</t>
    </r>
    <r>
      <rPr>
        <b/>
        <sz val="10"/>
        <rFont val="Arial"/>
        <family val="2"/>
      </rPr>
      <t/>
    </r>
  </si>
  <si>
    <r>
      <t>LEPA</t>
    </r>
    <r>
      <rPr>
        <b/>
        <sz val="10"/>
        <rFont val="Arial"/>
        <family val="2"/>
      </rPr>
      <t/>
    </r>
  </si>
  <si>
    <t>165000: Prepayments</t>
  </si>
  <si>
    <t>165100: Prepaid Insurance</t>
  </si>
  <si>
    <t>165222: Toledo Bend Power Account</t>
  </si>
  <si>
    <t>165400: Prepaid Ins Directors&amp;Officers</t>
  </si>
  <si>
    <t>165408: Pp Taxes - Gas Safety Fee</t>
  </si>
  <si>
    <t>165506: Prepaid Dues - INPO</t>
  </si>
  <si>
    <t>165507: Prepaid Dues - Nuc Energy Inst</t>
  </si>
  <si>
    <t>165508: Prepaid Fees - FEMA</t>
  </si>
  <si>
    <t>165510: Prepaid Dues to EEI</t>
  </si>
  <si>
    <t>165520: Ad Valorem Taxes</t>
  </si>
  <si>
    <t>165603: PPD IQNavigator, Inc</t>
  </si>
  <si>
    <t>165730: Pp Tax-Lic-Occup</t>
  </si>
  <si>
    <t>165RNT: Prepaid Rent Expense</t>
  </si>
  <si>
    <t>165SAI: PrePaid Designated Servic-SAIC</t>
  </si>
  <si>
    <t>165U39: Prepaid Life Insurance   Kidco</t>
  </si>
  <si>
    <t>Franchise Tax- Local</t>
  </si>
  <si>
    <t>Ouachita 500KV Switch Yard-EAI-LA - 2019</t>
  </si>
  <si>
    <t>456000: Other Electric Revenues</t>
  </si>
  <si>
    <t>456001: Fees-Gustav/Ike Securitization</t>
  </si>
  <si>
    <t>456002: Distribution Substation Svc.</t>
  </si>
  <si>
    <t>456003: MISO Mkt Sch 11 Wholesale Dist</t>
  </si>
  <si>
    <t>456010: Misc Rec - Ouachita Upgrades</t>
  </si>
  <si>
    <t>4560MS: Third Party Sales of Inventory</t>
  </si>
  <si>
    <t>456100: Miscellaneous Revenue</t>
  </si>
  <si>
    <t>456101: Side Lights</t>
  </si>
  <si>
    <t>456102: Gia Annual Fees</t>
  </si>
  <si>
    <t>456104: Cwl Transmission Revenue</t>
  </si>
  <si>
    <t>456105: Transmisn Service Rev-Non Firm</t>
  </si>
  <si>
    <t>456107: Network Transmission Revenue</t>
  </si>
  <si>
    <t>456107: Network Transmission Revenue- Nits Dist. Sub</t>
  </si>
  <si>
    <t>456108: Schdlg Syst Control &amp; Dispatch</t>
  </si>
  <si>
    <t>456110: Ar Gross Receipts Tax</t>
  </si>
  <si>
    <t>456111: Non-Firm Transmission Revenue</t>
  </si>
  <si>
    <t>456112: Short Term Firm Transm Revenue</t>
  </si>
  <si>
    <t>456113: Long Term Firm Transm Revenue</t>
  </si>
  <si>
    <t>456117: Reg &amp; Freq Response Trans Rev</t>
  </si>
  <si>
    <t>456118: Spinning Reserve Ptp Tran Rev</t>
  </si>
  <si>
    <t>456119: Suppl Reserve Ptp Tran Rev</t>
  </si>
  <si>
    <t>456120: Fiber Optics (1)</t>
  </si>
  <si>
    <t>456127: RTO &amp; ICT Operations Costs Rec</t>
  </si>
  <si>
    <t>456139: MISO Sch 9 Network</t>
  </si>
  <si>
    <t>456141: MISO Sch 41 Stm Securitization</t>
  </si>
  <si>
    <t>456147: MISO Sch47 Transition Cost Rec</t>
  </si>
  <si>
    <t>4561A9: AECC MISO Sch 9 Network</t>
  </si>
  <si>
    <t>4561FR: FFR Transm Revenue</t>
  </si>
  <si>
    <t>456200: Unbilled Revenue</t>
  </si>
  <si>
    <t>456300: Unbilled Revenue-Wholesale</t>
  </si>
  <si>
    <t>456410: Trans Equal Charges</t>
  </si>
  <si>
    <t>456420: Affiliate service fee revenue</t>
  </si>
  <si>
    <t>456500: Other Elec Rev - Discounts</t>
  </si>
  <si>
    <t>228101: Int on Accum Prov for Prop Ins</t>
  </si>
  <si>
    <t>228153: Securitization proceeds</t>
  </si>
  <si>
    <t>228100: Accum Prov For Prop Insurance</t>
  </si>
  <si>
    <t>228151: Insurance proceeds-O&amp;M</t>
  </si>
  <si>
    <t>2281FR: Property Ins. Prov. Reclass</t>
  </si>
  <si>
    <t>2281LB: Storm Damage Reserve Lock Box</t>
  </si>
  <si>
    <t>228200: Accum Prov For Injuries &amp; Dam</t>
  </si>
  <si>
    <t>228210: Reserve For Inj &amp; Dam - Legal</t>
  </si>
  <si>
    <t>228301: Acc Prov-Pen&amp;Ben-Hosp Res-Adj</t>
  </si>
  <si>
    <t>228308: AccProv-OPEB Liab-FundedStatus</t>
  </si>
  <si>
    <t>228400: Acc Misc-Operating Prov</t>
  </si>
  <si>
    <t>228401: Accum Prov - Coal Car Maint</t>
  </si>
  <si>
    <t>228402: Ltd - Decomm &amp; Decontam</t>
  </si>
  <si>
    <t>228403: Acc Provision-Commer Litigatio</t>
  </si>
  <si>
    <t>4031AM: Deprec Exp billed from Serv Co</t>
  </si>
  <si>
    <t>408110: Employment Taxes</t>
  </si>
  <si>
    <t>500000: Oper Supervision &amp; Engineerin</t>
  </si>
  <si>
    <t>506000: Misc Steam Power Expenses</t>
  </si>
  <si>
    <t>556000: System Control &amp; Load Disp.</t>
  </si>
  <si>
    <t>557000: Other Expenses</t>
  </si>
  <si>
    <t>560000: Oper Super &amp; Engineering</t>
  </si>
  <si>
    <t>561200: Load Dispatch- transm system</t>
  </si>
  <si>
    <t>561500: Syst plan &amp; standards devlpmnt</t>
  </si>
  <si>
    <t>566000: Misc. Transmission Expenses</t>
  </si>
  <si>
    <t>568000: Maint. Supervision &amp; Engineer</t>
  </si>
  <si>
    <t>903002: Collection Expense</t>
  </si>
  <si>
    <t>909000: Information &amp; Instruct Adv Ex</t>
  </si>
  <si>
    <t>920000: Adm &amp; General Salaries</t>
  </si>
  <si>
    <t>921000: Office Supplies And Expenses</t>
  </si>
  <si>
    <t>923000: Outside Services Employed</t>
  </si>
  <si>
    <t>926000: Employee Pension &amp; Benefits</t>
  </si>
  <si>
    <t>928000: Regulatory Commission Expense</t>
  </si>
  <si>
    <t>930200: Miscellaneous General Expense</t>
  </si>
  <si>
    <t>407348: Regulatory Debits</t>
  </si>
  <si>
    <t>580000: Operation Supervision&amp;Enginee</t>
  </si>
  <si>
    <t>586000: Meter Expenses</t>
  </si>
  <si>
    <t>588000: Misc Distribution Expense</t>
  </si>
  <si>
    <t>907000: Supervision</t>
  </si>
  <si>
    <t>913000: Advertising Expense</t>
  </si>
  <si>
    <t>163000: Stores Expenses Undistributed</t>
  </si>
  <si>
    <t>184001: Operations  Vehicle</t>
  </si>
  <si>
    <t>417100: Expenses- Nonutility Oper</t>
  </si>
  <si>
    <t>592000: Maint. Of Station Equipment</t>
  </si>
  <si>
    <t>903001: Customer Records</t>
  </si>
  <si>
    <t>517000: Nuclear Oper Super &amp; Engineering</t>
  </si>
  <si>
    <t>524000: Nuclear Misc Expenses</t>
  </si>
  <si>
    <t>546000: Other Power Oper Super &amp; Engineering</t>
  </si>
  <si>
    <t>549000: Other Power Misc Expenses</t>
  </si>
  <si>
    <t>560000: Transm Oper Super &amp; Engineering</t>
  </si>
  <si>
    <t>569000: Transm Maint of Structures</t>
  </si>
  <si>
    <t>573000: Transm Maint of Misc Plant</t>
  </si>
  <si>
    <t>913000: Customer Serv Adver Expense</t>
  </si>
  <si>
    <t>931000: Rents</t>
  </si>
  <si>
    <t>935000: Maint of General Plant</t>
  </si>
  <si>
    <t>165004: Pp Taxes-Regulatory Commis.</t>
  </si>
  <si>
    <t>WP AJ6 - ELL General Plant Reserve Deficiency 15-Year Amortization (1)</t>
  </si>
  <si>
    <t>D = B - C</t>
  </si>
  <si>
    <t>Balance (3)</t>
  </si>
  <si>
    <t>Amortization</t>
  </si>
  <si>
    <t>Amortization Year</t>
  </si>
  <si>
    <t>Starting</t>
  </si>
  <si>
    <t>Ending</t>
  </si>
  <si>
    <t>Annual (2)</t>
  </si>
  <si>
    <t>Depreciation Expense (Account 403)</t>
  </si>
  <si>
    <t>Entergy shall recover 100% of the General Plant Reserve Deficiency amounts over a 15-year period for the years 2016 through 2030, but will not recover any return on the General Plant Reserve Depreciation amounts per the Settlement Agreement in ER16-227.</t>
  </si>
  <si>
    <t>Rounded amount.</t>
  </si>
  <si>
    <t>See Appendix A Note "LL".  The General Plant Reserve Deficiency adjustment amount is $132,845,637.</t>
  </si>
  <si>
    <t>303-Miscellaneous Intangible Plant (15 year life)</t>
  </si>
  <si>
    <t>303-Miscellaneous Intangible Plant (20 year life)</t>
  </si>
  <si>
    <t>2.92% / 3.00%</t>
  </si>
  <si>
    <t>303-Miscellaneous Intangible Plant (40 year life) (3)</t>
  </si>
  <si>
    <t>2.44% / 2.47% / 2.50%</t>
  </si>
  <si>
    <t>The 303-Miscellanous Intangible Plant (30 year life) category reflects amortization periods ranging from 33 to 34.25 years.</t>
  </si>
  <si>
    <t>The 303-Miscellanous Intangible Plant (40 year life) category reflects amortization periods ranging from 39.83 to 41 years.</t>
  </si>
  <si>
    <t>FERC Liberalized Depreciation Adjustment</t>
  </si>
  <si>
    <t>Liberalized tax depreciation adjustment for FERC-only (7)</t>
  </si>
  <si>
    <t>7. A supporting work paper with additional detail for this value will be provided.</t>
  </si>
  <si>
    <t>General Plant Reserve Deficiency Amortization</t>
  </si>
  <si>
    <t>LL</t>
  </si>
  <si>
    <t>In accordance with the Settlement Agreement in Docket ER16-227-000, effective January 1, 2016, the General Plant Accumulated Depreciation Reserves shall be adjusted by $132,845,637 for Entergy Louisiana, LLC. to reflect the exclusion of the General Plant Reserve Deficiency.  In addition, that $132,845,637 General Plant Reserve Deficiency adjustment shall be amortized over the 15-year period starting with calendar year 2016 through 2030, and the amortization amounts added to the General Plant Depreciation Expense during the amortization period.</t>
  </si>
  <si>
    <t>The base ROE shall be as established by FERC and is subject to change consistent with the outcome of proceedings in FERC Docket No. EL15-45, a final order concerning the ROE issue raised in MDEA v. FERC, (D.C. Circuit Case No. 14-1030), and otherwise subject to change pursuant to a FPA section 205 or 206 proceeding. A 50 basis point adder for RTO participation may be added to the ROE provided the total or maximum ROE may not to exceed the upper end of the zone of reasonableness established by FERC in EL14-12 or other proceeding.</t>
  </si>
  <si>
    <t>B + C + D + E</t>
  </si>
  <si>
    <t>Def Amort</t>
  </si>
  <si>
    <t>Merged from EGSL Template for 2016 rate update</t>
  </si>
  <si>
    <t>New for 2016 rate update</t>
  </si>
  <si>
    <t>WP17 Revenue Support - Account 456 Out-of-Period Revenue for ER13-948 2014 Test Year True-up</t>
  </si>
  <si>
    <t>Ln.</t>
  </si>
  <si>
    <t>Period</t>
  </si>
  <si>
    <t>Reclassify True-up amounts from either "Revenue Credits" or "Network Revenue" to "Other"</t>
  </si>
  <si>
    <t>Total Schedule Out of Period Amount</t>
  </si>
  <si>
    <t>2/12/2014: MISO-wide ROE was changed in EL14-12; Tariff compliance filing in ER17-215</t>
  </si>
  <si>
    <t>2017-02-12 Revised ER16-227</t>
  </si>
  <si>
    <t>2017-02-12 Added per ER16-227</t>
  </si>
  <si>
    <t>Expense</t>
  </si>
  <si>
    <t>Function</t>
  </si>
  <si>
    <t>Depreciation</t>
  </si>
  <si>
    <t>BOY (1)</t>
  </si>
  <si>
    <t>EOY (2)</t>
  </si>
  <si>
    <t>Blended</t>
  </si>
  <si>
    <t>Wholesale</t>
  </si>
  <si>
    <t>WP04 Ln 23 &amp; 35 (3)</t>
  </si>
  <si>
    <t>Net</t>
  </si>
  <si>
    <t>Composite Tax Rate</t>
  </si>
  <si>
    <t>App A Ln 150</t>
  </si>
  <si>
    <t xml:space="preserve">"BOY" (Beginning of Year) is the value in the prior test year's FERC Form 1. </t>
  </si>
  <si>
    <t>"EOY" (End of Year) is the value in the current test year's FERC Form 1.</t>
  </si>
  <si>
    <t>Adjustment to Liberalized Depreciation</t>
  </si>
  <si>
    <t>See WP04 Col. B - Intang, Col. F - Transm, Col. I - Distrib, Col. E - Prod, &amp; Col. J - General.</t>
  </si>
  <si>
    <t>WP06 - ADIT Support - Liberalized Depreciation Adjustment</t>
  </si>
  <si>
    <t>2017-02-12 Added ER16-227</t>
  </si>
  <si>
    <t xml:space="preserve">See the new note for an additional non-tariff workpaper. </t>
  </si>
  <si>
    <t>Accumulated Depreciation (1) (2)</t>
  </si>
  <si>
    <t>2017-02-12: MISO-wide ROE changed in EL14-12; Tariff compliance filing in ER17-215</t>
  </si>
  <si>
    <t>2017-02-12 Revised data source</t>
  </si>
  <si>
    <t>2017-02-12 Revised title</t>
  </si>
  <si>
    <t>2017-02-12 Added note "LL" per ER16-227</t>
  </si>
  <si>
    <t>WP21 - Pension</t>
  </si>
  <si>
    <t>F = C+D+E</t>
  </si>
  <si>
    <t>K = G+H+I+J</t>
  </si>
  <si>
    <t>Qualified Pension</t>
  </si>
  <si>
    <t>Non-Qualified Pension</t>
  </si>
  <si>
    <t>Account 253012
Funded Status</t>
  </si>
  <si>
    <t>Qualified Pension
Prepaid Pension Asset/
(Accrued Pension Liability)</t>
  </si>
  <si>
    <t>Account 242309 - Current Portion of Non-Qualified Pension</t>
  </si>
  <si>
    <t xml:space="preserve"> Account 253013 Non-Qualified Pension</t>
  </si>
  <si>
    <t>Non-Qualified Pension
Prepaid Pension Asset/
(Accrued Pension Liability)</t>
  </si>
  <si>
    <t>13-Mo Avg (3)</t>
  </si>
  <si>
    <t xml:space="preserve">p.269.f Amounts are entered as negative of FERC Form 1 </t>
  </si>
  <si>
    <t>(Sum of Line 4 though Line 16) / 13</t>
  </si>
  <si>
    <t>2017-01-10: ER15-1436 Changed from Other to Labor</t>
  </si>
  <si>
    <t>Qualified Pension Prepaid Asset / Liability</t>
  </si>
  <si>
    <t>2017-01-12: ER15-1436 Added Line</t>
  </si>
  <si>
    <t>Non-Qualified Pension Prepaid Asset / Liability</t>
  </si>
  <si>
    <t>Total Allocated Income Tax Adjustments</t>
  </si>
  <si>
    <t>WP17 Line 8 Column D</t>
  </si>
  <si>
    <t>(9)</t>
  </si>
  <si>
    <t>The January 2015 through October 2015 interest rate is 0%</t>
  </si>
  <si>
    <t>pursuant to the July 31, 2015 Settlement Agreement and the</t>
  </si>
  <si>
    <t>September 28, 2015 Procedures for Initial Transition Period filed</t>
  </si>
  <si>
    <t>in Docket No. ER13-948.</t>
  </si>
  <si>
    <t>TU Amount billed in 2016TY</t>
  </si>
  <si>
    <t xml:space="preserve">Revenues updated to reflect ROE from EL14-12 &amp; MISO re-billings </t>
  </si>
  <si>
    <t>Monthly interest rate updated to reflect most recent FERC Quarterly Interest Rates</t>
  </si>
  <si>
    <t>2/12/2017: EL14-12 changed MISO-wide ROE 9/28/2016; Compliance filing in ER17-215</t>
  </si>
  <si>
    <t>None at this time</t>
  </si>
  <si>
    <t>Typically zero (0)</t>
  </si>
  <si>
    <t>Input by MISO - DEMCO</t>
  </si>
  <si>
    <t>See Ln 152. Entergy chose to include the A/C 255 ADIT annual credit in the income tax calculation rather than the rate base balance</t>
  </si>
  <si>
    <t>Not Used</t>
  </si>
  <si>
    <t>Entergy System Agreement ended 8/31/2016</t>
  </si>
  <si>
    <t>Other FERC Transmission Dockets</t>
  </si>
  <si>
    <t>OpCo Transmission</t>
  </si>
  <si>
    <t>ESI Transmission</t>
  </si>
  <si>
    <t>OpCo Total Wages</t>
  </si>
  <si>
    <t>ESI Production</t>
  </si>
  <si>
    <t>ESI Distribution</t>
  </si>
  <si>
    <t>ESI Customer Accounts</t>
  </si>
  <si>
    <t>ESI Customer Service</t>
  </si>
  <si>
    <t>ESI Sales</t>
  </si>
  <si>
    <t>ESI Administrative &amp; General</t>
  </si>
  <si>
    <t>EOI Administrative &amp; General</t>
  </si>
  <si>
    <t>EOI Payroll</t>
  </si>
  <si>
    <t>ESI Regional Market</t>
  </si>
  <si>
    <t>OpCo Administrative &amp; General</t>
  </si>
  <si>
    <t>Acadia PowerBlock 2 Transmission Upgrades LPSC Docket No.U-32708, 18.5 Yr Amort Effective Dec 2014</t>
  </si>
  <si>
    <t>The ITC project ended in 2015.</t>
  </si>
  <si>
    <t>Total Native Load</t>
  </si>
  <si>
    <t>Blount To Zachary 69Kv Ln - TLA - EGSI - 67332</t>
  </si>
  <si>
    <t>Misspelling corrected 2017-04</t>
  </si>
  <si>
    <t>165508: PPD Emergency Planning Fees</t>
  </si>
  <si>
    <t>FERC interest updated per FERC website.</t>
  </si>
  <si>
    <t>Added 11/09/2016</t>
  </si>
  <si>
    <t>Entergy will provide a separate workpaper showing how this amount is computed.</t>
  </si>
  <si>
    <t>Revised 2016-11-09</t>
  </si>
  <si>
    <t>PENDING</t>
  </si>
  <si>
    <t>456142: MISO Sch 42 Int/AFUDC Amort (6)</t>
  </si>
  <si>
    <r>
      <t xml:space="preserve">Charges to Account 930.2 shall be subject to review and challenge as part of the protocols procedures.  Notwithstanding the specific language of the protocols, charges related directly or indirectly to transmission service should be included and charges not directly or indirectly related to transmission (wholly retail-related items, wholly production-related items, and/or wholly distribution-related items) are subject to challenge and should be excluded. </t>
    </r>
    <r>
      <rPr>
        <strike/>
        <sz val="12"/>
        <rFont val="Arial"/>
        <family val="2"/>
      </rPr>
      <t xml:space="preserve"> </t>
    </r>
    <r>
      <rPr>
        <strike/>
        <sz val="12"/>
        <color rgb="FFFF0000"/>
        <rFont val="Arial"/>
        <family val="2"/>
      </rPr>
      <t/>
    </r>
  </si>
  <si>
    <t>WP01 True-up: Interest &amp; Amortization for Attachment O Transmission Revenue Requirement Over/Under Collection Balance</t>
  </si>
  <si>
    <t>corrected line num ber reference in note</t>
  </si>
  <si>
    <t>Added yellow input highlighting in Col B&amp;C</t>
  </si>
  <si>
    <t>4031AM - Deprec Exp billed from Serv Co Total</t>
  </si>
  <si>
    <t>408110 - Employment Taxes Total</t>
  </si>
  <si>
    <t>500000 - Steam Oper Supervision &amp; Engineering</t>
  </si>
  <si>
    <t>506000 - Steam Misc Steam Power Expenses</t>
  </si>
  <si>
    <t>511000 - Steam Maintenance Of Structures Total</t>
  </si>
  <si>
    <t>514000 - Steam Maintenance of Misc Plant</t>
  </si>
  <si>
    <t>517000 - Nuclear Operation, Supervision &amp; Engr</t>
  </si>
  <si>
    <t>524000 - Nuclear Misc Power Expenses</t>
  </si>
  <si>
    <t>549000 - Other Misc Pwr Generation Expenses</t>
  </si>
  <si>
    <t>554000 - Other Maint Power Generation Plant</t>
  </si>
  <si>
    <t>560000 - Transm Oper Super &amp; Engineering</t>
  </si>
  <si>
    <t>561500 - Transm System Planning &amp; Standards</t>
  </si>
  <si>
    <t>566000 - Transm Misc Expenses</t>
  </si>
  <si>
    <t>568000 - Transm Maint Supervision &amp; Engineering</t>
  </si>
  <si>
    <t>569000 - Transm Maint Of Structures</t>
  </si>
  <si>
    <t>570000 - Transm Maint Of Station Equipment</t>
  </si>
  <si>
    <t>143983</t>
  </si>
  <si>
    <t>143985</t>
  </si>
  <si>
    <t>143987</t>
  </si>
  <si>
    <t>143995</t>
  </si>
  <si>
    <t>4031AM</t>
  </si>
  <si>
    <t>408110</t>
  </si>
  <si>
    <t>500000</t>
  </si>
  <si>
    <t>506000</t>
  </si>
  <si>
    <t>507000</t>
  </si>
  <si>
    <t>510000</t>
  </si>
  <si>
    <t>556000</t>
  </si>
  <si>
    <t>557000</t>
  </si>
  <si>
    <t>560000</t>
  </si>
  <si>
    <t>5612BA</t>
  </si>
  <si>
    <t>561300</t>
  </si>
  <si>
    <t>561500</t>
  </si>
  <si>
    <t>566000</t>
  </si>
  <si>
    <t>569100</t>
  </si>
  <si>
    <t>903002</t>
  </si>
  <si>
    <t>905000</t>
  </si>
  <si>
    <t>909000</t>
  </si>
  <si>
    <t>920000</t>
  </si>
  <si>
    <t>921000</t>
  </si>
  <si>
    <t>923000</t>
  </si>
  <si>
    <t>925000</t>
  </si>
  <si>
    <t>926000</t>
  </si>
  <si>
    <t>928000</t>
  </si>
  <si>
    <t>930100</t>
  </si>
  <si>
    <t>930200</t>
  </si>
  <si>
    <t>931000</t>
  </si>
  <si>
    <t>407348 - Regulatory Debits</t>
  </si>
  <si>
    <t>408110 - Employment Taxes</t>
  </si>
  <si>
    <t>500000 - Steam Oper Super &amp; Engineering</t>
  </si>
  <si>
    <t>506000 - Steam Misc Expenses</t>
  </si>
  <si>
    <t>517000 - Nuclear Oper Super &amp; Engineering</t>
  </si>
  <si>
    <t>524000 - Nuclear Misc Expenses</t>
  </si>
  <si>
    <t>546000 - Other Power Oper Super &amp; Engineering</t>
  </si>
  <si>
    <t>549000 - Other Power Misc Expenses</t>
  </si>
  <si>
    <t>569000 - Transm Maint of Structures</t>
  </si>
  <si>
    <t>573000 - Transm Maint of Misc Plant</t>
  </si>
  <si>
    <t>580000 - Distrib Oper Super &amp; Engineering</t>
  </si>
  <si>
    <t>586000 - Distrib Meter Expenses</t>
  </si>
  <si>
    <t>588000 - Distrib Misc Expenses</t>
  </si>
  <si>
    <t>907000 - Customer Serv Oper Super</t>
  </si>
  <si>
    <t>913000 - Customer Serv Adver Expense</t>
  </si>
  <si>
    <t>920000 - Adm &amp; General Salaries</t>
  </si>
  <si>
    <t>921000 - Office Supplies And Expenses</t>
  </si>
  <si>
    <t>923000 - Outside Services Employed</t>
  </si>
  <si>
    <t>926000 - Employee Pension &amp; Benefits</t>
  </si>
  <si>
    <t>931000 - Rents</t>
  </si>
  <si>
    <t>935000 - Maint of General Plant</t>
  </si>
  <si>
    <t>163000</t>
  </si>
  <si>
    <t>184001</t>
  </si>
  <si>
    <t>417100</t>
  </si>
  <si>
    <t>561200</t>
  </si>
  <si>
    <t>568000</t>
  </si>
  <si>
    <t>580000</t>
  </si>
  <si>
    <t>586000</t>
  </si>
  <si>
    <t>588000</t>
  </si>
  <si>
    <t>592000</t>
  </si>
  <si>
    <t>903001</t>
  </si>
  <si>
    <t>907000</t>
  </si>
  <si>
    <t>913000</t>
  </si>
  <si>
    <t>500000 - Oper Supervision &amp; Engineerin</t>
  </si>
  <si>
    <t>506000 - Misc Steam Power Expenses</t>
  </si>
  <si>
    <t>566000 - Misc. Transmission Expenses</t>
  </si>
  <si>
    <t>568000 - Maint. Supervision &amp; Engineer</t>
  </si>
  <si>
    <t>580000 - Operation Supervision&amp;Enginee</t>
  </si>
  <si>
    <t>586000 - Meter Expenses</t>
  </si>
  <si>
    <t>588000 - Misc Distribution Expense</t>
  </si>
  <si>
    <t>907000 - Supervision</t>
  </si>
  <si>
    <t>2017-02-12: ER16-227 Revised title</t>
  </si>
  <si>
    <t>2017-02-12: ER16-227 Added reference to new note</t>
  </si>
  <si>
    <t>2017-02-12: ER16-227 Deleted FF1 references; wholesale balances not in FF1</t>
  </si>
  <si>
    <t>2017-02-12: ER16-227 Added note</t>
  </si>
  <si>
    <t>283111   Deferred Fuel/Gas - Fed</t>
  </si>
  <si>
    <t>283112   Deferred Fuel/Gas - State</t>
  </si>
  <si>
    <t>190111   Intrst/Tax-Tax Deficienci-Fed</t>
  </si>
  <si>
    <t>190112   Intrst/Tax-Tax Deficienci-St</t>
  </si>
  <si>
    <t>190115   New Nuclear DevelopmntCost-Fed</t>
  </si>
  <si>
    <t>190116   New Nuclear Developmnt Cost-St</t>
  </si>
  <si>
    <t>190143   Securitization-Cont Saving-Fed</t>
  </si>
  <si>
    <t>190144   Securitization-Cont Saving-St</t>
  </si>
  <si>
    <t>190145   Securitization-Guarnty Sav-Fed</t>
  </si>
  <si>
    <t>190146   Securitization-Guarnty Sav-St</t>
  </si>
  <si>
    <t>190151   Taxable Unbilled Revenue-Fed</t>
  </si>
  <si>
    <t>190152   Taxable Unbilled Revenue-St</t>
  </si>
  <si>
    <t>190161   Property Ins Reserve-Fed</t>
  </si>
  <si>
    <t>190162   Property Ins Reserve-State</t>
  </si>
  <si>
    <t>190163   Capitalized Repairs - Fed</t>
  </si>
  <si>
    <t>190164   Capitalized Repairs - State</t>
  </si>
  <si>
    <t>190165   Syst Agrmt Equal Reg Liab-Fed</t>
  </si>
  <si>
    <t>190166   Sys Agrmt Equal Reg Liab-State</t>
  </si>
  <si>
    <t>190171   Inj &amp; Damages Reserve-Fed</t>
  </si>
  <si>
    <t>190172   Inj &amp; Damages Reserve-State</t>
  </si>
  <si>
    <t>190181   Contrib In Aid Of Constr-Fed</t>
  </si>
  <si>
    <t>190182   Contrib In Aid Of Constr-St</t>
  </si>
  <si>
    <t>190191   Customer Deposits-Fed</t>
  </si>
  <si>
    <t>190192   Customer Depsoits-State</t>
  </si>
  <si>
    <t>190211   Unfunded Pension Exp-Fed</t>
  </si>
  <si>
    <t>190212   Unfunded Pension Exp-State</t>
  </si>
  <si>
    <t>190213   SFAS 158 Def Tax Asset - Fed</t>
  </si>
  <si>
    <t>190214   SFAS 158 Def Tax Asset - State</t>
  </si>
  <si>
    <t>190215   Supplemental Pension Plan-Fed</t>
  </si>
  <si>
    <t>190216   Supplemental Pension Plan-St</t>
  </si>
  <si>
    <t>190221   Fas 106 Other Retire Ben-Fed</t>
  </si>
  <si>
    <t>190222   Fas 106 Other Retire Ben-State</t>
  </si>
  <si>
    <t>190241   Deferred Fuel/Gas-Fed</t>
  </si>
  <si>
    <t>190242   Deferred Fuel/Gas-St</t>
  </si>
  <si>
    <t>190251   Removal Cost - Fed</t>
  </si>
  <si>
    <t>190252   Removal Cost - State</t>
  </si>
  <si>
    <t>190261   Obsolete Inventory - Fed</t>
  </si>
  <si>
    <t>190307   Sale/Leaseback-Fed</t>
  </si>
  <si>
    <t>190308   Sale/Leaseback-State</t>
  </si>
  <si>
    <t>190311   Decommissioning-Fed</t>
  </si>
  <si>
    <t>190312   Decommissioning-State</t>
  </si>
  <si>
    <t>190317   Fas 143 - Federal</t>
  </si>
  <si>
    <t>190318   Fas 143 - State</t>
  </si>
  <si>
    <t>190325   Litigation Settlement - Fed</t>
  </si>
  <si>
    <t>190326   Litigation Settlement - State</t>
  </si>
  <si>
    <t>190331   Accrued Medical Claims-Fed</t>
  </si>
  <si>
    <t>190332   Accrued Medical Claims-State</t>
  </si>
  <si>
    <t>190351   Uncollect Accts Reserve-Fed</t>
  </si>
  <si>
    <t>190352   Uncollect Accts Reserve-St</t>
  </si>
  <si>
    <t>190355   Restructuring StepUp Intan-Fed</t>
  </si>
  <si>
    <t>190356   Restructuring StepUp Intang-St</t>
  </si>
  <si>
    <t>190357   Restructuring Basis StepUp-Fed</t>
  </si>
  <si>
    <t>190358   Restructuring Basis Step Up-St</t>
  </si>
  <si>
    <t>190359   ACT 55 TPP 481a - Fed</t>
  </si>
  <si>
    <t>190361   Nsep Expenses-Fed</t>
  </si>
  <si>
    <t>190362   Nsep Expenses-State</t>
  </si>
  <si>
    <t>190363   Basis Step Up - Fed</t>
  </si>
  <si>
    <t>190364   Basis Step Up - State</t>
  </si>
  <si>
    <t>190375   Regulatory Liability-Federal</t>
  </si>
  <si>
    <t>190376   Regulatory Liability-State</t>
  </si>
  <si>
    <t>190381   Partnership Income/Loss - Fed</t>
  </si>
  <si>
    <t>190382   Partnership Income/Loss-State</t>
  </si>
  <si>
    <t>190391   Contract Def Revenue-Fed</t>
  </si>
  <si>
    <t>190392   Contract Def Revenue-State</t>
  </si>
  <si>
    <t>190397   Def. Misc. Services - Fed</t>
  </si>
  <si>
    <t>190398   Def. Misc. Services - State</t>
  </si>
  <si>
    <t>190421   Environmental Reserve-Fed</t>
  </si>
  <si>
    <t>190422   Environmental Reserve-State</t>
  </si>
  <si>
    <t>190427   Mark to Market - Oth Contract - Fed</t>
  </si>
  <si>
    <t>190428   Mark to Market - Oth Contract - State</t>
  </si>
  <si>
    <t>190443   Waste Site Clean Up Costs Fed</t>
  </si>
  <si>
    <t>190444   Waste Site Clean Up Cost State</t>
  </si>
  <si>
    <t>190445   Waste Disposal Reserve - Fed</t>
  </si>
  <si>
    <t>190446   Waste Disposal Reserve - State</t>
  </si>
  <si>
    <t>190451   Incentive-Fed</t>
  </si>
  <si>
    <t>190452   Incentive-State</t>
  </si>
  <si>
    <t>190519   Stock Options - Federal</t>
  </si>
  <si>
    <t>190520   Stock Options - State</t>
  </si>
  <si>
    <t>190523   Stock Options Exercised-Fed</t>
  </si>
  <si>
    <t>190524   Stock Options Excerised-St</t>
  </si>
  <si>
    <t>190525   Restricted Stock Awards-Fed</t>
  </si>
  <si>
    <t>190526   Restricted Stock Awards-State</t>
  </si>
  <si>
    <t>190531   Deferred Director'S Fees-Fed</t>
  </si>
  <si>
    <t>190532   Deferred Director'S Fees-St</t>
  </si>
  <si>
    <t>190561   Def Compensation - Fed</t>
  </si>
  <si>
    <t>190562   Def Compensation - State</t>
  </si>
  <si>
    <t>190603   Rate Refund-Federal</t>
  </si>
  <si>
    <t>190604   Rate Refund-State</t>
  </si>
  <si>
    <t>190609   Sale Of Epa Allowances - Fed</t>
  </si>
  <si>
    <t>190610   Sale Of Epa Allowances - St</t>
  </si>
  <si>
    <t>190611   Retention Accrual- Fed</t>
  </si>
  <si>
    <t>190612   Retention Accrual-State</t>
  </si>
  <si>
    <t>190613   Severance Accrual - Federal</t>
  </si>
  <si>
    <t>190614   Severance Accrual - State</t>
  </si>
  <si>
    <t>190631   Outage Accrual-Fed</t>
  </si>
  <si>
    <t>190632   Outage Accrual-State</t>
  </si>
  <si>
    <t>190653   Retroact. Rate Red Cont - Fed</t>
  </si>
  <si>
    <t>190654   Retroact. Rate Red Cont - St</t>
  </si>
  <si>
    <t>190655   W/O-Plant - Fed</t>
  </si>
  <si>
    <t>190656   W/O-Plant - St</t>
  </si>
  <si>
    <t>190701   Fas 109 Adjustment - Fed</t>
  </si>
  <si>
    <t>190702   Fas 109 Adjustment - State</t>
  </si>
  <si>
    <t>190731   Adit Wholesale Fed</t>
  </si>
  <si>
    <t>190732   Adit Wholesale Stat</t>
  </si>
  <si>
    <t>190791   Tax Attribute-NOL/CR C/F-Fed</t>
  </si>
  <si>
    <t>190792   Tax Attribute-NOL/CR C/F-St</t>
  </si>
  <si>
    <t>190871   ADIT-NOL-SRLY/Dec Fed NonCur</t>
  </si>
  <si>
    <t>190880   LA ADIT on Deferred FITD</t>
  </si>
  <si>
    <t>190881   ADIT-NOL C/F-TAP-FED - Current</t>
  </si>
  <si>
    <t>190882   Adit-Nol C/F - State-Current</t>
  </si>
  <si>
    <t>190883   ADIT-Contribution C/F-TAP-FED</t>
  </si>
  <si>
    <t>190884   ADIT-Tax CR C/F-TAP-Fed-NonCur</t>
  </si>
  <si>
    <t>190886   ADIT-AMT Cr C/F-TAP-Fed-NonCur</t>
  </si>
  <si>
    <t>190887   Fed Offset-St NonCur Carryover</t>
  </si>
  <si>
    <t>190983   ADIT-NOL C/F TAP-Fed-Non-curr</t>
  </si>
  <si>
    <t>190984   ADIT-NOL C/F-State-Non-current</t>
  </si>
  <si>
    <t>190986   ADIT-Contrib C/F St Non-Cur</t>
  </si>
  <si>
    <t>190P51   ADIT-Ben-Potnt Disall UTPs Res</t>
  </si>
  <si>
    <t>281121   Start Up Costs-Fed</t>
  </si>
  <si>
    <t>281122   Start Up Costs-State</t>
  </si>
  <si>
    <t>281123   Start Up Costs-Fed-Retail</t>
  </si>
  <si>
    <t>281124   Start Up Costs-State-Retail</t>
  </si>
  <si>
    <t>282111   Liberalized Depreciation-Fed</t>
  </si>
  <si>
    <t>282112   Liberalized Deprec - State</t>
  </si>
  <si>
    <t>282116   Liberalized Deprec-State-Whlse</t>
  </si>
  <si>
    <t>282117   Section 481A Adj Fed</t>
  </si>
  <si>
    <t>282121   W3 Nuclear Plant Depr - Fed</t>
  </si>
  <si>
    <t>282122   W3 Nuclear Plant Depr-St</t>
  </si>
  <si>
    <t>282151   Pensions Capitalized - Fed</t>
  </si>
  <si>
    <t>282152   Pensions Capitalized - State</t>
  </si>
  <si>
    <t>282161   Taxes Capitalized - Fed</t>
  </si>
  <si>
    <t>282162   Taxes Capitalized - State</t>
  </si>
  <si>
    <t>282171   Interest Cap - Afdc - Fed</t>
  </si>
  <si>
    <t>282172   Interest Cap - Afdc - State</t>
  </si>
  <si>
    <t>282185   Nonbase - Federal - Whlse</t>
  </si>
  <si>
    <t>282201   Nuclear Plant Deprec-Fed</t>
  </si>
  <si>
    <t>282204   Nuclear Plant Deprec-St-Retail</t>
  </si>
  <si>
    <t>282206   Nuclear Plant Deprec-St-Whsale</t>
  </si>
  <si>
    <t>282211   Nuclear Fuel - Federal</t>
  </si>
  <si>
    <t>282212   Nuclear Fuel - State</t>
  </si>
  <si>
    <t>282221   Fiber Optics-Fed</t>
  </si>
  <si>
    <t>282222   Fiber Optics - State</t>
  </si>
  <si>
    <t>282223   Repairs &amp; Maint Exp - Federal</t>
  </si>
  <si>
    <t>282224   Repairs &amp; Maint Exp - State</t>
  </si>
  <si>
    <t>282241   R&amp;E Deduction - Fed</t>
  </si>
  <si>
    <t>282242   R&amp;E Deduction - St</t>
  </si>
  <si>
    <t>282245   Warranty Expense - Federal</t>
  </si>
  <si>
    <t>282246   Warranty Expense - State</t>
  </si>
  <si>
    <t>282311   Int Inc Pol Control Bonds - Fed</t>
  </si>
  <si>
    <t>282312   Int Inc Pol Control Bonds - State</t>
  </si>
  <si>
    <t>282331   Misc Intangible Plant-Federal</t>
  </si>
  <si>
    <t>282332   Misc Intangible Plant-State</t>
  </si>
  <si>
    <t>282351   Tax Int (Avoided Cost)-Fed</t>
  </si>
  <si>
    <t>282352   Tax Int (Avoided Cost) - St</t>
  </si>
  <si>
    <t>282451   Contract Termination Costs-Fed</t>
  </si>
  <si>
    <t>282452   Contract Termination Costs-St</t>
  </si>
  <si>
    <t>282455   Business Dev Costs Cap- Fed</t>
  </si>
  <si>
    <t>282456   Business Dev Costs Cap- St</t>
  </si>
  <si>
    <t>282461   Computer Software Cap - Fed</t>
  </si>
  <si>
    <t>282462   Computer Software Cap - State</t>
  </si>
  <si>
    <t>282469   Comm Dev Block Grant-Federal</t>
  </si>
  <si>
    <t>282470   Comm Dev Block Grant-State</t>
  </si>
  <si>
    <t>282475   Contra Securitization -Federal</t>
  </si>
  <si>
    <t>282476   Contra Securitization - State</t>
  </si>
  <si>
    <t>282515   Spec Assigned-Fed Ws</t>
  </si>
  <si>
    <t>282533   Casualty Loss Deduction-Fed</t>
  </si>
  <si>
    <t>282534   Casualty Loss Deduction-St</t>
  </si>
  <si>
    <t>282535   Adl Straight Line-Fed Ws</t>
  </si>
  <si>
    <t>282543   Reg Asset-Spec Assign-Fed</t>
  </si>
  <si>
    <t>282701   Fas 109 Adjustment - Fed</t>
  </si>
  <si>
    <t>282702   Fas 109 Adjustment - State</t>
  </si>
  <si>
    <t>282713   Fas 109 Adj -Fed-Retail-Abeyed</t>
  </si>
  <si>
    <t>282723   Fas 109 Adj -Fed-Retail-Disall</t>
  </si>
  <si>
    <t>282733   Fas 109 Adj -State-Retail-Unre</t>
  </si>
  <si>
    <t>282901   263A Method Change-DSC - Fed</t>
  </si>
  <si>
    <t>282902   263A Method Change - DSC-State</t>
  </si>
  <si>
    <t>282903   Units of Production Ded - Fed</t>
  </si>
  <si>
    <t>282904   Units of Production Ded - St</t>
  </si>
  <si>
    <t>282905   Tangible Prop Regs-481 Adj-Fed</t>
  </si>
  <si>
    <t>282906   Tangible Prop Regs-481-St</t>
  </si>
  <si>
    <t>282907   Unit of Property Ded-Trans-Fed</t>
  </si>
  <si>
    <t>282908   Unit of Property Ded-Trans-St</t>
  </si>
  <si>
    <t>282975   Depreciation Expense - Fed</t>
  </si>
  <si>
    <t>282976   Depreciation Expense - State</t>
  </si>
  <si>
    <t>2823NW   New Nuclear-DIT</t>
  </si>
  <si>
    <t>283151   Regulatory Asset - Federal</t>
  </si>
  <si>
    <t>283152   Regulatory Asset - State</t>
  </si>
  <si>
    <t>283153   Reg Asset-LG3-Fed</t>
  </si>
  <si>
    <t>283154   Reg Asset-LG3-State</t>
  </si>
  <si>
    <t>283155   Reg Asset LG3 O/U-Fed</t>
  </si>
  <si>
    <t>283156   Reg Asset LG3 O/U-State</t>
  </si>
  <si>
    <t>283157   Regulatory Asset-MISO-Fed</t>
  </si>
  <si>
    <t>283158   Regulatory Asset-MISO-State</t>
  </si>
  <si>
    <t>283165   Syst Agrmt Equal Reg Asset-Fed</t>
  </si>
  <si>
    <t>283166   Syst Agrmt Equal Reg Asset-St</t>
  </si>
  <si>
    <t>283181   Maint/Refueling - Fed</t>
  </si>
  <si>
    <t>283182   Maint/Refueling - St</t>
  </si>
  <si>
    <t>283213   SFAS 158 Def Tax Liability-Fed</t>
  </si>
  <si>
    <t>283214   SFAS 158 Def Tax Liability-St</t>
  </si>
  <si>
    <t>283215   Pension - Federal</t>
  </si>
  <si>
    <t>283216   Pension - State</t>
  </si>
  <si>
    <t>283221   Bond Reacquisition Loss - Fed</t>
  </si>
  <si>
    <t>283222   Bond Reacquisition Loss - St</t>
  </si>
  <si>
    <t>283225   Section 475 Adjustment-Fed</t>
  </si>
  <si>
    <t>283226   Section 475 Adjustment-St</t>
  </si>
  <si>
    <t>283245   Distribution Maintenance - Fed</t>
  </si>
  <si>
    <t>283246   Distribution Maintenance - St</t>
  </si>
  <si>
    <t>283247   Transco Costs - Federal</t>
  </si>
  <si>
    <t>283248   Transco Costs - State</t>
  </si>
  <si>
    <t>283249   Deferred Storm Costs - Federal</t>
  </si>
  <si>
    <t>283250   Deferred Storm costs - State</t>
  </si>
  <si>
    <t>283261   Amort W-3 Design Basis - Fed</t>
  </si>
  <si>
    <t>283262   Amort W-3 Design Basis - St</t>
  </si>
  <si>
    <t>283273   Rider SCO - Federal</t>
  </si>
  <si>
    <t>283274   Rider SCO - State</t>
  </si>
  <si>
    <t>283301   Regulatory Asset-HCM-Fed</t>
  </si>
  <si>
    <t>283302   Regulatory Asset-HCM-State</t>
  </si>
  <si>
    <t>283303   Reg Asset-MISO Non Fuel-Fed</t>
  </si>
  <si>
    <t>283304   Reg Asset-MISO Non Fuel-State</t>
  </si>
  <si>
    <t>283345   Misc Cap Costs-Fed</t>
  </si>
  <si>
    <t>283346   Misc Cap Costs-State</t>
  </si>
  <si>
    <t>283349   Reg Asset-Storm Costs-Fed</t>
  </si>
  <si>
    <t>283350   Reg Asset-Storm Costs-State</t>
  </si>
  <si>
    <t>283361   Prepaid Expenses Federal</t>
  </si>
  <si>
    <t>283362   Prepaid Expenses State</t>
  </si>
  <si>
    <t>283371   Decon &amp; Decomm Fund - Fed</t>
  </si>
  <si>
    <t>283372   Decon &amp; Decomm Fund - St</t>
  </si>
  <si>
    <t>283401   Acc Dfit Turgen</t>
  </si>
  <si>
    <t>283402   Acc Dsit Turgen</t>
  </si>
  <si>
    <t>283411   Acc Dfit Gideon</t>
  </si>
  <si>
    <t>283412   Acc Dsit Gideon</t>
  </si>
  <si>
    <t>283457   Spindletop Capital Cost-Federa</t>
  </si>
  <si>
    <t>283458   Spindletop Capital Cost-State</t>
  </si>
  <si>
    <t>283471   Interest Cap-Fuel Burn-Fed</t>
  </si>
  <si>
    <t>283472   Interest Cap-Fuel Burn-State</t>
  </si>
  <si>
    <t>283535   Sgr Spur Capital Costs-Federal</t>
  </si>
  <si>
    <t>283536   Sgr Spur Capital Costs-State</t>
  </si>
  <si>
    <t>283537   Rb Litigation Settlement-Fed</t>
  </si>
  <si>
    <t>283538   Rb Litigation Settlement - Sta</t>
  </si>
  <si>
    <t>283561   Adit-Vidalia Contract - Fed</t>
  </si>
  <si>
    <t>283562   Adit-Vidalia Contract-State</t>
  </si>
  <si>
    <t>283565   Federal DIT LLC Formation</t>
  </si>
  <si>
    <t>283701   Fas 109 Adjustment - Fed</t>
  </si>
  <si>
    <t>283702   Fas 109 Adjustment - State</t>
  </si>
  <si>
    <t>283707   Fas 109 Adj-Retl Unregultd-Fed</t>
  </si>
  <si>
    <t>283708   Fas 109 Adj-Retl Unregulatd-St</t>
  </si>
  <si>
    <t>283901   263A Method Change - Fed</t>
  </si>
  <si>
    <t>283902   263A Method Change - State</t>
  </si>
  <si>
    <t>283F48   FIN 48 adjustment</t>
  </si>
  <si>
    <t>See the supporting workpaper for wholesale-only accumulated depreciation and amortization balances for production, transmission, intangible, and general plant.  The wholesale-only General Plant balances exclude General Plant Reserve Deficiency amounts that are separately amortized within Attachment O.</t>
  </si>
  <si>
    <t>CIT=(T/1-T) * Investment Return 
* (1-(WCLTD/R)) =</t>
  </si>
  <si>
    <r>
      <t xml:space="preserve">Other Adjustments Depreciation Expense </t>
    </r>
    <r>
      <rPr>
        <sz val="10.8"/>
        <rFont val="Arial"/>
        <family val="2"/>
      </rPr>
      <t>&amp; GPRD Amortization</t>
    </r>
  </si>
  <si>
    <t xml:space="preserve">The Entergy Operating Companies will not change the depreciation and amortization rates used in computing depreciation and amortization inputs to the Energy Companies’ formula rate templates unless approved by the Commission pursuant to a FPA section 205 or 206 filing.   In accordance with the Settlement Agreement in Docket ER16-227-000, Entergy Services commits to make a limited Section 205 filing(s) no later than November 1, 2020, proposing updated depreciation and amortization rates for all of the Entergy Operating Companies to become effective no later than January 1, 2021. Once approved by the Commission, the updated depreciation and amortization rates will be used in the Entergy Operating Companies’ MISO Attachment O formula rates.  </t>
  </si>
  <si>
    <t>Depreciation Expense &amp; General Plant Reserve Deficiency Amortization Expense</t>
  </si>
  <si>
    <t>WP04 - 13-Month Average Plant In Service &amp; Accumulated Depreciation &amp; Amortization Balances</t>
  </si>
  <si>
    <t>WP18 - Depreciation &amp; Amortization Rates &amp; Annual FERC Depreciation &amp; Amortization Expense (1)</t>
  </si>
  <si>
    <t>303-Miscellaneous Intangible Plant (30 year life) (2)</t>
  </si>
  <si>
    <t xml:space="preserve">The Entergy Operating Companies will not change the depreciation and amortization rates used in computing depreciation and amortization inputs to the Energy Companies’ formula rate templates unless approved by the Commission pursuant to a FPA section 205 or 206 filing.  In accordance with the Settlement Agreement in Docket ER16-227-000, Entergy Services commits to make a limited Section 205 filing(s) no later than November 1, 2020, proposing updated depreciation and amortization rates for all of the Entergy Operating Companies to become effective no later than January 1, 2021. Once approved by the Commission, the updated depreciation and amortization rates will be used in the Entergy Operating Companies’ MISO Attachment O formula rates. </t>
  </si>
  <si>
    <t>Rate</t>
  </si>
  <si>
    <t>Transmission Related</t>
  </si>
  <si>
    <t>Labor 
Related (2)</t>
  </si>
  <si>
    <t>Amortization of Excess Deferred Income Tax (Note 3)</t>
  </si>
  <si>
    <t>Amortization of Permanent Differences in Income Taxes (Note 4)</t>
  </si>
  <si>
    <t>AFUDC - Equity</t>
  </si>
  <si>
    <t>Net Amortization of Income Tax Adjustments
    (Sum of Line 1 to Line 4.3)</t>
  </si>
  <si>
    <t>See Note I to Appendix A.</t>
  </si>
  <si>
    <t>In accordance the Partial Settlement Agreement in Docket No. ER15-1436-000, effective June 1, 2015 (Test Year ended December 31, 2014), the Income Tax Adjustments associated with General and Intangible Plant shall be functionalized to Transmission utilizing the Wage &amp; Salary Allocation Factor.</t>
  </si>
  <si>
    <t>The Amortization of Permanent Differences in Income Taxes: AFUDC - Equity and AFUDC - Interest are increases to Income Tax Expense Revenue Requirement.</t>
  </si>
  <si>
    <t>152b</t>
  </si>
  <si>
    <t xml:space="preserve">Amortization of Income Tax Adjustments - Transmission Related </t>
  </si>
  <si>
    <t>152c</t>
  </si>
  <si>
    <t xml:space="preserve">Amortization of Income Tax Adjustments - Labor Related </t>
  </si>
  <si>
    <t>152d</t>
  </si>
  <si>
    <t>Total Income Tax Adjustments</t>
  </si>
  <si>
    <t>152a</t>
  </si>
  <si>
    <t>2017-01-10: ER15-1436 Added text &amp; 9/8/17 Revised text per SA in ER15-1436</t>
  </si>
  <si>
    <r>
      <t>The currently effective income tax rate, where FIT is the Federal income tax rate; SIT is the State income tax rate, and p = "the percentage of federal income tax deductible for state income taxes".  If the utility includes taxes in more than one state, it must provide the name of each state and explain in a workpaper how the blended or composite SIT was developed.  Furthermore, a utility that elected to use amortization of tax credits against taxable income, rather than book tax credits to Account No. 255 and reduce rate base, must adjust its income tax expense by the sum of the income tax adjustments for the amount of the Amortization of: (1)  Investment Tax Credit (Form 1, 266.8.f) as a reduction to income tax expense revenue requirement, (2) Excess Deferred Income Taxes as a reduction to income tax expense revenue requirement; and, (3) Permanent Differences in Income Taxes as an increase</t>
    </r>
    <r>
      <rPr>
        <sz val="12"/>
        <rFont val="Arial"/>
        <family val="2"/>
      </rPr>
      <t xml:space="preserve"> to income tax expense revenue requirement,  all multiplied by 1/(1-T) for differences in the income taxes due under the Federal and State calculations and the income taxes recorded on the Company's financial statements.  A utility must not include tax credits as a reduction to rate base and as an amortization against taxable income.   If the tax rates change during a calendar year, an average tax rate will be used - calculated based on the number of days each was effective in the calendar year.</t>
    </r>
  </si>
  <si>
    <t>WP22 - Income Tax Adjustments (1)</t>
  </si>
  <si>
    <t>Reserved for Future Use</t>
  </si>
  <si>
    <t>AFUDC - Interest</t>
  </si>
  <si>
    <t>Account 18238P
Regulatory Asset - Unrecognized Gains/(Losses)</t>
  </si>
  <si>
    <t>Account 21938P
Accum Other Comprehensive Income- Unrecognized Gains/(Losses)</t>
  </si>
  <si>
    <t>Account 18238N
Regulatory Asset - Unrecognized Gains/(Losses)</t>
  </si>
  <si>
    <t>Account 21938N
Accum Other Comprehensive Income- Unrecognized Gains/(Losses)</t>
  </si>
  <si>
    <t>2018-01-19 Changed Account Number &amp; Removed Resource Code</t>
  </si>
  <si>
    <t>WP06 ADIT</t>
  </si>
  <si>
    <t>2018-01-19: ER15-1436 Changed from Other to Labor</t>
  </si>
  <si>
    <t>152f</t>
  </si>
  <si>
    <t xml:space="preserve">Amortization of Income Tax Adjustments - Plant Related </t>
  </si>
  <si>
    <t>2018-03-30: Added new line</t>
  </si>
  <si>
    <t>8. A supporting work paper with additional detail for this value will be provided.</t>
  </si>
  <si>
    <t>Other ADIT-190 Adjustments (8)</t>
  </si>
  <si>
    <t>Other ADIT-282 Adjustments (8)</t>
  </si>
  <si>
    <t xml:space="preserve">Total ADIT Adjusted-282 </t>
  </si>
  <si>
    <t>Other ADIT-283 Adjustments (8)</t>
  </si>
  <si>
    <t>WP06 Support - Excess Accumulated Deferred Income Taxes (ADIT) Adjustment Worksheet</t>
  </si>
  <si>
    <t>True-up Adjustment: Avg Begin of Yr &amp; End of Yr</t>
  </si>
  <si>
    <t>FERC account 229 - Accum provision for rate refund not deducted for tax.</t>
  </si>
  <si>
    <t>Fed NOL carry forward is related to all tax deductions including bonus tax deprec.</t>
  </si>
  <si>
    <t>State NOL carry forward is related to all tax deductions including bonus tax deprec.</t>
  </si>
  <si>
    <t>Employee tax credit carry forwards.</t>
  </si>
  <si>
    <t>Federal ADIT on state tax accruals is related to net operating loss carry forward.</t>
  </si>
  <si>
    <t xml:space="preserve">General plant related </t>
  </si>
  <si>
    <t>Ice Storm Related.</t>
  </si>
  <si>
    <t>Production cost related.</t>
  </si>
  <si>
    <t>Source A/c 1823MK - Reg asset related to EAI payment for MO ARK agreement</t>
  </si>
  <si>
    <t>Account 182357 - Regulatory Asset - 30Yr Retail</t>
  </si>
  <si>
    <t>Related to nuclear decommissioning</t>
  </si>
  <si>
    <t>Total ADIT-281 Less FASB 109</t>
  </si>
  <si>
    <t>Reference FF1 p.276.9b &amp; p.277.9.k</t>
  </si>
  <si>
    <t>2018-03-30: Added Col E for Plant ADIT Adjustments</t>
  </si>
  <si>
    <t>Other Amortization Adjustments (Note 5)</t>
  </si>
  <si>
    <t>2018-03-30: Added new line for ADIT Adjustments</t>
  </si>
  <si>
    <t>2018-03-30: Added new summary line for ADIT Adjustments</t>
  </si>
  <si>
    <t>2018-03-30 Revised note to add information about tax acts</t>
  </si>
  <si>
    <t>Other amortization adjustments as needed or required.  Supporting workpapers will be provided.  Line 1.6 Projected amounts may include Line 1.5 True-up amounts as appropriate.</t>
  </si>
  <si>
    <t>2018-03-30 Added note to recognize ADIT adjustments.</t>
  </si>
  <si>
    <t xml:space="preserve">Support for WP22 - Income Tax Adjustments </t>
  </si>
  <si>
    <t>Additions</t>
  </si>
  <si>
    <t>G=Sum(B:F)</t>
  </si>
  <si>
    <t>Ln No</t>
  </si>
  <si>
    <t>Gas, Prod Or Other</t>
  </si>
  <si>
    <t xml:space="preserve">General </t>
  </si>
  <si>
    <t>Matches WP06 Support Total Excess ADIT Adjustments</t>
  </si>
  <si>
    <t>Monthly Amort.</t>
  </si>
  <si>
    <t>Monthly Balances</t>
  </si>
  <si>
    <t>Permanent Differences in Income Taxes</t>
  </si>
  <si>
    <t>AFUDC Equity</t>
  </si>
  <si>
    <t xml:space="preserve">AFUDC Interest </t>
  </si>
  <si>
    <t>Balance to include in Excess on WP22 by function.</t>
  </si>
  <si>
    <t>Same as WP06 Average of Beginning &amp; Ending Adjustment</t>
  </si>
  <si>
    <t>2017-09-8: Added new Line</t>
  </si>
  <si>
    <t>2018-03-30: changed line reference location</t>
  </si>
  <si>
    <t>2018-03-30: changed formula due to new line 152a for Plant</t>
  </si>
  <si>
    <t>2017-09-08 Deleted Line</t>
  </si>
  <si>
    <t>2018-03-30: changed formula due to line number change</t>
  </si>
  <si>
    <t>Other ADIT-281 Adjustments (8)</t>
  </si>
  <si>
    <t>Test Year Excess Deferred Income Tax</t>
  </si>
  <si>
    <t>Total Test Year Income Tax Adjustments</t>
  </si>
  <si>
    <t>Projected Year Excess</t>
  </si>
  <si>
    <t>Transmission - Protected</t>
  </si>
  <si>
    <t>General - Protected</t>
  </si>
  <si>
    <t>Intangible - Protected</t>
  </si>
  <si>
    <t>Transmission - Unprotected</t>
  </si>
  <si>
    <t>Plant - Unprotected</t>
  </si>
  <si>
    <t xml:space="preserve"> Labor - Unprotected</t>
  </si>
  <si>
    <t>Projected (Ln 1.6)</t>
  </si>
  <si>
    <t xml:space="preserve">Projected Adjustment: Average Unprotected Excess ADIT </t>
  </si>
  <si>
    <t>True-up  (Sum Lns 1.1 to 1.5, 3.1 to 3.3, 4.1 to 4.3)</t>
  </si>
  <si>
    <t>WP22 Support - Corporate Tax Rate Change Unprotected Excess ADIT Amortization Adjustment</t>
  </si>
  <si>
    <r>
      <t>WP22 IT Adj Lines 5.1 &amp; 5.2 Column E</t>
    </r>
    <r>
      <rPr>
        <sz val="10.8"/>
        <rFont val="Arial"/>
        <family val="2"/>
      </rPr>
      <t xml:space="preserve">
</t>
    </r>
  </si>
  <si>
    <t>152e</t>
  </si>
  <si>
    <t xml:space="preserve">WP22 IT Adj Lines 5.1 &amp; 5.2 Column C
</t>
  </si>
  <si>
    <t xml:space="preserve">WP22 IT Adj Lines 5.1 &amp; 5.2 Column D
</t>
  </si>
  <si>
    <t>((Line 152 + Line 152a) * Line 152b) + Line 152c + (Line 152d * Line 152e)</t>
  </si>
  <si>
    <t>(Line 152f * Line 153)</t>
  </si>
  <si>
    <t>The Amortization of Excess Deferred Income Tax is a reduction to Income Tax Expense Revenue Requirement resulting from the Tax Reform Act of 1986 and the Tax Cuts and Jobs Act of 2017.</t>
  </si>
  <si>
    <t>SCH07 FERC ORDER EL14-12 RESETTLEMENT</t>
  </si>
  <si>
    <t>INTEREST - SCH07 FERC ORDER EL14-12 RESETTLEMENT</t>
  </si>
  <si>
    <t>Sch 7</t>
  </si>
  <si>
    <t>Use WP17 2017 Ratio of Sch 7 Firm and Non-Firm to Allocate to Firm &amp; Non-Firm</t>
  </si>
  <si>
    <t>SCH08 FERC ORDER EL14-12 RESETTLEMENT</t>
  </si>
  <si>
    <t>INTEREST - SCH08 FERC ORDER EL14-12 RESETTLEMENT</t>
  </si>
  <si>
    <t>Sch 8</t>
  </si>
  <si>
    <t>SCH09 FERC ORDER EL14-12 RESETTLEMENT</t>
  </si>
  <si>
    <t>INTEREST - SCH09 FERC ORDER EL14-12 RESETTLEMENT</t>
  </si>
  <si>
    <t>Sch 9</t>
  </si>
  <si>
    <t xml:space="preserve">Allocate Schedule 7 to LT &amp; ST based Test Year per book Schedule 7 revenue </t>
  </si>
  <si>
    <t>Sch 7 ER13-948 True-up - Out of Period</t>
  </si>
  <si>
    <t>Adj for revenues included in A/C 456136 &amp; 456137 for ER13-948 True-up Adjustments paid in 2016 for the 2014TY</t>
  </si>
  <si>
    <t>Sch 8 ER13-948 True-up - Out of Period</t>
  </si>
  <si>
    <t>Adj for revenues included in A/C 456138 for ER13-948 True-up Adjustments paid in 2016 for the 2014TY</t>
  </si>
  <si>
    <t>Sch 9 ER13-948 True-up - Out of Period</t>
  </si>
  <si>
    <t>Adj for revenues included in A/C 456139 for ER13-948 True-up Adjustments paid in 2016 for the 2014TY</t>
  </si>
  <si>
    <t>4560UP: Trans-Union Contract Revenue</t>
  </si>
  <si>
    <t>456TPZ: ELL Receipts- TPZ Settlement</t>
  </si>
  <si>
    <t>456WHC: Westinghouse Credits</t>
  </si>
  <si>
    <t>263.4.i</t>
  </si>
  <si>
    <t>263.2.i</t>
  </si>
  <si>
    <t>263.3.i</t>
  </si>
  <si>
    <t>263.5.i</t>
  </si>
  <si>
    <t>263.15.i</t>
  </si>
  <si>
    <t>263.9.i</t>
  </si>
  <si>
    <t>263.11.i</t>
  </si>
  <si>
    <t>263.18.i</t>
  </si>
  <si>
    <t>263.16.i</t>
  </si>
  <si>
    <t>263.17.i</t>
  </si>
  <si>
    <t>263.14.i</t>
  </si>
  <si>
    <t>Note (7)</t>
  </si>
  <si>
    <t>263.30.i</t>
  </si>
  <si>
    <t>263.20.i</t>
  </si>
  <si>
    <t>408158 - Franchise Tax - Louisiana</t>
  </si>
  <si>
    <t>263.21.i</t>
  </si>
  <si>
    <t>263.10.i</t>
  </si>
  <si>
    <t>263.34.i</t>
  </si>
  <si>
    <t>For  the 12 Months Ended 12/31/2017</t>
  </si>
  <si>
    <t>FACILITIES SVCS - DISTRIBUTION (NON</t>
  </si>
  <si>
    <t>Dist O&amp;M</t>
  </si>
  <si>
    <t>To</t>
  </si>
  <si>
    <t>Reclass</t>
  </si>
  <si>
    <t>CE 1-7</t>
  </si>
  <si>
    <t>FOSSIL INFORMATION TECHNOLOGY - FIT</t>
  </si>
  <si>
    <t>AECC 1-5</t>
  </si>
  <si>
    <t>SPO Management Summary</t>
  </si>
  <si>
    <t>AECC 2-1</t>
  </si>
  <si>
    <t>Solid Fuel Reclaiming</t>
  </si>
  <si>
    <t>Remove</t>
  </si>
  <si>
    <t>ETEC 1-9</t>
  </si>
  <si>
    <t>SC- Distribution Procurement</t>
  </si>
  <si>
    <t>AECC 1-12</t>
  </si>
  <si>
    <t>ESI Nuclear - Site Split</t>
  </si>
  <si>
    <t>AECC 1-8</t>
  </si>
  <si>
    <t>IT Nuclear South Support</t>
  </si>
  <si>
    <t>AECC 1-11</t>
  </si>
  <si>
    <t>Payroll O&amp;M Ex-A&amp;G  Sum (Ln 12 To Ln 20)</t>
  </si>
  <si>
    <t>Customer Experience Strategy</t>
  </si>
  <si>
    <t>AECC 2-3</t>
  </si>
  <si>
    <t>SYSTEM REGULATORY AFFAIRS-STATE</t>
  </si>
  <si>
    <t>CE 1-11</t>
  </si>
  <si>
    <t>QUICK PAYMENT CENTER, ADM</t>
  </si>
  <si>
    <t>CE 1-10</t>
  </si>
  <si>
    <t>ESI NUCLEAR EMPLOYEES - ANO</t>
  </si>
  <si>
    <t>AECC 1-10</t>
  </si>
  <si>
    <t>Customer Service (Accts (906 to 917)</t>
  </si>
  <si>
    <t>ESI NUCLEAR EMPLOYEES</t>
  </si>
  <si>
    <t>AECC 1-9</t>
  </si>
  <si>
    <t>Customer Accts (Accounts 901 to 905)</t>
  </si>
  <si>
    <t>Non- Payroll</t>
  </si>
  <si>
    <t>Regional &amp; Mktng O&amp;M (Accts 575 to 576)</t>
  </si>
  <si>
    <t>Transm O&amp;M  (Accounts 560 to 574)</t>
  </si>
  <si>
    <t>Reclass &amp; Remove</t>
  </si>
  <si>
    <t>Deprec. Exp - Serv Co (Acct 4031AM)</t>
  </si>
  <si>
    <t>Reverse Deferral &amp; Amort</t>
  </si>
  <si>
    <t>AECC 1-2</t>
  </si>
  <si>
    <t>Transm O&amp;M Ex-Acct 561 (Accts 560 to 574)</t>
  </si>
  <si>
    <t>566 &amp; 9302</t>
  </si>
  <si>
    <t>From</t>
  </si>
  <si>
    <t>ANO Fukushima Regulatory Asset Amortization</t>
  </si>
  <si>
    <t>AECC 1-1</t>
  </si>
  <si>
    <t>930.2 - Active Development Exp Total</t>
  </si>
  <si>
    <t>928 - Regulatory Comm Expense Total</t>
  </si>
  <si>
    <t>Distribution Management Systems Sup</t>
  </si>
  <si>
    <t xml:space="preserve">580-589 Dist O&amp;M </t>
  </si>
  <si>
    <t>Distribution O&amp;M  (Accts 580 to 598)</t>
  </si>
  <si>
    <t>SKILLS TRAINING CUST. SERV- HEADQUA</t>
  </si>
  <si>
    <t>CE 1-8</t>
  </si>
  <si>
    <t>Regional &amp; Mktng O&amp;M  (Accts 575 &amp; 576)</t>
  </si>
  <si>
    <t>AECC 1-7</t>
  </si>
  <si>
    <t>570000: Maint. Of Station Equipment</t>
  </si>
  <si>
    <t>MGR GEN &amp; ADMIN - DISTR SYSTEM SUPP</t>
  </si>
  <si>
    <t>AECC 1-4</t>
  </si>
  <si>
    <t>569000: Maintenance Of Structures</t>
  </si>
  <si>
    <t>AECC 1-6</t>
  </si>
  <si>
    <t>AECC 1-3</t>
  </si>
  <si>
    <t>2016 EMI Fuel Audit</t>
  </si>
  <si>
    <t>CE 1-5</t>
  </si>
  <si>
    <t>554000: Maint-Misc Other Pwr Gen Plt</t>
  </si>
  <si>
    <t>2014 EMI Rate Case</t>
  </si>
  <si>
    <t>CE 1-6</t>
  </si>
  <si>
    <t>549000: Misc Oth Pwr Generation Exps</t>
  </si>
  <si>
    <t>524000: Misc. Nuclear Power Expenses</t>
  </si>
  <si>
    <t>517000: Operation, Supervision &amp; Engr</t>
  </si>
  <si>
    <t>514000: Maintenance Of Misc Steam Plt</t>
  </si>
  <si>
    <t>511000: Maintenance Of Structures</t>
  </si>
  <si>
    <t>Total Adj</t>
  </si>
  <si>
    <t>To/From</t>
  </si>
  <si>
    <t>Action</t>
  </si>
  <si>
    <t>Number</t>
  </si>
  <si>
    <t>G + H</t>
  </si>
  <si>
    <t>D + F</t>
  </si>
  <si>
    <t>C + E</t>
  </si>
  <si>
    <t>Misc Adj (2)</t>
  </si>
  <si>
    <t>Other (1)</t>
  </si>
  <si>
    <t>Challenge</t>
  </si>
  <si>
    <t>Total Adjustments</t>
  </si>
  <si>
    <t>Informal</t>
  </si>
  <si>
    <t>Customer</t>
  </si>
  <si>
    <t>Support to WP02 - Miscellaneous</t>
  </si>
  <si>
    <t>E, G, S Total</t>
  </si>
  <si>
    <t>930200, 201, 210 - Miscellaneous General Expense Total</t>
  </si>
  <si>
    <t>F5PPZB0569 - Solid Fuel Reclaiming</t>
  </si>
  <si>
    <t>F5PPSUPDIS - SC- Distribution Procurement</t>
  </si>
  <si>
    <t>F5PCFACDIS - FACILITIES SVCS - DISTRIBUTION (NON</t>
  </si>
  <si>
    <t>F3PPN20713 - ESI Nuclear - Site Split</t>
  </si>
  <si>
    <t>F3PPITNUCS - IT Nuclear South Support</t>
  </si>
  <si>
    <t>F3PPCESTRA - Customer Experience Strategy</t>
  </si>
  <si>
    <t>F3PCWE0073 - FOSSIL INFORMATION TECHNOLOGY - FIT</t>
  </si>
  <si>
    <t>F3PCW54035 - SPO Management Summary</t>
  </si>
  <si>
    <t>F3PCSYSRAS - SYSTEM REGULATORY AFFAIRS-STATE</t>
  </si>
  <si>
    <t>F3PCR73345 - QUICK PAYMENT CENTER, ADM</t>
  </si>
  <si>
    <t>F3PCN20780 - ESI NUCLEAR EMPLOYEES - ANO</t>
  </si>
  <si>
    <t>F3PCN20701 - ESI NUCLEAR EMPLOYEES</t>
  </si>
  <si>
    <t>930200, 201, 210 - Miscellaneous General Expense</t>
  </si>
  <si>
    <t>566000 - Misc. Transmission Expenses Total</t>
  </si>
  <si>
    <t>F5PPMPSC14 - 2014 EMI Rate Case</t>
  </si>
  <si>
    <t>F3PPMSFA16 - 2016 EMI Fuel Audit</t>
  </si>
  <si>
    <t>F3PPDMS001 - Distribution Management Systems Sup</t>
  </si>
  <si>
    <t>F3PCT29320 - SKILLS TRAINING CUST. SERV- HEADQUA</t>
  </si>
  <si>
    <t>F3PCD10036 - MGR GEN &amp; ADMIN - DISTR SYSTEM SUPP</t>
  </si>
  <si>
    <t>S Total</t>
  </si>
  <si>
    <t>G Total</t>
  </si>
  <si>
    <t>E Total</t>
  </si>
  <si>
    <t>PR</t>
  </si>
  <si>
    <t>NPR</t>
  </si>
  <si>
    <t>Row Labels</t>
  </si>
  <si>
    <t>2017 Total</t>
  </si>
  <si>
    <t>Grand Total</t>
  </si>
  <si>
    <t>LA000 Total</t>
  </si>
  <si>
    <t>Sum of Monetary Amt</t>
  </si>
  <si>
    <t>930200 - Miscellaneous General Expense Total</t>
  </si>
  <si>
    <t>930200 - Miscellaneous General Expense</t>
  </si>
  <si>
    <t>930210 - Director's Fees And Expenses Total</t>
  </si>
  <si>
    <t>930210 - Director's Fees And Expenses</t>
  </si>
  <si>
    <t>930201 - Active Development Expenses Total</t>
  </si>
  <si>
    <t>930201 - Active Development Expenses</t>
  </si>
  <si>
    <t>Miscellaneous Adjustments</t>
  </si>
  <si>
    <t>CLECO GUEYDAN</t>
  </si>
  <si>
    <t>AEP VALLEY</t>
  </si>
  <si>
    <t>ERATH</t>
  </si>
  <si>
    <t>NEW ROADS</t>
  </si>
  <si>
    <t>ENOI Network Load</t>
  </si>
  <si>
    <t>OpCo ADIT (1)</t>
  </si>
  <si>
    <t>F = C + D + E</t>
  </si>
  <si>
    <t>Wholesale Adj</t>
  </si>
  <si>
    <t>Steam</t>
  </si>
  <si>
    <t>p.219.20.c</t>
  </si>
  <si>
    <t>p.219.21.c</t>
  </si>
  <si>
    <t>Hydraulic</t>
  </si>
  <si>
    <t>p.219.22.c</t>
  </si>
  <si>
    <t>p.219.24.c</t>
  </si>
  <si>
    <t>Rilla to Cadeville 115kV Ln - TLA - ELI - 0174</t>
  </si>
  <si>
    <t>ELA – 0174</t>
  </si>
  <si>
    <t>Mount Olive to  Woods 230Kv Ln - TLA - ELI - 0279</t>
  </si>
  <si>
    <t>Cecelia To Kirk 69Kv Ln - TLA - EGSI - 67625</t>
  </si>
  <si>
    <t>Cane River-Cajun/Vemco 115Kv T - TLA - ELI - 0247</t>
  </si>
  <si>
    <t>LPL - 0247</t>
  </si>
  <si>
    <t>CONTIGUOUS</t>
  </si>
  <si>
    <t>Exclude</t>
  </si>
  <si>
    <t>CUSTOMER &amp; GEN</t>
  </si>
  <si>
    <t>New for 2017</t>
  </si>
  <si>
    <t>407348: Reg Debits</t>
  </si>
  <si>
    <t>407403: Reg Credits</t>
  </si>
  <si>
    <t>Year 3 (3)</t>
  </si>
  <si>
    <t>870000: Operation Supervision &amp; Eng</t>
  </si>
  <si>
    <t>880000: Other Expenses</t>
  </si>
  <si>
    <t>For  the 12 Months Ended 12/31/2016</t>
  </si>
  <si>
    <t xml:space="preserve">The Federal Corporate tax rate changed from 35% to 21% effective 1/1/2018.  GAAP rules require that known and measureable changes must be reflected in account balances.  The 2017 FERC Form 1 year-end ADIT balances are net of excess ADIT resulting from the tax rate change.  The 2017 year-end unprotected excess (non-plant) ADIT must be added back to year-end ADIT plant balances for the 2017 True-up.  Also, because only 7/12's of the unprotected excess ADIT will be returned to customers during 2018, the remaining average unprotected excess ADIT unreturned balance must be reflected in the Projected ADIT rate base. </t>
  </si>
  <si>
    <t>ADIT Adjustment to Restate FERC Form 1 to 35%</t>
  </si>
  <si>
    <t>ADIT Adjustment to Reflect Unamortized ADIT for Rate Base</t>
  </si>
  <si>
    <t>Notes.</t>
  </si>
  <si>
    <t>Average unprotected ADIT not billed in 2018 is added to the projected year rates.</t>
  </si>
  <si>
    <t>Beginning Bal</t>
  </si>
  <si>
    <t>At beginning of year 100% of Excess ADIT is unamortized</t>
  </si>
  <si>
    <t>Ending Bal</t>
  </si>
  <si>
    <t xml:space="preserve">At year-end 5/12's of Excess Unprotected ADIT is unamortized </t>
  </si>
  <si>
    <t>B/E Avg</t>
  </si>
  <si>
    <t>Average Unprotected ADIT amortized in test year</t>
  </si>
  <si>
    <t>Rate Base Effect</t>
  </si>
  <si>
    <t>Refects Beginning/Ending increase in rate base due to reduction in ADIT and unamortized balance of excess unprotected ADIT</t>
  </si>
  <si>
    <t>190255   Acquisition - Federal</t>
  </si>
  <si>
    <t>190256   Acquisition - State</t>
  </si>
  <si>
    <t>190793   NOL Protected Excess Fed</t>
  </si>
  <si>
    <t>282537   Accum DFIT Steam Plant</t>
  </si>
  <si>
    <t>282113   Protected Excess - Fed</t>
  </si>
  <si>
    <t>282538   Accum DSIT Steam Plant</t>
  </si>
  <si>
    <t>282705   FAS 109 Adj - Fed - Steam</t>
  </si>
  <si>
    <t>282706   FAS 109 Adj - State - Steam</t>
  </si>
  <si>
    <t>Plant related</t>
  </si>
  <si>
    <t>Production related</t>
  </si>
  <si>
    <t>456136: MISO Sch 7 Firm PTP - ST</t>
  </si>
  <si>
    <t>456137: MISO Sch 7 Firm PTP - LT</t>
  </si>
  <si>
    <t>456138: MISO Sch 8 Non-firm</t>
  </si>
  <si>
    <t>See Note 1</t>
  </si>
  <si>
    <t xml:space="preserve">Note </t>
  </si>
  <si>
    <t>Perryville 500Kv Sub - TSL - ELI - 0072</t>
  </si>
  <si>
    <t>Perryville Unit 1 - PV1 - ELI - 0711</t>
  </si>
  <si>
    <t>Perryville Unit 2 - PV2 - ELI - 0712</t>
  </si>
  <si>
    <t>_LA000_FERC_Att_O_App_A_Compos</t>
  </si>
  <si>
    <t>WP04 Support - Accumulated Depreciation &amp; Amortization Balances</t>
  </si>
  <si>
    <t>Added 2017-05-10 per ER16-227 Settlement</t>
  </si>
  <si>
    <t xml:space="preserve">Beginning Balance </t>
  </si>
  <si>
    <t>Retirements</t>
  </si>
  <si>
    <t>Depreciation Expense</t>
  </si>
  <si>
    <t>Reserve Adjustments</t>
  </si>
  <si>
    <t>Closed RWIP</t>
  </si>
  <si>
    <t>RWIP Activity</t>
  </si>
  <si>
    <t>End Reserve</t>
  </si>
  <si>
    <t>(3) (4)</t>
  </si>
  <si>
    <t>See WP04 Line 23 for starting balances</t>
  </si>
  <si>
    <t>See WP18 for Depreciation Expense balances.</t>
  </si>
  <si>
    <t>See WP04 Line 35 for ending balances</t>
  </si>
  <si>
    <t>Sum of Col C through Col H</t>
  </si>
  <si>
    <t>190793   NOL Protected Excess - Fed</t>
  </si>
  <si>
    <t>282113   Contra Securitization</t>
  </si>
  <si>
    <t>Unprotected ADIT to Amortize in Projected Year</t>
  </si>
  <si>
    <t>Source file is: S5 ELL Template FERC Att O 2015TY (2016-09-28).xlsx but updated for 2017-03-15 Informational Update WP AJ6 adjustments</t>
  </si>
  <si>
    <t>For  the 12 Months Ended 12/31/2015</t>
  </si>
  <si>
    <r>
      <t xml:space="preserve">WP17 Line 8 Column D </t>
    </r>
    <r>
      <rPr>
        <b/>
        <sz val="10"/>
        <color rgb="FFFF0000"/>
        <rFont val="Arial"/>
        <family val="2"/>
      </rPr>
      <t>(8)</t>
    </r>
  </si>
  <si>
    <t>18b</t>
  </si>
  <si>
    <t>2015TY App A Correction Amt</t>
  </si>
  <si>
    <t>Ln 18a + Ln 18b</t>
  </si>
  <si>
    <t>(11)</t>
  </si>
  <si>
    <r>
      <rPr>
        <sz val="10"/>
        <rFont val="Arial"/>
        <family val="2"/>
      </rPr>
      <t>Total True-up Amount</t>
    </r>
  </si>
  <si>
    <r>
      <t xml:space="preserve">TU Amount billed in 2016TY </t>
    </r>
    <r>
      <rPr>
        <b/>
        <sz val="10"/>
        <color rgb="FFFF0000"/>
        <rFont val="Arial"/>
        <family val="2"/>
      </rPr>
      <t>(10)</t>
    </r>
  </si>
  <si>
    <t>Only the True-up amounts for the months of June - December 2016 will be reflected in the 2017 Update based on the 2016TY.  The remaining 2015TY True-up amounts will be collected in January - May 2017 and reflected in the 2018 Update based on a 2017 TY True-up calculation.</t>
  </si>
  <si>
    <t>Source file is: Appendix A Line 193 of S5 ELL Template FERC Att O 2015TY (2016-09-28).xlsx but updated to include 2017-03-15 Informational Update adjustments detailed in WP AJ6.</t>
  </si>
  <si>
    <t>283F48</t>
  </si>
  <si>
    <t>Col D - (Col M x  29.17%) [Note 1]</t>
  </si>
  <si>
    <t>"WP06 Support 2" Line 7 Columns O, P, &amp; Q.</t>
  </si>
  <si>
    <t>Unprotected Excess ADIT to be amortized. Beginning amounts match respective "WP06 Support 2" Line 7 Columns N, O, P, and Q.</t>
  </si>
  <si>
    <t>Other Accounts Not Included Above</t>
  </si>
  <si>
    <t xml:space="preserve">Attachment O </t>
  </si>
  <si>
    <t>Explanatory Statements</t>
  </si>
  <si>
    <t>WP01 True-Up</t>
  </si>
  <si>
    <t>WP17 Revenues</t>
  </si>
  <si>
    <t>Matches ELA FF1 page 232</t>
  </si>
  <si>
    <t>165403: Pp Taxes Franchise-La</t>
  </si>
  <si>
    <t>165611: PPD all GE companies</t>
  </si>
  <si>
    <t>165622: PPD Environmental Systems Corp</t>
  </si>
  <si>
    <t>165628: PPD Acadian Gas Pipeline Systm</t>
  </si>
  <si>
    <t>165631: PPD Motorola Solutions</t>
  </si>
  <si>
    <t>165634: PPD Hunt Communications</t>
  </si>
  <si>
    <t>Physical Location = TSL - Transmission Substations - La: Fiber internet telecommunications services</t>
  </si>
  <si>
    <t>General Plant (4)</t>
  </si>
  <si>
    <t>Intangibles (4)</t>
  </si>
  <si>
    <t>Service Company Intangible Plant Amortization</t>
  </si>
  <si>
    <t>The above balances do not include Service Company General Plant depreciation amounts or Service Company Intangible Plant amortization amounts reported on FERC Form 1 Footnote to Page 336 Line 10 Column "b" and Line 1 Column "d" which will be included on "WP02 Support".</t>
  </si>
  <si>
    <t>Service Company General Plant Depreciation</t>
  </si>
  <si>
    <t>Little Gypsy &amp; Issac retail storm amortization. Account 928 Reg Comm Expense of $97,919.60 was removed on Appendix A Line 92.</t>
  </si>
  <si>
    <t>FF1 p.335.11.b</t>
  </si>
  <si>
    <t>FF1 p.335.17.b</t>
  </si>
  <si>
    <t>FF1 p.335.18.b</t>
  </si>
  <si>
    <t>Deferred O&amp;M Storm Amortization</t>
  </si>
  <si>
    <t>FF1 p.335.16.b</t>
  </si>
  <si>
    <t>Amoritzation of MISO Costs</t>
  </si>
  <si>
    <t>FF1 p.335.13.b</t>
  </si>
  <si>
    <t>5% Surcharge on Regulated Compnay Billings to Non-Regulated Affiliates</t>
  </si>
  <si>
    <t>FF1 p.335.7.b</t>
  </si>
  <si>
    <t>FF1 p.351.7.h</t>
  </si>
  <si>
    <t>Other Revenues Service to Non-Associated</t>
  </si>
  <si>
    <t>WP22 IT Adj</t>
  </si>
  <si>
    <t>Remove current year expenses that have in prior year's reviews been agreed as not applicable for inclusion.</t>
  </si>
  <si>
    <t>Other TO Adjustment</t>
  </si>
  <si>
    <t>The True-up Support 1 &amp; True-up Support 2 supplemental workpapers originated from the Company's 4-19-2018 FERC Errata to its 2017 Informational Filing in ER18-1123 and respectively provide the June-December 2017 and January-May 2017 True-up amounts included in rates for 2017 that is on Line 16 of WP01 True-up.   The FERC interest rate was updated in WP01 TU Support 1 for April and May 2018.</t>
  </si>
  <si>
    <t>Support to WP02</t>
  </si>
  <si>
    <t>Additional detail by account is provided to recognize certain non-tariff adjustments:</t>
  </si>
  <si>
    <t xml:space="preserve">1) The Company is reversing the appropriate amortization of previous retail deferrals from the respective expenses.  
</t>
  </si>
  <si>
    <t>2) The Company has made certain ratemaking adjustments consistent with prior Attachment O review processes.</t>
  </si>
  <si>
    <t>Adjustments with supporting workpapers were made to WP06 ADIT and WP 22 Income Tax Adjustments:</t>
  </si>
  <si>
    <t>1) WP06 ADIT Support 1 - The ADIT balances in Accounts 282111 &amp; 282112 - Liberalized Depreciation Federal &amp; State included in Account 282 in FERC Form 1 reflect blended FERC and State jurisdictional depreciation rates and balances which are adjusted to account for the differences in FERC-only depreciation rates and the FERC Form 1 blended depreciation rates.</t>
  </si>
  <si>
    <t xml:space="preserve">2) WP06 ADIT Support 2 and WP 22 Income Tax Adjustments Lines 22-38 were added pursuant to Entergy's March 30, 2018, revisions to the Transmission Formula Rates included in Attachment O of the MISO Tariff in Docket No. ER18-1260.  These Tariff Revisions were proposed to ensure that the transmission service customers receive the benefit of the tax relief from the Tax Cuts Act.  The reduction in corporate income tax rate from 35% to 21% resulted in Excess ADIT because the amount of ADIT on the books prior to December 31, 2017, exceeded the amount of ADIT that would have been on the books had the federal corporate income tax rate been lower during the entire time the ADIT was accumulated.  </t>
  </si>
  <si>
    <t xml:space="preserve">As explained in Entergy's March 31, 2018, Tariff revision in ER18-1260, there are two types of Excess ADIT: 1) Protected Excess ADIT and 2) Unprotected Excess ADIT.  Please refer to the Transmittal Letter in that filing on page 5 for the definitions of each.  In summary, 1) the protected excess ADIT is subject to the Tax Cuts Act's normalization requirements which specifies that the Protected Excess ADIT will be returned over the remaining life of the underlying plant assets (the ARAM method) and 2) the Unprotected Excess ADIT will be returned over a period of one year beginning June 1, 2018 through May 31, 2019.    </t>
  </si>
  <si>
    <t xml:space="preserve">--a) For Financial Reporting and FERC Form 1 purposes the December 31, 2017, Balances of the Unprotected ADIT balances were restated to the 21% level.  Therefore, adjustments were necessary to restate these balances to the 35% Federal Income Tax rate for the historical test year ended December 31, 2017.  These adjustments are reflected on WP06 Support 2 Column "D", through Column "H" labeled "ADIT Adjustment to Restate FERC Form 1 to 35%".  The sum of these Adjustments by Account and function are then included on lines 14.1, 20.1 and 26.1 of WP06 ADIT.        </t>
  </si>
  <si>
    <t>--b) WP06 Support 2 also contains a section labeled "ADIT Adjustment to Reflect Unamortized ADIT for Rate Base" in Column "I", through Column "M".  The values shown in Column "M" reflect the Unprotected Excess ADIT amounts by Account and are used to calculate the remaining ADIT "asset" balance for the 2018 calendar year to give customers the benefit of the average unreturned, unprotected ADIT balances in the projected rate year.</t>
  </si>
  <si>
    <t xml:space="preserve">--c) In addition, WP06 Support 2 contains a section labeled "Unprotected ADIT to Amortize in Projected Year" in Columns "N", through "R" to accumulate the functionalized Unprotected Excess ADIT for use in the Unprotected Excess ADIT Amortization Schedule on Line 1 of the second page of "WP22 Support". </t>
  </si>
  <si>
    <t>Attachment O revenue refunds or surcharges for out-of-period revenues that are separately calculated and billed by MISO in the test year are adjusted in WP17 as necessary.  In September 2016,  FERC Ordered an ROE reduction and refunds in Docket No. EL14-12.  MISO implemented recalculated billings for the ROE change in January 2017 (primary refund) and May 2017 (true-up refund).  These refunds to customers resulted in debits to the revenues in Account 456.  To reverse these prior period adjustments to revenue, additional lines were added to the WP17 Account 456 detail.  Because Schedule 7 refund amounts were not detailed as "short-term" and "long-term", the Schedule 7 refunds were prorated in the same proportion as the actual Schedule 7 Short and Long-Term revenues for the year ended December 31, 2017.</t>
  </si>
  <si>
    <t>"WP22 Support" as discussed above and in Entergy's March 30, 2018 Tariff Revision in Docket No. ER18-1260, was revised to:</t>
  </si>
  <si>
    <t xml:space="preserve">1) include the income tax effects of the tax rate change for the projected rate year, </t>
  </si>
  <si>
    <t>2) provide the Protected Excess ADIT by function including the Beginning and Ending Balances, Amortization and Additions for the projected test year, and</t>
  </si>
  <si>
    <t>3) provide the Unprotected Excess ADIT by function including the Beginning and Ending Balances, Amortization and Additions for the projected test year and to add an amortization schedule of the unprotected excess ADIT Amortization Adjustment for the projected test year.</t>
  </si>
  <si>
    <t>Appendix A True-up Column Line 192</t>
  </si>
  <si>
    <t>WP AJ4 LA Merger Ln 21 Col. F</t>
  </si>
  <si>
    <t>Footnote to p.336.1.d</t>
  </si>
  <si>
    <t>Footnote to p.336.10.b</t>
  </si>
  <si>
    <t>WP AJ4 LA Merger Ln 13 Col. F</t>
  </si>
  <si>
    <t>WP AJ4 LA Merger Ln 14 Col. F</t>
  </si>
  <si>
    <t>WP AJ6  Test Year Ln 1.02</t>
  </si>
  <si>
    <t>p.219.26c</t>
  </si>
  <si>
    <t>Sum of the above Accounts</t>
  </si>
  <si>
    <t>1823MD</t>
  </si>
  <si>
    <t>407348</t>
  </si>
  <si>
    <t>421000</t>
  </si>
  <si>
    <t>561100</t>
  </si>
  <si>
    <t>575100</t>
  </si>
  <si>
    <t>912000</t>
  </si>
  <si>
    <t>924000</t>
  </si>
  <si>
    <t>935000</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</si>
</sst>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quot;$&quot;#,##0.00"/>
    <numFmt numFmtId="170" formatCode="_(* #,##0.0000_);_(* \(#,##0.0000\);_(* &quot;-&quot;??_);_(@_)"/>
    <numFmt numFmtId="171" formatCode="0.0000%"/>
    <numFmt numFmtId="172" formatCode=";;;\(@\)"/>
    <numFmt numFmtId="173" formatCode="&quot; &quot;&quot;$&quot;* #,##0.00&quot;/kw  &quot;"/>
    <numFmt numFmtId="174" formatCode="* #,##0&quot;  &quot;\ "/>
    <numFmt numFmtId="175" formatCode="0.000000"/>
    <numFmt numFmtId="176" formatCode="[$-409]mmm\-yy;@"/>
    <numFmt numFmtId="177" formatCode="[$-409]mmmm\-yy;@"/>
    <numFmt numFmtId="178" formatCode="0.000_)"/>
    <numFmt numFmtId="179" formatCode="m&quot;¤ë&quot;d&quot;¤é&quot;"/>
    <numFmt numFmtId="180" formatCode="00000"/>
    <numFmt numFmtId="181" formatCode="_-* #,##0.0_-;\-* #,##0.0_-;_-* &quot;-&quot;??_-;_-@_-"/>
    <numFmt numFmtId="182" formatCode="0.00_)"/>
    <numFmt numFmtId="183" formatCode="###,###,##0,;\(###,###,##0,\);0"/>
    <numFmt numFmtId="184" formatCode="&quot;£&quot;#,##0;\-&quot;£&quot;#,##0"/>
    <numFmt numFmtId="185" formatCode="[$-409]mmmm\ d\,\ yyyy;@"/>
    <numFmt numFmtId="186" formatCode="&quot;$&quot;###0;[Red]\(&quot;$&quot;###0\)"/>
    <numFmt numFmtId="187" formatCode="0.0"/>
    <numFmt numFmtId="188" formatCode="mmm\ dd\,\ yyyy"/>
    <numFmt numFmtId="189" formatCode="0.00000"/>
    <numFmt numFmtId="190" formatCode="&quot;$&quot;#,##0.000"/>
    <numFmt numFmtId="191" formatCode="#,##0.00000"/>
    <numFmt numFmtId="192" formatCode="_(* #,##0.00000_);_(* \(#,##0.00000\);_(* &quot;-&quot;??_);_(@_)"/>
    <numFmt numFmtId="193" formatCode="&quot;$&quot;#,##0"/>
    <numFmt numFmtId="194" formatCode="#,##0.0000"/>
    <numFmt numFmtId="195" formatCode="_(* #,##0.0_);_(* \(#,##0.0\);_(* &quot;-&quot;??_);_(@_)"/>
    <numFmt numFmtId="196" formatCode="#,##0.000"/>
    <numFmt numFmtId="197" formatCode="_([$$-409]* #,##0.00_);_([$$-409]* \(#,##0.00\);_([$$-409]* &quot;-&quot;??_);_(@_)"/>
    <numFmt numFmtId="198" formatCode="_(* #,##0.000000_);_(* \(#,##0.000000\);_(* &quot;-&quot;??_);_(@_)"/>
    <numFmt numFmtId="199" formatCode="_(* #,##0.000_);_(* \(#,##0.000\);_(* &quot;-&quot;??_);_(@_)"/>
    <numFmt numFmtId="200" formatCode="0.0000000000000000000"/>
    <numFmt numFmtId="201" formatCode="0.000"/>
    <numFmt numFmtId="202" formatCode="_(* #,##0.0000_);_(* \(#,##0.0000\);_(* &quot;-&quot;????_);_(@_)"/>
    <numFmt numFmtId="203" formatCode="#0"/>
  </numFmts>
  <fonts count="183">
    <font>
      <sz val="10"/>
      <name val="Arial"/>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0"/>
      <name val="Arial"/>
      <family val="2"/>
    </font>
    <font>
      <sz val="12"/>
      <name val="Arial MT"/>
    </font>
    <font>
      <sz val="10"/>
      <color indexed="12"/>
      <name val="Arial"/>
      <family val="2"/>
    </font>
    <font>
      <b/>
      <sz val="14"/>
      <name val="Arial"/>
      <family val="2"/>
    </font>
    <font>
      <sz val="12"/>
      <color indexed="13"/>
      <name val="Arial"/>
      <family val="2"/>
    </font>
    <font>
      <b/>
      <sz val="12"/>
      <color indexed="13"/>
      <name val="Arial"/>
      <family val="2"/>
    </font>
    <font>
      <b/>
      <sz val="18"/>
      <name val="Arial"/>
      <family val="2"/>
    </font>
    <font>
      <b/>
      <i/>
      <sz val="12"/>
      <color indexed="14"/>
      <name val="Arial"/>
      <family val="2"/>
    </font>
    <font>
      <sz val="10"/>
      <name val="Arial Narrow"/>
      <family val="2"/>
    </font>
    <font>
      <b/>
      <sz val="10"/>
      <name val="Arial Narrow"/>
      <family val="2"/>
    </font>
    <font>
      <sz val="10"/>
      <color indexed="8"/>
      <name val="Arial"/>
      <family val="2"/>
    </font>
    <font>
      <sz val="10"/>
      <name val="Arial"/>
      <family val="2"/>
    </font>
    <font>
      <b/>
      <sz val="8"/>
      <name val="Arial"/>
      <family val="2"/>
    </font>
    <font>
      <sz val="8"/>
      <name val="Arial"/>
      <family val="2"/>
    </font>
    <font>
      <sz val="10"/>
      <color indexed="17"/>
      <name val="Arial"/>
      <family val="2"/>
    </font>
    <font>
      <sz val="12"/>
      <color indexed="17"/>
      <name val="Arial"/>
      <family val="2"/>
    </font>
    <font>
      <u val="singleAccounting"/>
      <sz val="10"/>
      <name val="Times"/>
      <family val="1"/>
    </font>
    <font>
      <sz val="10"/>
      <name val="MS Sans Serif"/>
      <family val="2"/>
    </font>
    <font>
      <b/>
      <sz val="10"/>
      <name val="MS Sans Serif"/>
      <family val="2"/>
    </font>
    <font>
      <sz val="8"/>
      <name val="Arial"/>
      <family val="2"/>
    </font>
    <font>
      <b/>
      <sz val="10"/>
      <color indexed="8"/>
      <name val="Arial"/>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b/>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52"/>
      <name val="Calibri"/>
      <family val="2"/>
    </font>
    <font>
      <sz val="11"/>
      <color indexed="60"/>
      <name val="Calibri"/>
      <family val="2"/>
    </font>
    <font>
      <sz val="12"/>
      <name val="Swiss"/>
      <family val="2"/>
    </font>
    <font>
      <b/>
      <sz val="18"/>
      <color indexed="56"/>
      <name val="Cambria"/>
      <family val="2"/>
    </font>
    <font>
      <u/>
      <sz val="10"/>
      <name val="Arial"/>
      <family val="2"/>
    </font>
    <font>
      <b/>
      <sz val="10"/>
      <name val="Helv"/>
    </font>
    <font>
      <sz val="11"/>
      <color indexed="8"/>
      <name val="Arial"/>
      <family val="2"/>
    </font>
    <font>
      <sz val="12"/>
      <name val="Tms Rmn"/>
    </font>
    <font>
      <sz val="11"/>
      <name val="Tms Rmn"/>
    </font>
    <font>
      <sz val="10"/>
      <name val="Helv"/>
    </font>
    <font>
      <sz val="11"/>
      <name val="Book Antiqua"/>
      <family val="1"/>
    </font>
    <font>
      <b/>
      <sz val="10"/>
      <name val="Times New Roman"/>
      <family val="1"/>
    </font>
    <font>
      <sz val="7"/>
      <name val="Small Fonts"/>
      <family val="2"/>
    </font>
    <font>
      <b/>
      <i/>
      <sz val="16"/>
      <name val="Helv"/>
    </font>
    <font>
      <sz val="14"/>
      <name val="Times New Roman"/>
      <family val="1"/>
    </font>
    <font>
      <b/>
      <sz val="11"/>
      <name val="Times New Roman"/>
      <family val="1"/>
    </font>
    <font>
      <sz val="10"/>
      <color indexed="8"/>
      <name val="Tahoma"/>
      <family val="2"/>
    </font>
    <font>
      <sz val="8"/>
      <name val="Arial"/>
      <family val="2"/>
    </font>
    <font>
      <b/>
      <sz val="12"/>
      <color indexed="8"/>
      <name val="Tahoma"/>
      <family val="2"/>
    </font>
    <font>
      <sz val="11"/>
      <color theme="1"/>
      <name val="Calibri"/>
      <family val="2"/>
      <scheme val="minor"/>
    </font>
    <font>
      <sz val="10"/>
      <color theme="1"/>
      <name val="Tahoma"/>
      <family val="2"/>
    </font>
    <font>
      <sz val="10"/>
      <color theme="1"/>
      <name val="Arial"/>
      <family val="2"/>
    </font>
    <font>
      <sz val="11"/>
      <color theme="1"/>
      <name val="Arial Narrow"/>
      <family val="2"/>
    </font>
    <font>
      <sz val="11"/>
      <color theme="1"/>
      <name val="Arial"/>
      <family val="2"/>
    </font>
    <font>
      <sz val="10"/>
      <name val="Times New Roman"/>
      <family val="1"/>
    </font>
    <font>
      <sz val="8"/>
      <name val="Helv"/>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sz val="8"/>
      <color indexed="12"/>
      <name val="Arial"/>
      <family val="2"/>
    </font>
    <font>
      <u/>
      <sz val="11"/>
      <color indexed="8"/>
      <name val="Arial"/>
      <family val="2"/>
    </font>
    <font>
      <u val="singleAccounting"/>
      <sz val="10"/>
      <name val="Arial"/>
      <family val="2"/>
    </font>
    <font>
      <b/>
      <u val="singleAccounting"/>
      <sz val="10"/>
      <name val="Arial"/>
      <family val="2"/>
    </font>
    <font>
      <u/>
      <sz val="10"/>
      <color indexed="8"/>
      <name val="Arial"/>
      <family val="2"/>
    </font>
    <font>
      <b/>
      <sz val="10"/>
      <color rgb="FFFF0000"/>
      <name val="Arial"/>
      <family val="2"/>
    </font>
    <font>
      <sz val="10"/>
      <name val="Arial"/>
      <family val="2"/>
    </font>
    <font>
      <sz val="10"/>
      <name val="Arial"/>
      <family val="2"/>
    </font>
    <font>
      <strike/>
      <sz val="12"/>
      <name val="Arial"/>
      <family val="2"/>
    </font>
    <font>
      <strike/>
      <sz val="10"/>
      <name val="Arial"/>
      <family val="2"/>
    </font>
    <font>
      <u val="singleAccounting"/>
      <sz val="10"/>
      <color theme="1"/>
      <name val="Arial"/>
      <family val="2"/>
    </font>
    <font>
      <sz val="12"/>
      <name val="Times New Roman"/>
      <family val="1"/>
    </font>
    <font>
      <strike/>
      <sz val="10"/>
      <name val="Times New Roman"/>
      <family val="1"/>
    </font>
    <font>
      <sz val="10"/>
      <color indexed="40"/>
      <name val="Times New Roman"/>
      <family val="1"/>
    </font>
    <font>
      <sz val="10"/>
      <color indexed="10"/>
      <name val="Times New Roman"/>
      <family val="1"/>
    </font>
    <font>
      <strike/>
      <sz val="12"/>
      <color indexed="10"/>
      <name val="Times New Roman"/>
      <family val="1"/>
    </font>
    <font>
      <u/>
      <sz val="10"/>
      <color theme="1"/>
      <name val="Arial"/>
      <family val="2"/>
    </font>
    <font>
      <b/>
      <sz val="10"/>
      <color theme="1"/>
      <name val="Arial"/>
      <family val="2"/>
    </font>
    <font>
      <sz val="10"/>
      <color rgb="FFFF0000"/>
      <name val="Arial"/>
      <family val="2"/>
    </font>
    <font>
      <strike/>
      <sz val="12"/>
      <color rgb="FFFF0000"/>
      <name val="Arial"/>
      <family val="2"/>
    </font>
    <font>
      <b/>
      <strike/>
      <sz val="10"/>
      <name val="Arial"/>
      <family val="2"/>
    </font>
    <font>
      <b/>
      <u/>
      <sz val="10"/>
      <name val="Arial"/>
      <family val="2"/>
    </font>
    <font>
      <sz val="11"/>
      <name val="Calibri"/>
      <family val="2"/>
    </font>
    <font>
      <sz val="12"/>
      <color rgb="FFC00000"/>
      <name val="Arial"/>
      <family val="2"/>
    </font>
    <font>
      <b/>
      <sz val="10"/>
      <color rgb="FFC00000"/>
      <name val="Arial"/>
      <family val="2"/>
    </font>
    <font>
      <b/>
      <sz val="12"/>
      <color rgb="FFC00000"/>
      <name val="Arial"/>
      <family val="2"/>
    </font>
    <font>
      <b/>
      <sz val="11"/>
      <color rgb="FFFF0000"/>
      <name val="Arial"/>
      <family val="2"/>
    </font>
    <font>
      <b/>
      <sz val="12"/>
      <color rgb="FFFF0000"/>
      <name val="Arial"/>
      <family val="2"/>
    </font>
    <font>
      <sz val="12"/>
      <color rgb="FFFF0000"/>
      <name val="Arial"/>
      <family val="2"/>
    </font>
    <font>
      <b/>
      <sz val="10"/>
      <color rgb="FFFF0000"/>
      <name val="Times New Roman"/>
      <family val="1"/>
    </font>
    <font>
      <sz val="9"/>
      <name val="Times New Roman"/>
      <family val="1"/>
    </font>
    <font>
      <b/>
      <sz val="9"/>
      <name val="Times New Roman"/>
      <family val="1"/>
    </font>
    <font>
      <b/>
      <strike/>
      <sz val="10"/>
      <name val="Times New Roman"/>
      <family val="1"/>
    </font>
    <font>
      <b/>
      <strike/>
      <u/>
      <sz val="10"/>
      <name val="Arial"/>
      <family val="2"/>
    </font>
    <font>
      <sz val="10.8"/>
      <name val="Arial"/>
      <family val="2"/>
    </font>
    <font>
      <strike/>
      <u/>
      <sz val="10"/>
      <name val="Arial"/>
      <family val="2"/>
    </font>
    <font>
      <strike/>
      <sz val="10"/>
      <color theme="1"/>
      <name val="Arial"/>
      <family val="2"/>
    </font>
    <font>
      <sz val="8.8000000000000007"/>
      <name val="Arial"/>
      <family val="2"/>
    </font>
    <font>
      <b/>
      <sz val="11"/>
      <color rgb="FF002060"/>
      <name val="Arial"/>
      <family val="2"/>
    </font>
    <font>
      <b/>
      <u/>
      <sz val="10"/>
      <color rgb="FFFF0000"/>
      <name val="Arial"/>
      <family val="2"/>
    </font>
    <font>
      <b/>
      <sz val="10"/>
      <color indexed="17"/>
      <name val="Arial"/>
      <family val="2"/>
    </font>
    <font>
      <b/>
      <u val="singleAccounting"/>
      <sz val="10"/>
      <color rgb="FFFF0000"/>
      <name val="Arial"/>
      <family val="2"/>
    </font>
    <font>
      <b/>
      <sz val="10"/>
      <color rgb="FF002060"/>
      <name val="Arial"/>
      <family val="2"/>
    </font>
    <font>
      <sz val="10"/>
      <name val="Arial"/>
      <family val="2"/>
    </font>
    <font>
      <i/>
      <sz val="10"/>
      <name val="Arial"/>
      <family val="2"/>
    </font>
    <font>
      <b/>
      <strike/>
      <sz val="12"/>
      <name val="Arial"/>
      <family val="2"/>
    </font>
    <font>
      <b/>
      <u/>
      <sz val="12"/>
      <color rgb="FFFF0000"/>
      <name val="Arial"/>
      <family val="2"/>
    </font>
    <font>
      <sz val="18"/>
      <name val="Arial"/>
      <family val="2"/>
    </font>
    <font>
      <i/>
      <strike/>
      <sz val="10"/>
      <name val="Times New Roman"/>
      <family val="1"/>
    </font>
    <font>
      <sz val="11"/>
      <name val="Arial"/>
      <family val="2"/>
    </font>
    <font>
      <b/>
      <u val="singleAccounting"/>
      <sz val="12"/>
      <color rgb="FFFF0000"/>
      <name val="Arial"/>
      <family val="2"/>
    </font>
    <font>
      <sz val="11"/>
      <color indexed="8"/>
      <name val="Calibri"/>
      <family val="2"/>
      <scheme val="minor"/>
    </font>
    <font>
      <sz val="9"/>
      <name val="Arial"/>
      <family val="2"/>
    </font>
    <font>
      <b/>
      <sz val="9"/>
      <name val="Arial"/>
      <family val="2"/>
    </font>
    <font>
      <b/>
      <u/>
      <sz val="9"/>
      <name val="Arial"/>
      <family val="2"/>
    </font>
    <font>
      <b/>
      <i/>
      <sz val="10"/>
      <name val="Arial"/>
      <family val="2"/>
    </font>
    <font>
      <b/>
      <u/>
      <sz val="9"/>
      <color rgb="FFFF0000"/>
      <name val="Arial"/>
      <family val="2"/>
    </font>
    <font>
      <b/>
      <sz val="10"/>
      <color theme="1"/>
      <name val="Tahoma"/>
      <family val="2"/>
    </font>
    <font>
      <u/>
      <sz val="9"/>
      <name val="Arial"/>
      <family val="2"/>
    </font>
    <font>
      <u/>
      <sz val="11"/>
      <color theme="1"/>
      <name val="Calibri"/>
      <family val="2"/>
      <scheme val="minor"/>
    </font>
    <font>
      <sz val="10"/>
      <name val="Arial"/>
      <family val="2"/>
    </font>
    <font>
      <sz val="11"/>
      <color rgb="FF002060"/>
      <name val="Arial"/>
      <family val="2"/>
    </font>
    <font>
      <sz val="10"/>
      <color rgb="FF333333"/>
      <name val="Arial"/>
      <family val="2"/>
    </font>
  </fonts>
  <fills count="61">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bgColor indexed="9"/>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3"/>
      </patternFill>
    </fill>
    <fill>
      <patternFill patternType="solid">
        <fgColor indexed="9"/>
        <bgColor indexed="64"/>
      </patternFill>
    </fill>
    <fill>
      <patternFill patternType="mediumGray">
        <fgColor indexed="22"/>
      </patternFill>
    </fill>
    <fill>
      <patternFill patternType="solid">
        <fgColor indexed="31"/>
        <bgColor indexed="64"/>
      </patternFill>
    </fill>
    <fill>
      <patternFill patternType="solid">
        <fgColor indexed="35"/>
        <bgColor indexed="64"/>
      </patternFill>
    </fill>
    <fill>
      <patternFill patternType="solid">
        <fgColor indexed="26"/>
        <bgColor indexed="9"/>
      </patternFill>
    </fill>
    <fill>
      <patternFill patternType="solid">
        <fgColor indexed="8"/>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FFFF99"/>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39997558519241921"/>
        <bgColor indexed="64"/>
      </patternFill>
    </fill>
    <fill>
      <patternFill patternType="solid">
        <fgColor rgb="FFFFFFCC"/>
        <bgColor indexed="64"/>
      </patternFill>
    </fill>
    <fill>
      <patternFill patternType="solid">
        <fgColor rgb="FFFFFFFF"/>
        <bgColor indexed="64"/>
      </patternFill>
    </fill>
    <fill>
      <patternFill patternType="solid">
        <fgColor rgb="FFFFCCFF"/>
        <bgColor indexed="64"/>
      </patternFill>
    </fill>
    <fill>
      <patternFill patternType="solid">
        <fgColor rgb="FF66FFFF"/>
        <bgColor indexed="64"/>
      </patternFill>
    </fill>
    <fill>
      <patternFill patternType="solid">
        <fgColor rgb="FFFFFF00"/>
        <bgColor indexed="64"/>
      </patternFill>
    </fill>
    <fill>
      <patternFill patternType="solid">
        <fgColor rgb="FFFFFF66"/>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rgb="FF00B0F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style="double">
        <color indexed="64"/>
      </bottom>
      <diagonal/>
    </border>
    <border>
      <left/>
      <right/>
      <top/>
      <bottom style="double">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style="thin">
        <color indexed="64"/>
      </bottom>
      <diagonal/>
    </border>
    <border>
      <left/>
      <right/>
      <top style="thin">
        <color auto="1"/>
      </top>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right style="medium">
        <color indexed="64"/>
      </right>
      <top style="medium">
        <color indexed="64"/>
      </top>
      <bottom style="thin">
        <color indexed="64"/>
      </bottom>
      <diagonal/>
    </border>
    <border>
      <left/>
      <right/>
      <top style="medium">
        <color indexed="64"/>
      </top>
      <bottom style="double">
        <color indexed="64"/>
      </bottom>
      <diagonal/>
    </border>
    <border>
      <left style="thin">
        <color auto="1"/>
      </left>
      <right/>
      <top/>
      <bottom/>
      <diagonal/>
    </border>
    <border>
      <left style="thin">
        <color indexed="64"/>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double">
        <color indexed="64"/>
      </bottom>
      <diagonal/>
    </border>
    <border>
      <left style="thin">
        <color auto="1"/>
      </left>
      <right/>
      <top style="medium">
        <color indexed="64"/>
      </top>
      <bottom/>
      <diagonal/>
    </border>
  </borders>
  <cellStyleXfs count="37713">
    <xf numFmtId="0" fontId="0" fillId="0" borderId="0"/>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73" fillId="14" borderId="0" applyNumberFormat="0" applyBorder="0" applyAlignment="0" applyProtection="0"/>
    <xf numFmtId="0" fontId="73" fillId="4" borderId="0" applyNumberFormat="0" applyBorder="0" applyAlignment="0" applyProtection="0"/>
    <xf numFmtId="0" fontId="73" fillId="11"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21" borderId="0" applyNumberFormat="0" applyBorder="0" applyAlignment="0" applyProtection="0"/>
    <xf numFmtId="0" fontId="74" fillId="5" borderId="0" applyNumberFormat="0" applyBorder="0" applyAlignment="0" applyProtection="0"/>
    <xf numFmtId="0" fontId="94" fillId="0" borderId="0" applyNumberFormat="0" applyFill="0" applyBorder="0" applyAlignment="0" applyProtection="0"/>
    <xf numFmtId="0" fontId="81" fillId="12" borderId="1" applyNumberFormat="0" applyAlignment="0" applyProtection="0"/>
    <xf numFmtId="0" fontId="75" fillId="22" borderId="2" applyNumberFormat="0" applyAlignment="0" applyProtection="0"/>
    <xf numFmtId="172" fontId="68" fillId="0" borderId="0">
      <alignment horizontal="center" wrapText="1"/>
    </xf>
    <xf numFmtId="43" fontId="42" fillId="0" borderId="0" applyFont="0" applyFill="0" applyBorder="0" applyAlignment="0" applyProtection="0"/>
    <xf numFmtId="178" fontId="95" fillId="0" borderId="0"/>
    <xf numFmtId="178" fontId="95" fillId="0" borderId="0"/>
    <xf numFmtId="178" fontId="95" fillId="0" borderId="0"/>
    <xf numFmtId="178" fontId="95" fillId="0" borderId="0"/>
    <xf numFmtId="178" fontId="95" fillId="0" borderId="0"/>
    <xf numFmtId="178" fontId="95" fillId="0" borderId="0"/>
    <xf numFmtId="178" fontId="95" fillId="0" borderId="0"/>
    <xf numFmtId="178" fontId="95" fillId="0" borderId="0"/>
    <xf numFmtId="41" fontId="62" fillId="0" borderId="0" applyFont="0" applyFill="0" applyBorder="0" applyAlignment="0" applyProtection="0"/>
    <xf numFmtId="41" fontId="6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03" fillId="0" borderId="0" applyFont="0" applyFill="0" applyBorder="0" applyAlignment="0" applyProtection="0"/>
    <xf numFmtId="43" fontId="5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9" fillId="0" borderId="0" applyFont="0" applyFill="0" applyBorder="0" applyAlignment="0" applyProtection="0"/>
    <xf numFmtId="43" fontId="42" fillId="0" borderId="0" applyFont="0" applyFill="0" applyBorder="0" applyAlignment="0" applyProtection="0"/>
    <xf numFmtId="43" fontId="40" fillId="0" borderId="0" applyFont="0" applyFill="0" applyBorder="0" applyAlignment="0" applyProtection="0"/>
    <xf numFmtId="43" fontId="42" fillId="0" borderId="0" applyFont="0" applyFill="0" applyBorder="0" applyAlignment="0" applyProtection="0"/>
    <xf numFmtId="43" fontId="38" fillId="0" borderId="0" applyFont="0" applyFill="0" applyBorder="0" applyAlignment="0" applyProtection="0"/>
    <xf numFmtId="43" fontId="40"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3" fontId="42" fillId="23" borderId="0" applyFont="0" applyFill="0" applyBorder="0" applyAlignment="0" applyProtection="0"/>
    <xf numFmtId="0" fontId="96" fillId="0" borderId="0"/>
    <xf numFmtId="0" fontId="42" fillId="0" borderId="3"/>
    <xf numFmtId="173" fontId="46" fillId="0" borderId="0">
      <protection locked="0"/>
    </xf>
    <xf numFmtId="44" fontId="42" fillId="0" borderId="0" applyFont="0" applyFill="0" applyBorder="0" applyAlignment="0" applyProtection="0"/>
    <xf numFmtId="179" fontId="42" fillId="0" borderId="0" applyFont="0" applyFill="0" applyBorder="0" applyAlignment="0" applyProtection="0"/>
    <xf numFmtId="180" fontId="97" fillId="0" borderId="0" applyFont="0" applyFill="0" applyBorder="0" applyAlignment="0" applyProtection="0"/>
    <xf numFmtId="44" fontId="5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0" fillId="0" borderId="0" applyFont="0" applyFill="0" applyBorder="0" applyAlignment="0" applyProtection="0"/>
    <xf numFmtId="44" fontId="62" fillId="0" borderId="0" applyFont="0" applyFill="0" applyBorder="0" applyAlignment="0" applyProtection="0"/>
    <xf numFmtId="5" fontId="42" fillId="23" borderId="0" applyFont="0" applyFill="0" applyBorder="0" applyAlignment="0" applyProtection="0"/>
    <xf numFmtId="0" fontId="42" fillId="23" borderId="0" applyFont="0" applyFill="0" applyBorder="0" applyAlignment="0" applyProtection="0"/>
    <xf numFmtId="0" fontId="76" fillId="0" borderId="0" applyNumberFormat="0" applyFill="0" applyBorder="0" applyAlignment="0" applyProtection="0"/>
    <xf numFmtId="2" fontId="42" fillId="23" borderId="0" applyFont="0" applyFill="0" applyBorder="0" applyAlignment="0" applyProtection="0"/>
    <xf numFmtId="0" fontId="47" fillId="0" borderId="0">
      <alignment horizontal="left"/>
    </xf>
    <xf numFmtId="164" fontId="97" fillId="0" borderId="0" applyFont="0" applyFill="0" applyBorder="0" applyAlignment="0" applyProtection="0"/>
    <xf numFmtId="181" fontId="42" fillId="0" borderId="0" applyFont="0" applyFill="0" applyBorder="0" applyAlignment="0" applyProtection="0">
      <alignment horizontal="center"/>
    </xf>
    <xf numFmtId="164" fontId="97" fillId="0" borderId="0" applyFont="0" applyFill="0" applyBorder="0" applyAlignment="0" applyProtection="0"/>
    <xf numFmtId="0" fontId="82" fillId="7" borderId="0" applyNumberFormat="0" applyBorder="0" applyAlignment="0" applyProtection="0"/>
    <xf numFmtId="38" fontId="65" fillId="24" borderId="0" applyNumberFormat="0" applyBorder="0" applyAlignment="0" applyProtection="0"/>
    <xf numFmtId="0" fontId="98" fillId="0" borderId="4">
      <alignment horizontal="left"/>
    </xf>
    <xf numFmtId="0" fontId="44" fillId="0" borderId="5" applyNumberFormat="0" applyAlignment="0" applyProtection="0">
      <alignment horizontal="left" vertical="center"/>
    </xf>
    <xf numFmtId="0" fontId="44" fillId="0" borderId="6">
      <alignment horizontal="left" vertical="center"/>
    </xf>
    <xf numFmtId="14" fontId="43" fillId="25" borderId="7">
      <alignment horizontal="center" vertical="center" wrapText="1"/>
    </xf>
    <xf numFmtId="0" fontId="83" fillId="0" borderId="8" applyNumberFormat="0" applyFill="0" applyAlignment="0" applyProtection="0"/>
    <xf numFmtId="0" fontId="84" fillId="0" borderId="9" applyNumberFormat="0" applyFill="0" applyAlignment="0" applyProtection="0"/>
    <xf numFmtId="0" fontId="85" fillId="0" borderId="10" applyNumberFormat="0" applyFill="0" applyAlignment="0" applyProtection="0"/>
    <xf numFmtId="0" fontId="85" fillId="0" borderId="0" applyNumberFormat="0" applyFill="0" applyBorder="0" applyAlignment="0" applyProtection="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10" fontId="65" fillId="26" borderId="11" applyNumberFormat="0" applyBorder="0" applyAlignment="0" applyProtection="0"/>
    <xf numFmtId="0" fontId="77" fillId="8" borderId="1" applyNumberFormat="0" applyAlignment="0" applyProtection="0"/>
    <xf numFmtId="174" fontId="46" fillId="0" borderId="0">
      <alignment horizontal="center"/>
      <protection locked="0"/>
    </xf>
    <xf numFmtId="0" fontId="87" fillId="0" borderId="12" applyNumberFormat="0" applyFill="0" applyAlignment="0" applyProtection="0"/>
    <xf numFmtId="0" fontId="88" fillId="27" borderId="0" applyNumberFormat="0" applyBorder="0" applyAlignment="0" applyProtection="0"/>
    <xf numFmtId="37" fontId="99" fillId="0" borderId="0"/>
    <xf numFmtId="182" fontId="100"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39" fillId="0" borderId="0"/>
    <xf numFmtId="0" fontId="40" fillId="0" borderId="0"/>
    <xf numFmtId="0" fontId="39" fillId="0" borderId="0"/>
    <xf numFmtId="0" fontId="39" fillId="0" borderId="0"/>
    <xf numFmtId="0" fontId="42" fillId="0" borderId="0">
      <alignment vertical="top"/>
    </xf>
    <xf numFmtId="0" fontId="42" fillId="0" borderId="0"/>
    <xf numFmtId="0" fontId="42" fillId="0" borderId="0">
      <alignment vertical="top"/>
    </xf>
    <xf numFmtId="0" fontId="39" fillId="0" borderId="0"/>
    <xf numFmtId="0" fontId="40" fillId="0" borderId="0"/>
    <xf numFmtId="0" fontId="40" fillId="0" borderId="0"/>
    <xf numFmtId="176" fontId="42" fillId="0" borderId="0"/>
    <xf numFmtId="0" fontId="39" fillId="0" borderId="0"/>
    <xf numFmtId="176" fontId="42" fillId="0" borderId="0"/>
    <xf numFmtId="0" fontId="39" fillId="0" borderId="0"/>
    <xf numFmtId="0" fontId="89" fillId="0" borderId="0"/>
    <xf numFmtId="0" fontId="42" fillId="0" borderId="0"/>
    <xf numFmtId="0" fontId="106" fillId="0" borderId="0"/>
    <xf numFmtId="0" fontId="106" fillId="0" borderId="0"/>
    <xf numFmtId="0" fontId="42" fillId="0" borderId="0"/>
    <xf numFmtId="0" fontId="42" fillId="0" borderId="0"/>
    <xf numFmtId="0" fontId="106" fillId="0" borderId="0"/>
    <xf numFmtId="0" fontId="106" fillId="0" borderId="0"/>
    <xf numFmtId="0" fontId="52" fillId="0" borderId="0"/>
    <xf numFmtId="0" fontId="52" fillId="0" borderId="0"/>
    <xf numFmtId="0" fontId="42" fillId="0" borderId="0"/>
    <xf numFmtId="0" fontId="42" fillId="0" borderId="0"/>
    <xf numFmtId="176" fontId="42" fillId="0" borderId="0"/>
    <xf numFmtId="176" fontId="42" fillId="0" borderId="0"/>
    <xf numFmtId="0" fontId="42" fillId="0" borderId="0"/>
    <xf numFmtId="0" fontId="42" fillId="0" borderId="0"/>
    <xf numFmtId="0" fontId="42" fillId="0" borderId="0"/>
    <xf numFmtId="0" fontId="106" fillId="0" borderId="0"/>
    <xf numFmtId="169" fontId="53" fillId="0" borderId="0" applyProtection="0"/>
    <xf numFmtId="0" fontId="107" fillId="0" borderId="0"/>
    <xf numFmtId="0" fontId="108" fillId="0" borderId="0"/>
    <xf numFmtId="0" fontId="108" fillId="0" borderId="0"/>
    <xf numFmtId="0" fontId="109" fillId="0" borderId="0"/>
    <xf numFmtId="0" fontId="6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2" fillId="0" borderId="0"/>
    <xf numFmtId="0" fontId="42" fillId="0" borderId="0"/>
    <xf numFmtId="0" fontId="42" fillId="0" borderId="0">
      <alignment vertical="top"/>
    </xf>
    <xf numFmtId="0" fontId="42" fillId="0" borderId="0"/>
    <xf numFmtId="0" fontId="106" fillId="0" borderId="0"/>
    <xf numFmtId="0" fontId="42" fillId="0" borderId="0"/>
    <xf numFmtId="0" fontId="42" fillId="0" borderId="0"/>
    <xf numFmtId="0" fontId="42" fillId="0" borderId="0"/>
    <xf numFmtId="0" fontId="39" fillId="0" borderId="0"/>
    <xf numFmtId="0" fontId="10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2" fillId="0" borderId="0"/>
    <xf numFmtId="0" fontId="42" fillId="0" borderId="0"/>
    <xf numFmtId="0" fontId="42" fillId="0" borderId="0"/>
    <xf numFmtId="0" fontId="42" fillId="0" borderId="0"/>
    <xf numFmtId="0" fontId="42" fillId="0" borderId="0"/>
    <xf numFmtId="165" fontId="4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3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0" fillId="0" borderId="0"/>
    <xf numFmtId="0" fontId="40" fillId="0" borderId="0"/>
    <xf numFmtId="0" fontId="42" fillId="0" borderId="0"/>
    <xf numFmtId="0" fontId="39" fillId="0" borderId="0"/>
    <xf numFmtId="0" fontId="42" fillId="0" borderId="0"/>
    <xf numFmtId="0" fontId="42" fillId="0" borderId="0"/>
    <xf numFmtId="0" fontId="40" fillId="0" borderId="0"/>
    <xf numFmtId="0" fontId="40" fillId="0" borderId="0"/>
    <xf numFmtId="0" fontId="42" fillId="0" borderId="0"/>
    <xf numFmtId="0" fontId="39" fillId="0" borderId="0"/>
    <xf numFmtId="0" fontId="42" fillId="0" borderId="0"/>
    <xf numFmtId="0" fontId="42" fillId="0" borderId="0"/>
    <xf numFmtId="169" fontId="53" fillId="0" borderId="0" applyProtection="0"/>
    <xf numFmtId="0" fontId="42" fillId="0" borderId="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42"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183" fontId="101" fillId="28" borderId="0"/>
    <xf numFmtId="0" fontId="79" fillId="12" borderId="14" applyNumberFormat="0" applyAlignment="0" applyProtection="0"/>
    <xf numFmtId="0" fontId="96" fillId="0" borderId="0"/>
    <xf numFmtId="9" fontId="42" fillId="0" borderId="0" applyFont="0" applyFill="0" applyBorder="0" applyAlignment="0" applyProtection="0"/>
    <xf numFmtId="184" fontId="69" fillId="0" borderId="0" applyFont="0" applyFill="0" applyBorder="0" applyAlignment="0" applyProtection="0"/>
    <xf numFmtId="10" fontId="42" fillId="0" borderId="0" applyFont="0" applyFill="0" applyBorder="0" applyAlignment="0" applyProtection="0"/>
    <xf numFmtId="9" fontId="5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63" fillId="0" borderId="0" applyFont="0" applyFill="0" applyBorder="0" applyAlignment="0" applyProtection="0"/>
    <xf numFmtId="9" fontId="42"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4" fontId="69" fillId="0" borderId="0" applyFont="0" applyFill="0" applyBorder="0" applyAlignment="0" applyProtection="0"/>
    <xf numFmtId="0" fontId="70" fillId="0" borderId="7">
      <alignment horizontal="center"/>
    </xf>
    <xf numFmtId="3" fontId="69" fillId="0" borderId="0" applyFont="0" applyFill="0" applyBorder="0" applyAlignment="0" applyProtection="0"/>
    <xf numFmtId="0" fontId="69" fillId="29" borderId="0" applyNumberFormat="0" applyFont="0" applyBorder="0" applyAlignment="0" applyProtection="0"/>
    <xf numFmtId="0" fontId="42" fillId="0" borderId="0" applyNumberFormat="0" applyFill="0" applyBorder="0" applyAlignment="0" applyProtection="0"/>
    <xf numFmtId="0" fontId="42" fillId="30" borderId="14" applyNumberFormat="0" applyProtection="0">
      <alignment horizontal="left" vertical="center" indent="1"/>
    </xf>
    <xf numFmtId="4" fontId="62" fillId="31" borderId="14" applyNumberFormat="0" applyProtection="0">
      <alignment horizontal="right" vertical="center"/>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55" fillId="32" borderId="0"/>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175" fontId="42" fillId="0" borderId="0">
      <alignment horizontal="left" wrapText="1"/>
    </xf>
    <xf numFmtId="0" fontId="42" fillId="24" borderId="3" applyNumberFormat="0" applyFont="0" applyAlignment="0"/>
    <xf numFmtId="0" fontId="51" fillId="0" borderId="0" applyFill="0" applyBorder="0" applyProtection="0">
      <alignment horizontal="left" vertical="top"/>
    </xf>
    <xf numFmtId="40" fontId="102" fillId="0" borderId="0"/>
    <xf numFmtId="0" fontId="90" fillId="0" borderId="0" applyNumberFormat="0" applyFill="0" applyBorder="0" applyAlignment="0" applyProtection="0"/>
    <xf numFmtId="0" fontId="80" fillId="0" borderId="15" applyNumberFormat="0" applyFill="0" applyAlignment="0" applyProtection="0"/>
    <xf numFmtId="0" fontId="78" fillId="0" borderId="0" applyNumberFormat="0" applyFill="0" applyBorder="0" applyAlignment="0" applyProtection="0"/>
    <xf numFmtId="43" fontId="36" fillId="0" borderId="0" applyFont="0" applyFill="0" applyBorder="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0" fontId="81" fillId="12" borderId="1" applyNumberFormat="0" applyAlignment="0" applyProtection="0"/>
    <xf numFmtId="41" fontId="4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10" fillId="0" borderId="0" applyFont="0" applyFill="0" applyBorder="0" applyAlignment="0" applyProtection="0"/>
    <xf numFmtId="43" fontId="42" fillId="0" borderId="0" applyNumberForma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11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86" fontId="112" fillId="0" borderId="0" applyFont="0" applyFill="0" applyBorder="0" applyProtection="0">
      <alignment horizontal="right"/>
    </xf>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187" fontId="64" fillId="0" borderId="0" applyNumberFormat="0" applyFill="0" applyBorder="0" applyAlignment="0" applyProtection="0"/>
    <xf numFmtId="37" fontId="113" fillId="0" borderId="0" applyNumberFormat="0" applyFill="0" applyBorder="0"/>
    <xf numFmtId="0" fontId="65" fillId="0" borderId="48" applyNumberFormat="0" applyBorder="0" applyAlignment="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0" fillId="0" borderId="0"/>
    <xf numFmtId="0" fontId="1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2" fillId="0" borderId="0"/>
    <xf numFmtId="0" fontId="69" fillId="0" borderId="0"/>
    <xf numFmtId="0" fontId="69" fillId="0" borderId="0"/>
    <xf numFmtId="165" fontId="46" fillId="0" borderId="0"/>
    <xf numFmtId="165" fontId="4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42"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65" fillId="6" borderId="13" applyNumberFormat="0" applyFon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0" fontId="79" fillId="12" borderId="14" applyNumberFormat="0" applyAlignment="0" applyProtection="0"/>
    <xf numFmtId="12" fontId="44" fillId="38" borderId="7">
      <alignment horizontal="left"/>
    </xf>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70" fillId="0" borderId="7">
      <alignment horizontal="center"/>
    </xf>
    <xf numFmtId="4" fontId="72" fillId="27" borderId="49" applyNumberFormat="0" applyProtection="0">
      <alignment vertical="center"/>
    </xf>
    <xf numFmtId="4" fontId="114" fillId="34" borderId="49" applyNumberFormat="0" applyProtection="0">
      <alignment vertical="center"/>
    </xf>
    <xf numFmtId="4" fontId="72" fillId="34" borderId="49" applyNumberFormat="0" applyProtection="0">
      <alignment vertical="center"/>
    </xf>
    <xf numFmtId="4" fontId="72" fillId="34" borderId="49" applyNumberFormat="0" applyProtection="0">
      <alignment horizontal="left" vertical="center" indent="1"/>
    </xf>
    <xf numFmtId="4" fontId="72" fillId="34" borderId="49" applyNumberFormat="0" applyProtection="0">
      <alignment horizontal="left" vertical="center" indent="1"/>
    </xf>
    <xf numFmtId="4" fontId="72" fillId="34" borderId="49" applyNumberFormat="0" applyProtection="0">
      <alignment horizontal="left" vertical="center" indent="1"/>
    </xf>
    <xf numFmtId="4" fontId="72" fillId="34" borderId="49" applyNumberFormat="0" applyProtection="0">
      <alignment horizontal="left" vertical="center" indent="1"/>
    </xf>
    <xf numFmtId="4" fontId="72" fillId="34" borderId="49" applyNumberFormat="0" applyProtection="0">
      <alignment horizontal="left" vertical="center" indent="1"/>
    </xf>
    <xf numFmtId="4" fontId="72" fillId="34" borderId="49" applyNumberFormat="0" applyProtection="0">
      <alignment horizontal="left" vertical="center" indent="1"/>
    </xf>
    <xf numFmtId="0" fontId="72" fillId="34" borderId="49" applyNumberFormat="0" applyProtection="0">
      <alignment horizontal="left" vertical="top"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4" fontId="72" fillId="39" borderId="49" applyNumberFormat="0" applyProtection="0"/>
    <xf numFmtId="4" fontId="62" fillId="5" borderId="49" applyNumberFormat="0" applyProtection="0">
      <alignment horizontal="right" vertical="center"/>
    </xf>
    <xf numFmtId="4" fontId="62" fillId="4" borderId="49" applyNumberFormat="0" applyProtection="0">
      <alignment horizontal="right" vertical="center"/>
    </xf>
    <xf numFmtId="4" fontId="62" fillId="19" borderId="49" applyNumberFormat="0" applyProtection="0">
      <alignment horizontal="right" vertical="center"/>
    </xf>
    <xf numFmtId="4" fontId="62" fillId="13" borderId="49" applyNumberFormat="0" applyProtection="0">
      <alignment horizontal="right" vertical="center"/>
    </xf>
    <xf numFmtId="4" fontId="62" fillId="17" borderId="49" applyNumberFormat="0" applyProtection="0">
      <alignment horizontal="right" vertical="center"/>
    </xf>
    <xf numFmtId="4" fontId="62" fillId="21" borderId="49" applyNumberFormat="0" applyProtection="0">
      <alignment horizontal="right" vertical="center"/>
    </xf>
    <xf numFmtId="4" fontId="62" fillId="20" borderId="49" applyNumberFormat="0" applyProtection="0">
      <alignment horizontal="right" vertical="center"/>
    </xf>
    <xf numFmtId="4" fontId="62" fillId="40" borderId="49" applyNumberFormat="0" applyProtection="0">
      <alignment horizontal="right" vertical="center"/>
    </xf>
    <xf numFmtId="4" fontId="62" fillId="11" borderId="49" applyNumberFormat="0" applyProtection="0">
      <alignment horizontal="right" vertical="center"/>
    </xf>
    <xf numFmtId="4" fontId="72" fillId="41" borderId="50" applyNumberFormat="0" applyProtection="0">
      <alignment horizontal="left" vertical="center" indent="1"/>
    </xf>
    <xf numFmtId="4" fontId="62" fillId="42" borderId="0" applyNumberFormat="0" applyProtection="0">
      <alignment horizontal="left" vertical="center" indent="1"/>
    </xf>
    <xf numFmtId="4" fontId="62" fillId="42" borderId="0" applyNumberFormat="0" applyProtection="0">
      <alignment horizontal="left" indent="1"/>
    </xf>
    <xf numFmtId="4" fontId="62" fillId="42" borderId="0" applyNumberFormat="0" applyProtection="0">
      <alignment horizontal="left" indent="1"/>
    </xf>
    <xf numFmtId="4" fontId="62" fillId="42" borderId="0" applyNumberFormat="0" applyProtection="0">
      <alignment horizontal="left" indent="1"/>
    </xf>
    <xf numFmtId="4" fontId="62" fillId="42" borderId="0" applyNumberFormat="0" applyProtection="0">
      <alignment horizontal="left" indent="1"/>
    </xf>
    <xf numFmtId="4" fontId="62" fillId="42" borderId="0" applyNumberFormat="0" applyProtection="0">
      <alignment horizontal="left" indent="1"/>
    </xf>
    <xf numFmtId="4" fontId="62" fillId="42" borderId="0" applyNumberFormat="0" applyProtection="0">
      <alignment horizontal="left" indent="1"/>
    </xf>
    <xf numFmtId="4" fontId="115" fillId="43" borderId="0" applyNumberFormat="0" applyProtection="0">
      <alignment horizontal="left" vertical="center" indent="1"/>
    </xf>
    <xf numFmtId="4" fontId="115" fillId="43" borderId="0" applyNumberFormat="0" applyProtection="0">
      <alignment horizontal="left" vertical="center" indent="1"/>
    </xf>
    <xf numFmtId="4" fontId="115" fillId="43" borderId="0" applyNumberFormat="0" applyProtection="0">
      <alignment horizontal="left" vertical="center" indent="1"/>
    </xf>
    <xf numFmtId="4" fontId="115" fillId="43" borderId="0" applyNumberFormat="0" applyProtection="0">
      <alignment horizontal="left" vertical="center" indent="1"/>
    </xf>
    <xf numFmtId="4" fontId="115" fillId="43" borderId="0" applyNumberFormat="0" applyProtection="0">
      <alignment horizontal="left" vertical="center" indent="1"/>
    </xf>
    <xf numFmtId="4" fontId="62" fillId="44" borderId="49" applyNumberFormat="0" applyProtection="0">
      <alignment horizontal="right" vertical="center"/>
    </xf>
    <xf numFmtId="4" fontId="116" fillId="0" borderId="0" applyNumberFormat="0" applyProtection="0">
      <alignment horizontal="left" vertical="center" indent="1"/>
    </xf>
    <xf numFmtId="4" fontId="117" fillId="45" borderId="0" applyNumberFormat="0" applyProtection="0">
      <alignment horizontal="left" indent="1"/>
    </xf>
    <xf numFmtId="4" fontId="117" fillId="45" borderId="0" applyNumberFormat="0" applyProtection="0">
      <alignment horizontal="left" indent="1"/>
    </xf>
    <xf numFmtId="4" fontId="117" fillId="45" borderId="0" applyNumberFormat="0" applyProtection="0">
      <alignment horizontal="left" indent="1"/>
    </xf>
    <xf numFmtId="4" fontId="117" fillId="45" borderId="0" applyNumberFormat="0" applyProtection="0">
      <alignment horizontal="left" indent="1"/>
    </xf>
    <xf numFmtId="4" fontId="117" fillId="45" borderId="0" applyNumberFormat="0" applyProtection="0">
      <alignment horizontal="left" indent="1"/>
    </xf>
    <xf numFmtId="4" fontId="117" fillId="45" borderId="0" applyNumberFormat="0" applyProtection="0">
      <alignment horizontal="left" indent="1"/>
    </xf>
    <xf numFmtId="4" fontId="117" fillId="45" borderId="0" applyNumberFormat="0" applyProtection="0">
      <alignment horizontal="left" indent="1"/>
    </xf>
    <xf numFmtId="4" fontId="118" fillId="0" borderId="0" applyNumberFormat="0" applyProtection="0">
      <alignment horizontal="left" vertical="center" indent="1"/>
    </xf>
    <xf numFmtId="4" fontId="118" fillId="46" borderId="0" applyNumberFormat="0" applyProtection="0"/>
    <xf numFmtId="4" fontId="118" fillId="46" borderId="0" applyNumberFormat="0" applyProtection="0"/>
    <xf numFmtId="4" fontId="118" fillId="46" borderId="0" applyNumberFormat="0" applyProtection="0"/>
    <xf numFmtId="4" fontId="118" fillId="46" borderId="0" applyNumberFormat="0" applyProtection="0"/>
    <xf numFmtId="4" fontId="118" fillId="46" borderId="0" applyNumberFormat="0" applyProtection="0"/>
    <xf numFmtId="4" fontId="118" fillId="46" borderId="0" applyNumberFormat="0" applyProtection="0"/>
    <xf numFmtId="4" fontId="118" fillId="46" borderId="0" applyNumberFormat="0" applyProtection="0"/>
    <xf numFmtId="0" fontId="42" fillId="43" borderId="49" applyNumberFormat="0" applyProtection="0">
      <alignment horizontal="left" vertical="center" indent="1"/>
    </xf>
    <xf numFmtId="0" fontId="42" fillId="43" borderId="49" applyNumberFormat="0" applyProtection="0">
      <alignment horizontal="left" vertical="center" indent="1"/>
    </xf>
    <xf numFmtId="0" fontId="42" fillId="43" borderId="49" applyNumberFormat="0" applyProtection="0">
      <alignment horizontal="left" vertical="center" indent="1"/>
    </xf>
    <xf numFmtId="0" fontId="42" fillId="43" borderId="49" applyNumberFormat="0" applyProtection="0">
      <alignment horizontal="left" vertical="center" indent="1"/>
    </xf>
    <xf numFmtId="0" fontId="42" fillId="43" borderId="49" applyNumberFormat="0" applyProtection="0">
      <alignment horizontal="left" vertical="center" indent="1"/>
    </xf>
    <xf numFmtId="0" fontId="42" fillId="43" borderId="49" applyNumberFormat="0" applyProtection="0">
      <alignment horizontal="left" vertical="top" indent="1"/>
    </xf>
    <xf numFmtId="0" fontId="42" fillId="43" borderId="49" applyNumberFormat="0" applyProtection="0">
      <alignment horizontal="left" vertical="top" indent="1"/>
    </xf>
    <xf numFmtId="0" fontId="42" fillId="43" borderId="49" applyNumberFormat="0" applyProtection="0">
      <alignment horizontal="left" vertical="top" indent="1"/>
    </xf>
    <xf numFmtId="0" fontId="42" fillId="43" borderId="49" applyNumberFormat="0" applyProtection="0">
      <alignment horizontal="left" vertical="top" indent="1"/>
    </xf>
    <xf numFmtId="0" fontId="42" fillId="43" borderId="49" applyNumberFormat="0" applyProtection="0">
      <alignment horizontal="left" vertical="top" indent="1"/>
    </xf>
    <xf numFmtId="0" fontId="42" fillId="39" borderId="49" applyNumberFormat="0" applyProtection="0">
      <alignment horizontal="left" vertical="center" indent="1"/>
    </xf>
    <xf numFmtId="0" fontId="42" fillId="39" borderId="49" applyNumberFormat="0" applyProtection="0">
      <alignment horizontal="left" vertical="center" indent="1"/>
    </xf>
    <xf numFmtId="0" fontId="42" fillId="39" borderId="49" applyNumberFormat="0" applyProtection="0">
      <alignment horizontal="left" vertical="center" indent="1"/>
    </xf>
    <xf numFmtId="0" fontId="42" fillId="39" borderId="49" applyNumberFormat="0" applyProtection="0">
      <alignment horizontal="left" vertical="center" indent="1"/>
    </xf>
    <xf numFmtId="0" fontId="42" fillId="39" borderId="49" applyNumberFormat="0" applyProtection="0">
      <alignment horizontal="left" vertical="center" indent="1"/>
    </xf>
    <xf numFmtId="0" fontId="42" fillId="39" borderId="49" applyNumberFormat="0" applyProtection="0">
      <alignment horizontal="left" vertical="top" indent="1"/>
    </xf>
    <xf numFmtId="0" fontId="42" fillId="39" borderId="49" applyNumberFormat="0" applyProtection="0">
      <alignment horizontal="left" vertical="top" indent="1"/>
    </xf>
    <xf numFmtId="0" fontId="42" fillId="39" borderId="49" applyNumberFormat="0" applyProtection="0">
      <alignment horizontal="left" vertical="top" indent="1"/>
    </xf>
    <xf numFmtId="0" fontId="42" fillId="39" borderId="49" applyNumberFormat="0" applyProtection="0">
      <alignment horizontal="left" vertical="top" indent="1"/>
    </xf>
    <xf numFmtId="0" fontId="42" fillId="39" borderId="49" applyNumberFormat="0" applyProtection="0">
      <alignment horizontal="left" vertical="top" indent="1"/>
    </xf>
    <xf numFmtId="0" fontId="42" fillId="36" borderId="49" applyNumberFormat="0" applyProtection="0">
      <alignment horizontal="left" vertical="center" indent="1"/>
    </xf>
    <xf numFmtId="0" fontId="42" fillId="36" borderId="49" applyNumberFormat="0" applyProtection="0">
      <alignment horizontal="left" vertical="center" indent="1"/>
    </xf>
    <xf numFmtId="0" fontId="42" fillId="36" borderId="49" applyNumberFormat="0" applyProtection="0">
      <alignment horizontal="left" vertical="center" indent="1"/>
    </xf>
    <xf numFmtId="0" fontId="42" fillId="36" borderId="49" applyNumberFormat="0" applyProtection="0">
      <alignment horizontal="left" vertical="center" indent="1"/>
    </xf>
    <xf numFmtId="0" fontId="42" fillId="36" borderId="49" applyNumberFormat="0" applyProtection="0">
      <alignment horizontal="left" vertical="center" indent="1"/>
    </xf>
    <xf numFmtId="0" fontId="42" fillId="36" borderId="49" applyNumberFormat="0" applyProtection="0">
      <alignment horizontal="left" vertical="top" indent="1"/>
    </xf>
    <xf numFmtId="0" fontId="42" fillId="36" borderId="49" applyNumberFormat="0" applyProtection="0">
      <alignment horizontal="left" vertical="top" indent="1"/>
    </xf>
    <xf numFmtId="0" fontId="42" fillId="36" borderId="49" applyNumberFormat="0" applyProtection="0">
      <alignment horizontal="left" vertical="top" indent="1"/>
    </xf>
    <xf numFmtId="0" fontId="42" fillId="36" borderId="49" applyNumberFormat="0" applyProtection="0">
      <alignment horizontal="left" vertical="top" indent="1"/>
    </xf>
    <xf numFmtId="0" fontId="42" fillId="36" borderId="49" applyNumberFormat="0" applyProtection="0">
      <alignment horizontal="left" vertical="top" indent="1"/>
    </xf>
    <xf numFmtId="0" fontId="42" fillId="47" borderId="49" applyNumberFormat="0" applyProtection="0">
      <alignment horizontal="left" vertical="center" indent="1"/>
    </xf>
    <xf numFmtId="0" fontId="42" fillId="47" borderId="49" applyNumberFormat="0" applyProtection="0">
      <alignment horizontal="left" vertical="center" indent="1"/>
    </xf>
    <xf numFmtId="0" fontId="42" fillId="47" borderId="49" applyNumberFormat="0" applyProtection="0">
      <alignment horizontal="left" vertical="center" indent="1"/>
    </xf>
    <xf numFmtId="0" fontId="42" fillId="47" borderId="49" applyNumberFormat="0" applyProtection="0">
      <alignment horizontal="left" vertical="center" indent="1"/>
    </xf>
    <xf numFmtId="0" fontId="42" fillId="47" borderId="49" applyNumberFormat="0" applyProtection="0">
      <alignment horizontal="left" vertical="center" indent="1"/>
    </xf>
    <xf numFmtId="0" fontId="42" fillId="47" borderId="49" applyNumberFormat="0" applyProtection="0">
      <alignment horizontal="left" vertical="top" indent="1"/>
    </xf>
    <xf numFmtId="0" fontId="42" fillId="47" borderId="49" applyNumberFormat="0" applyProtection="0">
      <alignment horizontal="left" vertical="top" indent="1"/>
    </xf>
    <xf numFmtId="0" fontId="42" fillId="47" borderId="49" applyNumberFormat="0" applyProtection="0">
      <alignment horizontal="left" vertical="top" indent="1"/>
    </xf>
    <xf numFmtId="0" fontId="42" fillId="47" borderId="49" applyNumberFormat="0" applyProtection="0">
      <alignment horizontal="left" vertical="top" indent="1"/>
    </xf>
    <xf numFmtId="0" fontId="42" fillId="47" borderId="49" applyNumberFormat="0" applyProtection="0">
      <alignment horizontal="left" vertical="top" indent="1"/>
    </xf>
    <xf numFmtId="4" fontId="62" fillId="26" borderId="49" applyNumberFormat="0" applyProtection="0">
      <alignment vertical="center"/>
    </xf>
    <xf numFmtId="4" fontId="119" fillId="26" borderId="49" applyNumberFormat="0" applyProtection="0">
      <alignment vertical="center"/>
    </xf>
    <xf numFmtId="4" fontId="62" fillId="26" borderId="49" applyNumberFormat="0" applyProtection="0">
      <alignment horizontal="left" vertical="center" indent="1"/>
    </xf>
    <xf numFmtId="0" fontId="62" fillId="26" borderId="49" applyNumberFormat="0" applyProtection="0">
      <alignment horizontal="left" vertical="top" indent="1"/>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31" borderId="14" applyNumberFormat="0" applyProtection="0">
      <alignment horizontal="right" vertical="center"/>
    </xf>
    <xf numFmtId="4" fontId="62" fillId="0" borderId="49" applyNumberFormat="0" applyProtection="0">
      <alignment horizontal="right" vertical="center"/>
    </xf>
    <xf numFmtId="4" fontId="119" fillId="42" borderId="49" applyNumberFormat="0" applyProtection="0">
      <alignment horizontal="right" vertical="center"/>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4" fontId="62" fillId="44" borderId="49"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4" fontId="62" fillId="0" borderId="49"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42" fillId="30" borderId="14" applyNumberFormat="0" applyProtection="0">
      <alignment horizontal="left" vertical="center" indent="1"/>
    </xf>
    <xf numFmtId="0" fontId="62" fillId="39" borderId="49" applyNumberFormat="0" applyProtection="0">
      <alignment horizontal="left" vertical="top"/>
    </xf>
    <xf numFmtId="4" fontId="58" fillId="0" borderId="0" applyNumberFormat="0" applyProtection="0">
      <alignment horizontal="left" vertical="center"/>
    </xf>
    <xf numFmtId="4" fontId="55" fillId="48" borderId="0" applyNumberFormat="0" applyProtection="0">
      <alignment horizontal="left"/>
    </xf>
    <xf numFmtId="4" fontId="55" fillId="48" borderId="0" applyNumberFormat="0" applyProtection="0">
      <alignment horizontal="left"/>
    </xf>
    <xf numFmtId="4" fontId="55" fillId="48" borderId="0" applyNumberFormat="0" applyProtection="0">
      <alignment horizontal="left"/>
    </xf>
    <xf numFmtId="4" fontId="55" fillId="48" borderId="0" applyNumberFormat="0" applyProtection="0">
      <alignment horizontal="left"/>
    </xf>
    <xf numFmtId="4" fontId="55" fillId="48" borderId="0" applyNumberFormat="0" applyProtection="0">
      <alignment horizontal="left"/>
    </xf>
    <xf numFmtId="4" fontId="55" fillId="48" borderId="0" applyNumberFormat="0" applyProtection="0">
      <alignment horizontal="left"/>
    </xf>
    <xf numFmtId="4" fontId="55" fillId="48" borderId="0" applyNumberFormat="0" applyProtection="0">
      <alignment horizontal="left"/>
    </xf>
    <xf numFmtId="4" fontId="45" fillId="42" borderId="49" applyNumberFormat="0" applyProtection="0">
      <alignment horizontal="right" vertical="center"/>
    </xf>
    <xf numFmtId="188" fontId="42" fillId="0" borderId="0" applyFill="0" applyBorder="0" applyAlignment="0" applyProtection="0">
      <alignment wrapText="1"/>
    </xf>
    <xf numFmtId="0" fontId="43" fillId="0" borderId="0" applyNumberFormat="0" applyFill="0" applyBorder="0">
      <alignment horizontal="center" wrapText="1"/>
    </xf>
    <xf numFmtId="0" fontId="43" fillId="0" borderId="0" applyNumberFormat="0" applyFill="0" applyBorder="0">
      <alignment horizontal="center" wrapText="1"/>
    </xf>
    <xf numFmtId="0" fontId="43" fillId="0" borderId="11">
      <alignment horizontal="center" vertical="center" wrapText="1"/>
    </xf>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0" fontId="80" fillId="0" borderId="15" applyNumberFormat="0" applyFill="0" applyAlignment="0" applyProtection="0"/>
    <xf numFmtId="37" fontId="65" fillId="34" borderId="0" applyNumberFormat="0" applyBorder="0" applyAlignment="0" applyProtection="0"/>
    <xf numFmtId="37" fontId="65" fillId="0" borderId="0"/>
    <xf numFmtId="3" fontId="120" fillId="49" borderId="51" applyProtection="0"/>
    <xf numFmtId="0" fontId="69" fillId="0" borderId="0"/>
    <xf numFmtId="0" fontId="37" fillId="0" borderId="0"/>
    <xf numFmtId="0" fontId="35" fillId="0" borderId="0"/>
    <xf numFmtId="0" fontId="35" fillId="0" borderId="0"/>
    <xf numFmtId="0" fontId="35" fillId="0" borderId="0"/>
    <xf numFmtId="0" fontId="42" fillId="0" borderId="0"/>
    <xf numFmtId="0" fontId="107" fillId="0" borderId="0"/>
    <xf numFmtId="0" fontId="42" fillId="0" borderId="0">
      <alignment vertical="top"/>
    </xf>
    <xf numFmtId="9" fontId="53" fillId="0" borderId="0" applyFont="0" applyFill="0" applyBorder="0" applyAlignment="0" applyProtection="0"/>
    <xf numFmtId="0" fontId="34" fillId="0" borderId="0"/>
    <xf numFmtId="0" fontId="37" fillId="0" borderId="0"/>
    <xf numFmtId="0" fontId="34" fillId="0" borderId="0"/>
    <xf numFmtId="0" fontId="34" fillId="0" borderId="0"/>
    <xf numFmtId="44" fontId="107" fillId="0" borderId="0" applyFont="0" applyFill="0" applyBorder="0" applyAlignment="0" applyProtection="0"/>
    <xf numFmtId="0" fontId="33" fillId="0" borderId="0"/>
    <xf numFmtId="43" fontId="33" fillId="0" borderId="0" applyFont="0" applyFill="0" applyBorder="0" applyAlignment="0" applyProtection="0"/>
    <xf numFmtId="43" fontId="126" fillId="0" borderId="0" applyFont="0" applyFill="0" applyBorder="0" applyAlignment="0" applyProtection="0"/>
    <xf numFmtId="9" fontId="126" fillId="0" borderId="0" applyFont="0" applyFill="0" applyBorder="0" applyAlignment="0" applyProtection="0"/>
    <xf numFmtId="0" fontId="37" fillId="3" borderId="0" applyNumberFormat="0" applyBorder="0" applyAlignment="0" applyProtection="0"/>
    <xf numFmtId="0" fontId="37" fillId="5" borderId="0" applyNumberFormat="0" applyBorder="0" applyAlignment="0" applyProtection="0"/>
    <xf numFmtId="0" fontId="37" fillId="7"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2" borderId="0" applyNumberFormat="0" applyBorder="0" applyAlignment="0" applyProtection="0"/>
    <xf numFmtId="0" fontId="37" fillId="4" borderId="0" applyNumberFormat="0" applyBorder="0" applyAlignment="0" applyProtection="0"/>
    <xf numFmtId="0" fontId="37" fillId="11" borderId="0" applyNumberFormat="0" applyBorder="0" applyAlignment="0" applyProtection="0"/>
    <xf numFmtId="0" fontId="37" fillId="9" borderId="0" applyNumberFormat="0" applyBorder="0" applyAlignment="0" applyProtection="0"/>
    <xf numFmtId="0" fontId="37" fillId="2" borderId="0" applyNumberFormat="0" applyBorder="0" applyAlignment="0" applyProtection="0"/>
    <xf numFmtId="0" fontId="37" fillId="13" borderId="0" applyNumberFormat="0" applyBorder="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42" fillId="6" borderId="13" applyNumberFormat="0" applyFont="0" applyAlignment="0" applyProtection="0"/>
    <xf numFmtId="43" fontId="126" fillId="0" borderId="0" applyFont="0" applyFill="0" applyBorder="0" applyAlignment="0" applyProtection="0"/>
    <xf numFmtId="0" fontId="42" fillId="6" borderId="13" applyNumberFormat="0" applyFont="0" applyAlignment="0" applyProtection="0"/>
    <xf numFmtId="0" fontId="42" fillId="0" borderId="0"/>
    <xf numFmtId="0" fontId="77" fillId="8" borderId="1" applyNumberFormat="0" applyAlignment="0" applyProtection="0"/>
    <xf numFmtId="0" fontId="42" fillId="6" borderId="13" applyNumberFormat="0" applyFont="0" applyAlignment="0" applyProtection="0"/>
    <xf numFmtId="9" fontId="126" fillId="0" borderId="0" applyFont="0" applyFill="0" applyBorder="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77" fillId="8" borderId="1" applyNumberFormat="0" applyAlignment="0" applyProtection="0"/>
    <xf numFmtId="0" fontId="42" fillId="6" borderId="13" applyNumberFormat="0" applyFont="0" applyAlignment="0" applyProtection="0"/>
    <xf numFmtId="0" fontId="77" fillId="8" borderId="1" applyNumberFormat="0" applyAlignment="0" applyProtection="0"/>
    <xf numFmtId="0" fontId="42" fillId="6" borderId="13" applyNumberFormat="0" applyFont="0" applyAlignment="0" applyProtection="0"/>
    <xf numFmtId="0" fontId="42" fillId="6" borderId="13" applyNumberFormat="0" applyFont="0" applyAlignment="0" applyProtection="0"/>
    <xf numFmtId="0" fontId="42" fillId="0" borderId="0"/>
    <xf numFmtId="0" fontId="42" fillId="6" borderId="13" applyNumberFormat="0" applyFont="0" applyAlignment="0" applyProtection="0"/>
    <xf numFmtId="0" fontId="42" fillId="0" borderId="0"/>
    <xf numFmtId="0" fontId="42" fillId="6" borderId="13" applyNumberFormat="0" applyFont="0" applyAlignment="0" applyProtection="0"/>
    <xf numFmtId="0" fontId="42" fillId="0" borderId="0"/>
    <xf numFmtId="0" fontId="42" fillId="6" borderId="13" applyNumberFormat="0" applyFont="0" applyAlignment="0" applyProtection="0"/>
    <xf numFmtId="0" fontId="42" fillId="0" borderId="0"/>
    <xf numFmtId="0" fontId="42" fillId="6" borderId="13"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0" fontId="4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42" fillId="0" borderId="0"/>
    <xf numFmtId="0" fontId="32" fillId="0" borderId="0"/>
    <xf numFmtId="0" fontId="42" fillId="0" borderId="0"/>
    <xf numFmtId="0" fontId="32" fillId="0" borderId="0"/>
    <xf numFmtId="0" fontId="4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32"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43" fontId="127" fillId="0" borderId="0" applyFont="0" applyFill="0" applyBorder="0" applyAlignment="0" applyProtection="0"/>
    <xf numFmtId="9" fontId="127" fillId="0" borderId="0" applyFont="0" applyFill="0" applyBorder="0" applyAlignment="0" applyProtection="0"/>
    <xf numFmtId="43" fontId="127" fillId="0" borderId="0" applyFont="0" applyFill="0" applyBorder="0" applyAlignment="0" applyProtection="0"/>
    <xf numFmtId="9" fontId="127"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4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169" fontId="53" fillId="0" borderId="0" applyProtection="0"/>
    <xf numFmtId="0" fontId="42" fillId="0" borderId="0"/>
    <xf numFmtId="169" fontId="53" fillId="0" borderId="0" applyProtection="0"/>
    <xf numFmtId="169" fontId="53" fillId="0" borderId="0" applyProtection="0"/>
    <xf numFmtId="0" fontId="53" fillId="0" borderId="0" applyProtection="0"/>
    <xf numFmtId="0" fontId="28" fillId="0" borderId="0"/>
    <xf numFmtId="0" fontId="28" fillId="0" borderId="0"/>
    <xf numFmtId="43" fontId="28" fillId="0" borderId="0" applyFont="0" applyFill="0" applyBorder="0" applyAlignment="0" applyProtection="0"/>
    <xf numFmtId="0" fontId="5" fillId="0" borderId="0"/>
    <xf numFmtId="43" fontId="5" fillId="0" borderId="0" applyFont="0" applyFill="0" applyBorder="0" applyAlignment="0" applyProtection="0"/>
    <xf numFmtId="0" fontId="171" fillId="0" borderId="0"/>
    <xf numFmtId="0" fontId="171" fillId="0" borderId="0"/>
    <xf numFmtId="0" fontId="171" fillId="0" borderId="0"/>
    <xf numFmtId="0" fontId="171" fillId="0" borderId="0"/>
    <xf numFmtId="0" fontId="42" fillId="0" borderId="0"/>
    <xf numFmtId="0" fontId="5" fillId="0" borderId="0"/>
    <xf numFmtId="0" fontId="107" fillId="0" borderId="0"/>
    <xf numFmtId="43" fontId="107" fillId="0" borderId="0" applyFont="0" applyFill="0" applyBorder="0" applyAlignment="0" applyProtection="0"/>
    <xf numFmtId="0" fontId="180" fillId="0" borderId="0"/>
  </cellStyleXfs>
  <cellXfs count="2467">
    <xf numFmtId="0" fontId="0" fillId="0" borderId="0" xfId="0"/>
    <xf numFmtId="0" fontId="44" fillId="0" borderId="0" xfId="0" applyFont="1"/>
    <xf numFmtId="0" fontId="46" fillId="0" borderId="0" xfId="0" applyFont="1" applyAlignment="1"/>
    <xf numFmtId="0" fontId="44" fillId="0" borderId="17" xfId="0" applyFont="1" applyBorder="1"/>
    <xf numFmtId="0" fontId="44" fillId="0" borderId="0" xfId="0" applyNumberFormat="1" applyFont="1" applyFill="1" applyBorder="1" applyAlignment="1"/>
    <xf numFmtId="0" fontId="46" fillId="0" borderId="0" xfId="0" applyFont="1" applyBorder="1" applyAlignment="1"/>
    <xf numFmtId="0" fontId="46" fillId="0" borderId="0" xfId="0" applyNumberFormat="1" applyFont="1" applyBorder="1" applyAlignment="1">
      <alignment horizontal="center"/>
    </xf>
    <xf numFmtId="0" fontId="46" fillId="0" borderId="0" xfId="0" applyNumberFormat="1" applyFont="1" applyBorder="1" applyAlignment="1">
      <alignment horizontal="left"/>
    </xf>
    <xf numFmtId="0" fontId="46" fillId="0" borderId="0" xfId="0" applyFont="1" applyFill="1" applyBorder="1" applyAlignment="1"/>
    <xf numFmtId="0" fontId="46" fillId="0" borderId="0" xfId="0" applyFont="1" applyBorder="1"/>
    <xf numFmtId="0" fontId="44" fillId="0" borderId="0" xfId="0" applyNumberFormat="1" applyFont="1" applyBorder="1" applyAlignment="1"/>
    <xf numFmtId="0" fontId="46" fillId="0" borderId="18" xfId="0" applyFont="1" applyFill="1" applyBorder="1" applyAlignment="1">
      <alignment horizontal="left"/>
    </xf>
    <xf numFmtId="0" fontId="46" fillId="0" borderId="18" xfId="0" applyNumberFormat="1" applyFont="1" applyBorder="1" applyAlignment="1">
      <alignment horizontal="left"/>
    </xf>
    <xf numFmtId="0" fontId="46" fillId="0" borderId="0" xfId="0" applyFont="1" applyFill="1" applyBorder="1" applyAlignment="1">
      <alignment horizontal="left"/>
    </xf>
    <xf numFmtId="0" fontId="46" fillId="0" borderId="0" xfId="0" applyFont="1" applyFill="1" applyBorder="1"/>
    <xf numFmtId="0" fontId="44" fillId="0" borderId="17" xfId="0" applyFont="1" applyBorder="1" applyAlignment="1"/>
    <xf numFmtId="168" fontId="44" fillId="0" borderId="17" xfId="0" applyNumberFormat="1" applyFont="1" applyBorder="1" applyAlignment="1">
      <alignment horizontal="left"/>
    </xf>
    <xf numFmtId="0" fontId="46" fillId="0" borderId="17" xfId="0" applyFont="1" applyFill="1" applyBorder="1" applyAlignment="1"/>
    <xf numFmtId="0" fontId="57" fillId="0" borderId="0" xfId="0" applyFont="1" applyFill="1" applyBorder="1" applyAlignment="1"/>
    <xf numFmtId="0" fontId="44" fillId="0" borderId="0" xfId="0" applyFont="1" applyBorder="1" applyAlignment="1"/>
    <xf numFmtId="168" fontId="44" fillId="0" borderId="0" xfId="0" applyNumberFormat="1" applyFont="1" applyBorder="1" applyAlignment="1">
      <alignment horizontal="left"/>
    </xf>
    <xf numFmtId="0" fontId="46" fillId="33" borderId="0" xfId="0" applyNumberFormat="1" applyFont="1" applyFill="1" applyAlignment="1">
      <alignment horizontal="center"/>
    </xf>
    <xf numFmtId="0" fontId="57" fillId="33" borderId="0" xfId="0" applyNumberFormat="1" applyFont="1" applyFill="1" applyAlignment="1">
      <alignment horizontal="left"/>
    </xf>
    <xf numFmtId="0" fontId="46" fillId="0" borderId="18" xfId="0" applyNumberFormat="1" applyFont="1" applyFill="1" applyBorder="1" applyAlignment="1">
      <alignment horizontal="left"/>
    </xf>
    <xf numFmtId="0" fontId="44" fillId="0" borderId="0" xfId="0" applyNumberFormat="1" applyFont="1" applyBorder="1" applyAlignment="1">
      <alignment horizontal="left"/>
    </xf>
    <xf numFmtId="0" fontId="46" fillId="0" borderId="18" xfId="0" applyNumberFormat="1" applyFont="1" applyBorder="1" applyAlignment="1">
      <alignment horizontal="center"/>
    </xf>
    <xf numFmtId="0" fontId="46" fillId="0" borderId="0" xfId="0" applyFont="1" applyBorder="1" applyAlignment="1">
      <alignment horizontal="center"/>
    </xf>
    <xf numFmtId="0" fontId="44" fillId="0" borderId="17" xfId="0" applyFont="1" applyBorder="1" applyAlignment="1">
      <alignment horizontal="center"/>
    </xf>
    <xf numFmtId="0" fontId="46" fillId="0" borderId="18" xfId="0" applyNumberFormat="1" applyFont="1" applyFill="1" applyBorder="1" applyAlignment="1">
      <alignment horizontal="center"/>
    </xf>
    <xf numFmtId="0" fontId="46" fillId="0" borderId="18" xfId="0" applyFont="1" applyBorder="1" applyAlignment="1">
      <alignment horizontal="center"/>
    </xf>
    <xf numFmtId="0" fontId="44" fillId="0" borderId="0" xfId="0" applyFont="1" applyBorder="1" applyAlignment="1">
      <alignment horizontal="center"/>
    </xf>
    <xf numFmtId="0" fontId="46" fillId="0" borderId="0" xfId="0" applyNumberFormat="1" applyFont="1" applyFill="1" applyBorder="1" applyAlignment="1">
      <alignment horizontal="center"/>
    </xf>
    <xf numFmtId="0" fontId="48" fillId="0" borderId="0" xfId="0" applyFont="1" applyFill="1" applyBorder="1" applyAlignment="1">
      <alignment horizontal="center"/>
    </xf>
    <xf numFmtId="0" fontId="46" fillId="0" borderId="0" xfId="0" applyFont="1" applyFill="1" applyBorder="1" applyAlignment="1">
      <alignment horizontal="center"/>
    </xf>
    <xf numFmtId="0" fontId="44" fillId="0" borderId="0" xfId="0" applyFont="1" applyFill="1"/>
    <xf numFmtId="0" fontId="44" fillId="0" borderId="0" xfId="0" applyFont="1" applyFill="1" applyBorder="1"/>
    <xf numFmtId="0" fontId="43" fillId="0" borderId="0" xfId="0" applyFont="1" applyAlignment="1">
      <alignment horizontal="left"/>
    </xf>
    <xf numFmtId="0" fontId="44" fillId="0" borderId="0" xfId="0" applyNumberFormat="1" applyFont="1" applyFill="1" applyBorder="1" applyAlignment="1">
      <alignment horizontal="left"/>
    </xf>
    <xf numFmtId="0" fontId="43" fillId="0" borderId="0" xfId="0" applyFont="1" applyFill="1" applyAlignment="1">
      <alignment horizontal="center"/>
    </xf>
    <xf numFmtId="0" fontId="42" fillId="0" borderId="0" xfId="0" applyFont="1" applyFill="1"/>
    <xf numFmtId="0" fontId="42" fillId="0" borderId="0" xfId="0" applyFont="1"/>
    <xf numFmtId="0" fontId="42" fillId="0" borderId="0" xfId="0" applyFont="1" applyFill="1" applyBorder="1"/>
    <xf numFmtId="0" fontId="43" fillId="0" borderId="0" xfId="0" applyFont="1" applyFill="1" applyBorder="1" applyAlignment="1">
      <alignment horizontal="left"/>
    </xf>
    <xf numFmtId="37" fontId="44" fillId="0" borderId="0" xfId="0" applyNumberFormat="1" applyFont="1" applyBorder="1" applyAlignment="1">
      <alignment horizontal="right"/>
    </xf>
    <xf numFmtId="0" fontId="46" fillId="0" borderId="18" xfId="0" applyNumberFormat="1" applyFont="1" applyBorder="1" applyAlignment="1"/>
    <xf numFmtId="3" fontId="46" fillId="0" borderId="0" xfId="0" applyNumberFormat="1" applyFont="1" applyBorder="1" applyAlignment="1"/>
    <xf numFmtId="3" fontId="46" fillId="0" borderId="0" xfId="0" applyNumberFormat="1" applyFont="1" applyFill="1" applyBorder="1" applyAlignment="1"/>
    <xf numFmtId="0" fontId="44" fillId="0" borderId="0" xfId="0" applyFont="1" applyFill="1" applyBorder="1" applyAlignment="1"/>
    <xf numFmtId="0" fontId="44" fillId="0" borderId="0" xfId="0" applyNumberFormat="1" applyFont="1" applyFill="1" applyBorder="1" applyAlignment="1">
      <alignment horizontal="center"/>
    </xf>
    <xf numFmtId="3" fontId="46" fillId="0" borderId="17" xfId="0" applyNumberFormat="1" applyFont="1" applyFill="1" applyBorder="1" applyAlignment="1">
      <alignment horizontal="center"/>
    </xf>
    <xf numFmtId="0" fontId="46" fillId="0" borderId="0" xfId="0" applyNumberFormat="1" applyFont="1" applyBorder="1" applyAlignment="1"/>
    <xf numFmtId="3" fontId="46" fillId="0" borderId="0" xfId="0" applyNumberFormat="1" applyFont="1" applyBorder="1" applyAlignment="1">
      <alignment horizontal="center"/>
    </xf>
    <xf numFmtId="0" fontId="44" fillId="0" borderId="0" xfId="0" applyFont="1" applyBorder="1" applyAlignment="1">
      <alignment horizontal="left"/>
    </xf>
    <xf numFmtId="3" fontId="46" fillId="0" borderId="17" xfId="0" applyNumberFormat="1" applyFont="1" applyBorder="1" applyAlignment="1">
      <alignment horizontal="center"/>
    </xf>
    <xf numFmtId="0" fontId="46" fillId="0" borderId="0" xfId="0" applyNumberFormat="1" applyFont="1" applyFill="1" applyBorder="1" applyAlignment="1">
      <alignment horizontal="left"/>
    </xf>
    <xf numFmtId="0" fontId="44" fillId="0" borderId="17" xfId="0" applyNumberFormat="1" applyFont="1" applyBorder="1" applyAlignment="1">
      <alignment horizontal="center"/>
    </xf>
    <xf numFmtId="0" fontId="46" fillId="0" borderId="0" xfId="0" applyNumberFormat="1" applyFont="1" applyFill="1" applyBorder="1" applyAlignment="1"/>
    <xf numFmtId="168" fontId="46" fillId="0" borderId="0" xfId="0" applyNumberFormat="1" applyFont="1" applyBorder="1" applyAlignment="1">
      <alignment horizontal="left"/>
    </xf>
    <xf numFmtId="0" fontId="46" fillId="0" borderId="18" xfId="0" applyNumberFormat="1" applyFont="1" applyFill="1" applyBorder="1" applyAlignment="1"/>
    <xf numFmtId="37" fontId="46" fillId="0" borderId="0" xfId="0" applyNumberFormat="1" applyFont="1" applyBorder="1" applyAlignment="1">
      <alignment horizontal="left"/>
    </xf>
    <xf numFmtId="0" fontId="44" fillId="0" borderId="0" xfId="0" applyNumberFormat="1" applyFont="1" applyBorder="1" applyAlignment="1">
      <alignment horizontal="center"/>
    </xf>
    <xf numFmtId="0" fontId="42" fillId="0" borderId="0" xfId="504" applyFont="1"/>
    <xf numFmtId="0" fontId="46" fillId="0" borderId="18" xfId="0" applyFont="1" applyFill="1" applyBorder="1" applyAlignment="1"/>
    <xf numFmtId="0" fontId="44" fillId="0" borderId="0" xfId="0" applyFont="1" applyBorder="1"/>
    <xf numFmtId="3" fontId="46" fillId="0" borderId="26" xfId="0" applyNumberFormat="1" applyFont="1" applyFill="1" applyBorder="1"/>
    <xf numFmtId="3" fontId="46" fillId="0" borderId="26" xfId="0" applyNumberFormat="1" applyFont="1" applyFill="1" applyBorder="1" applyAlignment="1"/>
    <xf numFmtId="3" fontId="44" fillId="0" borderId="27" xfId="0" applyNumberFormat="1" applyFont="1" applyFill="1" applyBorder="1" applyAlignment="1"/>
    <xf numFmtId="171" fontId="44" fillId="0" borderId="26" xfId="674" applyNumberFormat="1" applyFont="1" applyBorder="1" applyAlignment="1"/>
    <xf numFmtId="164" fontId="44" fillId="0" borderId="26" xfId="382" applyNumberFormat="1" applyFont="1" applyFill="1" applyBorder="1" applyAlignment="1"/>
    <xf numFmtId="0" fontId="43" fillId="0" borderId="0" xfId="0" applyFont="1" applyFill="1" applyBorder="1"/>
    <xf numFmtId="0" fontId="46" fillId="0" borderId="18" xfId="0" applyFont="1" applyFill="1" applyBorder="1" applyAlignment="1">
      <alignment horizontal="center"/>
    </xf>
    <xf numFmtId="0" fontId="46" fillId="0" borderId="22" xfId="0" applyNumberFormat="1" applyFont="1" applyFill="1" applyBorder="1" applyAlignment="1">
      <alignment horizontal="center"/>
    </xf>
    <xf numFmtId="0" fontId="49" fillId="0" borderId="0" xfId="0" applyFont="1" applyBorder="1" applyAlignment="1"/>
    <xf numFmtId="0" fontId="42" fillId="0" borderId="11" xfId="0" applyFont="1" applyBorder="1"/>
    <xf numFmtId="164" fontId="42" fillId="0" borderId="0" xfId="382" applyNumberFormat="1" applyFont="1" applyFill="1"/>
    <xf numFmtId="0" fontId="42" fillId="0" borderId="0" xfId="504" applyFont="1" applyFill="1"/>
    <xf numFmtId="0" fontId="42" fillId="0" borderId="0" xfId="504" applyFont="1" applyBorder="1"/>
    <xf numFmtId="171" fontId="46" fillId="0" borderId="30" xfId="674" applyNumberFormat="1" applyFont="1" applyFill="1" applyBorder="1" applyAlignment="1"/>
    <xf numFmtId="0" fontId="48" fillId="0" borderId="0" xfId="0" applyFont="1" applyFill="1" applyBorder="1" applyAlignment="1"/>
    <xf numFmtId="0" fontId="43" fillId="0" borderId="0" xfId="504" applyFont="1"/>
    <xf numFmtId="0" fontId="43" fillId="0" borderId="0" xfId="0" applyFont="1"/>
    <xf numFmtId="0" fontId="46" fillId="0" borderId="26" xfId="0" applyFont="1" applyBorder="1"/>
    <xf numFmtId="171" fontId="44" fillId="0" borderId="26" xfId="674" applyNumberFormat="1" applyFont="1" applyFill="1" applyBorder="1" applyAlignment="1"/>
    <xf numFmtId="0" fontId="46" fillId="0" borderId="26" xfId="0" applyFont="1" applyFill="1" applyBorder="1"/>
    <xf numFmtId="0" fontId="46" fillId="0" borderId="26" xfId="0" applyFont="1" applyFill="1" applyBorder="1" applyAlignment="1">
      <alignment horizontal="center" wrapText="1"/>
    </xf>
    <xf numFmtId="3" fontId="44" fillId="0" borderId="26" xfId="0" applyNumberFormat="1" applyFont="1" applyFill="1" applyBorder="1" applyAlignment="1"/>
    <xf numFmtId="3" fontId="46" fillId="0" borderId="26" xfId="0" applyNumberFormat="1" applyFont="1" applyFill="1" applyBorder="1" applyAlignment="1">
      <alignment horizontal="right"/>
    </xf>
    <xf numFmtId="171" fontId="46" fillId="0" borderId="26" xfId="0" applyNumberFormat="1" applyFont="1" applyFill="1" applyBorder="1" applyAlignment="1">
      <alignment horizontal="right"/>
    </xf>
    <xf numFmtId="171" fontId="46" fillId="0" borderId="30" xfId="0" applyNumberFormat="1" applyFont="1" applyFill="1" applyBorder="1" applyAlignment="1">
      <alignment horizontal="right"/>
    </xf>
    <xf numFmtId="10" fontId="46" fillId="0" borderId="26" xfId="674" applyNumberFormat="1" applyFont="1" applyFill="1" applyBorder="1" applyAlignment="1"/>
    <xf numFmtId="166" fontId="44" fillId="0" borderId="26" xfId="0" applyNumberFormat="1" applyFont="1" applyBorder="1" applyAlignment="1"/>
    <xf numFmtId="166" fontId="46" fillId="0" borderId="26" xfId="0" applyNumberFormat="1" applyFont="1" applyBorder="1" applyAlignment="1"/>
    <xf numFmtId="10" fontId="46" fillId="0" borderId="26" xfId="0" applyNumberFormat="1" applyFont="1" applyFill="1" applyBorder="1"/>
    <xf numFmtId="10" fontId="46" fillId="0" borderId="26" xfId="0" applyNumberFormat="1" applyFont="1" applyFill="1" applyBorder="1" applyAlignment="1">
      <alignment horizontal="right"/>
    </xf>
    <xf numFmtId="10" fontId="46" fillId="0" borderId="26" xfId="674" applyNumberFormat="1" applyFont="1" applyBorder="1" applyAlignment="1"/>
    <xf numFmtId="164" fontId="44" fillId="0" borderId="27" xfId="382" applyNumberFormat="1" applyFont="1" applyFill="1" applyBorder="1" applyAlignment="1">
      <alignment horizontal="right"/>
    </xf>
    <xf numFmtId="164" fontId="46" fillId="0" borderId="26" xfId="382" applyNumberFormat="1" applyFont="1" applyFill="1" applyBorder="1" applyAlignment="1"/>
    <xf numFmtId="0" fontId="46" fillId="0" borderId="25" xfId="0" applyFont="1" applyFill="1" applyBorder="1" applyAlignment="1">
      <alignment horizontal="left"/>
    </xf>
    <xf numFmtId="0" fontId="46" fillId="0" borderId="24" xfId="0" applyFont="1" applyFill="1" applyBorder="1" applyAlignment="1"/>
    <xf numFmtId="0" fontId="46" fillId="0" borderId="33" xfId="0" applyFont="1" applyFill="1" applyBorder="1" applyAlignment="1">
      <alignment horizontal="center" wrapText="1"/>
    </xf>
    <xf numFmtId="0" fontId="46" fillId="0" borderId="22" xfId="0" applyNumberFormat="1" applyFont="1" applyBorder="1" applyAlignment="1">
      <alignment horizontal="center"/>
    </xf>
    <xf numFmtId="3" fontId="46" fillId="0" borderId="0" xfId="0" applyNumberFormat="1" applyFont="1" applyFill="1" applyBorder="1" applyAlignment="1">
      <alignment horizontal="center"/>
    </xf>
    <xf numFmtId="0" fontId="46" fillId="0" borderId="22" xfId="0" applyFont="1" applyBorder="1" applyAlignment="1">
      <alignment horizontal="center"/>
    </xf>
    <xf numFmtId="0" fontId="46" fillId="0" borderId="22" xfId="0" applyNumberFormat="1" applyFont="1" applyBorder="1" applyAlignment="1">
      <alignment horizontal="left"/>
    </xf>
    <xf numFmtId="0" fontId="56" fillId="0" borderId="22" xfId="0" applyFont="1" applyFill="1" applyBorder="1" applyAlignment="1">
      <alignment horizontal="center"/>
    </xf>
    <xf numFmtId="0" fontId="46" fillId="0" borderId="22" xfId="0" applyFont="1" applyFill="1" applyBorder="1" applyAlignment="1">
      <alignment horizontal="center"/>
    </xf>
    <xf numFmtId="0" fontId="59" fillId="0" borderId="22" xfId="0" applyFont="1" applyBorder="1" applyAlignment="1">
      <alignment horizontal="left"/>
    </xf>
    <xf numFmtId="0" fontId="59" fillId="0" borderId="0" xfId="0" applyFont="1" applyBorder="1"/>
    <xf numFmtId="0" fontId="46" fillId="0" borderId="0" xfId="0" applyNumberFormat="1" applyFont="1" applyFill="1" applyBorder="1" applyAlignment="1">
      <alignment horizontal="right"/>
    </xf>
    <xf numFmtId="0" fontId="44" fillId="0" borderId="0" xfId="0" applyNumberFormat="1" applyFont="1" applyFill="1" applyBorder="1" applyAlignment="1">
      <alignment horizontal="right"/>
    </xf>
    <xf numFmtId="0" fontId="44" fillId="0" borderId="22" xfId="0" applyFont="1" applyBorder="1"/>
    <xf numFmtId="0" fontId="46" fillId="0" borderId="22" xfId="0" applyFont="1" applyBorder="1" applyAlignment="1">
      <alignment horizontal="left"/>
    </xf>
    <xf numFmtId="0" fontId="46" fillId="0" borderId="22" xfId="0" applyFont="1" applyFill="1" applyBorder="1" applyAlignment="1"/>
    <xf numFmtId="43" fontId="46" fillId="0" borderId="0" xfId="382" applyFont="1" applyFill="1" applyBorder="1" applyAlignment="1"/>
    <xf numFmtId="0" fontId="44" fillId="0" borderId="22" xfId="0" applyNumberFormat="1" applyFont="1" applyFill="1" applyBorder="1" applyAlignment="1"/>
    <xf numFmtId="0" fontId="46" fillId="0" borderId="0" xfId="0" applyNumberFormat="1" applyFont="1" applyBorder="1" applyAlignment="1">
      <alignment horizontal="right"/>
    </xf>
    <xf numFmtId="0" fontId="50" fillId="0" borderId="0" xfId="0" applyNumberFormat="1" applyFont="1" applyFill="1" applyBorder="1" applyAlignment="1"/>
    <xf numFmtId="0" fontId="44" fillId="0" borderId="22" xfId="0" applyNumberFormat="1" applyFont="1" applyBorder="1" applyAlignment="1">
      <alignment horizontal="center"/>
    </xf>
    <xf numFmtId="0" fontId="46" fillId="0" borderId="22" xfId="0" applyNumberFormat="1" applyFont="1" applyFill="1" applyBorder="1" applyAlignment="1">
      <alignment horizontal="left"/>
    </xf>
    <xf numFmtId="0" fontId="46" fillId="0" borderId="0" xfId="0" applyNumberFormat="1" applyFont="1" applyFill="1" applyBorder="1"/>
    <xf numFmtId="169" fontId="46" fillId="0" borderId="0" xfId="0" applyNumberFormat="1" applyFont="1" applyBorder="1" applyAlignment="1"/>
    <xf numFmtId="168" fontId="46" fillId="0" borderId="0" xfId="0" applyNumberFormat="1" applyFont="1" applyBorder="1" applyAlignment="1">
      <alignment horizontal="center"/>
    </xf>
    <xf numFmtId="0" fontId="46" fillId="0" borderId="34" xfId="0" applyFont="1" applyFill="1" applyBorder="1"/>
    <xf numFmtId="3" fontId="46" fillId="0" borderId="35" xfId="0" applyNumberFormat="1" applyFont="1" applyBorder="1" applyAlignment="1"/>
    <xf numFmtId="0" fontId="46" fillId="0" borderId="35" xfId="0" applyFont="1" applyFill="1" applyBorder="1"/>
    <xf numFmtId="3" fontId="46" fillId="0" borderId="36" xfId="0" applyNumberFormat="1" applyFont="1" applyFill="1" applyBorder="1" applyAlignment="1"/>
    <xf numFmtId="0" fontId="46" fillId="0" borderId="35" xfId="0" applyFont="1" applyBorder="1" applyAlignment="1"/>
    <xf numFmtId="0" fontId="46" fillId="0" borderId="35" xfId="0" applyFont="1" applyBorder="1"/>
    <xf numFmtId="3" fontId="46" fillId="0" borderId="35" xfId="0" applyNumberFormat="1" applyFont="1" applyFill="1" applyBorder="1" applyAlignment="1"/>
    <xf numFmtId="3" fontId="46" fillId="0" borderId="37" xfId="0" applyNumberFormat="1" applyFont="1" applyFill="1" applyBorder="1" applyAlignment="1"/>
    <xf numFmtId="0" fontId="46" fillId="0" borderId="35" xfId="0" applyFont="1" applyFill="1" applyBorder="1" applyAlignment="1">
      <alignment horizontal="left"/>
    </xf>
    <xf numFmtId="3" fontId="46" fillId="0" borderId="37" xfId="0" applyNumberFormat="1" applyFont="1" applyBorder="1" applyAlignment="1"/>
    <xf numFmtId="3" fontId="44" fillId="0" borderId="36" xfId="0" applyNumberFormat="1" applyFont="1" applyBorder="1" applyAlignment="1"/>
    <xf numFmtId="3" fontId="46" fillId="0" borderId="35" xfId="0" applyNumberFormat="1" applyFont="1" applyFill="1" applyBorder="1" applyAlignment="1">
      <alignment horizontal="right"/>
    </xf>
    <xf numFmtId="3" fontId="48" fillId="0" borderId="35" xfId="0" applyNumberFormat="1" applyFont="1" applyFill="1" applyBorder="1" applyAlignment="1">
      <alignment horizontal="right"/>
    </xf>
    <xf numFmtId="0" fontId="46" fillId="0" borderId="35" xfId="0" applyFont="1" applyFill="1" applyBorder="1" applyAlignment="1"/>
    <xf numFmtId="0" fontId="46" fillId="0" borderId="35" xfId="0" applyNumberFormat="1" applyFont="1" applyFill="1" applyBorder="1" applyAlignment="1"/>
    <xf numFmtId="0" fontId="46" fillId="0" borderId="37" xfId="0" applyFont="1" applyFill="1" applyBorder="1" applyAlignment="1"/>
    <xf numFmtId="0" fontId="46" fillId="0" borderId="35" xfId="0" applyNumberFormat="1" applyFont="1" applyFill="1" applyBorder="1" applyAlignment="1">
      <alignment horizontal="left"/>
    </xf>
    <xf numFmtId="3" fontId="44" fillId="0" borderId="35" xfId="0" applyNumberFormat="1" applyFont="1" applyBorder="1" applyAlignment="1"/>
    <xf numFmtId="168" fontId="46" fillId="0" borderId="35" xfId="0" applyNumberFormat="1" applyFont="1" applyBorder="1" applyAlignment="1">
      <alignment horizontal="left"/>
    </xf>
    <xf numFmtId="0" fontId="44" fillId="0" borderId="5" xfId="0" applyFont="1" applyBorder="1"/>
    <xf numFmtId="0" fontId="46" fillId="0" borderId="23" xfId="0" applyFont="1" applyFill="1" applyBorder="1" applyAlignment="1">
      <alignment horizontal="center"/>
    </xf>
    <xf numFmtId="0" fontId="46" fillId="0" borderId="7" xfId="0" applyNumberFormat="1" applyFont="1" applyFill="1" applyBorder="1" applyAlignment="1">
      <alignment horizontal="center"/>
    </xf>
    <xf numFmtId="0" fontId="46" fillId="0" borderId="7" xfId="0" applyNumberFormat="1" applyFont="1" applyBorder="1" applyAlignment="1">
      <alignment horizontal="left"/>
    </xf>
    <xf numFmtId="0" fontId="46" fillId="0" borderId="7" xfId="0" applyFont="1" applyBorder="1" applyAlignment="1"/>
    <xf numFmtId="164" fontId="42" fillId="0" borderId="0" xfId="382" applyNumberFormat="1" applyFont="1" applyFill="1" applyBorder="1" applyAlignment="1"/>
    <xf numFmtId="37" fontId="46" fillId="0" borderId="35" xfId="0" applyNumberFormat="1" applyFont="1" applyFill="1" applyBorder="1"/>
    <xf numFmtId="37" fontId="46" fillId="0" borderId="0" xfId="0" applyNumberFormat="1" applyFont="1" applyFill="1" applyBorder="1"/>
    <xf numFmtId="37" fontId="46" fillId="0" borderId="26" xfId="0" applyNumberFormat="1" applyFont="1" applyFill="1" applyBorder="1"/>
    <xf numFmtId="3" fontId="46" fillId="0" borderId="0" xfId="0" applyNumberFormat="1" applyFont="1" applyFill="1" applyBorder="1" applyAlignment="1">
      <alignment horizontal="left"/>
    </xf>
    <xf numFmtId="0" fontId="46" fillId="0" borderId="35" xfId="0" applyFont="1" applyFill="1" applyBorder="1" applyAlignment="1">
      <alignment horizontal="right"/>
    </xf>
    <xf numFmtId="171" fontId="48" fillId="0" borderId="26" xfId="0" applyNumberFormat="1" applyFont="1" applyFill="1" applyBorder="1" applyAlignment="1">
      <alignment horizontal="right"/>
    </xf>
    <xf numFmtId="0" fontId="44" fillId="0" borderId="17" xfId="0" applyFont="1" applyFill="1" applyBorder="1"/>
    <xf numFmtId="0" fontId="44" fillId="0" borderId="17" xfId="0" applyFont="1" applyFill="1" applyBorder="1" applyAlignment="1">
      <alignment horizontal="center"/>
    </xf>
    <xf numFmtId="0" fontId="46" fillId="0" borderId="0" xfId="0" applyNumberFormat="1" applyFont="1" applyFill="1" applyBorder="1" applyAlignment="1">
      <alignment horizontal="center" vertical="top"/>
    </xf>
    <xf numFmtId="0" fontId="43" fillId="0" borderId="0" xfId="504" applyFont="1" applyFill="1" applyBorder="1" applyAlignment="1">
      <alignment horizontal="left"/>
    </xf>
    <xf numFmtId="0" fontId="42" fillId="0" borderId="0" xfId="504" applyFont="1" applyFill="1" applyBorder="1" applyAlignment="1">
      <alignment horizontal="left"/>
    </xf>
    <xf numFmtId="164" fontId="42" fillId="0" borderId="0" xfId="504" applyNumberFormat="1" applyFont="1"/>
    <xf numFmtId="164" fontId="42" fillId="0" borderId="0" xfId="382" applyNumberFormat="1" applyFont="1" applyFill="1" applyBorder="1" applyAlignment="1">
      <alignment horizontal="center"/>
    </xf>
    <xf numFmtId="0" fontId="42" fillId="0" borderId="0" xfId="530" applyFont="1" applyAlignment="1">
      <alignment horizontal="right" vertical="top"/>
    </xf>
    <xf numFmtId="0" fontId="42" fillId="0" borderId="0" xfId="484" applyFont="1" applyAlignment="1">
      <alignment vertical="top"/>
    </xf>
    <xf numFmtId="0" fontId="42" fillId="0" borderId="0" xfId="484" applyFont="1" applyFill="1" applyAlignment="1">
      <alignment vertical="top"/>
    </xf>
    <xf numFmtId="0" fontId="42" fillId="0" borderId="0" xfId="484" applyFont="1" applyFill="1" applyAlignment="1">
      <alignment horizontal="center" vertical="top"/>
    </xf>
    <xf numFmtId="0" fontId="42" fillId="0" borderId="0" xfId="474" applyFont="1" applyProtection="1">
      <protection locked="0"/>
    </xf>
    <xf numFmtId="0" fontId="42" fillId="0" borderId="0" xfId="474" quotePrefix="1" applyFont="1" applyAlignment="1" applyProtection="1">
      <alignment horizontal="left"/>
      <protection locked="0"/>
    </xf>
    <xf numFmtId="0" fontId="62" fillId="0" borderId="0" xfId="569" applyFont="1"/>
    <xf numFmtId="0" fontId="62" fillId="0" borderId="0" xfId="569" applyFont="1" applyAlignment="1">
      <alignment horizontal="left"/>
    </xf>
    <xf numFmtId="164" fontId="62" fillId="0" borderId="0" xfId="569" applyNumberFormat="1" applyFont="1" applyFill="1"/>
    <xf numFmtId="0" fontId="42" fillId="0" borderId="0" xfId="474"/>
    <xf numFmtId="0" fontId="42" fillId="0" borderId="0" xfId="474" applyFont="1" applyFill="1"/>
    <xf numFmtId="0" fontId="42" fillId="0" borderId="0" xfId="0" applyFont="1" applyFill="1" applyAlignment="1"/>
    <xf numFmtId="164" fontId="42" fillId="0" borderId="0" xfId="382" applyNumberFormat="1" applyFont="1" applyFill="1" applyAlignment="1"/>
    <xf numFmtId="0" fontId="42" fillId="0" borderId="0" xfId="0" applyFont="1" applyAlignment="1">
      <alignment vertical="top"/>
    </xf>
    <xf numFmtId="37" fontId="42" fillId="0" borderId="0" xfId="484" applyNumberFormat="1" applyFont="1" applyFill="1" applyAlignment="1">
      <alignment vertical="top"/>
    </xf>
    <xf numFmtId="0" fontId="105" fillId="0" borderId="0" xfId="0" applyFont="1"/>
    <xf numFmtId="0" fontId="105" fillId="0" borderId="0" xfId="0" applyFont="1" applyAlignment="1">
      <alignment horizontal="center"/>
    </xf>
    <xf numFmtId="164" fontId="42" fillId="0" borderId="0" xfId="504" applyNumberFormat="1" applyFont="1" applyFill="1" applyBorder="1"/>
    <xf numFmtId="0" fontId="46" fillId="0" borderId="0" xfId="0" applyNumberFormat="1" applyFont="1" applyFill="1" applyBorder="1" applyAlignment="1">
      <alignment horizontal="left" indent="1"/>
    </xf>
    <xf numFmtId="0" fontId="42" fillId="0" borderId="0" xfId="0" applyFont="1" applyAlignment="1"/>
    <xf numFmtId="0" fontId="42" fillId="0" borderId="0" xfId="0" applyFont="1" applyBorder="1"/>
    <xf numFmtId="0" fontId="42" fillId="0" borderId="0" xfId="0" applyFont="1" applyFill="1" applyBorder="1" applyAlignment="1"/>
    <xf numFmtId="3" fontId="44" fillId="0" borderId="17" xfId="0" applyNumberFormat="1" applyFont="1" applyBorder="1" applyAlignment="1">
      <alignment horizontal="right"/>
    </xf>
    <xf numFmtId="0" fontId="44" fillId="0" borderId="0" xfId="0" applyFont="1" applyFill="1" applyBorder="1" applyAlignment="1">
      <alignment horizontal="center"/>
    </xf>
    <xf numFmtId="0" fontId="44" fillId="0" borderId="7" xfId="0" applyFont="1" applyBorder="1" applyAlignment="1">
      <alignment horizontal="center"/>
    </xf>
    <xf numFmtId="164" fontId="42" fillId="37" borderId="0" xfId="382" applyNumberFormat="1" applyFont="1" applyFill="1" applyBorder="1"/>
    <xf numFmtId="0" fontId="42" fillId="0" borderId="0" xfId="0" applyNumberFormat="1" applyFont="1" applyFill="1" applyBorder="1" applyAlignment="1">
      <alignment horizontal="center"/>
    </xf>
    <xf numFmtId="0" fontId="51" fillId="0" borderId="0" xfId="0" applyFont="1" applyFill="1" applyBorder="1"/>
    <xf numFmtId="0" fontId="0" fillId="0" borderId="0" xfId="0" applyAlignment="1">
      <alignment horizontal="center"/>
    </xf>
    <xf numFmtId="164" fontId="43" fillId="0" borderId="0" xfId="504" applyNumberFormat="1" applyFont="1" applyFill="1" applyBorder="1" applyAlignment="1">
      <alignment horizontal="center"/>
    </xf>
    <xf numFmtId="164" fontId="42" fillId="0" borderId="0" xfId="504" applyNumberFormat="1" applyFont="1" applyFill="1" applyBorder="1" applyAlignment="1">
      <alignment horizontal="center"/>
    </xf>
    <xf numFmtId="164" fontId="42" fillId="0" borderId="0" xfId="403" applyNumberFormat="1" applyFont="1" applyFill="1" applyBorder="1" applyAlignment="1"/>
    <xf numFmtId="164" fontId="42" fillId="0" borderId="0" xfId="403" applyNumberFormat="1" applyFont="1" applyBorder="1"/>
    <xf numFmtId="164" fontId="42" fillId="0" borderId="0" xfId="504" applyNumberFormat="1" applyFont="1" applyBorder="1"/>
    <xf numFmtId="164" fontId="42" fillId="0" borderId="0" xfId="403" applyNumberFormat="1" applyFont="1" applyFill="1" applyBorder="1"/>
    <xf numFmtId="164" fontId="42" fillId="0" borderId="0" xfId="403" applyNumberFormat="1" applyFont="1" applyFill="1" applyAlignment="1"/>
    <xf numFmtId="164" fontId="42" fillId="0" borderId="0" xfId="403" applyNumberFormat="1" applyFont="1" applyFill="1" applyBorder="1" applyAlignment="1">
      <alignment horizontal="right"/>
    </xf>
    <xf numFmtId="0" fontId="42" fillId="0" borderId="0" xfId="0" applyFont="1" applyFill="1" applyAlignment="1">
      <alignment horizontal="left"/>
    </xf>
    <xf numFmtId="164" fontId="42" fillId="0" borderId="0" xfId="403" applyNumberFormat="1" applyFont="1"/>
    <xf numFmtId="164" fontId="42" fillId="37" borderId="0" xfId="382" applyNumberFormat="1" applyFont="1" applyFill="1"/>
    <xf numFmtId="0" fontId="46" fillId="0" borderId="0" xfId="0" applyFont="1" applyAlignment="1">
      <alignment horizontal="center"/>
    </xf>
    <xf numFmtId="164" fontId="46" fillId="37" borderId="26" xfId="382" applyNumberFormat="1" applyFont="1" applyFill="1" applyBorder="1" applyAlignment="1"/>
    <xf numFmtId="0" fontId="43" fillId="0" borderId="0" xfId="564" quotePrefix="1" applyFont="1" applyFill="1" applyBorder="1" applyAlignment="1">
      <alignment vertical="top"/>
    </xf>
    <xf numFmtId="0" fontId="42" fillId="0" borderId="0" xfId="11272">
      <alignment vertical="top"/>
    </xf>
    <xf numFmtId="0" fontId="105" fillId="0" borderId="0" xfId="11272" applyFont="1" applyAlignment="1">
      <alignment horizontal="center"/>
    </xf>
    <xf numFmtId="0" fontId="110" fillId="0" borderId="0" xfId="496" applyFont="1"/>
    <xf numFmtId="0" fontId="93" fillId="0" borderId="0" xfId="569" applyFont="1"/>
    <xf numFmtId="0" fontId="121" fillId="0" borderId="0" xfId="496" applyFont="1"/>
    <xf numFmtId="0" fontId="42" fillId="0" borderId="0" xfId="11267" applyFont="1" applyFill="1" applyAlignment="1">
      <alignment horizontal="left"/>
    </xf>
    <xf numFmtId="0" fontId="110" fillId="0" borderId="0" xfId="496" applyFont="1" applyAlignment="1">
      <alignment horizontal="center"/>
    </xf>
    <xf numFmtId="0" fontId="43" fillId="0" borderId="0" xfId="0" applyFont="1" applyAlignment="1"/>
    <xf numFmtId="0" fontId="42" fillId="0" borderId="0" xfId="504" applyFont="1" applyFill="1" applyAlignment="1">
      <alignment horizontal="left"/>
    </xf>
    <xf numFmtId="0" fontId="42" fillId="0" borderId="0" xfId="504" applyFont="1" applyBorder="1" applyAlignment="1">
      <alignment horizontal="left"/>
    </xf>
    <xf numFmtId="0" fontId="42" fillId="0" borderId="0" xfId="504" applyFont="1" applyFill="1" applyBorder="1" applyAlignment="1">
      <alignment horizontal="center"/>
    </xf>
    <xf numFmtId="0" fontId="43" fillId="0" borderId="0" xfId="504" applyFont="1" applyFill="1" applyBorder="1"/>
    <xf numFmtId="164" fontId="43" fillId="0" borderId="0" xfId="403" applyNumberFormat="1" applyFont="1" applyFill="1" applyBorder="1" applyAlignment="1"/>
    <xf numFmtId="37" fontId="42" fillId="0" borderId="0" xfId="0" applyNumberFormat="1" applyFont="1" applyFill="1"/>
    <xf numFmtId="0" fontId="42" fillId="0" borderId="0" xfId="0" quotePrefix="1" applyFont="1" applyFill="1" applyAlignment="1">
      <alignment horizontal="center"/>
    </xf>
    <xf numFmtId="164" fontId="42" fillId="0" borderId="0" xfId="382" applyNumberFormat="1" applyFont="1" applyAlignment="1"/>
    <xf numFmtId="164" fontId="42" fillId="0" borderId="18" xfId="403" applyNumberFormat="1" applyFont="1" applyBorder="1"/>
    <xf numFmtId="0" fontId="42" fillId="0" borderId="0" xfId="504" applyFont="1" applyAlignment="1">
      <alignment horizontal="center"/>
    </xf>
    <xf numFmtId="0" fontId="42" fillId="0" borderId="0" xfId="504" applyFont="1" applyAlignment="1">
      <alignment wrapText="1"/>
    </xf>
    <xf numFmtId="0" fontId="42" fillId="0" borderId="0" xfId="591" applyFont="1" applyFill="1" applyBorder="1" applyAlignment="1">
      <alignment horizontal="center"/>
    </xf>
    <xf numFmtId="164" fontId="42" fillId="0" borderId="0" xfId="504" applyNumberFormat="1" applyFont="1" applyFill="1" applyBorder="1" applyAlignment="1">
      <alignment wrapText="1"/>
    </xf>
    <xf numFmtId="43" fontId="42" fillId="0" borderId="0" xfId="504" applyNumberFormat="1" applyFont="1"/>
    <xf numFmtId="167" fontId="42" fillId="0" borderId="0" xfId="504" applyNumberFormat="1" applyFont="1" applyFill="1" applyBorder="1"/>
    <xf numFmtId="164" fontId="42" fillId="0" borderId="0" xfId="404" applyNumberFormat="1" applyFont="1" applyFill="1" applyBorder="1"/>
    <xf numFmtId="0" fontId="51" fillId="0" borderId="0" xfId="504" applyFont="1" applyFill="1" applyBorder="1" applyAlignment="1">
      <alignment horizontal="left"/>
    </xf>
    <xf numFmtId="0" fontId="42" fillId="0" borderId="0" xfId="504" applyFont="1" applyBorder="1" applyAlignment="1">
      <alignment horizontal="center"/>
    </xf>
    <xf numFmtId="0" fontId="46" fillId="0" borderId="22" xfId="0" applyNumberFormat="1" applyFont="1" applyFill="1" applyBorder="1" applyAlignment="1">
      <alignment horizontal="center" vertical="top"/>
    </xf>
    <xf numFmtId="0" fontId="46" fillId="0" borderId="0" xfId="0" applyFont="1" applyFill="1" applyBorder="1" applyAlignment="1">
      <alignment vertical="top"/>
    </xf>
    <xf numFmtId="3" fontId="46" fillId="0" borderId="0" xfId="0" applyNumberFormat="1" applyFont="1" applyFill="1" applyBorder="1" applyAlignment="1">
      <alignment horizontal="left" vertical="top"/>
    </xf>
    <xf numFmtId="0" fontId="46" fillId="0" borderId="0" xfId="0" applyNumberFormat="1" applyFont="1" applyFill="1" applyAlignment="1">
      <alignment horizontal="center" vertical="top"/>
    </xf>
    <xf numFmtId="0" fontId="46" fillId="50" borderId="0" xfId="0" applyFont="1" applyFill="1" applyBorder="1" applyAlignment="1"/>
    <xf numFmtId="0" fontId="46" fillId="50" borderId="0" xfId="0" applyFont="1" applyFill="1" applyBorder="1"/>
    <xf numFmtId="0" fontId="46" fillId="50" borderId="11" xfId="0" applyFont="1" applyFill="1" applyBorder="1" applyAlignment="1">
      <alignment horizontal="center" wrapText="1"/>
    </xf>
    <xf numFmtId="0" fontId="44" fillId="50" borderId="6" xfId="0" applyFont="1" applyFill="1" applyBorder="1" applyAlignment="1"/>
    <xf numFmtId="0" fontId="46" fillId="50" borderId="6" xfId="0" applyFont="1" applyFill="1" applyBorder="1" applyAlignment="1"/>
    <xf numFmtId="0" fontId="44" fillId="50" borderId="6" xfId="0" applyNumberFormat="1" applyFont="1" applyFill="1" applyBorder="1" applyAlignment="1">
      <alignment horizontal="center"/>
    </xf>
    <xf numFmtId="0" fontId="46" fillId="50" borderId="6" xfId="0" applyFont="1" applyFill="1" applyBorder="1"/>
    <xf numFmtId="0" fontId="46" fillId="50" borderId="21" xfId="0" applyFont="1" applyFill="1" applyBorder="1" applyAlignment="1">
      <alignment horizontal="center" wrapText="1"/>
    </xf>
    <xf numFmtId="0" fontId="46" fillId="50" borderId="21" xfId="0" applyFont="1" applyFill="1" applyBorder="1"/>
    <xf numFmtId="3" fontId="46" fillId="0" borderId="35" xfId="0" applyNumberFormat="1" applyFont="1" applyFill="1" applyBorder="1" applyAlignment="1">
      <alignment vertical="top"/>
    </xf>
    <xf numFmtId="164" fontId="42" fillId="0" borderId="0" xfId="382" applyNumberFormat="1" applyFont="1"/>
    <xf numFmtId="171" fontId="46" fillId="0" borderId="30" xfId="674" applyNumberFormat="1" applyFont="1" applyFill="1" applyBorder="1"/>
    <xf numFmtId="168" fontId="46" fillId="0" borderId="0" xfId="0" applyNumberFormat="1" applyFont="1" applyFill="1" applyBorder="1" applyAlignment="1">
      <alignment horizontal="left"/>
    </xf>
    <xf numFmtId="10" fontId="46" fillId="0" borderId="30" xfId="674" applyNumberFormat="1" applyFont="1" applyFill="1" applyBorder="1" applyAlignment="1"/>
    <xf numFmtId="10" fontId="44" fillId="0" borderId="26" xfId="674" applyNumberFormat="1" applyFont="1" applyFill="1" applyBorder="1" applyAlignment="1"/>
    <xf numFmtId="3" fontId="46" fillId="0" borderId="35" xfId="0" applyNumberFormat="1" applyFont="1" applyFill="1" applyBorder="1" applyAlignment="1">
      <alignment horizontal="left"/>
    </xf>
    <xf numFmtId="0" fontId="46" fillId="0" borderId="0" xfId="0" applyFont="1" applyAlignment="1">
      <alignment vertical="center"/>
    </xf>
    <xf numFmtId="0" fontId="46" fillId="0" borderId="0" xfId="0" applyFont="1" applyFill="1" applyAlignment="1">
      <alignment vertical="center"/>
    </xf>
    <xf numFmtId="164" fontId="42" fillId="37" borderId="18" xfId="382" applyNumberFormat="1" applyFont="1" applyFill="1" applyBorder="1"/>
    <xf numFmtId="0" fontId="46" fillId="0" borderId="37" xfId="0" applyFont="1" applyFill="1" applyBorder="1"/>
    <xf numFmtId="0" fontId="46" fillId="0" borderId="0" xfId="0" applyFont="1"/>
    <xf numFmtId="0" fontId="46" fillId="0" borderId="0" xfId="0" applyFont="1" applyFill="1"/>
    <xf numFmtId="0" fontId="42" fillId="0" borderId="0" xfId="504" applyFont="1" applyFill="1" applyBorder="1"/>
    <xf numFmtId="164" fontId="42" fillId="0" borderId="0" xfId="382" applyNumberFormat="1" applyFont="1" applyFill="1" applyBorder="1"/>
    <xf numFmtId="0" fontId="43" fillId="0" borderId="0" xfId="504" applyNumberFormat="1" applyFont="1" applyFill="1" applyBorder="1" applyAlignment="1"/>
    <xf numFmtId="3" fontId="43" fillId="0" borderId="0" xfId="504" applyNumberFormat="1" applyFont="1" applyFill="1" applyBorder="1" applyAlignment="1">
      <alignment horizontal="center"/>
    </xf>
    <xf numFmtId="0" fontId="43" fillId="0" borderId="0" xfId="504" applyNumberFormat="1" applyFont="1" applyFill="1" applyBorder="1" applyAlignment="1">
      <alignment horizontal="left"/>
    </xf>
    <xf numFmtId="0" fontId="42" fillId="0" borderId="0" xfId="504" applyNumberFormat="1" applyFont="1" applyFill="1" applyBorder="1" applyAlignment="1">
      <alignment horizontal="left"/>
    </xf>
    <xf numFmtId="0" fontId="42" fillId="0" borderId="0" xfId="504" applyNumberFormat="1" applyFont="1" applyFill="1" applyBorder="1" applyAlignment="1">
      <alignment horizontal="center"/>
    </xf>
    <xf numFmtId="0" fontId="43" fillId="0" borderId="0" xfId="504" applyFont="1" applyFill="1" applyBorder="1" applyAlignment="1"/>
    <xf numFmtId="3" fontId="43" fillId="0" borderId="0" xfId="504" applyNumberFormat="1" applyFont="1" applyFill="1" applyBorder="1" applyAlignment="1"/>
    <xf numFmtId="164" fontId="43" fillId="0" borderId="0" xfId="13644" applyNumberFormat="1" applyFont="1"/>
    <xf numFmtId="10" fontId="46" fillId="0" borderId="26" xfId="0" applyNumberFormat="1" applyFont="1" applyFill="1" applyBorder="1" applyAlignment="1"/>
    <xf numFmtId="169" fontId="46" fillId="0" borderId="0" xfId="0" applyNumberFormat="1" applyFont="1" applyFill="1" applyBorder="1" applyAlignment="1"/>
    <xf numFmtId="164" fontId="42" fillId="0" borderId="0" xfId="504" applyNumberFormat="1" applyFont="1" applyFill="1"/>
    <xf numFmtId="167" fontId="42" fillId="0" borderId="0" xfId="434" applyNumberFormat="1" applyFont="1" applyFill="1" applyBorder="1" applyAlignment="1">
      <alignment horizontal="center" wrapText="1"/>
    </xf>
    <xf numFmtId="164" fontId="62" fillId="37" borderId="0" xfId="382" applyNumberFormat="1" applyFont="1" applyFill="1" applyAlignment="1">
      <alignment horizontal="left"/>
    </xf>
    <xf numFmtId="41" fontId="42" fillId="0" borderId="0" xfId="484" applyNumberFormat="1" applyFont="1" applyFill="1" applyBorder="1" applyAlignment="1">
      <alignment vertical="top"/>
    </xf>
    <xf numFmtId="0" fontId="42" fillId="0" borderId="0" xfId="0" applyFont="1" applyAlignment="1">
      <alignment horizontal="left" indent="1"/>
    </xf>
    <xf numFmtId="0" fontId="62" fillId="0" borderId="0" xfId="11275" applyFont="1"/>
    <xf numFmtId="0" fontId="46" fillId="0" borderId="47" xfId="0" applyNumberFormat="1" applyFont="1" applyFill="1" applyBorder="1" applyAlignment="1"/>
    <xf numFmtId="3" fontId="46" fillId="0" borderId="47" xfId="0" applyNumberFormat="1" applyFont="1" applyFill="1" applyBorder="1" applyAlignment="1"/>
    <xf numFmtId="3" fontId="46" fillId="0" borderId="47" xfId="0" applyNumberFormat="1" applyFont="1" applyFill="1" applyBorder="1" applyAlignment="1">
      <alignment horizontal="center"/>
    </xf>
    <xf numFmtId="0" fontId="46" fillId="0" borderId="47" xfId="0" applyFont="1" applyFill="1" applyBorder="1" applyAlignment="1"/>
    <xf numFmtId="0" fontId="46" fillId="0" borderId="47" xfId="0" applyFont="1" applyFill="1" applyBorder="1" applyAlignment="1">
      <alignment horizontal="center"/>
    </xf>
    <xf numFmtId="0" fontId="44" fillId="0" borderId="47" xfId="0" applyNumberFormat="1" applyFont="1" applyFill="1" applyBorder="1" applyAlignment="1"/>
    <xf numFmtId="0" fontId="44" fillId="0" borderId="47" xfId="0" applyFont="1" applyFill="1" applyBorder="1"/>
    <xf numFmtId="0" fontId="44" fillId="0" borderId="47" xfId="0" applyFont="1" applyFill="1" applyBorder="1" applyAlignment="1"/>
    <xf numFmtId="0" fontId="44" fillId="0" borderId="47" xfId="0" applyNumberFormat="1" applyFont="1" applyFill="1" applyBorder="1" applyAlignment="1">
      <alignment horizontal="center"/>
    </xf>
    <xf numFmtId="43" fontId="46" fillId="0" borderId="47" xfId="0" applyNumberFormat="1" applyFont="1" applyFill="1" applyBorder="1" applyAlignment="1"/>
    <xf numFmtId="3" fontId="44" fillId="0" borderId="38" xfId="0" applyNumberFormat="1" applyFont="1" applyFill="1" applyBorder="1" applyAlignment="1"/>
    <xf numFmtId="169" fontId="111" fillId="0" borderId="0" xfId="37694" applyFont="1" applyAlignment="1"/>
    <xf numFmtId="164" fontId="111" fillId="0" borderId="0" xfId="382" applyNumberFormat="1" applyFont="1" applyAlignment="1"/>
    <xf numFmtId="0" fontId="111" fillId="0" borderId="0" xfId="37695" applyFont="1"/>
    <xf numFmtId="0" fontId="111" fillId="0" borderId="0" xfId="37695" applyFont="1" applyAlignment="1">
      <alignment horizontal="right"/>
    </xf>
    <xf numFmtId="169" fontId="111" fillId="0" borderId="0" xfId="37696" applyFont="1" applyAlignment="1"/>
    <xf numFmtId="0" fontId="111" fillId="0" borderId="0" xfId="37696" applyNumberFormat="1" applyFont="1" applyAlignment="1" applyProtection="1">
      <protection locked="0"/>
    </xf>
    <xf numFmtId="0" fontId="111" fillId="0" borderId="0" xfId="37696" applyNumberFormat="1" applyFont="1" applyAlignment="1" applyProtection="1">
      <alignment horizontal="center"/>
      <protection locked="0"/>
    </xf>
    <xf numFmtId="0" fontId="111" fillId="0" borderId="0" xfId="37696" applyNumberFormat="1" applyFont="1" applyFill="1" applyAlignment="1" applyProtection="1">
      <protection locked="0"/>
    </xf>
    <xf numFmtId="0" fontId="111" fillId="0" borderId="0" xfId="37696" applyNumberFormat="1" applyFont="1" applyFill="1" applyProtection="1">
      <protection locked="0"/>
    </xf>
    <xf numFmtId="3" fontId="111" fillId="0" borderId="0" xfId="37696" applyNumberFormat="1" applyFont="1" applyAlignment="1">
      <alignment horizontal="center"/>
    </xf>
    <xf numFmtId="3" fontId="111" fillId="0" borderId="0" xfId="37696" applyNumberFormat="1" applyFont="1" applyAlignment="1"/>
    <xf numFmtId="0" fontId="111" fillId="0" borderId="0" xfId="37696" applyNumberFormat="1" applyFont="1" applyProtection="1">
      <protection locked="0"/>
    </xf>
    <xf numFmtId="0" fontId="111" fillId="0" borderId="0" xfId="37696" applyNumberFormat="1" applyFont="1"/>
    <xf numFmtId="0" fontId="111" fillId="0" borderId="0" xfId="37696" applyNumberFormat="1" applyFont="1" applyFill="1"/>
    <xf numFmtId="49" fontId="111" fillId="0" borderId="0" xfId="37696" applyNumberFormat="1" applyFont="1" applyAlignment="1"/>
    <xf numFmtId="49" fontId="111" fillId="0" borderId="0" xfId="37696" applyNumberFormat="1" applyFont="1" applyAlignment="1">
      <alignment horizontal="center"/>
    </xf>
    <xf numFmtId="164" fontId="111" fillId="0" borderId="0" xfId="382" applyNumberFormat="1" applyFont="1" applyAlignment="1">
      <alignment horizontal="left"/>
    </xf>
    <xf numFmtId="0" fontId="111" fillId="0" borderId="0" xfId="37696" applyNumberFormat="1" applyFont="1" applyAlignment="1">
      <alignment horizontal="center"/>
    </xf>
    <xf numFmtId="49" fontId="111" fillId="0" borderId="0" xfId="37696" applyNumberFormat="1" applyFont="1"/>
    <xf numFmtId="0" fontId="111" fillId="0" borderId="7" xfId="37696" applyNumberFormat="1" applyFont="1" applyBorder="1" applyAlignment="1" applyProtection="1">
      <alignment horizontal="center"/>
      <protection locked="0"/>
    </xf>
    <xf numFmtId="3" fontId="111" fillId="0" borderId="0" xfId="37696" applyNumberFormat="1" applyFont="1"/>
    <xf numFmtId="164" fontId="111" fillId="0" borderId="0" xfId="382" applyNumberFormat="1" applyFont="1" applyFill="1" applyAlignment="1"/>
    <xf numFmtId="0" fontId="111" fillId="0" borderId="0" xfId="37696" applyNumberFormat="1" applyFont="1" applyFill="1" applyAlignment="1"/>
    <xf numFmtId="3" fontId="111" fillId="0" borderId="0" xfId="37696" applyNumberFormat="1" applyFont="1" applyFill="1" applyAlignment="1"/>
    <xf numFmtId="0" fontId="111" fillId="0" borderId="7" xfId="37696" applyNumberFormat="1" applyFont="1" applyFill="1" applyBorder="1" applyAlignment="1" applyProtection="1">
      <alignment horizontal="center"/>
      <protection locked="0"/>
    </xf>
    <xf numFmtId="0" fontId="111" fillId="0" borderId="7" xfId="37696" applyNumberFormat="1" applyFont="1" applyFill="1" applyBorder="1" applyAlignment="1" applyProtection="1">
      <alignment horizontal="centerContinuous"/>
      <protection locked="0"/>
    </xf>
    <xf numFmtId="3" fontId="111" fillId="0" borderId="0" xfId="37696" applyNumberFormat="1" applyFont="1" applyFill="1"/>
    <xf numFmtId="170" fontId="111" fillId="0" borderId="0" xfId="382" applyNumberFormat="1" applyFont="1" applyFill="1" applyAlignment="1"/>
    <xf numFmtId="3" fontId="111" fillId="0" borderId="0" xfId="37695" applyNumberFormat="1" applyFont="1" applyFill="1" applyAlignment="1"/>
    <xf numFmtId="43" fontId="111" fillId="0" borderId="0" xfId="382" applyFont="1" applyFill="1" applyAlignment="1"/>
    <xf numFmtId="3" fontId="111" fillId="0" borderId="0" xfId="37696" applyNumberFormat="1" applyFont="1" applyFill="1" applyAlignment="1">
      <alignment horizontal="left"/>
    </xf>
    <xf numFmtId="43" fontId="111" fillId="0" borderId="7" xfId="382" applyFont="1" applyFill="1" applyBorder="1" applyAlignment="1"/>
    <xf numFmtId="43" fontId="111" fillId="0" borderId="0" xfId="382" applyFont="1" applyFill="1" applyAlignment="1">
      <alignment horizontal="fill"/>
    </xf>
    <xf numFmtId="189" fontId="111" fillId="0" borderId="0" xfId="37695" applyNumberFormat="1" applyFont="1" applyFill="1" applyAlignment="1"/>
    <xf numFmtId="169" fontId="111" fillId="0" borderId="0" xfId="37696" applyFont="1" applyFill="1" applyAlignment="1"/>
    <xf numFmtId="189" fontId="111" fillId="0" borderId="0" xfId="37696" applyNumberFormat="1" applyFont="1" applyFill="1" applyAlignment="1"/>
    <xf numFmtId="0" fontId="111" fillId="0" borderId="0" xfId="37698" applyNumberFormat="1" applyFont="1" applyFill="1" applyAlignment="1"/>
    <xf numFmtId="0" fontId="111" fillId="0" borderId="0" xfId="37698" applyNumberFormat="1" applyFont="1" applyFill="1"/>
    <xf numFmtId="0" fontId="111" fillId="0" borderId="0" xfId="37698" applyNumberFormat="1" applyFont="1" applyFill="1" applyBorder="1" applyAlignment="1"/>
    <xf numFmtId="189" fontId="111" fillId="0" borderId="0" xfId="37698" applyNumberFormat="1" applyFont="1" applyFill="1" applyAlignment="1"/>
    <xf numFmtId="169" fontId="111" fillId="0" borderId="0" xfId="37694" applyFont="1" applyFill="1" applyAlignment="1"/>
    <xf numFmtId="0" fontId="111" fillId="0" borderId="0" xfId="37696" applyNumberFormat="1" applyFont="1" applyFill="1" applyBorder="1"/>
    <xf numFmtId="0" fontId="111" fillId="0" borderId="0" xfId="37698" applyFont="1" applyFill="1" applyAlignment="1"/>
    <xf numFmtId="3" fontId="111" fillId="0" borderId="0" xfId="37698" applyNumberFormat="1" applyFont="1" applyFill="1" applyAlignment="1"/>
    <xf numFmtId="0" fontId="111" fillId="0" borderId="0" xfId="37696" applyNumberFormat="1" applyFont="1" applyFill="1" applyBorder="1" applyAlignment="1" applyProtection="1">
      <alignment horizontal="center"/>
      <protection locked="0"/>
    </xf>
    <xf numFmtId="3" fontId="111" fillId="0" borderId="0" xfId="37696" applyNumberFormat="1" applyFont="1" applyFill="1" applyBorder="1"/>
    <xf numFmtId="169" fontId="111" fillId="0" borderId="0" xfId="37696" applyFont="1" applyFill="1" applyBorder="1" applyAlignment="1"/>
    <xf numFmtId="0" fontId="111" fillId="0" borderId="0" xfId="37696" applyNumberFormat="1" applyFont="1" applyFill="1" applyBorder="1" applyProtection="1">
      <protection locked="0"/>
    </xf>
    <xf numFmtId="0" fontId="111" fillId="0" borderId="0" xfId="37696" applyNumberFormat="1" applyFont="1" applyFill="1" applyBorder="1" applyAlignment="1"/>
    <xf numFmtId="0" fontId="111" fillId="0" borderId="0" xfId="37694" applyNumberFormat="1" applyFont="1" applyFill="1" applyAlignment="1"/>
    <xf numFmtId="0" fontId="111" fillId="0" borderId="0" xfId="37694" applyNumberFormat="1" applyFont="1" applyFill="1"/>
    <xf numFmtId="3" fontId="111" fillId="0" borderId="0" xfId="37694" applyNumberFormat="1" applyFont="1" applyFill="1"/>
    <xf numFmtId="43" fontId="111" fillId="0" borderId="0" xfId="382" applyFont="1" applyFill="1"/>
    <xf numFmtId="0" fontId="111" fillId="0" borderId="0" xfId="37694" applyNumberFormat="1" applyFont="1" applyFill="1" applyProtection="1">
      <protection locked="0"/>
    </xf>
    <xf numFmtId="164" fontId="111" fillId="0" borderId="0" xfId="382" applyNumberFormat="1" applyFont="1" applyFill="1"/>
    <xf numFmtId="3" fontId="111" fillId="0" borderId="0" xfId="37694" applyNumberFormat="1" applyFont="1" applyFill="1" applyAlignment="1"/>
    <xf numFmtId="43" fontId="111" fillId="0" borderId="0" xfId="382" applyFont="1" applyFill="1" applyBorder="1"/>
    <xf numFmtId="43" fontId="111" fillId="0" borderId="7" xfId="382" applyFont="1" applyFill="1" applyBorder="1"/>
    <xf numFmtId="0" fontId="111" fillId="0" borderId="0" xfId="37694" applyNumberFormat="1" applyFont="1" applyFill="1" applyAlignment="1" applyProtection="1">
      <protection locked="0"/>
    </xf>
    <xf numFmtId="43" fontId="111" fillId="0" borderId="0" xfId="382" applyFont="1" applyFill="1" applyAlignment="1">
      <alignment horizontal="center"/>
    </xf>
    <xf numFmtId="0" fontId="111" fillId="0" borderId="0" xfId="37694" applyNumberFormat="1" applyFont="1" applyFill="1" applyAlignment="1">
      <alignment horizontal="left"/>
    </xf>
    <xf numFmtId="0" fontId="111" fillId="0" borderId="0" xfId="37694" applyNumberFormat="1" applyFont="1" applyAlignment="1"/>
    <xf numFmtId="43" fontId="111" fillId="0" borderId="0" xfId="382" applyFont="1" applyProtection="1">
      <protection locked="0"/>
    </xf>
    <xf numFmtId="190" fontId="111" fillId="0" borderId="0" xfId="37694" applyNumberFormat="1" applyFont="1" applyProtection="1">
      <protection locked="0"/>
    </xf>
    <xf numFmtId="0" fontId="111" fillId="0" borderId="0" xfId="37694" applyNumberFormat="1" applyFont="1" applyFill="1" applyAlignment="1" applyProtection="1">
      <alignment horizontal="center"/>
      <protection locked="0"/>
    </xf>
    <xf numFmtId="190" fontId="111" fillId="0" borderId="0" xfId="37694" applyNumberFormat="1" applyFont="1" applyFill="1" applyProtection="1">
      <protection locked="0"/>
    </xf>
    <xf numFmtId="0" fontId="111" fillId="0" borderId="0" xfId="37696" applyNumberFormat="1" applyFont="1" applyAlignment="1"/>
    <xf numFmtId="190" fontId="111" fillId="0" borderId="0" xfId="37696" applyNumberFormat="1" applyFont="1" applyFill="1" applyProtection="1">
      <protection locked="0"/>
    </xf>
    <xf numFmtId="190" fontId="111" fillId="0" borderId="0" xfId="37696" applyNumberFormat="1" applyFont="1" applyProtection="1">
      <protection locked="0"/>
    </xf>
    <xf numFmtId="0" fontId="111" fillId="0" borderId="0" xfId="37695" applyFont="1" applyFill="1" applyAlignment="1">
      <alignment horizontal="right"/>
    </xf>
    <xf numFmtId="166" fontId="111" fillId="0" borderId="0" xfId="37696" applyNumberFormat="1" applyFont="1"/>
    <xf numFmtId="0" fontId="111" fillId="0" borderId="0" xfId="37696" applyNumberFormat="1" applyFont="1" applyAlignment="1">
      <alignment horizontal="right"/>
    </xf>
    <xf numFmtId="0" fontId="132" fillId="0" borderId="0" xfId="37696" applyNumberFormat="1" applyFont="1" applyAlignment="1"/>
    <xf numFmtId="0" fontId="98" fillId="0" borderId="0" xfId="37696" applyNumberFormat="1" applyFont="1" applyAlignment="1" applyProtection="1">
      <alignment horizontal="center"/>
      <protection locked="0"/>
    </xf>
    <xf numFmtId="3" fontId="98" fillId="0" borderId="0" xfId="37696" applyNumberFormat="1" applyFont="1" applyAlignment="1"/>
    <xf numFmtId="0" fontId="98" fillId="0" borderId="0" xfId="37696" applyNumberFormat="1" applyFont="1" applyAlignment="1"/>
    <xf numFmtId="0" fontId="111" fillId="0" borderId="0" xfId="37696" applyNumberFormat="1" applyFont="1" applyFill="1" applyAlignment="1" applyProtection="1">
      <alignment horizontal="center"/>
      <protection locked="0"/>
    </xf>
    <xf numFmtId="191" fontId="111" fillId="0" borderId="0" xfId="37696" applyNumberFormat="1" applyFont="1" applyFill="1" applyAlignment="1"/>
    <xf numFmtId="10" fontId="111" fillId="0" borderId="0" xfId="674" applyNumberFormat="1" applyFont="1" applyAlignment="1"/>
    <xf numFmtId="164" fontId="111" fillId="0" borderId="7" xfId="382" applyNumberFormat="1" applyFont="1" applyFill="1" applyBorder="1" applyAlignment="1"/>
    <xf numFmtId="170" fontId="111" fillId="0" borderId="0" xfId="382" applyNumberFormat="1" applyFont="1" applyFill="1" applyAlignment="1">
      <alignment horizontal="center"/>
    </xf>
    <xf numFmtId="170" fontId="111" fillId="0" borderId="0" xfId="37696" applyNumberFormat="1" applyFont="1" applyFill="1" applyAlignment="1">
      <alignment horizontal="center"/>
    </xf>
    <xf numFmtId="170" fontId="111" fillId="0" borderId="0" xfId="37696" applyNumberFormat="1" applyFont="1" applyFill="1" applyAlignment="1"/>
    <xf numFmtId="3" fontId="111" fillId="0" borderId="0" xfId="37698" applyNumberFormat="1" applyFont="1" applyFill="1" applyBorder="1" applyAlignment="1"/>
    <xf numFmtId="164" fontId="111" fillId="0" borderId="0" xfId="382" applyNumberFormat="1" applyFont="1" applyFill="1" applyBorder="1" applyAlignment="1"/>
    <xf numFmtId="3" fontId="132" fillId="0" borderId="0" xfId="37696" applyNumberFormat="1" applyFont="1" applyFill="1" applyAlignment="1"/>
    <xf numFmtId="169" fontId="132" fillId="0" borderId="0" xfId="37694" applyFont="1" applyFill="1" applyAlignment="1"/>
    <xf numFmtId="169" fontId="132" fillId="0" borderId="0" xfId="37694" applyFont="1" applyAlignment="1"/>
    <xf numFmtId="191" fontId="111" fillId="0" borderId="0" xfId="37695" applyNumberFormat="1" applyFont="1" applyFill="1" applyAlignment="1">
      <alignment horizontal="right"/>
    </xf>
    <xf numFmtId="168" fontId="111" fillId="0" borderId="0" xfId="37696" applyNumberFormat="1" applyFont="1" applyFill="1" applyAlignment="1">
      <alignment horizontal="center"/>
    </xf>
    <xf numFmtId="170" fontId="111" fillId="0" borderId="0" xfId="382" applyNumberFormat="1" applyFont="1" applyFill="1" applyAlignment="1">
      <alignment horizontal="right"/>
    </xf>
    <xf numFmtId="0" fontId="111" fillId="0" borderId="0" xfId="37695" applyNumberFormat="1" applyFont="1" applyFill="1"/>
    <xf numFmtId="164" fontId="111" fillId="0" borderId="40" xfId="382" applyNumberFormat="1" applyFont="1" applyFill="1" applyBorder="1" applyAlignment="1"/>
    <xf numFmtId="168" fontId="111" fillId="0" borderId="0" xfId="37695" applyNumberFormat="1" applyFont="1" applyFill="1" applyAlignment="1">
      <alignment horizontal="center"/>
    </xf>
    <xf numFmtId="3" fontId="111" fillId="0" borderId="0" xfId="37695" applyNumberFormat="1" applyFont="1" applyFill="1" applyBorder="1" applyAlignment="1"/>
    <xf numFmtId="3" fontId="111" fillId="0" borderId="0" xfId="37696" applyNumberFormat="1" applyFont="1" applyFill="1" applyAlignment="1">
      <alignment horizontal="right"/>
    </xf>
    <xf numFmtId="3" fontId="111" fillId="0" borderId="0" xfId="37696" applyNumberFormat="1" applyFont="1" applyFill="1" applyAlignment="1">
      <alignment horizontal="center"/>
    </xf>
    <xf numFmtId="0" fontId="111" fillId="0" borderId="0" xfId="37695" applyFont="1" applyFill="1"/>
    <xf numFmtId="0" fontId="111" fillId="0" borderId="0" xfId="37696" applyNumberFormat="1" applyFont="1" applyFill="1" applyAlignment="1">
      <alignment horizontal="center"/>
    </xf>
    <xf numFmtId="49" fontId="111" fillId="0" borderId="0" xfId="37696" applyNumberFormat="1" applyFont="1" applyFill="1" applyAlignment="1">
      <alignment horizontal="center"/>
    </xf>
    <xf numFmtId="3" fontId="98" fillId="0" borderId="0" xfId="37696" applyNumberFormat="1" applyFont="1" applyFill="1" applyAlignment="1">
      <alignment horizontal="center"/>
    </xf>
    <xf numFmtId="0" fontId="98" fillId="0" borderId="0" xfId="37696" applyNumberFormat="1" applyFont="1" applyFill="1" applyAlignment="1" applyProtection="1">
      <alignment horizontal="center"/>
      <protection locked="0"/>
    </xf>
    <xf numFmtId="169" fontId="98" fillId="0" borderId="0" xfId="37696" applyFont="1" applyFill="1" applyAlignment="1">
      <alignment horizontal="center"/>
    </xf>
    <xf numFmtId="3" fontId="98" fillId="0" borderId="0" xfId="37696" applyNumberFormat="1" applyFont="1" applyFill="1" applyAlignment="1"/>
    <xf numFmtId="193" fontId="111" fillId="0" borderId="0" xfId="37694" applyNumberFormat="1" applyFont="1" applyAlignment="1"/>
    <xf numFmtId="0" fontId="111" fillId="0" borderId="0" xfId="37696" quotePrefix="1" applyNumberFormat="1" applyFont="1" applyFill="1"/>
    <xf numFmtId="0" fontId="111" fillId="0" borderId="0" xfId="37698" applyNumberFormat="1" applyFont="1" applyFill="1" applyAlignment="1" applyProtection="1">
      <alignment horizontal="center"/>
      <protection locked="0"/>
    </xf>
    <xf numFmtId="169" fontId="111" fillId="0" borderId="0" xfId="37694" quotePrefix="1" applyFont="1" applyFill="1" applyAlignment="1"/>
    <xf numFmtId="10" fontId="111" fillId="0" borderId="0" xfId="674" applyNumberFormat="1" applyFont="1" applyFill="1" applyAlignment="1"/>
    <xf numFmtId="3" fontId="133" fillId="0" borderId="0" xfId="37695" applyNumberFormat="1" applyFont="1" applyFill="1" applyAlignment="1"/>
    <xf numFmtId="3" fontId="133" fillId="0" borderId="0" xfId="37696" applyNumberFormat="1" applyFont="1" applyFill="1" applyAlignment="1"/>
    <xf numFmtId="169" fontId="133" fillId="0" borderId="0" xfId="37694" applyFont="1" applyFill="1" applyAlignment="1"/>
    <xf numFmtId="164" fontId="133" fillId="0" borderId="0" xfId="382" applyNumberFormat="1" applyFont="1" applyAlignment="1"/>
    <xf numFmtId="169" fontId="133" fillId="0" borderId="0" xfId="37694" applyFont="1" applyAlignment="1"/>
    <xf numFmtId="189" fontId="111" fillId="0" borderId="0" xfId="37696" applyNumberFormat="1" applyFont="1" applyFill="1" applyAlignment="1">
      <alignment horizontal="center"/>
    </xf>
    <xf numFmtId="194" fontId="111" fillId="0" borderId="0" xfId="37696" applyNumberFormat="1" applyFont="1" applyFill="1" applyAlignment="1"/>
    <xf numFmtId="189" fontId="111" fillId="0" borderId="0" xfId="37695" applyNumberFormat="1" applyFont="1" applyFill="1" applyAlignment="1">
      <alignment horizontal="center"/>
    </xf>
    <xf numFmtId="164" fontId="111" fillId="0" borderId="17" xfId="382" applyNumberFormat="1" applyFont="1" applyFill="1" applyBorder="1" applyAlignment="1"/>
    <xf numFmtId="164" fontId="111" fillId="0" borderId="53" xfId="382" applyNumberFormat="1" applyFont="1" applyFill="1" applyBorder="1" applyAlignment="1"/>
    <xf numFmtId="0" fontId="111" fillId="0" borderId="0" xfId="37695" applyNumberFormat="1" applyFont="1" applyFill="1" applyAlignment="1"/>
    <xf numFmtId="169" fontId="111" fillId="0" borderId="0" xfId="37696" applyFont="1" applyFill="1" applyAlignment="1">
      <alignment horizontal="center"/>
    </xf>
    <xf numFmtId="169" fontId="111" fillId="0" borderId="0" xfId="37696" applyFont="1" applyFill="1" applyAlignment="1">
      <alignment horizontal="right"/>
    </xf>
    <xf numFmtId="0" fontId="133" fillId="0" borderId="0" xfId="37696" applyNumberFormat="1" applyFont="1" applyFill="1" applyAlignment="1" applyProtection="1">
      <alignment horizontal="center"/>
      <protection locked="0"/>
    </xf>
    <xf numFmtId="0" fontId="98" fillId="0" borderId="0" xfId="37696" applyNumberFormat="1" applyFont="1" applyFill="1" applyAlignment="1"/>
    <xf numFmtId="0" fontId="111" fillId="0" borderId="7" xfId="37696" applyNumberFormat="1" applyFont="1" applyFill="1" applyBorder="1"/>
    <xf numFmtId="49" fontId="111" fillId="0" borderId="0" xfId="37696" applyNumberFormat="1" applyFont="1" applyFill="1" applyAlignment="1"/>
    <xf numFmtId="3" fontId="111" fillId="0" borderId="7" xfId="37696" applyNumberFormat="1" applyFont="1" applyFill="1" applyBorder="1" applyAlignment="1"/>
    <xf numFmtId="3" fontId="111" fillId="0" borderId="7" xfId="37696" applyNumberFormat="1" applyFont="1" applyFill="1" applyBorder="1" applyAlignment="1">
      <alignment horizontal="center"/>
    </xf>
    <xf numFmtId="43" fontId="111" fillId="0" borderId="0" xfId="382" applyNumberFormat="1" applyFont="1" applyFill="1" applyAlignment="1"/>
    <xf numFmtId="3" fontId="111" fillId="0" borderId="0" xfId="37695" applyNumberFormat="1" applyFont="1" applyFill="1" applyBorder="1" applyAlignment="1">
      <alignment horizontal="center"/>
    </xf>
    <xf numFmtId="0" fontId="111" fillId="0" borderId="7" xfId="37695" applyNumberFormat="1" applyFont="1" applyFill="1" applyBorder="1" applyAlignment="1">
      <alignment horizontal="center"/>
    </xf>
    <xf numFmtId="0" fontId="111" fillId="0" borderId="0" xfId="37695" applyNumberFormat="1" applyFont="1" applyFill="1" applyAlignment="1">
      <alignment horizontal="center"/>
    </xf>
    <xf numFmtId="192" fontId="111" fillId="0" borderId="0" xfId="382" applyNumberFormat="1" applyFont="1" applyFill="1" applyAlignment="1"/>
    <xf numFmtId="189" fontId="111" fillId="0" borderId="0" xfId="37696" applyNumberFormat="1" applyFont="1" applyFill="1" applyAlignment="1" applyProtection="1">
      <alignment horizontal="center"/>
      <protection locked="0"/>
    </xf>
    <xf numFmtId="0" fontId="111" fillId="0" borderId="0" xfId="37696" applyNumberFormat="1" applyFont="1" applyFill="1" applyAlignment="1">
      <alignment horizontal="left"/>
    </xf>
    <xf numFmtId="192" fontId="111" fillId="0" borderId="0" xfId="382" applyNumberFormat="1" applyFont="1" applyFill="1" applyAlignment="1">
      <alignment horizontal="center"/>
    </xf>
    <xf numFmtId="168" fontId="111" fillId="0" borderId="0" xfId="674" applyNumberFormat="1" applyFont="1" applyFill="1" applyAlignment="1"/>
    <xf numFmtId="3" fontId="111" fillId="0" borderId="0" xfId="37696" quotePrefix="1" applyNumberFormat="1" applyFont="1" applyFill="1" applyAlignment="1"/>
    <xf numFmtId="168" fontId="111" fillId="0" borderId="7" xfId="674" applyNumberFormat="1" applyFont="1" applyFill="1" applyBorder="1" applyAlignment="1"/>
    <xf numFmtId="164" fontId="111" fillId="0" borderId="0" xfId="382" applyNumberFormat="1" applyFont="1" applyFill="1" applyAlignment="1">
      <alignment horizontal="center"/>
    </xf>
    <xf numFmtId="0" fontId="134" fillId="0" borderId="0" xfId="37696" applyNumberFormat="1" applyFont="1" applyFill="1" applyProtection="1">
      <protection locked="0"/>
    </xf>
    <xf numFmtId="169" fontId="134" fillId="0" borderId="0" xfId="37696" applyFont="1" applyFill="1" applyAlignment="1"/>
    <xf numFmtId="169" fontId="111" fillId="0" borderId="0" xfId="37696" applyFont="1" applyFill="1" applyAlignment="1" applyProtection="1"/>
    <xf numFmtId="195" fontId="111" fillId="0" borderId="0" xfId="382" applyNumberFormat="1" applyFont="1" applyFill="1" applyBorder="1" applyProtection="1">
      <protection locked="0"/>
    </xf>
    <xf numFmtId="38" fontId="111" fillId="0" borderId="0" xfId="37696" applyNumberFormat="1" applyFont="1" applyFill="1" applyAlignment="1" applyProtection="1"/>
    <xf numFmtId="195" fontId="111" fillId="0" borderId="7" xfId="382" applyNumberFormat="1" applyFont="1" applyFill="1" applyBorder="1" applyProtection="1">
      <protection locked="0"/>
    </xf>
    <xf numFmtId="38" fontId="111" fillId="0" borderId="0" xfId="37696" applyNumberFormat="1" applyFont="1" applyFill="1" applyAlignment="1"/>
    <xf numFmtId="193" fontId="111" fillId="0" borderId="0" xfId="37696" applyNumberFormat="1" applyFont="1" applyFill="1" applyBorder="1" applyProtection="1"/>
    <xf numFmtId="196" fontId="111" fillId="0" borderId="0" xfId="37696" applyNumberFormat="1" applyFont="1" applyFill="1" applyProtection="1">
      <protection locked="0"/>
    </xf>
    <xf numFmtId="1" fontId="111" fillId="0" borderId="0" xfId="37696" applyNumberFormat="1" applyFont="1" applyFill="1" applyProtection="1"/>
    <xf numFmtId="1" fontId="111" fillId="0" borderId="0" xfId="37696" applyNumberFormat="1" applyFont="1" applyFill="1" applyAlignment="1" applyProtection="1"/>
    <xf numFmtId="3" fontId="111" fillId="0" borderId="0" xfId="37696" applyNumberFormat="1" applyFont="1" applyFill="1" applyAlignment="1" applyProtection="1"/>
    <xf numFmtId="164" fontId="111" fillId="0" borderId="0" xfId="382" applyNumberFormat="1" applyFont="1" applyFill="1" applyBorder="1" applyAlignment="1" applyProtection="1"/>
    <xf numFmtId="193" fontId="111" fillId="0" borderId="0" xfId="37696" applyNumberFormat="1" applyFont="1" applyFill="1" applyBorder="1" applyAlignment="1" applyProtection="1"/>
    <xf numFmtId="0" fontId="131" fillId="0" borderId="0" xfId="37698" applyNumberFormat="1" applyFont="1" applyFill="1" applyAlignment="1" applyProtection="1">
      <alignment vertical="top" wrapText="1"/>
      <protection locked="0"/>
    </xf>
    <xf numFmtId="0" fontId="135" fillId="0" borderId="0" xfId="37698" applyNumberFormat="1" applyFont="1" applyFill="1" applyAlignment="1" applyProtection="1">
      <alignment vertical="top" wrapText="1"/>
      <protection locked="0"/>
    </xf>
    <xf numFmtId="164" fontId="135" fillId="0" borderId="0" xfId="382" applyNumberFormat="1" applyFont="1" applyFill="1" applyAlignment="1" applyProtection="1">
      <alignment vertical="top" wrapText="1"/>
      <protection locked="0"/>
    </xf>
    <xf numFmtId="164" fontId="131" fillId="0" borderId="0" xfId="382" applyNumberFormat="1" applyFont="1" applyFill="1" applyAlignment="1" applyProtection="1">
      <alignment vertical="top" wrapText="1"/>
      <protection locked="0"/>
    </xf>
    <xf numFmtId="164" fontId="46" fillId="0" borderId="0" xfId="382" applyNumberFormat="1" applyFont="1"/>
    <xf numFmtId="0" fontId="44" fillId="0" borderId="0" xfId="0" applyFont="1" applyAlignment="1">
      <alignment horizontal="center"/>
    </xf>
    <xf numFmtId="3" fontId="46" fillId="0" borderId="0" xfId="0" applyNumberFormat="1" applyFont="1" applyFill="1" applyBorder="1"/>
    <xf numFmtId="0" fontId="46" fillId="0" borderId="17" xfId="0" applyFont="1" applyFill="1" applyBorder="1"/>
    <xf numFmtId="0" fontId="46" fillId="0" borderId="17" xfId="0" applyFont="1" applyFill="1" applyBorder="1" applyAlignment="1">
      <alignment horizontal="center"/>
    </xf>
    <xf numFmtId="3" fontId="44" fillId="0" borderId="36" xfId="0" applyNumberFormat="1" applyFont="1" applyFill="1" applyBorder="1" applyAlignment="1"/>
    <xf numFmtId="164" fontId="46" fillId="0" borderId="30" xfId="382" applyNumberFormat="1" applyFont="1" applyFill="1" applyBorder="1"/>
    <xf numFmtId="0" fontId="46" fillId="0" borderId="0" xfId="0" quotePrefix="1" applyFont="1" applyFill="1" applyBorder="1" applyAlignment="1">
      <alignment horizontal="center" wrapText="1"/>
    </xf>
    <xf numFmtId="0" fontId="46" fillId="0" borderId="18" xfId="0" applyFont="1" applyFill="1" applyBorder="1"/>
    <xf numFmtId="0" fontId="46" fillId="0" borderId="0" xfId="0" applyFont="1" applyFill="1" applyAlignment="1">
      <alignment horizontal="right"/>
    </xf>
    <xf numFmtId="0" fontId="44" fillId="0" borderId="17" xfId="0" applyFont="1" applyFill="1" applyBorder="1" applyAlignment="1"/>
    <xf numFmtId="3" fontId="44" fillId="0" borderId="47" xfId="0" applyNumberFormat="1" applyFont="1" applyFill="1" applyBorder="1" applyAlignment="1">
      <alignment horizontal="center"/>
    </xf>
    <xf numFmtId="0" fontId="44" fillId="0" borderId="6" xfId="0" applyFont="1" applyFill="1" applyBorder="1" applyAlignment="1">
      <alignment horizontal="center" wrapText="1"/>
    </xf>
    <xf numFmtId="0" fontId="110" fillId="0" borderId="0" xfId="11279" applyFont="1"/>
    <xf numFmtId="43" fontId="44" fillId="0" borderId="0" xfId="382" applyFont="1" applyBorder="1"/>
    <xf numFmtId="0" fontId="44" fillId="35" borderId="46" xfId="0" applyFont="1" applyFill="1" applyBorder="1" applyAlignment="1">
      <alignment horizontal="center" wrapText="1"/>
    </xf>
    <xf numFmtId="0" fontId="46" fillId="50" borderId="32" xfId="0" applyFont="1" applyFill="1" applyBorder="1" applyAlignment="1">
      <alignment horizontal="center" wrapText="1"/>
    </xf>
    <xf numFmtId="0" fontId="46" fillId="50" borderId="42" xfId="0" applyFont="1" applyFill="1" applyBorder="1" applyAlignment="1">
      <alignment horizontal="center" wrapText="1"/>
    </xf>
    <xf numFmtId="0" fontId="44" fillId="35" borderId="46" xfId="0" applyNumberFormat="1" applyFont="1" applyFill="1" applyBorder="1" applyAlignment="1">
      <alignment horizontal="center" wrapText="1"/>
    </xf>
    <xf numFmtId="3" fontId="46" fillId="0" borderId="41" xfId="0" applyNumberFormat="1" applyFont="1" applyBorder="1" applyAlignment="1"/>
    <xf numFmtId="43" fontId="44" fillId="0" borderId="35" xfId="382" applyFont="1" applyBorder="1"/>
    <xf numFmtId="43" fontId="44" fillId="0" borderId="41" xfId="382" applyFont="1" applyBorder="1"/>
    <xf numFmtId="164" fontId="122" fillId="0" borderId="0" xfId="382" applyNumberFormat="1" applyFont="1" applyFill="1"/>
    <xf numFmtId="164" fontId="122" fillId="0" borderId="0" xfId="382" applyNumberFormat="1" applyFont="1" applyFill="1" applyBorder="1"/>
    <xf numFmtId="0" fontId="125" fillId="0" borderId="0" xfId="0" applyFont="1"/>
    <xf numFmtId="0" fontId="42" fillId="0" borderId="0" xfId="0" applyFont="1" applyFill="1" applyBorder="1" applyAlignment="1">
      <alignment horizontal="center"/>
    </xf>
    <xf numFmtId="164" fontId="122" fillId="0" borderId="0" xfId="382" applyNumberFormat="1" applyFont="1" applyFill="1" applyAlignment="1">
      <alignment horizontal="center"/>
    </xf>
    <xf numFmtId="17" fontId="42" fillId="0" borderId="0" xfId="0" applyNumberFormat="1" applyFont="1" applyFill="1" applyBorder="1"/>
    <xf numFmtId="166" fontId="42" fillId="0" borderId="0" xfId="678" applyNumberFormat="1" applyFont="1" applyBorder="1"/>
    <xf numFmtId="43" fontId="42" fillId="0" borderId="0" xfId="0" applyNumberFormat="1" applyFont="1" applyFill="1"/>
    <xf numFmtId="43" fontId="42" fillId="0" borderId="0" xfId="0" applyNumberFormat="1" applyFont="1" applyFill="1" applyBorder="1"/>
    <xf numFmtId="0" fontId="136" fillId="0" borderId="0" xfId="0" applyFont="1" applyAlignment="1">
      <alignment horizontal="center"/>
    </xf>
    <xf numFmtId="43" fontId="130" fillId="0" borderId="0" xfId="382" applyFont="1" applyAlignment="1">
      <alignment horizontal="center"/>
    </xf>
    <xf numFmtId="10" fontId="42" fillId="0" borderId="0" xfId="678" applyNumberFormat="1" applyFont="1" applyFill="1" applyBorder="1"/>
    <xf numFmtId="164" fontId="130" fillId="0" borderId="0" xfId="382" applyNumberFormat="1" applyFont="1"/>
    <xf numFmtId="0" fontId="43" fillId="0" borderId="0" xfId="0" applyFont="1" applyBorder="1"/>
    <xf numFmtId="39" fontId="42" fillId="0" borderId="0" xfId="403" applyNumberFormat="1" applyFont="1" applyFill="1"/>
    <xf numFmtId="10" fontId="42" fillId="0" borderId="0" xfId="674" applyNumberFormat="1" applyFont="1" applyFill="1"/>
    <xf numFmtId="10" fontId="42" fillId="0" borderId="0" xfId="678" applyNumberFormat="1" applyFont="1" applyBorder="1"/>
    <xf numFmtId="43" fontId="42" fillId="0" borderId="0" xfId="0" applyNumberFormat="1" applyFont="1"/>
    <xf numFmtId="43" fontId="42" fillId="0" borderId="0" xfId="0" quotePrefix="1" applyNumberFormat="1" applyFont="1" applyFill="1"/>
    <xf numFmtId="164" fontId="62" fillId="0" borderId="0" xfId="382" applyNumberFormat="1" applyFont="1" applyFill="1"/>
    <xf numFmtId="0" fontId="62" fillId="0" borderId="0" xfId="0" applyFont="1" applyAlignment="1">
      <alignment horizontal="center"/>
    </xf>
    <xf numFmtId="164" fontId="62" fillId="0" borderId="0" xfId="382" applyNumberFormat="1" applyFont="1" applyAlignment="1">
      <alignment horizontal="center"/>
    </xf>
    <xf numFmtId="0" fontId="42" fillId="0" borderId="0" xfId="0" applyFont="1" applyAlignment="1">
      <alignment horizontal="center" wrapText="1"/>
    </xf>
    <xf numFmtId="0" fontId="62" fillId="0" borderId="0" xfId="0" applyFont="1" applyAlignment="1">
      <alignment horizontal="left"/>
    </xf>
    <xf numFmtId="43" fontId="122" fillId="0" borderId="0" xfId="382" applyFont="1" applyFill="1" applyBorder="1" applyAlignment="1">
      <alignment horizontal="center" wrapText="1"/>
    </xf>
    <xf numFmtId="17" fontId="42" fillId="0" borderId="0" xfId="0" applyNumberFormat="1" applyFont="1" applyFill="1" applyBorder="1" applyAlignment="1">
      <alignment horizontal="left" vertical="top"/>
    </xf>
    <xf numFmtId="10" fontId="42" fillId="0" borderId="0" xfId="678" applyNumberFormat="1" applyFont="1" applyBorder="1" applyAlignment="1">
      <alignment horizontal="left" vertical="top"/>
    </xf>
    <xf numFmtId="166" fontId="42" fillId="0" borderId="0" xfId="678" applyNumberFormat="1" applyFont="1" applyBorder="1" applyAlignment="1">
      <alignment horizontal="left" vertical="top"/>
    </xf>
    <xf numFmtId="164" fontId="62" fillId="0" borderId="0" xfId="382" applyNumberFormat="1" applyFont="1" applyFill="1" applyBorder="1" applyAlignment="1">
      <alignment horizontal="left"/>
    </xf>
    <xf numFmtId="164" fontId="110" fillId="0" borderId="0" xfId="382" applyNumberFormat="1" applyFont="1"/>
    <xf numFmtId="0" fontId="62" fillId="0" borderId="0" xfId="569" applyFont="1" applyAlignment="1">
      <alignment horizontal="center"/>
    </xf>
    <xf numFmtId="164" fontId="137" fillId="0" borderId="0" xfId="382" applyNumberFormat="1" applyFont="1"/>
    <xf numFmtId="0" fontId="42" fillId="0" borderId="0" xfId="474" applyFont="1"/>
    <xf numFmtId="0" fontId="42" fillId="0" borderId="0" xfId="11267" applyFont="1" applyFill="1" applyAlignment="1">
      <alignment horizontal="left" indent="1"/>
    </xf>
    <xf numFmtId="49" fontId="42" fillId="0" borderId="0" xfId="0" applyNumberFormat="1" applyFont="1"/>
    <xf numFmtId="43" fontId="130" fillId="0" borderId="0" xfId="382" applyFont="1"/>
    <xf numFmtId="0" fontId="42" fillId="0" borderId="0" xfId="474" applyFont="1" applyBorder="1"/>
    <xf numFmtId="164" fontId="42" fillId="0" borderId="0" xfId="382" applyNumberFormat="1" applyFont="1" applyBorder="1"/>
    <xf numFmtId="164" fontId="42" fillId="0" borderId="0" xfId="474" applyNumberFormat="1" applyFont="1" applyBorder="1"/>
    <xf numFmtId="0" fontId="42" fillId="0" borderId="0" xfId="517" applyNumberFormat="1" applyFont="1" applyFill="1" applyBorder="1" applyAlignment="1">
      <alignment horizontal="center"/>
    </xf>
    <xf numFmtId="0" fontId="42" fillId="0" borderId="0" xfId="474" applyFont="1" applyBorder="1" applyAlignment="1">
      <alignment horizontal="center"/>
    </xf>
    <xf numFmtId="164" fontId="42" fillId="0" borderId="0" xfId="474" applyNumberFormat="1" applyFont="1"/>
    <xf numFmtId="17" fontId="42" fillId="0" borderId="0" xfId="517" applyNumberFormat="1" applyFont="1" applyBorder="1"/>
    <xf numFmtId="0" fontId="43" fillId="0" borderId="0" xfId="474" applyFont="1"/>
    <xf numFmtId="0" fontId="42" fillId="0" borderId="0" xfId="517" applyNumberFormat="1" applyFont="1" applyFill="1" applyBorder="1" applyAlignment="1">
      <alignment horizontal="right"/>
    </xf>
    <xf numFmtId="17" fontId="42" fillId="0" borderId="0" xfId="517" applyNumberFormat="1" applyFont="1" applyBorder="1" applyAlignment="1">
      <alignment horizontal="center"/>
    </xf>
    <xf numFmtId="43" fontId="42" fillId="0" borderId="0" xfId="382" applyFont="1" applyAlignment="1">
      <alignment wrapText="1"/>
    </xf>
    <xf numFmtId="43" fontId="42" fillId="0" borderId="0" xfId="382" applyFont="1" applyAlignment="1">
      <alignment horizontal="left"/>
    </xf>
    <xf numFmtId="43" fontId="44" fillId="0" borderId="26" xfId="382" applyFont="1" applyFill="1" applyBorder="1" applyAlignment="1">
      <alignment horizontal="center"/>
    </xf>
    <xf numFmtId="49" fontId="42" fillId="0" borderId="0" xfId="0" applyNumberFormat="1" applyFont="1" applyBorder="1"/>
    <xf numFmtId="164" fontId="42" fillId="0" borderId="0" xfId="382" applyNumberFormat="1" applyFont="1" applyFill="1" applyBorder="1" applyAlignment="1">
      <alignment horizontal="left"/>
    </xf>
    <xf numFmtId="43" fontId="122" fillId="0" borderId="0" xfId="382" applyFont="1" applyFill="1" applyBorder="1" applyAlignment="1">
      <alignment horizontal="center"/>
    </xf>
    <xf numFmtId="0" fontId="42" fillId="0" borderId="0" xfId="474" applyFont="1" applyBorder="1" applyProtection="1">
      <protection locked="0"/>
    </xf>
    <xf numFmtId="164" fontId="42" fillId="0" borderId="0" xfId="382" applyNumberFormat="1" applyFont="1" applyBorder="1" applyProtection="1">
      <protection locked="0"/>
    </xf>
    <xf numFmtId="0" fontId="42" fillId="0" borderId="0" xfId="504" applyFont="1" applyFill="1" applyBorder="1" applyAlignment="1">
      <alignment horizontal="center" wrapText="1"/>
    </xf>
    <xf numFmtId="0" fontId="43" fillId="0" borderId="0" xfId="569" applyFont="1" applyFill="1" applyBorder="1" applyAlignment="1">
      <alignment horizontal="center" vertical="top"/>
    </xf>
    <xf numFmtId="164" fontId="42" fillId="0" borderId="0" xfId="569" applyNumberFormat="1" applyFont="1" applyFill="1" applyBorder="1" applyAlignment="1">
      <alignment horizontal="center" vertical="top"/>
    </xf>
    <xf numFmtId="0" fontId="42" fillId="0" borderId="0" xfId="569" quotePrefix="1" applyFont="1" applyFill="1" applyBorder="1" applyAlignment="1">
      <alignment horizontal="left" vertical="top"/>
    </xf>
    <xf numFmtId="0" fontId="42" fillId="0" borderId="0" xfId="530" applyFont="1" applyAlignment="1"/>
    <xf numFmtId="0" fontId="42" fillId="0" borderId="0" xfId="530" applyFont="1" applyBorder="1" applyAlignment="1"/>
    <xf numFmtId="0" fontId="122" fillId="0" borderId="18" xfId="0" applyFont="1" applyBorder="1"/>
    <xf numFmtId="0" fontId="42" fillId="0" borderId="18" xfId="0" applyFont="1" applyBorder="1"/>
    <xf numFmtId="0" fontId="62" fillId="0" borderId="18" xfId="530" applyFont="1" applyBorder="1" applyAlignment="1">
      <alignment horizontal="center"/>
    </xf>
    <xf numFmtId="164" fontId="62" fillId="37" borderId="54" xfId="382" applyNumberFormat="1" applyFont="1" applyFill="1" applyBorder="1" applyAlignment="1">
      <alignment horizontal="left"/>
    </xf>
    <xf numFmtId="164" fontId="62" fillId="37" borderId="45" xfId="382" applyNumberFormat="1" applyFont="1" applyFill="1" applyBorder="1" applyAlignment="1">
      <alignment horizontal="left"/>
    </xf>
    <xf numFmtId="0" fontId="62" fillId="0" borderId="45" xfId="530" applyFont="1" applyBorder="1" applyAlignment="1">
      <alignment horizontal="center"/>
    </xf>
    <xf numFmtId="0" fontId="42" fillId="0" borderId="0" xfId="533" applyFont="1"/>
    <xf numFmtId="0" fontId="42" fillId="0" borderId="11" xfId="0" applyFont="1" applyFill="1" applyBorder="1"/>
    <xf numFmtId="0" fontId="42" fillId="0" borderId="0" xfId="0" applyFont="1" applyFill="1" applyBorder="1" applyAlignment="1">
      <alignment horizontal="center" wrapText="1"/>
    </xf>
    <xf numFmtId="0" fontId="42" fillId="0" borderId="0" xfId="0" applyFont="1" applyFill="1" applyAlignment="1">
      <alignment horizontal="center" vertical="top"/>
    </xf>
    <xf numFmtId="0" fontId="42" fillId="0" borderId="0" xfId="0" applyFont="1" applyFill="1" applyAlignment="1">
      <alignment vertical="top"/>
    </xf>
    <xf numFmtId="164" fontId="42" fillId="0" borderId="18" xfId="382" applyNumberFormat="1" applyFont="1" applyFill="1" applyBorder="1"/>
    <xf numFmtId="164" fontId="42" fillId="0" borderId="18" xfId="382" applyNumberFormat="1" applyFont="1" applyBorder="1"/>
    <xf numFmtId="164" fontId="54" fillId="0" borderId="0" xfId="382" applyNumberFormat="1" applyFont="1" applyFill="1" applyBorder="1" applyAlignment="1">
      <alignment horizontal="center"/>
    </xf>
    <xf numFmtId="164" fontId="43" fillId="0" borderId="0" xfId="403" applyNumberFormat="1" applyFont="1" applyFill="1" applyAlignment="1"/>
    <xf numFmtId="164" fontId="43" fillId="0" borderId="0" xfId="504" applyNumberFormat="1" applyFont="1"/>
    <xf numFmtId="0" fontId="43" fillId="0" borderId="0" xfId="504" applyFont="1" applyBorder="1"/>
    <xf numFmtId="0" fontId="66" fillId="0" borderId="0" xfId="0" applyFont="1" applyFill="1" applyBorder="1"/>
    <xf numFmtId="0" fontId="26" fillId="0" borderId="0" xfId="496" applyFont="1"/>
    <xf numFmtId="0" fontId="42" fillId="0" borderId="0" xfId="504" applyFont="1" applyAlignment="1">
      <alignment vertical="center"/>
    </xf>
    <xf numFmtId="0" fontId="42" fillId="0" borderId="0" xfId="504" applyFont="1" applyAlignment="1">
      <alignment horizontal="center" vertical="center"/>
    </xf>
    <xf numFmtId="0" fontId="42" fillId="0" borderId="0" xfId="0" applyFont="1" applyFill="1" applyAlignment="1">
      <alignment horizontal="left" indent="1"/>
    </xf>
    <xf numFmtId="164" fontId="42" fillId="0" borderId="6" xfId="403" applyNumberFormat="1" applyFont="1" applyFill="1" applyBorder="1" applyAlignment="1"/>
    <xf numFmtId="43" fontId="42" fillId="0" borderId="18" xfId="382" applyFont="1" applyFill="1" applyBorder="1" applyAlignment="1">
      <alignment horizontal="center" wrapText="1"/>
    </xf>
    <xf numFmtId="0" fontId="44" fillId="0" borderId="19" xfId="0" applyNumberFormat="1" applyFont="1" applyBorder="1" applyAlignment="1">
      <alignment horizontal="center"/>
    </xf>
    <xf numFmtId="0" fontId="46" fillId="0" borderId="5" xfId="0" applyNumberFormat="1" applyFont="1" applyBorder="1" applyAlignment="1">
      <alignment horizontal="center"/>
    </xf>
    <xf numFmtId="0" fontId="44" fillId="0" borderId="5" xfId="0" applyNumberFormat="1" applyFont="1" applyFill="1" applyBorder="1" applyAlignment="1"/>
    <xf numFmtId="0" fontId="44" fillId="0" borderId="5" xfId="0" applyFont="1" applyFill="1" applyBorder="1" applyAlignment="1"/>
    <xf numFmtId="0" fontId="44" fillId="0" borderId="18" xfId="0" applyFont="1" applyFill="1" applyBorder="1" applyAlignment="1"/>
    <xf numFmtId="3" fontId="44" fillId="0" borderId="0" xfId="0" applyNumberFormat="1" applyFont="1" applyFill="1" applyBorder="1" applyAlignment="1">
      <alignment horizontal="center"/>
    </xf>
    <xf numFmtId="0" fontId="44" fillId="0" borderId="5" xfId="0" applyNumberFormat="1" applyFont="1" applyBorder="1" applyAlignment="1">
      <alignment horizontal="left"/>
    </xf>
    <xf numFmtId="0" fontId="44" fillId="0" borderId="5" xfId="0" applyFont="1" applyFill="1" applyBorder="1"/>
    <xf numFmtId="0" fontId="44" fillId="0" borderId="5" xfId="0" applyFont="1" applyBorder="1" applyAlignment="1">
      <alignment horizontal="center"/>
    </xf>
    <xf numFmtId="0" fontId="49" fillId="0" borderId="0" xfId="0" applyFont="1" applyFill="1" applyBorder="1" applyAlignment="1"/>
    <xf numFmtId="164" fontId="46" fillId="0" borderId="0" xfId="382" applyNumberFormat="1" applyFont="1" applyFill="1"/>
    <xf numFmtId="10" fontId="46" fillId="0" borderId="0" xfId="674" applyNumberFormat="1" applyFont="1" applyFill="1"/>
    <xf numFmtId="164" fontId="43" fillId="0" borderId="0" xfId="382" applyNumberFormat="1" applyFont="1" applyFill="1" applyAlignment="1">
      <alignment horizontal="center"/>
    </xf>
    <xf numFmtId="164" fontId="42" fillId="0" borderId="0" xfId="382" applyNumberFormat="1" applyFont="1" applyFill="1" applyAlignment="1">
      <alignment horizontal="right" wrapText="1"/>
    </xf>
    <xf numFmtId="164" fontId="42" fillId="0" borderId="0" xfId="382" quotePrefix="1" applyNumberFormat="1" applyFont="1" applyFill="1" applyBorder="1" applyAlignment="1">
      <alignment horizontal="center" vertical="top"/>
    </xf>
    <xf numFmtId="164" fontId="44" fillId="0" borderId="27" xfId="382" applyNumberFormat="1" applyFont="1" applyFill="1" applyBorder="1"/>
    <xf numFmtId="164" fontId="26" fillId="0" borderId="0" xfId="382" applyNumberFormat="1" applyFont="1" applyAlignment="1">
      <alignment horizontal="center"/>
    </xf>
    <xf numFmtId="0" fontId="42" fillId="0" borderId="0" xfId="0" applyFont="1" applyFill="1" applyAlignment="1">
      <alignment horizontal="center" vertical="center"/>
    </xf>
    <xf numFmtId="166" fontId="42" fillId="0" borderId="0" xfId="0" applyNumberFormat="1" applyFont="1" applyAlignment="1">
      <alignment horizontal="center" vertical="center"/>
    </xf>
    <xf numFmtId="39" fontId="42" fillId="0" borderId="0" xfId="403" applyNumberFormat="1" applyFont="1" applyAlignment="1">
      <alignment horizontal="center" vertical="center"/>
    </xf>
    <xf numFmtId="0" fontId="125" fillId="0" borderId="0" xfId="0" applyFont="1" applyAlignment="1"/>
    <xf numFmtId="0" fontId="125" fillId="0" borderId="0" xfId="504" applyFont="1" applyAlignment="1">
      <alignment horizontal="left"/>
    </xf>
    <xf numFmtId="0" fontId="42" fillId="0" borderId="0" xfId="504" applyFont="1" applyFill="1" applyBorder="1" applyAlignment="1"/>
    <xf numFmtId="185" fontId="42" fillId="0" borderId="0" xfId="474" applyNumberFormat="1" applyFont="1" applyAlignment="1" applyProtection="1">
      <alignment horizontal="center"/>
      <protection locked="0"/>
    </xf>
    <xf numFmtId="0" fontId="62" fillId="0" borderId="0" xfId="569" applyFont="1" applyBorder="1"/>
    <xf numFmtId="164" fontId="42" fillId="0" borderId="4" xfId="382" applyNumberFormat="1" applyFont="1" applyFill="1" applyBorder="1" applyAlignment="1">
      <alignment horizontal="center"/>
    </xf>
    <xf numFmtId="43" fontId="62" fillId="0" borderId="21" xfId="382" applyFont="1" applyFill="1" applyBorder="1" applyAlignment="1">
      <alignment horizontal="center"/>
    </xf>
    <xf numFmtId="164" fontId="62" fillId="0" borderId="54" xfId="382" applyNumberFormat="1" applyFont="1" applyFill="1" applyBorder="1" applyAlignment="1">
      <alignment horizontal="left"/>
    </xf>
    <xf numFmtId="164" fontId="62" fillId="0" borderId="35" xfId="382" applyNumberFormat="1" applyFont="1" applyFill="1" applyBorder="1" applyAlignment="1">
      <alignment horizontal="left"/>
    </xf>
    <xf numFmtId="0" fontId="42" fillId="0" borderId="0" xfId="0" applyFont="1" applyAlignment="1">
      <alignment vertical="center" wrapText="1"/>
    </xf>
    <xf numFmtId="0" fontId="43" fillId="0" borderId="0" xfId="569" applyFont="1" applyFill="1" applyBorder="1" applyAlignment="1">
      <alignment vertical="top"/>
    </xf>
    <xf numFmtId="0" fontId="42" fillId="0" borderId="0" xfId="504" applyFont="1" applyBorder="1" applyAlignment="1">
      <alignment horizontal="center" wrapText="1"/>
    </xf>
    <xf numFmtId="0" fontId="42" fillId="0" borderId="0" xfId="504" applyFont="1" applyAlignment="1">
      <alignment horizontal="center" wrapText="1"/>
    </xf>
    <xf numFmtId="0" fontId="62" fillId="0" borderId="0" xfId="511" applyFont="1"/>
    <xf numFmtId="0" fontId="62" fillId="0" borderId="0" xfId="511" applyFont="1" applyAlignment="1">
      <alignment horizontal="center"/>
    </xf>
    <xf numFmtId="0" fontId="62" fillId="0" borderId="0" xfId="0" applyFont="1" applyFill="1" applyAlignment="1"/>
    <xf numFmtId="0" fontId="42" fillId="0" borderId="0" xfId="484" applyFont="1" applyFill="1" applyAlignment="1">
      <alignment horizontal="left" vertical="top" indent="2"/>
    </xf>
    <xf numFmtId="0" fontId="42" fillId="0" borderId="0" xfId="484" applyFont="1" applyFill="1" applyBorder="1" applyAlignment="1">
      <alignment vertical="top"/>
    </xf>
    <xf numFmtId="41" fontId="42" fillId="0" borderId="0" xfId="484" applyNumberFormat="1" applyFont="1" applyBorder="1" applyAlignment="1">
      <alignment vertical="top"/>
    </xf>
    <xf numFmtId="0" fontId="42" fillId="0" borderId="0" xfId="484" applyFont="1" applyFill="1" applyBorder="1" applyAlignment="1">
      <alignment horizontal="center" vertical="top"/>
    </xf>
    <xf numFmtId="0" fontId="42" fillId="0" borderId="0" xfId="504" applyFont="1" applyBorder="1" applyAlignment="1">
      <alignment horizontal="left" indent="1"/>
    </xf>
    <xf numFmtId="0" fontId="42" fillId="0" borderId="0" xfId="504" applyNumberFormat="1" applyFont="1" applyFill="1" applyBorder="1" applyAlignment="1">
      <alignment horizontal="left" indent="1"/>
    </xf>
    <xf numFmtId="0" fontId="43" fillId="0" borderId="0" xfId="0" applyFont="1" applyAlignment="1">
      <alignment horizontal="center"/>
    </xf>
    <xf numFmtId="0" fontId="43" fillId="0" borderId="0" xfId="0" applyNumberFormat="1" applyFont="1" applyFill="1" applyBorder="1" applyAlignment="1"/>
    <xf numFmtId="43" fontId="42" fillId="0" borderId="0" xfId="382" applyFont="1" applyFill="1" applyBorder="1" applyAlignment="1">
      <alignment horizontal="center" wrapText="1"/>
    </xf>
    <xf numFmtId="43" fontId="62" fillId="0" borderId="0" xfId="425" applyFont="1"/>
    <xf numFmtId="0" fontId="43" fillId="50" borderId="6" xfId="0" applyFont="1" applyFill="1" applyBorder="1" applyAlignment="1"/>
    <xf numFmtId="0" fontId="42" fillId="50" borderId="6" xfId="0" applyFont="1" applyFill="1" applyBorder="1" applyAlignment="1"/>
    <xf numFmtId="0" fontId="43" fillId="50" borderId="6" xfId="0" applyNumberFormat="1" applyFont="1" applyFill="1" applyBorder="1" applyAlignment="1">
      <alignment horizontal="center"/>
    </xf>
    <xf numFmtId="0" fontId="43" fillId="50" borderId="4" xfId="0" applyFont="1" applyFill="1" applyBorder="1" applyAlignment="1">
      <alignment horizontal="left"/>
    </xf>
    <xf numFmtId="0" fontId="42" fillId="50" borderId="6" xfId="0" applyFont="1" applyFill="1" applyBorder="1"/>
    <xf numFmtId="0" fontId="42" fillId="50" borderId="6" xfId="0" applyFont="1" applyFill="1" applyBorder="1" applyAlignment="1">
      <alignment horizontal="center" wrapText="1"/>
    </xf>
    <xf numFmtId="0" fontId="42" fillId="0" borderId="0" xfId="504" applyFont="1" applyFill="1" applyAlignment="1">
      <alignment horizontal="left" indent="1"/>
    </xf>
    <xf numFmtId="0" fontId="42" fillId="0" borderId="0" xfId="504" applyNumberFormat="1" applyFont="1" applyFill="1" applyBorder="1" applyAlignment="1">
      <alignment horizontal="left" indent="2"/>
    </xf>
    <xf numFmtId="0" fontId="46" fillId="0" borderId="16" xfId="0" applyNumberFormat="1" applyFont="1" applyFill="1" applyBorder="1" applyAlignment="1">
      <alignment horizontal="left"/>
    </xf>
    <xf numFmtId="164" fontId="46" fillId="0" borderId="26" xfId="382" applyNumberFormat="1" applyFont="1" applyFill="1" applyBorder="1" applyAlignment="1">
      <alignment horizontal="right"/>
    </xf>
    <xf numFmtId="0" fontId="62" fillId="0" borderId="6" xfId="530" applyFont="1" applyBorder="1" applyAlignment="1">
      <alignment horizontal="center"/>
    </xf>
    <xf numFmtId="0" fontId="62" fillId="0" borderId="21" xfId="530" applyFont="1" applyBorder="1" applyAlignment="1">
      <alignment horizontal="center"/>
    </xf>
    <xf numFmtId="43" fontId="42" fillId="0" borderId="0" xfId="382" applyFont="1" applyBorder="1" applyAlignment="1">
      <alignment horizontal="center" wrapText="1"/>
    </xf>
    <xf numFmtId="43" fontId="42" fillId="0" borderId="0" xfId="382" applyFont="1" applyAlignment="1">
      <alignment horizontal="center" wrapText="1"/>
    </xf>
    <xf numFmtId="43" fontId="42" fillId="0" borderId="0" xfId="382" applyFont="1" applyFill="1" applyBorder="1" applyAlignment="1">
      <alignment horizontal="left"/>
    </xf>
    <xf numFmtId="43" fontId="42" fillId="0" borderId="0" xfId="382" applyFont="1" applyBorder="1" applyAlignment="1">
      <alignment horizontal="left"/>
    </xf>
    <xf numFmtId="0" fontId="42" fillId="0" borderId="0" xfId="484" applyFont="1" applyFill="1" applyAlignment="1">
      <alignment horizontal="left" vertical="top"/>
    </xf>
    <xf numFmtId="41" fontId="42" fillId="0" borderId="17" xfId="484" applyNumberFormat="1" applyFont="1" applyFill="1" applyBorder="1" applyAlignment="1">
      <alignment vertical="top"/>
    </xf>
    <xf numFmtId="0" fontId="43" fillId="0" borderId="0" xfId="0" applyFont="1" applyFill="1" applyBorder="1" applyAlignment="1"/>
    <xf numFmtId="0" fontId="43" fillId="0" borderId="0" xfId="0" applyNumberFormat="1" applyFont="1" applyFill="1" applyBorder="1" applyAlignment="1">
      <alignment horizontal="center"/>
    </xf>
    <xf numFmtId="164" fontId="26" fillId="0" borderId="17" xfId="382" applyNumberFormat="1" applyFont="1" applyBorder="1"/>
    <xf numFmtId="164" fontId="46" fillId="0" borderId="26" xfId="382" applyNumberFormat="1" applyFont="1" applyFill="1" applyBorder="1"/>
    <xf numFmtId="164" fontId="46" fillId="0" borderId="30" xfId="382" applyNumberFormat="1" applyFont="1" applyFill="1" applyBorder="1" applyAlignment="1">
      <alignment horizontal="right"/>
    </xf>
    <xf numFmtId="164" fontId="44" fillId="0" borderId="26" xfId="382" applyNumberFormat="1" applyFont="1" applyFill="1" applyBorder="1"/>
    <xf numFmtId="164" fontId="44" fillId="0" borderId="26" xfId="382" applyNumberFormat="1" applyFont="1" applyFill="1" applyBorder="1" applyAlignment="1">
      <alignment horizontal="right"/>
    </xf>
    <xf numFmtId="164" fontId="46" fillId="0" borderId="26" xfId="382" applyNumberFormat="1" applyFont="1" applyBorder="1"/>
    <xf numFmtId="164" fontId="44" fillId="0" borderId="27" xfId="382" applyNumberFormat="1" applyFont="1" applyBorder="1"/>
    <xf numFmtId="164" fontId="46" fillId="50" borderId="21" xfId="382" applyNumberFormat="1" applyFont="1" applyFill="1" applyBorder="1" applyAlignment="1">
      <alignment horizontal="center" wrapText="1"/>
    </xf>
    <xf numFmtId="164" fontId="46" fillId="0" borderId="26" xfId="382" applyNumberFormat="1" applyFont="1" applyFill="1" applyBorder="1" applyAlignment="1">
      <alignment horizontal="center" wrapText="1"/>
    </xf>
    <xf numFmtId="164" fontId="46" fillId="0" borderId="26" xfId="382" applyNumberFormat="1" applyFont="1" applyBorder="1" applyAlignment="1"/>
    <xf numFmtId="164" fontId="46" fillId="0" borderId="30" xfId="382" applyNumberFormat="1" applyFont="1" applyFill="1" applyBorder="1" applyAlignment="1"/>
    <xf numFmtId="164" fontId="48" fillId="0" borderId="26" xfId="382" applyNumberFormat="1" applyFont="1" applyFill="1" applyBorder="1" applyAlignment="1">
      <alignment horizontal="right"/>
    </xf>
    <xf numFmtId="164" fontId="44" fillId="0" borderId="27" xfId="382" applyNumberFormat="1" applyFont="1" applyFill="1" applyBorder="1" applyAlignment="1"/>
    <xf numFmtId="164" fontId="46" fillId="37" borderId="30" xfId="382" applyNumberFormat="1" applyFont="1" applyFill="1" applyBorder="1" applyAlignment="1">
      <alignment horizontal="right"/>
    </xf>
    <xf numFmtId="164" fontId="44" fillId="0" borderId="26" xfId="382" applyNumberFormat="1" applyFont="1" applyBorder="1" applyAlignment="1"/>
    <xf numFmtId="164" fontId="46" fillId="0" borderId="28" xfId="382" applyNumberFormat="1" applyFont="1" applyFill="1" applyBorder="1" applyAlignment="1">
      <alignment horizontal="right"/>
    </xf>
    <xf numFmtId="164" fontId="46" fillId="0" borderId="26" xfId="382" applyNumberFormat="1" applyFont="1" applyBorder="1" applyAlignment="1">
      <alignment horizontal="right"/>
    </xf>
    <xf numFmtId="164" fontId="44" fillId="0" borderId="28" xfId="382" applyNumberFormat="1" applyFont="1" applyBorder="1"/>
    <xf numFmtId="164" fontId="44" fillId="0" borderId="26" xfId="382" applyNumberFormat="1" applyFont="1" applyBorder="1"/>
    <xf numFmtId="164" fontId="44" fillId="0" borderId="29" xfId="382" applyNumberFormat="1" applyFont="1" applyFill="1" applyBorder="1"/>
    <xf numFmtId="164" fontId="44" fillId="0" borderId="33" xfId="382" applyNumberFormat="1" applyFont="1" applyBorder="1" applyAlignment="1"/>
    <xf numFmtId="164" fontId="46" fillId="0" borderId="35" xfId="382" applyNumberFormat="1" applyFont="1" applyBorder="1"/>
    <xf numFmtId="164" fontId="44" fillId="0" borderId="35" xfId="382" applyNumberFormat="1" applyFont="1" applyBorder="1"/>
    <xf numFmtId="0" fontId="42" fillId="0" borderId="0" xfId="504" quotePrefix="1" applyFont="1" applyFill="1" applyBorder="1"/>
    <xf numFmtId="164" fontId="130" fillId="0" borderId="0" xfId="382" applyNumberFormat="1" applyFont="1" applyFill="1"/>
    <xf numFmtId="3" fontId="46" fillId="0" borderId="37" xfId="0" quotePrefix="1" applyNumberFormat="1" applyFont="1" applyFill="1" applyBorder="1" applyAlignment="1">
      <alignment horizontal="left"/>
    </xf>
    <xf numFmtId="171" fontId="46" fillId="0" borderId="30" xfId="674" applyNumberFormat="1" applyFont="1" applyFill="1" applyBorder="1" applyAlignment="1">
      <alignment horizontal="right"/>
    </xf>
    <xf numFmtId="0" fontId="0" fillId="0" borderId="0" xfId="0" applyAlignment="1">
      <alignment vertical="top"/>
    </xf>
    <xf numFmtId="164" fontId="67" fillId="0" borderId="26" xfId="382" applyNumberFormat="1" applyFont="1" applyFill="1" applyBorder="1"/>
    <xf numFmtId="3" fontId="138" fillId="0" borderId="0" xfId="11265" quotePrefix="1" applyNumberFormat="1" applyFont="1" applyFill="1" applyAlignment="1">
      <alignment horizontal="left"/>
    </xf>
    <xf numFmtId="177" fontId="42" fillId="0" borderId="0" xfId="0" applyNumberFormat="1" applyFont="1" applyBorder="1" applyAlignment="1">
      <alignment horizontal="center" wrapText="1"/>
    </xf>
    <xf numFmtId="0" fontId="42" fillId="0" borderId="0" xfId="0" applyNumberFormat="1" applyFont="1" applyBorder="1"/>
    <xf numFmtId="0" fontId="42" fillId="0" borderId="0" xfId="0" applyFont="1" applyBorder="1" applyAlignment="1">
      <alignment horizontal="center"/>
    </xf>
    <xf numFmtId="0" fontId="42" fillId="0" borderId="0" xfId="0" applyFont="1" applyBorder="1" applyAlignment="1">
      <alignment vertical="top"/>
    </xf>
    <xf numFmtId="0" fontId="42" fillId="0" borderId="0" xfId="0" applyFont="1" applyAlignment="1">
      <alignment horizontal="center" vertical="top"/>
    </xf>
    <xf numFmtId="0" fontId="43" fillId="0" borderId="0" xfId="564" quotePrefix="1" applyFont="1" applyFill="1" applyBorder="1" applyAlignment="1">
      <alignment horizontal="center" vertical="top"/>
    </xf>
    <xf numFmtId="0" fontId="42" fillId="0" borderId="0" xfId="504" applyFont="1" applyAlignment="1">
      <alignment horizontal="left"/>
    </xf>
    <xf numFmtId="0" fontId="42" fillId="50" borderId="21" xfId="0" applyFont="1" applyFill="1" applyBorder="1" applyAlignment="1">
      <alignment horizontal="left" wrapText="1"/>
    </xf>
    <xf numFmtId="0" fontId="42" fillId="0" borderId="18" xfId="504" applyFont="1" applyBorder="1" applyAlignment="1">
      <alignment horizontal="left"/>
    </xf>
    <xf numFmtId="0" fontId="43" fillId="0" borderId="0" xfId="504" applyFont="1" applyAlignment="1">
      <alignment horizontal="left"/>
    </xf>
    <xf numFmtId="0" fontId="51" fillId="0" borderId="0" xfId="0" applyFont="1" applyBorder="1" applyAlignment="1">
      <alignment horizontal="left"/>
    </xf>
    <xf numFmtId="0" fontId="42" fillId="0" borderId="0" xfId="504" applyFont="1" applyBorder="1" applyAlignment="1">
      <alignment horizontal="left" wrapText="1"/>
    </xf>
    <xf numFmtId="0" fontId="42" fillId="50" borderId="6" xfId="0" applyFont="1" applyFill="1" applyBorder="1" applyAlignment="1">
      <alignment horizontal="left" wrapText="1"/>
    </xf>
    <xf numFmtId="0" fontId="42" fillId="0" borderId="0" xfId="0" applyFont="1" applyAlignment="1">
      <alignment horizontal="left"/>
    </xf>
    <xf numFmtId="0" fontId="42" fillId="0" borderId="0" xfId="0" applyFont="1" applyFill="1" applyBorder="1" applyAlignment="1">
      <alignment horizontal="left" wrapText="1"/>
    </xf>
    <xf numFmtId="3" fontId="42" fillId="0" borderId="0" xfId="0" applyNumberFormat="1" applyFont="1" applyFill="1" applyBorder="1" applyAlignment="1">
      <alignment horizontal="left" indent="1"/>
    </xf>
    <xf numFmtId="0" fontId="42" fillId="0" borderId="0" xfId="504" applyFont="1" applyFill="1" applyBorder="1" applyAlignment="1">
      <alignment horizontal="center" vertical="top"/>
    </xf>
    <xf numFmtId="164" fontId="42" fillId="0" borderId="0" xfId="13644" applyNumberFormat="1" applyFont="1"/>
    <xf numFmtId="164" fontId="42" fillId="0" borderId="17" xfId="382" applyNumberFormat="1" applyFont="1" applyBorder="1"/>
    <xf numFmtId="43" fontId="42" fillId="0" borderId="0" xfId="382" applyFont="1" applyFill="1" applyAlignment="1">
      <alignment horizontal="center" wrapText="1"/>
    </xf>
    <xf numFmtId="0" fontId="46" fillId="0" borderId="0" xfId="0" applyFont="1" applyAlignment="1">
      <alignment vertical="top"/>
    </xf>
    <xf numFmtId="164" fontId="138" fillId="0" borderId="0" xfId="382" applyNumberFormat="1" applyFont="1" applyFill="1" applyBorder="1" applyAlignment="1">
      <alignment vertical="top"/>
    </xf>
    <xf numFmtId="43" fontId="42" fillId="0" borderId="0" xfId="382" applyFont="1" applyFill="1" applyBorder="1" applyAlignment="1">
      <alignment horizontal="center"/>
    </xf>
    <xf numFmtId="10" fontId="46" fillId="37" borderId="26" xfId="0" applyNumberFormat="1" applyFont="1" applyFill="1" applyBorder="1" applyAlignment="1"/>
    <xf numFmtId="0" fontId="42" fillId="0" borderId="0" xfId="504" quotePrefix="1" applyFont="1" applyAlignment="1">
      <alignment horizontal="center"/>
    </xf>
    <xf numFmtId="43" fontId="122" fillId="0" borderId="0" xfId="382" applyFont="1" applyFill="1" applyAlignment="1">
      <alignment horizontal="left"/>
    </xf>
    <xf numFmtId="176" fontId="42" fillId="0" borderId="18" xfId="0" applyNumberFormat="1" applyFont="1" applyBorder="1" applyAlignment="1">
      <alignment horizontal="center" wrapText="1"/>
    </xf>
    <xf numFmtId="0" fontId="125" fillId="0" borderId="0" xfId="504" applyFont="1"/>
    <xf numFmtId="164" fontId="42" fillId="37" borderId="0" xfId="404" applyNumberFormat="1" applyFont="1" applyFill="1" applyBorder="1"/>
    <xf numFmtId="164" fontId="42" fillId="37" borderId="0" xfId="382" applyNumberFormat="1" applyFont="1" applyFill="1" applyBorder="1" applyAlignment="1">
      <alignment horizontal="right"/>
    </xf>
    <xf numFmtId="0" fontId="125" fillId="0" borderId="0" xfId="0" applyFont="1" applyBorder="1" applyAlignment="1">
      <alignment vertical="top"/>
    </xf>
    <xf numFmtId="164" fontId="46" fillId="37" borderId="30" xfId="382" applyNumberFormat="1" applyFont="1" applyFill="1" applyBorder="1" applyAlignment="1"/>
    <xf numFmtId="0" fontId="43" fillId="0" borderId="0" xfId="504" applyFont="1" applyBorder="1" applyAlignment="1">
      <alignment horizontal="left" indent="2"/>
    </xf>
    <xf numFmtId="0" fontId="43" fillId="0" borderId="0" xfId="0" applyNumberFormat="1" applyFont="1" applyFill="1" applyBorder="1" applyAlignment="1">
      <alignment horizontal="left"/>
    </xf>
    <xf numFmtId="0" fontId="42" fillId="0" borderId="0" xfId="517" applyFont="1" applyBorder="1" applyAlignment="1">
      <alignment horizontal="center" vertical="center"/>
    </xf>
    <xf numFmtId="0" fontId="42" fillId="0" borderId="0" xfId="474" applyFont="1" applyAlignment="1">
      <alignment vertical="center"/>
    </xf>
    <xf numFmtId="0" fontId="110" fillId="0" borderId="0" xfId="35689" applyFont="1" applyFill="1"/>
    <xf numFmtId="0" fontId="110" fillId="0" borderId="0" xfId="496" applyFont="1" applyFill="1"/>
    <xf numFmtId="0" fontId="42" fillId="0" borderId="0" xfId="530" applyFont="1" applyAlignment="1">
      <alignment horizontal="left"/>
    </xf>
    <xf numFmtId="0" fontId="62" fillId="0" borderId="0" xfId="11275" applyFont="1" applyAlignment="1">
      <alignment horizontal="left"/>
    </xf>
    <xf numFmtId="43" fontId="42" fillId="0" borderId="0" xfId="484" applyNumberFormat="1" applyFont="1" applyAlignment="1">
      <alignment horizontal="left" vertical="top"/>
    </xf>
    <xf numFmtId="43" fontId="62" fillId="0" borderId="0" xfId="425" applyNumberFormat="1" applyFont="1" applyAlignment="1">
      <alignment horizontal="left"/>
    </xf>
    <xf numFmtId="43" fontId="62" fillId="0" borderId="0" xfId="511" quotePrefix="1" applyNumberFormat="1" applyFont="1" applyAlignment="1">
      <alignment horizontal="left" vertical="top"/>
    </xf>
    <xf numFmtId="164" fontId="46" fillId="0" borderId="37" xfId="382" applyNumberFormat="1" applyFont="1" applyFill="1" applyBorder="1"/>
    <xf numFmtId="164" fontId="46" fillId="0" borderId="35" xfId="382" applyNumberFormat="1" applyFont="1" applyFill="1" applyBorder="1" applyAlignment="1"/>
    <xf numFmtId="0" fontId="129" fillId="0" borderId="0" xfId="0" applyFont="1" applyAlignment="1">
      <alignment horizontal="left"/>
    </xf>
    <xf numFmtId="0" fontId="129" fillId="0" borderId="0" xfId="0" applyFont="1"/>
    <xf numFmtId="164" fontId="129" fillId="0" borderId="0" xfId="382" applyNumberFormat="1" applyFont="1"/>
    <xf numFmtId="164" fontId="129" fillId="0" borderId="0" xfId="382" applyNumberFormat="1" applyFont="1" applyFill="1"/>
    <xf numFmtId="0" fontId="42" fillId="0" borderId="0" xfId="0" applyFont="1" applyAlignment="1">
      <alignment horizontal="left" vertical="top"/>
    </xf>
    <xf numFmtId="164" fontId="42" fillId="37" borderId="0" xfId="382" applyNumberFormat="1" applyFont="1" applyFill="1" applyAlignment="1">
      <alignment vertical="top"/>
    </xf>
    <xf numFmtId="164" fontId="42" fillId="37" borderId="18" xfId="382" applyNumberFormat="1" applyFont="1" applyFill="1" applyBorder="1" applyAlignment="1">
      <alignment vertical="top"/>
    </xf>
    <xf numFmtId="0" fontId="42" fillId="0" borderId="0" xfId="0" applyFont="1" applyAlignment="1">
      <alignment vertical="top" wrapText="1"/>
    </xf>
    <xf numFmtId="164" fontId="111" fillId="0" borderId="0" xfId="382" applyNumberFormat="1" applyFont="1" applyFill="1" applyBorder="1" applyAlignment="1">
      <alignment vertical="top"/>
    </xf>
    <xf numFmtId="164" fontId="111" fillId="0" borderId="0" xfId="382" applyNumberFormat="1" applyFont="1" applyFill="1" applyAlignment="1">
      <alignment vertical="top"/>
    </xf>
    <xf numFmtId="0" fontId="111" fillId="0" borderId="0" xfId="37694" applyNumberFormat="1" applyFont="1" applyFill="1" applyAlignment="1">
      <alignment vertical="top" wrapText="1"/>
    </xf>
    <xf numFmtId="3" fontId="111" fillId="0" borderId="0" xfId="37694" applyNumberFormat="1" applyFont="1" applyFill="1" applyAlignment="1">
      <alignment vertical="top" wrapText="1"/>
    </xf>
    <xf numFmtId="164" fontId="111" fillId="0" borderId="0" xfId="382" applyNumberFormat="1" applyFont="1" applyFill="1" applyBorder="1" applyAlignment="1">
      <alignment vertical="top" wrapText="1"/>
    </xf>
    <xf numFmtId="164" fontId="111" fillId="0" borderId="0" xfId="382" applyNumberFormat="1" applyFont="1" applyFill="1" applyAlignment="1">
      <alignment vertical="top" wrapText="1"/>
    </xf>
    <xf numFmtId="169" fontId="111" fillId="0" borderId="0" xfId="37694" applyFont="1" applyFill="1" applyAlignment="1">
      <alignment vertical="top"/>
    </xf>
    <xf numFmtId="164" fontId="111" fillId="0" borderId="0" xfId="382" applyNumberFormat="1" applyFont="1" applyAlignment="1">
      <alignment vertical="top"/>
    </xf>
    <xf numFmtId="169" fontId="111" fillId="0" borderId="0" xfId="37694" applyFont="1" applyAlignment="1">
      <alignment vertical="top"/>
    </xf>
    <xf numFmtId="0" fontId="111" fillId="0" borderId="0" xfId="37696" applyNumberFormat="1" applyFont="1" applyFill="1" applyAlignment="1" applyProtection="1">
      <alignment horizontal="left" indent="1"/>
      <protection locked="0"/>
    </xf>
    <xf numFmtId="0" fontId="111" fillId="0" borderId="0" xfId="37696" applyNumberFormat="1" applyFont="1" applyFill="1" applyAlignment="1">
      <alignment horizontal="left" indent="1"/>
    </xf>
    <xf numFmtId="168" fontId="111" fillId="0" borderId="0" xfId="37696" applyNumberFormat="1" applyFont="1" applyFill="1" applyAlignment="1" applyProtection="1">
      <alignment horizontal="left" indent="1"/>
      <protection locked="0"/>
    </xf>
    <xf numFmtId="0" fontId="111" fillId="0" borderId="0" xfId="37696" quotePrefix="1" applyNumberFormat="1" applyFont="1" applyFill="1" applyAlignment="1">
      <alignment horizontal="left" indent="1"/>
    </xf>
    <xf numFmtId="0" fontId="111" fillId="0" borderId="0" xfId="37694" applyNumberFormat="1" applyFont="1" applyFill="1" applyAlignment="1">
      <alignment horizontal="left" indent="1"/>
    </xf>
    <xf numFmtId="0" fontId="111" fillId="0" borderId="7" xfId="37696" applyNumberFormat="1" applyFont="1" applyFill="1" applyBorder="1" applyAlignment="1">
      <alignment horizontal="left" indent="1"/>
    </xf>
    <xf numFmtId="0" fontId="131" fillId="0" borderId="0" xfId="37698" applyNumberFormat="1" applyFont="1" applyFill="1" applyAlignment="1" applyProtection="1">
      <alignment horizontal="left" vertical="top" wrapText="1" indent="1"/>
      <protection locked="0"/>
    </xf>
    <xf numFmtId="0" fontId="111" fillId="0" borderId="0" xfId="474" applyFont="1" applyFill="1" applyBorder="1" applyAlignment="1">
      <alignment horizontal="left" indent="1"/>
    </xf>
    <xf numFmtId="0" fontId="43" fillId="0" borderId="0" xfId="0" applyFont="1" applyAlignment="1">
      <alignment horizontal="center"/>
    </xf>
    <xf numFmtId="0" fontId="42" fillId="0" borderId="0" xfId="0" applyFont="1" applyFill="1" applyAlignment="1">
      <alignment horizontal="center"/>
    </xf>
    <xf numFmtId="0" fontId="42" fillId="0" borderId="0" xfId="0" applyFont="1" applyAlignment="1">
      <alignment horizontal="center"/>
    </xf>
    <xf numFmtId="3" fontId="42" fillId="0" borderId="0" xfId="11265" quotePrefix="1" applyNumberFormat="1" applyFont="1" applyFill="1" applyAlignment="1">
      <alignment horizontal="center"/>
    </xf>
    <xf numFmtId="0" fontId="42" fillId="0" borderId="0" xfId="569" applyFont="1" applyFill="1" applyBorder="1" applyAlignment="1">
      <alignment horizontal="center" vertical="top"/>
    </xf>
    <xf numFmtId="0" fontId="42" fillId="0" borderId="0" xfId="0" applyFont="1" applyAlignment="1">
      <alignment horizontal="center" vertical="center"/>
    </xf>
    <xf numFmtId="0" fontId="42" fillId="0" borderId="0" xfId="0" applyFont="1" applyFill="1" applyAlignment="1">
      <alignment horizontal="left" vertical="top"/>
    </xf>
    <xf numFmtId="0" fontId="42" fillId="0" borderId="0" xfId="484" applyFont="1" applyAlignment="1">
      <alignment horizontal="center" vertical="top"/>
    </xf>
    <xf numFmtId="3" fontId="111" fillId="0" borderId="0" xfId="37696" applyNumberFormat="1" applyFont="1" applyFill="1" applyAlignment="1">
      <alignment vertical="top"/>
    </xf>
    <xf numFmtId="3" fontId="111" fillId="0" borderId="0" xfId="37695" applyNumberFormat="1" applyFont="1" applyFill="1" applyAlignment="1">
      <alignment vertical="top"/>
    </xf>
    <xf numFmtId="0" fontId="111" fillId="0" borderId="0" xfId="37696" quotePrefix="1" applyNumberFormat="1" applyFont="1" applyFill="1" applyAlignment="1">
      <alignment vertical="top"/>
    </xf>
    <xf numFmtId="10" fontId="111" fillId="0" borderId="0" xfId="674" applyNumberFormat="1" applyFont="1" applyAlignment="1">
      <alignment vertical="top"/>
    </xf>
    <xf numFmtId="193" fontId="111" fillId="0" borderId="0" xfId="37694" applyNumberFormat="1" applyFont="1" applyAlignment="1">
      <alignment vertical="top"/>
    </xf>
    <xf numFmtId="0" fontId="111" fillId="0" borderId="0" xfId="37696" applyNumberFormat="1" applyFont="1" applyFill="1" applyAlignment="1">
      <alignment horizontal="left" vertical="top" wrapText="1" indent="1"/>
    </xf>
    <xf numFmtId="0" fontId="24" fillId="0" borderId="0" xfId="496" applyFont="1"/>
    <xf numFmtId="164" fontId="24" fillId="0" borderId="0" xfId="382" applyNumberFormat="1" applyFont="1"/>
    <xf numFmtId="0" fontId="42" fillId="0" borderId="0" xfId="0" quotePrefix="1" applyFont="1" applyAlignment="1">
      <alignment horizontal="center" vertical="top"/>
    </xf>
    <xf numFmtId="0" fontId="62" fillId="0" borderId="0" xfId="474" applyFont="1"/>
    <xf numFmtId="0" fontId="62" fillId="0" borderId="0" xfId="0" applyFont="1"/>
    <xf numFmtId="0" fontId="62" fillId="0" borderId="0" xfId="0" applyFont="1" applyAlignment="1">
      <alignment horizontal="center" wrapText="1"/>
    </xf>
    <xf numFmtId="0" fontId="42" fillId="37" borderId="0" xfId="0" applyFont="1" applyFill="1"/>
    <xf numFmtId="1" fontId="42" fillId="0" borderId="0" xfId="0" applyNumberFormat="1" applyFont="1" applyFill="1" applyAlignment="1">
      <alignment horizontal="left" vertical="top"/>
    </xf>
    <xf numFmtId="2" fontId="42" fillId="0" borderId="0" xfId="0" applyNumberFormat="1" applyFont="1" applyFill="1" applyAlignment="1">
      <alignment horizontal="left" vertical="top"/>
    </xf>
    <xf numFmtId="0" fontId="42" fillId="0" borderId="0" xfId="0" quotePrefix="1" applyFont="1" applyAlignment="1">
      <alignment horizontal="center"/>
    </xf>
    <xf numFmtId="0" fontId="24" fillId="0" borderId="0" xfId="514" applyFont="1"/>
    <xf numFmtId="0" fontId="24" fillId="0" borderId="0" xfId="514" applyFont="1" applyAlignment="1">
      <alignment horizontal="center"/>
    </xf>
    <xf numFmtId="164" fontId="24" fillId="0" borderId="0" xfId="382" applyNumberFormat="1" applyFont="1" applyAlignment="1">
      <alignment horizontal="center"/>
    </xf>
    <xf numFmtId="0" fontId="24" fillId="0" borderId="0" xfId="514" applyFont="1" applyBorder="1"/>
    <xf numFmtId="164" fontId="24" fillId="0" borderId="0" xfId="382" applyNumberFormat="1" applyFont="1" applyBorder="1"/>
    <xf numFmtId="0" fontId="24" fillId="0" borderId="0" xfId="513" applyFont="1"/>
    <xf numFmtId="43" fontId="24" fillId="0" borderId="0" xfId="382" applyFont="1"/>
    <xf numFmtId="0" fontId="138" fillId="0" borderId="0" xfId="0" applyFont="1" applyAlignment="1"/>
    <xf numFmtId="0" fontId="138" fillId="0" borderId="0" xfId="496" applyFont="1"/>
    <xf numFmtId="0" fontId="138" fillId="0" borderId="0" xfId="0" applyFont="1"/>
    <xf numFmtId="14" fontId="42" fillId="0" borderId="0" xfId="382" applyNumberFormat="1" applyFont="1" applyBorder="1" applyAlignment="1">
      <alignment horizontal="center"/>
    </xf>
    <xf numFmtId="164" fontId="42" fillId="0" borderId="0" xfId="0" applyNumberFormat="1" applyFont="1"/>
    <xf numFmtId="0" fontId="62" fillId="0" borderId="0" xfId="569" applyFont="1" applyFill="1"/>
    <xf numFmtId="49" fontId="62" fillId="0" borderId="0" xfId="569" applyNumberFormat="1" applyFont="1"/>
    <xf numFmtId="164" fontId="62" fillId="0" borderId="0" xfId="569" applyNumberFormat="1" applyFont="1"/>
    <xf numFmtId="200" fontId="62" fillId="0" borderId="0" xfId="569" applyNumberFormat="1" applyFont="1"/>
    <xf numFmtId="0" fontId="138" fillId="0" borderId="0" xfId="569" applyFont="1"/>
    <xf numFmtId="0" fontId="138" fillId="0" borderId="0" xfId="569" applyFont="1" applyFill="1"/>
    <xf numFmtId="0" fontId="42" fillId="0" borderId="0" xfId="11266" quotePrefix="1" applyFont="1" applyFill="1" applyAlignment="1"/>
    <xf numFmtId="0" fontId="42" fillId="0" borderId="0" xfId="474" applyFont="1" applyAlignment="1">
      <alignment horizontal="left"/>
    </xf>
    <xf numFmtId="0" fontId="42" fillId="0" borderId="0" xfId="474" applyFont="1" applyFill="1" applyAlignment="1">
      <alignment horizontal="left"/>
    </xf>
    <xf numFmtId="0" fontId="42" fillId="0" borderId="0" xfId="474" applyFont="1" applyAlignment="1">
      <alignment horizontal="left" vertical="top"/>
    </xf>
    <xf numFmtId="0" fontId="42" fillId="0" borderId="30" xfId="0" applyFont="1" applyBorder="1"/>
    <xf numFmtId="0" fontId="42" fillId="0" borderId="30" xfId="0" applyFont="1" applyFill="1" applyBorder="1"/>
    <xf numFmtId="0" fontId="138" fillId="0" borderId="0" xfId="474" applyFont="1"/>
    <xf numFmtId="0" fontId="24" fillId="0" borderId="0" xfId="11271" applyFont="1"/>
    <xf numFmtId="164" fontId="24" fillId="0" borderId="0" xfId="11271" applyNumberFormat="1" applyFont="1"/>
    <xf numFmtId="43" fontId="24" fillId="0" borderId="0" xfId="11271" applyNumberFormat="1" applyFont="1"/>
    <xf numFmtId="164" fontId="24" fillId="0" borderId="0" xfId="11271" applyNumberFormat="1" applyFont="1" applyFill="1"/>
    <xf numFmtId="43" fontId="24" fillId="0" borderId="0" xfId="11271" applyNumberFormat="1" applyFont="1" applyFill="1"/>
    <xf numFmtId="0" fontId="24" fillId="0" borderId="0" xfId="11271" applyFont="1" applyFill="1"/>
    <xf numFmtId="0" fontId="24" fillId="0" borderId="0" xfId="11271" applyFont="1" applyAlignment="1">
      <alignment horizontal="center"/>
    </xf>
    <xf numFmtId="0" fontId="24" fillId="0" borderId="0" xfId="0" applyFont="1"/>
    <xf numFmtId="43" fontId="24" fillId="0" borderId="0" xfId="423" applyFont="1" applyFill="1" applyAlignment="1">
      <alignment horizontal="center"/>
    </xf>
    <xf numFmtId="0" fontId="24" fillId="0" borderId="0" xfId="0" applyFont="1" applyFill="1"/>
    <xf numFmtId="164" fontId="24" fillId="0" borderId="0" xfId="423" applyNumberFormat="1" applyFont="1" applyFill="1"/>
    <xf numFmtId="0" fontId="24" fillId="0" borderId="0" xfId="0" applyFont="1" applyFill="1" applyAlignment="1">
      <alignment horizontal="left" indent="1"/>
    </xf>
    <xf numFmtId="164" fontId="24" fillId="0" borderId="0" xfId="0" applyNumberFormat="1" applyFont="1" applyFill="1"/>
    <xf numFmtId="164" fontId="24" fillId="0" borderId="0" xfId="0" applyNumberFormat="1" applyFont="1" applyFill="1" applyBorder="1"/>
    <xf numFmtId="164" fontId="24" fillId="0" borderId="18" xfId="0" applyNumberFormat="1" applyFont="1" applyFill="1" applyBorder="1"/>
    <xf numFmtId="164" fontId="24" fillId="0" borderId="17" xfId="0" applyNumberFormat="1" applyFont="1" applyFill="1" applyBorder="1"/>
    <xf numFmtId="43" fontId="24" fillId="0" borderId="0" xfId="423" applyFont="1" applyFill="1"/>
    <xf numFmtId="0" fontId="42" fillId="0" borderId="0" xfId="0" applyFont="1" applyFill="1" applyBorder="1" applyAlignment="1">
      <alignment vertical="top"/>
    </xf>
    <xf numFmtId="0" fontId="138" fillId="0" borderId="0" xfId="511" applyFont="1"/>
    <xf numFmtId="0" fontId="42" fillId="0" borderId="0" xfId="0" quotePrefix="1" applyFont="1" applyFill="1" applyBorder="1" applyAlignment="1">
      <alignment vertical="top"/>
    </xf>
    <xf numFmtId="0" fontId="42" fillId="0" borderId="0" xfId="484" applyFont="1" applyAlignment="1">
      <alignment horizontal="left" vertical="top"/>
    </xf>
    <xf numFmtId="0" fontId="138" fillId="0" borderId="0" xfId="484" applyFont="1" applyAlignment="1">
      <alignment vertical="top"/>
    </xf>
    <xf numFmtId="0" fontId="42" fillId="0" borderId="0" xfId="511" applyFont="1" applyFill="1" applyBorder="1" applyAlignment="1">
      <alignment vertical="top"/>
    </xf>
    <xf numFmtId="164" fontId="24" fillId="0" borderId="0" xfId="382" applyNumberFormat="1" applyFont="1" applyFill="1"/>
    <xf numFmtId="164" fontId="24" fillId="0" borderId="17" xfId="382" applyNumberFormat="1" applyFont="1" applyFill="1" applyBorder="1"/>
    <xf numFmtId="164" fontId="24" fillId="0" borderId="0" xfId="382" applyNumberFormat="1" applyFont="1" applyFill="1" applyBorder="1"/>
    <xf numFmtId="0" fontId="42" fillId="0" borderId="0" xfId="0" applyFont="1" applyFill="1" applyBorder="1" applyAlignment="1">
      <alignment horizontal="left" wrapText="1"/>
    </xf>
    <xf numFmtId="0" fontId="62" fillId="0" borderId="0" xfId="0" applyFont="1" applyFill="1" applyAlignment="1">
      <alignment horizontal="center"/>
    </xf>
    <xf numFmtId="0" fontId="111" fillId="0" borderId="0" xfId="37698" applyNumberFormat="1" applyFont="1" applyFill="1" applyAlignment="1" applyProtection="1">
      <alignment vertical="top"/>
      <protection locked="0"/>
    </xf>
    <xf numFmtId="2" fontId="42" fillId="0" borderId="0" xfId="512" applyNumberFormat="1" applyFont="1" applyFill="1" applyAlignment="1">
      <alignment horizontal="left"/>
    </xf>
    <xf numFmtId="0" fontId="42" fillId="0" borderId="0" xfId="512" applyNumberFormat="1" applyFont="1" applyFill="1" applyAlignment="1">
      <alignment horizontal="left"/>
    </xf>
    <xf numFmtId="0" fontId="45" fillId="0" borderId="0" xfId="474" applyFont="1" applyFill="1" applyAlignment="1">
      <alignment horizontal="center"/>
    </xf>
    <xf numFmtId="0" fontId="42" fillId="0" borderId="0" xfId="474" quotePrefix="1" applyFont="1" applyFill="1" applyAlignment="1">
      <alignment horizontal="center" vertical="top"/>
    </xf>
    <xf numFmtId="0" fontId="23" fillId="0" borderId="0" xfId="496" applyFont="1" applyFill="1" applyAlignment="1">
      <alignment vertical="top"/>
    </xf>
    <xf numFmtId="0" fontId="26" fillId="0" borderId="0" xfId="496" applyFont="1" applyFill="1" applyAlignment="1">
      <alignment vertical="top"/>
    </xf>
    <xf numFmtId="198" fontId="62" fillId="0" borderId="0" xfId="382" applyNumberFormat="1" applyFont="1" applyFill="1"/>
    <xf numFmtId="164" fontId="42" fillId="0" borderId="0" xfId="0" applyNumberFormat="1" applyFont="1" applyFill="1"/>
    <xf numFmtId="0" fontId="138" fillId="0" borderId="0" xfId="504" applyFont="1"/>
    <xf numFmtId="1" fontId="42" fillId="0" borderId="0" xfId="510" applyNumberFormat="1" applyFont="1" applyFill="1" applyBorder="1" applyAlignment="1">
      <alignment horizontal="left" vertical="center"/>
    </xf>
    <xf numFmtId="1" fontId="42" fillId="0" borderId="0" xfId="0" applyNumberFormat="1" applyFont="1" applyFill="1" applyAlignment="1">
      <alignment horizontal="left" vertical="center"/>
    </xf>
    <xf numFmtId="187" fontId="42" fillId="0" borderId="0" xfId="510" applyNumberFormat="1" applyFont="1" applyFill="1" applyBorder="1" applyAlignment="1">
      <alignment horizontal="left" vertical="center"/>
    </xf>
    <xf numFmtId="0" fontId="42" fillId="0" borderId="0" xfId="504" applyFont="1" applyAlignment="1"/>
    <xf numFmtId="0" fontId="42" fillId="0" borderId="0" xfId="504" applyFont="1" applyBorder="1" applyAlignment="1"/>
    <xf numFmtId="164" fontId="125" fillId="0" borderId="0" xfId="382" applyNumberFormat="1" applyFont="1" applyFill="1"/>
    <xf numFmtId="0" fontId="62" fillId="0" borderId="0" xfId="474" applyFont="1" applyFill="1"/>
    <xf numFmtId="0" fontId="62" fillId="0" borderId="0" xfId="0" quotePrefix="1" applyFont="1" applyFill="1" applyAlignment="1"/>
    <xf numFmtId="0" fontId="62" fillId="0" borderId="0" xfId="0" applyFont="1" applyFill="1" applyAlignment="1">
      <alignment horizontal="center" wrapText="1"/>
    </xf>
    <xf numFmtId="0" fontId="62" fillId="0" borderId="0" xfId="0" quotePrefix="1" applyFont="1" applyFill="1" applyAlignment="1">
      <alignment horizontal="center" wrapText="1"/>
    </xf>
    <xf numFmtId="37" fontId="62" fillId="0" borderId="0" xfId="0" applyNumberFormat="1" applyFont="1" applyFill="1" applyAlignment="1">
      <alignment horizontal="center"/>
    </xf>
    <xf numFmtId="164" fontId="125" fillId="0" borderId="0" xfId="382" applyNumberFormat="1" applyFont="1" applyFill="1" applyBorder="1"/>
    <xf numFmtId="164" fontId="42" fillId="0" borderId="18" xfId="504" applyNumberFormat="1" applyFont="1" applyFill="1" applyBorder="1" applyAlignment="1">
      <alignment wrapText="1"/>
    </xf>
    <xf numFmtId="16" fontId="111" fillId="0" borderId="0" xfId="37696" quotePrefix="1" applyNumberFormat="1" applyFont="1" applyFill="1" applyAlignment="1" applyProtection="1">
      <alignment horizontal="center"/>
      <protection locked="0"/>
    </xf>
    <xf numFmtId="0" fontId="111" fillId="0" borderId="0" xfId="37696" quotePrefix="1" applyNumberFormat="1" applyFont="1" applyFill="1" applyAlignment="1" applyProtection="1">
      <alignment horizontal="center"/>
      <protection locked="0"/>
    </xf>
    <xf numFmtId="0" fontId="111" fillId="0" borderId="0" xfId="37696" applyNumberFormat="1" applyFont="1" applyFill="1" applyAlignment="1">
      <alignment horizontal="right"/>
    </xf>
    <xf numFmtId="169" fontId="111" fillId="0" borderId="0" xfId="37694" applyNumberFormat="1" applyFont="1" applyFill="1" applyAlignment="1" applyProtection="1">
      <protection locked="0"/>
    </xf>
    <xf numFmtId="0" fontId="111" fillId="0" borderId="0" xfId="37698" applyNumberFormat="1" applyFont="1" applyFill="1" applyAlignment="1" applyProtection="1">
      <alignment horizontal="center" vertical="top"/>
      <protection locked="0"/>
    </xf>
    <xf numFmtId="0" fontId="111" fillId="0" borderId="0" xfId="37694" applyNumberFormat="1" applyFont="1" applyFill="1" applyAlignment="1" applyProtection="1">
      <alignment horizontal="center" vertical="top"/>
      <protection locked="0"/>
    </xf>
    <xf numFmtId="0" fontId="111" fillId="0" borderId="0" xfId="37694" applyNumberFormat="1" applyFont="1" applyFill="1" applyAlignment="1" applyProtection="1">
      <alignment horizontal="center" vertical="top" wrapText="1"/>
      <protection locked="0"/>
    </xf>
    <xf numFmtId="3" fontId="111" fillId="0" borderId="0" xfId="37694" applyNumberFormat="1" applyFont="1" applyFill="1" applyAlignment="1">
      <alignment vertical="top"/>
    </xf>
    <xf numFmtId="164" fontId="42" fillId="0" borderId="0" xfId="11645" applyNumberFormat="1" applyFont="1" applyFill="1" applyBorder="1"/>
    <xf numFmtId="164" fontId="42" fillId="0" borderId="54" xfId="382" applyNumberFormat="1" applyFont="1" applyFill="1" applyBorder="1"/>
    <xf numFmtId="0" fontId="62" fillId="0" borderId="0" xfId="569" applyFont="1" applyFill="1" applyAlignment="1">
      <alignment horizontal="left"/>
    </xf>
    <xf numFmtId="2" fontId="42" fillId="0" borderId="0" xfId="0" applyNumberFormat="1" applyFont="1" applyFill="1" applyAlignment="1">
      <alignment horizontal="left"/>
    </xf>
    <xf numFmtId="0" fontId="42" fillId="0" borderId="0" xfId="0" quotePrefix="1" applyFont="1" applyFill="1" applyAlignment="1">
      <alignment horizontal="center" vertical="top"/>
    </xf>
    <xf numFmtId="1" fontId="42" fillId="0" borderId="0" xfId="0" applyNumberFormat="1" applyFont="1" applyFill="1" applyAlignment="1">
      <alignment horizontal="left"/>
    </xf>
    <xf numFmtId="1" fontId="24" fillId="0" borderId="0" xfId="11271" applyNumberFormat="1" applyFont="1" applyFill="1" applyAlignment="1">
      <alignment horizontal="left"/>
    </xf>
    <xf numFmtId="2" fontId="24" fillId="0" borderId="0" xfId="11271" applyNumberFormat="1" applyFont="1" applyFill="1" applyAlignment="1">
      <alignment horizontal="left"/>
    </xf>
    <xf numFmtId="3" fontId="46" fillId="0" borderId="20" xfId="0" applyNumberFormat="1" applyFont="1" applyFill="1" applyBorder="1" applyAlignment="1"/>
    <xf numFmtId="0" fontId="44" fillId="50" borderId="6" xfId="0" applyNumberFormat="1" applyFont="1" applyFill="1" applyBorder="1" applyAlignment="1">
      <alignment horizontal="left"/>
    </xf>
    <xf numFmtId="0" fontId="46" fillId="0" borderId="17" xfId="0" applyNumberFormat="1" applyFont="1" applyFill="1" applyBorder="1" applyAlignment="1">
      <alignment horizontal="center"/>
    </xf>
    <xf numFmtId="0" fontId="44" fillId="35" borderId="52" xfId="0" applyFont="1" applyFill="1" applyBorder="1" applyAlignment="1">
      <alignment horizontal="center" wrapText="1"/>
    </xf>
    <xf numFmtId="3" fontId="46" fillId="0" borderId="21" xfId="0" applyNumberFormat="1" applyFont="1" applyFill="1" applyBorder="1" applyAlignment="1"/>
    <xf numFmtId="3" fontId="46" fillId="0" borderId="39" xfId="0" applyNumberFormat="1" applyFont="1" applyFill="1" applyBorder="1" applyAlignment="1"/>
    <xf numFmtId="164" fontId="46" fillId="0" borderId="28" xfId="382" applyNumberFormat="1" applyFont="1" applyFill="1" applyBorder="1" applyAlignment="1"/>
    <xf numFmtId="164" fontId="46" fillId="0" borderId="11" xfId="382" applyNumberFormat="1" applyFont="1" applyFill="1" applyBorder="1" applyAlignment="1">
      <alignment horizontal="right"/>
    </xf>
    <xf numFmtId="0" fontId="44" fillId="0" borderId="47" xfId="0" applyFont="1" applyFill="1" applyBorder="1" applyAlignment="1">
      <alignment horizontal="center"/>
    </xf>
    <xf numFmtId="0" fontId="46" fillId="0" borderId="37" xfId="0" applyNumberFormat="1" applyFont="1" applyFill="1" applyBorder="1" applyAlignment="1">
      <alignment horizontal="left"/>
    </xf>
    <xf numFmtId="0" fontId="46" fillId="0" borderId="0" xfId="0" applyFont="1" applyFill="1" applyBorder="1" applyAlignment="1">
      <alignment horizontal="right"/>
    </xf>
    <xf numFmtId="0" fontId="46" fillId="0" borderId="0" xfId="0" applyFont="1" applyFill="1" applyAlignment="1">
      <alignment horizontal="left" indent="1"/>
    </xf>
    <xf numFmtId="164" fontId="46" fillId="0" borderId="0" xfId="0" applyNumberFormat="1" applyFont="1" applyFill="1"/>
    <xf numFmtId="0" fontId="24" fillId="0" borderId="0" xfId="513" applyFont="1" applyFill="1"/>
    <xf numFmtId="0" fontId="46" fillId="0" borderId="18" xfId="0" applyNumberFormat="1" applyFont="1" applyFill="1" applyBorder="1" applyAlignment="1">
      <alignment horizontal="left" indent="1"/>
    </xf>
    <xf numFmtId="0" fontId="46" fillId="0" borderId="0" xfId="0" applyFont="1" applyFill="1" applyBorder="1" applyAlignment="1">
      <alignment horizontal="left" indent="1"/>
    </xf>
    <xf numFmtId="0" fontId="46" fillId="0" borderId="0" xfId="0" applyFont="1" applyFill="1" applyBorder="1" applyAlignment="1">
      <alignment horizontal="left" indent="2"/>
    </xf>
    <xf numFmtId="0" fontId="46" fillId="0" borderId="0" xfId="0" applyFont="1" applyFill="1" applyAlignment="1">
      <alignment horizontal="center"/>
    </xf>
    <xf numFmtId="37" fontId="46" fillId="0" borderId="30" xfId="382" applyNumberFormat="1" applyFont="1" applyFill="1" applyBorder="1" applyAlignment="1">
      <alignment horizontal="right"/>
    </xf>
    <xf numFmtId="164" fontId="46" fillId="0" borderId="0" xfId="382" applyNumberFormat="1" applyFont="1" applyFill="1" applyBorder="1"/>
    <xf numFmtId="164" fontId="62" fillId="0" borderId="0" xfId="382" applyNumberFormat="1" applyFont="1" applyFill="1" applyAlignment="1">
      <alignment horizontal="left"/>
    </xf>
    <xf numFmtId="164" fontId="44" fillId="0" borderId="0" xfId="0" applyNumberFormat="1" applyFont="1" applyFill="1"/>
    <xf numFmtId="1" fontId="62" fillId="0" borderId="0" xfId="511" applyNumberFormat="1" applyFont="1" applyFill="1" applyAlignment="1">
      <alignment horizontal="left"/>
    </xf>
    <xf numFmtId="0" fontId="42" fillId="0" borderId="0" xfId="504" applyFont="1" applyFill="1" applyBorder="1" applyAlignment="1">
      <alignment horizontal="right"/>
    </xf>
    <xf numFmtId="43" fontId="122" fillId="0" borderId="0" xfId="382" applyFont="1" applyFill="1" applyAlignment="1">
      <alignment horizontal="center"/>
    </xf>
    <xf numFmtId="0" fontId="42" fillId="0" borderId="0" xfId="0" applyFont="1" applyFill="1" applyAlignment="1">
      <alignment horizontal="right"/>
    </xf>
    <xf numFmtId="43" fontId="42" fillId="0" borderId="0" xfId="0" applyNumberFormat="1" applyFont="1" applyFill="1" applyAlignment="1">
      <alignment horizontal="right"/>
    </xf>
    <xf numFmtId="43" fontId="42" fillId="0" borderId="0" xfId="382" applyNumberFormat="1" applyFont="1" applyFill="1" applyBorder="1"/>
    <xf numFmtId="43" fontId="42" fillId="0" borderId="0" xfId="504" applyNumberFormat="1" applyFont="1" applyFill="1" applyBorder="1"/>
    <xf numFmtId="0" fontId="43" fillId="0" borderId="0" xfId="0" applyFont="1" applyFill="1" applyAlignment="1">
      <alignment horizontal="left"/>
    </xf>
    <xf numFmtId="0" fontId="43" fillId="0" borderId="0" xfId="0" applyFont="1" applyFill="1" applyAlignment="1">
      <alignment horizontal="left" indent="2"/>
    </xf>
    <xf numFmtId="0" fontId="43" fillId="0" borderId="0" xfId="504" applyFont="1" applyFill="1" applyBorder="1" applyAlignment="1">
      <alignment horizontal="left" indent="2"/>
    </xf>
    <xf numFmtId="0" fontId="43" fillId="0" borderId="0" xfId="504" applyNumberFormat="1" applyFont="1" applyFill="1" applyBorder="1" applyAlignment="1">
      <alignment horizontal="left" wrapText="1" indent="2"/>
    </xf>
    <xf numFmtId="0" fontId="43" fillId="0" borderId="0" xfId="504" applyFont="1" applyFill="1" applyAlignment="1">
      <alignment horizontal="left" indent="2"/>
    </xf>
    <xf numFmtId="0" fontId="42" fillId="0" borderId="0" xfId="504" applyFont="1" applyFill="1" applyAlignment="1">
      <alignment horizontal="center" wrapText="1"/>
    </xf>
    <xf numFmtId="0" fontId="43" fillId="0" borderId="0" xfId="504" applyFont="1" applyFill="1"/>
    <xf numFmtId="0" fontId="138" fillId="0" borderId="0" xfId="474" applyFont="1" applyBorder="1" applyAlignment="1">
      <alignment horizontal="center"/>
    </xf>
    <xf numFmtId="164" fontId="138" fillId="0" borderId="0" xfId="474" applyNumberFormat="1" applyFont="1" applyBorder="1"/>
    <xf numFmtId="43" fontId="130" fillId="0" borderId="0" xfId="382" applyFont="1" applyFill="1"/>
    <xf numFmtId="164" fontId="24" fillId="0" borderId="0" xfId="382" quotePrefix="1" applyNumberFormat="1" applyFont="1" applyBorder="1" applyAlignment="1">
      <alignment horizontal="center"/>
    </xf>
    <xf numFmtId="0" fontId="42" fillId="0" borderId="0" xfId="512" applyNumberFormat="1" applyFont="1" applyFill="1" applyAlignment="1">
      <alignment horizontal="left" vertical="top"/>
    </xf>
    <xf numFmtId="0" fontId="129" fillId="0" borderId="0" xfId="504" applyFont="1"/>
    <xf numFmtId="0" fontId="129" fillId="0" borderId="0" xfId="504" applyFont="1" applyBorder="1"/>
    <xf numFmtId="0" fontId="129" fillId="0" borderId="0" xfId="504" applyFont="1" applyFill="1" applyBorder="1" applyAlignment="1">
      <alignment horizontal="center" wrapText="1"/>
    </xf>
    <xf numFmtId="0" fontId="129" fillId="0" borderId="0" xfId="0" applyFont="1" applyFill="1" applyBorder="1"/>
    <xf numFmtId="164" fontId="129" fillId="0" borderId="0" xfId="382" applyNumberFormat="1" applyFont="1" applyBorder="1"/>
    <xf numFmtId="164" fontId="129" fillId="0" borderId="0" xfId="382" applyNumberFormat="1" applyFont="1" applyFill="1" applyBorder="1"/>
    <xf numFmtId="0" fontId="129" fillId="0" borderId="0" xfId="504" applyFont="1" applyFill="1" applyBorder="1"/>
    <xf numFmtId="0" fontId="140" fillId="0" borderId="0" xfId="0" applyFont="1" applyFill="1" applyBorder="1" applyAlignment="1">
      <alignment horizontal="left"/>
    </xf>
    <xf numFmtId="0" fontId="129" fillId="0" borderId="0" xfId="0" applyFont="1" applyFill="1" applyBorder="1" applyAlignment="1"/>
    <xf numFmtId="0" fontId="140" fillId="0" borderId="0" xfId="0" applyNumberFormat="1" applyFont="1" applyFill="1" applyBorder="1" applyAlignment="1">
      <alignment horizontal="center"/>
    </xf>
    <xf numFmtId="0" fontId="129" fillId="0" borderId="0" xfId="0" applyFont="1" applyFill="1" applyBorder="1" applyAlignment="1">
      <alignment horizontal="center" wrapText="1"/>
    </xf>
    <xf numFmtId="0" fontId="42" fillId="0" borderId="16" xfId="0" applyFont="1" applyFill="1" applyBorder="1"/>
    <xf numFmtId="164" fontId="42" fillId="0" borderId="16" xfId="382" applyNumberFormat="1" applyFont="1" applyFill="1" applyBorder="1"/>
    <xf numFmtId="0" fontId="141" fillId="0" borderId="0" xfId="0" applyFont="1" applyFill="1"/>
    <xf numFmtId="164" fontId="42" fillId="0" borderId="0" xfId="382" applyNumberFormat="1" applyFont="1" applyBorder="1" applyAlignment="1">
      <alignment vertical="top"/>
    </xf>
    <xf numFmtId="170" fontId="54" fillId="0" borderId="0" xfId="382" applyNumberFormat="1" applyFont="1" applyFill="1" applyBorder="1" applyAlignment="1">
      <alignment horizontal="center"/>
    </xf>
    <xf numFmtId="164" fontId="42" fillId="0" borderId="0" xfId="382" applyNumberFormat="1" applyFont="1" applyFill="1" applyAlignment="1">
      <alignment vertical="top"/>
    </xf>
    <xf numFmtId="0" fontId="42" fillId="0" borderId="0" xfId="0" quotePrefix="1" applyFont="1" applyFill="1" applyAlignment="1">
      <alignment horizontal="left" vertical="top"/>
    </xf>
    <xf numFmtId="3" fontId="42" fillId="0" borderId="0" xfId="11265" quotePrefix="1" applyNumberFormat="1" applyFont="1" applyFill="1" applyAlignment="1"/>
    <xf numFmtId="43" fontId="62" fillId="0" borderId="0" xfId="511" applyNumberFormat="1" applyFont="1" applyFill="1" applyAlignment="1">
      <alignment horizontal="left"/>
    </xf>
    <xf numFmtId="0" fontId="62" fillId="0" borderId="0" xfId="511" applyFont="1" applyFill="1" applyAlignment="1">
      <alignment horizontal="center"/>
    </xf>
    <xf numFmtId="0" fontId="62" fillId="0" borderId="0" xfId="511" applyFont="1" applyFill="1" applyAlignment="1">
      <alignment horizontal="left"/>
    </xf>
    <xf numFmtId="2" fontId="62" fillId="0" borderId="0" xfId="511" applyNumberFormat="1" applyFont="1" applyFill="1" applyAlignment="1">
      <alignment horizontal="left"/>
    </xf>
    <xf numFmtId="0" fontId="62" fillId="0" borderId="0" xfId="511" applyFont="1" applyFill="1"/>
    <xf numFmtId="0" fontId="128" fillId="0" borderId="0" xfId="0" applyFont="1" applyFill="1"/>
    <xf numFmtId="193" fontId="42" fillId="0" borderId="0" xfId="0" applyNumberFormat="1" applyFont="1" applyFill="1" applyBorder="1"/>
    <xf numFmtId="170" fontId="111" fillId="0" borderId="0" xfId="382" applyNumberFormat="1" applyFont="1" applyFill="1" applyBorder="1" applyAlignment="1"/>
    <xf numFmtId="164" fontId="111" fillId="0" borderId="0" xfId="382" applyNumberFormat="1" applyFont="1" applyFill="1" applyBorder="1" applyAlignment="1">
      <alignment horizontal="right"/>
    </xf>
    <xf numFmtId="0" fontId="42" fillId="0" borderId="0" xfId="0" applyNumberFormat="1" applyFont="1" applyFill="1" applyBorder="1" applyAlignment="1"/>
    <xf numFmtId="164" fontId="62" fillId="0" borderId="0" xfId="382" applyNumberFormat="1" applyFont="1" applyFill="1" applyAlignment="1"/>
    <xf numFmtId="0" fontId="42" fillId="0" borderId="0" xfId="0" applyFont="1" applyFill="1" applyBorder="1" applyAlignment="1">
      <alignment horizontal="left" wrapText="1" indent="1"/>
    </xf>
    <xf numFmtId="0" fontId="42" fillId="0" borderId="0" xfId="0" applyFont="1" applyFill="1" applyBorder="1" applyAlignment="1">
      <alignment horizontal="left" wrapText="1"/>
    </xf>
    <xf numFmtId="164" fontId="42" fillId="0" borderId="0" xfId="382" applyNumberFormat="1" applyFont="1" applyFill="1" applyBorder="1" applyAlignment="1">
      <alignment vertical="top"/>
    </xf>
    <xf numFmtId="164" fontId="24" fillId="0" borderId="18" xfId="382" applyNumberFormat="1" applyFont="1" applyFill="1" applyBorder="1"/>
    <xf numFmtId="164" fontId="42" fillId="37" borderId="0" xfId="382" applyNumberFormat="1" applyFont="1" applyFill="1" applyAlignment="1">
      <alignment horizontal="left" vertical="top" indent="2"/>
    </xf>
    <xf numFmtId="164" fontId="42" fillId="37" borderId="18" xfId="382" applyNumberFormat="1" applyFont="1" applyFill="1" applyBorder="1" applyAlignment="1">
      <alignment horizontal="left" vertical="top" indent="2"/>
    </xf>
    <xf numFmtId="0" fontId="42" fillId="0" borderId="0" xfId="474" quotePrefix="1" applyFont="1" applyAlignment="1">
      <alignment horizontal="center" vertical="top"/>
    </xf>
    <xf numFmtId="0" fontId="42" fillId="52" borderId="0" xfId="0" applyFont="1" applyFill="1" applyBorder="1" applyAlignment="1">
      <alignment horizontal="left" wrapText="1"/>
    </xf>
    <xf numFmtId="0" fontId="42" fillId="0" borderId="0" xfId="0" applyFont="1" applyFill="1" applyAlignment="1">
      <alignment horizontal="left" vertical="top" wrapText="1"/>
    </xf>
    <xf numFmtId="0" fontId="42" fillId="0" borderId="0" xfId="0" applyFont="1" applyFill="1" applyBorder="1" applyAlignment="1">
      <alignment horizontal="left" wrapText="1"/>
    </xf>
    <xf numFmtId="0" fontId="42" fillId="0" borderId="0" xfId="0" applyFont="1" applyFill="1" applyAlignment="1">
      <alignment horizontal="left" vertical="top"/>
    </xf>
    <xf numFmtId="0" fontId="145" fillId="0" borderId="0" xfId="0" applyFont="1" applyFill="1"/>
    <xf numFmtId="0" fontId="144" fillId="0" borderId="0" xfId="511" applyFont="1" applyFill="1"/>
    <xf numFmtId="43" fontId="62" fillId="0" borderId="0" xfId="425" applyFont="1" applyFill="1"/>
    <xf numFmtId="0" fontId="42" fillId="0" borderId="0" xfId="474" applyFont="1" applyFill="1" applyAlignment="1">
      <alignment horizontal="left" vertical="top"/>
    </xf>
    <xf numFmtId="0" fontId="42" fillId="0" borderId="0" xfId="474" quotePrefix="1" applyFont="1" applyFill="1" applyAlignment="1">
      <alignment horizontal="left" vertical="top"/>
    </xf>
    <xf numFmtId="0" fontId="129" fillId="0" borderId="0" xfId="0" applyFont="1" applyFill="1"/>
    <xf numFmtId="0" fontId="146" fillId="0" borderId="0" xfId="496" applyFont="1"/>
    <xf numFmtId="0" fontId="125" fillId="0" borderId="0" xfId="484" applyFont="1" applyFill="1" applyBorder="1" applyAlignment="1">
      <alignment vertical="top"/>
    </xf>
    <xf numFmtId="0" fontId="62" fillId="0" borderId="0" xfId="511" applyFont="1" applyAlignment="1">
      <alignment horizontal="left" vertical="top"/>
    </xf>
    <xf numFmtId="0" fontId="147" fillId="0" borderId="0" xfId="0" applyFont="1" applyFill="1" applyBorder="1" applyAlignment="1">
      <alignment horizontal="left"/>
    </xf>
    <xf numFmtId="0" fontId="139" fillId="0" borderId="0" xfId="0" applyFont="1" applyFill="1" applyBorder="1" applyAlignment="1">
      <alignment horizontal="center"/>
    </xf>
    <xf numFmtId="199" fontId="42" fillId="0" borderId="11" xfId="382" applyNumberFormat="1" applyFont="1" applyFill="1" applyBorder="1" applyAlignment="1">
      <alignment horizontal="right"/>
    </xf>
    <xf numFmtId="199" fontId="42" fillId="0" borderId="11" xfId="382" applyNumberFormat="1" applyFont="1" applyFill="1" applyBorder="1"/>
    <xf numFmtId="199" fontId="42" fillId="0" borderId="30" xfId="382" applyNumberFormat="1" applyFont="1" applyFill="1" applyBorder="1"/>
    <xf numFmtId="199" fontId="42" fillId="0" borderId="30" xfId="382" applyNumberFormat="1" applyFont="1" applyFill="1" applyBorder="1" applyAlignment="1">
      <alignment horizontal="right"/>
    </xf>
    <xf numFmtId="199" fontId="42" fillId="0" borderId="11" xfId="382" applyNumberFormat="1" applyFont="1" applyBorder="1"/>
    <xf numFmtId="169" fontId="111" fillId="0" borderId="0" xfId="37694" applyFont="1" applyAlignment="1">
      <alignment horizontal="center"/>
    </xf>
    <xf numFmtId="49" fontId="111" fillId="0" borderId="0" xfId="37696" applyNumberFormat="1" applyFont="1" applyFill="1" applyAlignment="1" applyProtection="1">
      <protection locked="0"/>
    </xf>
    <xf numFmtId="0" fontId="111" fillId="0" borderId="0" xfId="37696" applyNumberFormat="1" applyFont="1" applyFill="1" applyAlignment="1">
      <alignment wrapText="1"/>
    </xf>
    <xf numFmtId="0" fontId="111" fillId="0" borderId="0" xfId="37696" applyNumberFormat="1" applyFont="1" applyFill="1" applyAlignment="1" applyProtection="1">
      <alignment horizontal="left"/>
      <protection locked="0"/>
    </xf>
    <xf numFmtId="164" fontId="111" fillId="0" borderId="6" xfId="382" applyNumberFormat="1" applyFont="1" applyBorder="1" applyAlignment="1"/>
    <xf numFmtId="0" fontId="44" fillId="0" borderId="5" xfId="0" applyNumberFormat="1" applyFont="1" applyFill="1" applyBorder="1" applyAlignment="1">
      <alignment horizontal="left"/>
    </xf>
    <xf numFmtId="0" fontId="44" fillId="0" borderId="5" xfId="0" applyFont="1" applyFill="1" applyBorder="1" applyAlignment="1">
      <alignment horizontal="center"/>
    </xf>
    <xf numFmtId="0" fontId="59" fillId="0" borderId="0" xfId="0" applyFont="1" applyFill="1" applyBorder="1"/>
    <xf numFmtId="3" fontId="46" fillId="0" borderId="35" xfId="0" quotePrefix="1" applyNumberFormat="1" applyFont="1" applyFill="1" applyBorder="1" applyAlignment="1">
      <alignment horizontal="left"/>
    </xf>
    <xf numFmtId="0" fontId="44" fillId="0" borderId="0" xfId="0" applyFont="1" applyFill="1" applyBorder="1" applyAlignment="1">
      <alignment horizontal="left"/>
    </xf>
    <xf numFmtId="3" fontId="46" fillId="0" borderId="18" xfId="0" applyNumberFormat="1" applyFont="1" applyFill="1" applyBorder="1" applyAlignment="1">
      <alignment horizontal="center"/>
    </xf>
    <xf numFmtId="168" fontId="128" fillId="0" borderId="0" xfId="0" applyNumberFormat="1" applyFont="1" applyFill="1" applyBorder="1" applyAlignment="1">
      <alignment horizontal="left"/>
    </xf>
    <xf numFmtId="3" fontId="44" fillId="0" borderId="38" xfId="0" applyNumberFormat="1" applyFont="1" applyFill="1" applyBorder="1" applyAlignment="1">
      <alignment horizontal="right"/>
    </xf>
    <xf numFmtId="3" fontId="46" fillId="0" borderId="35" xfId="0" applyNumberFormat="1" applyFont="1" applyFill="1" applyBorder="1"/>
    <xf numFmtId="3" fontId="46" fillId="0" borderId="36" xfId="0" applyNumberFormat="1" applyFont="1" applyFill="1" applyBorder="1" applyAlignment="1">
      <alignment horizontal="right"/>
    </xf>
    <xf numFmtId="0" fontId="46" fillId="50" borderId="0" xfId="0" applyFont="1" applyFill="1" applyBorder="1" applyAlignment="1">
      <alignment horizontal="center"/>
    </xf>
    <xf numFmtId="3" fontId="46" fillId="0" borderId="35" xfId="0" applyNumberFormat="1" applyFont="1" applyFill="1" applyBorder="1" applyAlignment="1">
      <alignment wrapText="1"/>
    </xf>
    <xf numFmtId="37" fontId="46" fillId="0" borderId="35" xfId="0" quotePrefix="1" applyNumberFormat="1" applyFont="1" applyFill="1" applyBorder="1" applyAlignment="1"/>
    <xf numFmtId="169" fontId="111" fillId="0" borderId="7" xfId="37696" applyFont="1" applyFill="1" applyBorder="1" applyAlignment="1"/>
    <xf numFmtId="0" fontId="111" fillId="0" borderId="7" xfId="37696" applyNumberFormat="1" applyFont="1" applyFill="1" applyBorder="1" applyProtection="1">
      <protection locked="0"/>
    </xf>
    <xf numFmtId="170" fontId="111" fillId="0" borderId="0" xfId="382" applyNumberFormat="1" applyFont="1" applyFill="1" applyAlignment="1">
      <alignment horizontal="center" vertical="top"/>
    </xf>
    <xf numFmtId="0" fontId="111" fillId="0" borderId="0" xfId="37694" applyNumberFormat="1" applyFont="1" applyFill="1" applyAlignment="1">
      <alignment vertical="top"/>
    </xf>
    <xf numFmtId="1" fontId="42" fillId="0" borderId="0" xfId="510" applyNumberFormat="1" applyFont="1" applyFill="1" applyBorder="1" applyAlignment="1">
      <alignment horizontal="left"/>
    </xf>
    <xf numFmtId="0" fontId="42" fillId="0" borderId="6" xfId="0" applyFont="1" applyFill="1" applyBorder="1" applyAlignment="1">
      <alignment horizontal="left" wrapText="1"/>
    </xf>
    <xf numFmtId="0" fontId="42" fillId="0" borderId="0" xfId="504" quotePrefix="1" applyFont="1" applyAlignment="1">
      <alignment horizontal="center" vertical="top"/>
    </xf>
    <xf numFmtId="0" fontId="24" fillId="0" borderId="18" xfId="0" applyFont="1" applyFill="1" applyBorder="1" applyAlignment="1">
      <alignment horizontal="left" indent="1"/>
    </xf>
    <xf numFmtId="164" fontId="22" fillId="0" borderId="18" xfId="382" applyNumberFormat="1" applyFont="1" applyFill="1" applyBorder="1"/>
    <xf numFmtId="0" fontId="24" fillId="0" borderId="0" xfId="0" applyFont="1" applyFill="1" applyAlignment="1">
      <alignment horizontal="left"/>
    </xf>
    <xf numFmtId="164" fontId="42" fillId="0" borderId="17" xfId="382" applyNumberFormat="1" applyFont="1" applyFill="1" applyBorder="1" applyAlignment="1">
      <alignment vertical="top"/>
    </xf>
    <xf numFmtId="164" fontId="42" fillId="0" borderId="0" xfId="382" applyNumberFormat="1" applyFont="1" applyFill="1" applyAlignment="1">
      <alignment horizontal="left" vertical="top" indent="2"/>
    </xf>
    <xf numFmtId="0" fontId="62" fillId="0" borderId="0" xfId="511" quotePrefix="1" applyFont="1" applyFill="1" applyAlignment="1">
      <alignment horizontal="center"/>
    </xf>
    <xf numFmtId="0" fontId="62" fillId="0" borderId="0" xfId="511" quotePrefix="1" applyFont="1" applyFill="1" applyAlignment="1">
      <alignment horizontal="center" vertical="top"/>
    </xf>
    <xf numFmtId="0" fontId="138" fillId="0" borderId="0" xfId="0" applyFont="1" applyFill="1"/>
    <xf numFmtId="0" fontId="138" fillId="0" borderId="0" xfId="511" applyFont="1" applyFill="1"/>
    <xf numFmtId="0" fontId="42" fillId="0" borderId="0" xfId="484" quotePrefix="1" applyFont="1" applyFill="1" applyAlignment="1">
      <alignment vertical="top"/>
    </xf>
    <xf numFmtId="0" fontId="91" fillId="0" borderId="0" xfId="0" applyFont="1" applyFill="1" applyAlignment="1">
      <alignment horizontal="left"/>
    </xf>
    <xf numFmtId="0" fontId="91" fillId="0" borderId="0" xfId="0" applyFont="1" applyFill="1"/>
    <xf numFmtId="0" fontId="43" fillId="0" borderId="16" xfId="0" applyFont="1" applyFill="1" applyBorder="1" applyAlignment="1">
      <alignment horizontal="left" indent="1"/>
    </xf>
    <xf numFmtId="1" fontId="62" fillId="0" borderId="0" xfId="11275" applyNumberFormat="1" applyFont="1" applyFill="1" applyAlignment="1">
      <alignment horizontal="left"/>
    </xf>
    <xf numFmtId="0" fontId="62" fillId="0" borderId="0" xfId="11275" applyFont="1" applyFill="1" applyAlignment="1">
      <alignment horizontal="left"/>
    </xf>
    <xf numFmtId="0" fontId="24" fillId="0" borderId="0" xfId="11271" quotePrefix="1" applyFont="1" applyFill="1" applyAlignment="1">
      <alignment horizontal="center"/>
    </xf>
    <xf numFmtId="2" fontId="42" fillId="0" borderId="0" xfId="474" applyNumberFormat="1" applyFont="1" applyFill="1" applyAlignment="1">
      <alignment horizontal="left" vertical="top"/>
    </xf>
    <xf numFmtId="0" fontId="21" fillId="0" borderId="0" xfId="0" applyFont="1" applyFill="1" applyAlignment="1">
      <alignment horizontal="center"/>
    </xf>
    <xf numFmtId="0" fontId="21" fillId="0" borderId="0" xfId="0" applyFont="1"/>
    <xf numFmtId="164" fontId="21" fillId="0" borderId="17" xfId="382" applyNumberFormat="1" applyFont="1" applyBorder="1"/>
    <xf numFmtId="164" fontId="42" fillId="0" borderId="17" xfId="382" applyNumberFormat="1" applyFont="1" applyFill="1" applyBorder="1"/>
    <xf numFmtId="0" fontId="21" fillId="0" borderId="0" xfId="0" applyFont="1" applyFill="1"/>
    <xf numFmtId="164" fontId="21" fillId="0" borderId="0" xfId="423" applyNumberFormat="1" applyFont="1" applyFill="1"/>
    <xf numFmtId="164" fontId="21" fillId="0" borderId="0" xfId="382" applyNumberFormat="1" applyFont="1" applyFill="1"/>
    <xf numFmtId="0" fontId="21" fillId="0" borderId="0" xfId="0" applyFont="1" applyFill="1" applyAlignment="1">
      <alignment horizontal="left" indent="1"/>
    </xf>
    <xf numFmtId="164" fontId="21" fillId="0" borderId="0" xfId="382" applyNumberFormat="1" applyFont="1"/>
    <xf numFmtId="164" fontId="21" fillId="0" borderId="17" xfId="382" applyNumberFormat="1" applyFont="1" applyFill="1" applyBorder="1"/>
    <xf numFmtId="0" fontId="21" fillId="0" borderId="0" xfId="0" quotePrefix="1" applyFont="1" applyAlignment="1">
      <alignment horizontal="center" vertical="top"/>
    </xf>
    <xf numFmtId="0" fontId="21" fillId="0" borderId="0" xfId="0" applyFont="1" applyAlignment="1">
      <alignment horizontal="center"/>
    </xf>
    <xf numFmtId="0" fontId="21" fillId="0" borderId="0" xfId="0" applyFont="1" applyFill="1" applyAlignment="1">
      <alignment horizontal="left"/>
    </xf>
    <xf numFmtId="3" fontId="111" fillId="0" borderId="0" xfId="37696" applyNumberFormat="1" applyFont="1" applyFill="1" applyAlignment="1">
      <alignment vertical="top" wrapText="1"/>
    </xf>
    <xf numFmtId="0" fontId="111" fillId="0" borderId="0" xfId="37696" applyNumberFormat="1" applyFont="1" applyFill="1" applyAlignment="1">
      <alignment horizontal="left" vertical="top"/>
    </xf>
    <xf numFmtId="169" fontId="111" fillId="0" borderId="0" xfId="37694" quotePrefix="1" applyFont="1" applyFill="1" applyAlignment="1">
      <alignment vertical="top"/>
    </xf>
    <xf numFmtId="0" fontId="42" fillId="0" borderId="0" xfId="513" applyFont="1"/>
    <xf numFmtId="0" fontId="20" fillId="0" borderId="0" xfId="0" applyFont="1" applyFill="1"/>
    <xf numFmtId="164" fontId="20" fillId="0" borderId="0" xfId="423" applyNumberFormat="1" applyFont="1" applyFill="1"/>
    <xf numFmtId="0" fontId="20" fillId="0" borderId="0" xfId="0" applyFont="1" applyFill="1" applyAlignment="1">
      <alignment horizontal="left" indent="1"/>
    </xf>
    <xf numFmtId="164" fontId="20" fillId="0" borderId="0" xfId="382" applyNumberFormat="1" applyFont="1" applyFill="1"/>
    <xf numFmtId="0" fontId="20" fillId="0" borderId="0" xfId="0" applyFont="1" applyFill="1" applyAlignment="1">
      <alignment horizontal="left"/>
    </xf>
    <xf numFmtId="164" fontId="20" fillId="0" borderId="0" xfId="0" applyNumberFormat="1" applyFont="1" applyFill="1"/>
    <xf numFmtId="164" fontId="20" fillId="0" borderId="0" xfId="0" applyNumberFormat="1" applyFont="1" applyFill="1" applyBorder="1"/>
    <xf numFmtId="164" fontId="20" fillId="0" borderId="17" xfId="0" applyNumberFormat="1" applyFont="1" applyFill="1" applyBorder="1"/>
    <xf numFmtId="43" fontId="20" fillId="0" borderId="0" xfId="423" applyFont="1" applyFill="1"/>
    <xf numFmtId="9" fontId="62" fillId="0" borderId="0" xfId="674" applyFont="1"/>
    <xf numFmtId="164" fontId="19" fillId="0" borderId="18" xfId="382" applyNumberFormat="1" applyFont="1" applyFill="1" applyBorder="1"/>
    <xf numFmtId="0" fontId="44" fillId="50" borderId="56" xfId="0" applyFont="1" applyFill="1" applyBorder="1" applyAlignment="1">
      <alignment horizontal="left"/>
    </xf>
    <xf numFmtId="0" fontId="46" fillId="0" borderId="22" xfId="0" applyFont="1" applyBorder="1"/>
    <xf numFmtId="0" fontId="46" fillId="0" borderId="59" xfId="0" applyFont="1" applyFill="1" applyBorder="1" applyAlignment="1">
      <alignment horizontal="center" wrapText="1"/>
    </xf>
    <xf numFmtId="3" fontId="46" fillId="0" borderId="60" xfId="0" applyNumberFormat="1" applyFont="1" applyBorder="1" applyAlignment="1"/>
    <xf numFmtId="164" fontId="46" fillId="0" borderId="60" xfId="382" applyNumberFormat="1" applyFont="1" applyFill="1" applyBorder="1" applyAlignment="1"/>
    <xf numFmtId="164" fontId="46" fillId="0" borderId="61" xfId="382" applyNumberFormat="1" applyFont="1" applyFill="1" applyBorder="1" applyAlignment="1"/>
    <xf numFmtId="164" fontId="46" fillId="0" borderId="62" xfId="382" applyNumberFormat="1" applyFont="1" applyFill="1" applyBorder="1" applyAlignment="1"/>
    <xf numFmtId="171" fontId="44" fillId="0" borderId="60" xfId="674" applyNumberFormat="1" applyFont="1" applyFill="1" applyBorder="1" applyAlignment="1"/>
    <xf numFmtId="0" fontId="46" fillId="0" borderId="60" xfId="0" applyFont="1" applyFill="1" applyBorder="1"/>
    <xf numFmtId="164" fontId="46" fillId="0" borderId="60" xfId="382" applyNumberFormat="1" applyFont="1" applyFill="1" applyBorder="1"/>
    <xf numFmtId="171" fontId="44" fillId="0" borderId="60" xfId="674" applyNumberFormat="1" applyFont="1" applyBorder="1" applyAlignment="1"/>
    <xf numFmtId="0" fontId="46" fillId="50" borderId="64" xfId="0" applyFont="1" applyFill="1" applyBorder="1" applyAlignment="1">
      <alignment horizontal="center" wrapText="1"/>
    </xf>
    <xf numFmtId="0" fontId="46" fillId="0" borderId="60" xfId="0" applyFont="1" applyFill="1" applyBorder="1" applyAlignment="1">
      <alignment horizontal="center" wrapText="1"/>
    </xf>
    <xf numFmtId="3" fontId="46" fillId="0" borderId="60" xfId="0" applyNumberFormat="1" applyFont="1" applyFill="1" applyBorder="1" applyAlignment="1"/>
    <xf numFmtId="164" fontId="44" fillId="0" borderId="60" xfId="382" applyNumberFormat="1" applyFont="1" applyFill="1" applyBorder="1" applyAlignment="1"/>
    <xf numFmtId="171" fontId="46" fillId="0" borderId="61" xfId="674" applyNumberFormat="1" applyFont="1" applyFill="1" applyBorder="1" applyAlignment="1"/>
    <xf numFmtId="164" fontId="44" fillId="0" borderId="63" xfId="382" applyNumberFormat="1" applyFont="1" applyFill="1" applyBorder="1"/>
    <xf numFmtId="164" fontId="67" fillId="0" borderId="60" xfId="382" applyNumberFormat="1" applyFont="1" applyFill="1" applyBorder="1"/>
    <xf numFmtId="3" fontId="46" fillId="0" borderId="60" xfId="0" applyNumberFormat="1" applyFont="1" applyBorder="1"/>
    <xf numFmtId="171" fontId="46" fillId="0" borderId="61" xfId="0" applyNumberFormat="1" applyFont="1" applyFill="1" applyBorder="1" applyAlignment="1">
      <alignment horizontal="right"/>
    </xf>
    <xf numFmtId="164" fontId="46" fillId="0" borderId="60" xfId="382" applyNumberFormat="1" applyFont="1" applyFill="1" applyBorder="1" applyAlignment="1">
      <alignment horizontal="right"/>
    </xf>
    <xf numFmtId="164" fontId="46" fillId="0" borderId="65" xfId="382" applyNumberFormat="1" applyFont="1" applyFill="1" applyBorder="1" applyAlignment="1">
      <alignment horizontal="right"/>
    </xf>
    <xf numFmtId="3" fontId="46" fillId="0" borderId="60" xfId="0" applyNumberFormat="1" applyFont="1" applyFill="1" applyBorder="1" applyAlignment="1">
      <alignment horizontal="right"/>
    </xf>
    <xf numFmtId="164" fontId="46" fillId="37" borderId="60" xfId="382" applyNumberFormat="1" applyFont="1" applyFill="1" applyBorder="1" applyAlignment="1"/>
    <xf numFmtId="3" fontId="44" fillId="0" borderId="60" xfId="0" applyNumberFormat="1" applyFont="1" applyFill="1" applyBorder="1" applyAlignment="1"/>
    <xf numFmtId="171" fontId="46" fillId="0" borderId="60" xfId="0" applyNumberFormat="1" applyFont="1" applyFill="1" applyBorder="1" applyAlignment="1">
      <alignment horizontal="right"/>
    </xf>
    <xf numFmtId="164" fontId="46" fillId="0" borderId="61" xfId="382" applyNumberFormat="1" applyFont="1" applyFill="1" applyBorder="1" applyAlignment="1">
      <alignment horizontal="right"/>
    </xf>
    <xf numFmtId="164" fontId="46" fillId="0" borderId="58" xfId="382" applyNumberFormat="1" applyFont="1" applyFill="1" applyBorder="1" applyAlignment="1">
      <alignment horizontal="right"/>
    </xf>
    <xf numFmtId="164" fontId="44" fillId="0" borderId="60" xfId="382" applyNumberFormat="1" applyFont="1" applyFill="1" applyBorder="1"/>
    <xf numFmtId="0" fontId="46" fillId="0" borderId="60" xfId="0" applyFont="1" applyBorder="1"/>
    <xf numFmtId="164" fontId="44" fillId="0" borderId="60" xfId="382" applyNumberFormat="1" applyFont="1" applyFill="1" applyBorder="1" applyAlignment="1">
      <alignment horizontal="right"/>
    </xf>
    <xf numFmtId="164" fontId="46" fillId="37" borderId="61" xfId="382" applyNumberFormat="1" applyFont="1" applyFill="1" applyBorder="1" applyAlignment="1"/>
    <xf numFmtId="164" fontId="46" fillId="0" borderId="60" xfId="382" applyNumberFormat="1" applyFont="1" applyBorder="1"/>
    <xf numFmtId="164" fontId="44" fillId="0" borderId="63" xfId="382" applyNumberFormat="1" applyFont="1" applyBorder="1"/>
    <xf numFmtId="164" fontId="46" fillId="50" borderId="65" xfId="382" applyNumberFormat="1" applyFont="1" applyFill="1" applyBorder="1" applyAlignment="1">
      <alignment horizontal="center" wrapText="1"/>
    </xf>
    <xf numFmtId="164" fontId="46" fillId="0" borderId="60" xfId="382" applyNumberFormat="1" applyFont="1" applyFill="1" applyBorder="1" applyAlignment="1">
      <alignment horizontal="center" wrapText="1"/>
    </xf>
    <xf numFmtId="164" fontId="46" fillId="0" borderId="60" xfId="382" applyNumberFormat="1" applyFont="1" applyBorder="1" applyAlignment="1"/>
    <xf numFmtId="164" fontId="48" fillId="0" borderId="60" xfId="382" applyNumberFormat="1" applyFont="1" applyFill="1" applyBorder="1" applyAlignment="1">
      <alignment horizontal="right"/>
    </xf>
    <xf numFmtId="164" fontId="44" fillId="0" borderId="63" xfId="382" applyNumberFormat="1" applyFont="1" applyFill="1" applyBorder="1" applyAlignment="1"/>
    <xf numFmtId="171" fontId="48" fillId="0" borderId="60" xfId="0" applyNumberFormat="1" applyFont="1" applyFill="1" applyBorder="1" applyAlignment="1">
      <alignment horizontal="right"/>
    </xf>
    <xf numFmtId="164" fontId="46" fillId="37" borderId="61" xfId="382" applyNumberFormat="1" applyFont="1" applyFill="1" applyBorder="1" applyAlignment="1">
      <alignment horizontal="right"/>
    </xf>
    <xf numFmtId="37" fontId="46" fillId="0" borderId="61" xfId="382" applyNumberFormat="1" applyFont="1" applyFill="1" applyBorder="1" applyAlignment="1">
      <alignment horizontal="right"/>
    </xf>
    <xf numFmtId="164" fontId="44" fillId="0" borderId="63" xfId="382" applyNumberFormat="1" applyFont="1" applyFill="1" applyBorder="1" applyAlignment="1">
      <alignment horizontal="right"/>
    </xf>
    <xf numFmtId="164" fontId="46" fillId="50" borderId="64" xfId="382" applyNumberFormat="1" applyFont="1" applyFill="1" applyBorder="1" applyAlignment="1">
      <alignment horizontal="center" wrapText="1"/>
    </xf>
    <xf numFmtId="164" fontId="44" fillId="0" borderId="60" xfId="382" applyNumberFormat="1" applyFont="1" applyBorder="1" applyAlignment="1"/>
    <xf numFmtId="164" fontId="46" fillId="0" borderId="61" xfId="382" applyNumberFormat="1" applyFont="1" applyFill="1" applyBorder="1"/>
    <xf numFmtId="0" fontId="46" fillId="50" borderId="65" xfId="0" applyFont="1" applyFill="1" applyBorder="1" applyAlignment="1">
      <alignment horizontal="center" wrapText="1"/>
    </xf>
    <xf numFmtId="37" fontId="46" fillId="0" borderId="60" xfId="0" applyNumberFormat="1" applyFont="1" applyFill="1" applyBorder="1"/>
    <xf numFmtId="10" fontId="46" fillId="0" borderId="60" xfId="674" applyNumberFormat="1" applyFont="1" applyFill="1" applyBorder="1" applyAlignment="1"/>
    <xf numFmtId="10" fontId="46" fillId="0" borderId="60" xfId="0" applyNumberFormat="1" applyFont="1" applyFill="1" applyBorder="1" applyAlignment="1"/>
    <xf numFmtId="10" fontId="46" fillId="0" borderId="61" xfId="674" applyNumberFormat="1" applyFont="1" applyFill="1" applyBorder="1" applyAlignment="1"/>
    <xf numFmtId="10" fontId="44" fillId="0" borderId="60" xfId="674" applyNumberFormat="1" applyFont="1" applyFill="1" applyBorder="1" applyAlignment="1"/>
    <xf numFmtId="166" fontId="44" fillId="0" borderId="60" xfId="0" applyNumberFormat="1" applyFont="1" applyBorder="1" applyAlignment="1"/>
    <xf numFmtId="3" fontId="44" fillId="0" borderId="66" xfId="0" applyNumberFormat="1" applyFont="1" applyBorder="1" applyAlignment="1"/>
    <xf numFmtId="166" fontId="46" fillId="0" borderId="60" xfId="0" applyNumberFormat="1" applyFont="1" applyBorder="1" applyAlignment="1"/>
    <xf numFmtId="10" fontId="46" fillId="0" borderId="60" xfId="0" applyNumberFormat="1" applyFont="1" applyFill="1" applyBorder="1"/>
    <xf numFmtId="10" fontId="46" fillId="0" borderId="60" xfId="0" applyNumberFormat="1" applyFont="1" applyFill="1" applyBorder="1" applyAlignment="1">
      <alignment horizontal="right"/>
    </xf>
    <xf numFmtId="10" fontId="46" fillId="0" borderId="60" xfId="674" applyNumberFormat="1" applyFont="1" applyBorder="1" applyAlignment="1"/>
    <xf numFmtId="164" fontId="46" fillId="0" borderId="60" xfId="382" applyNumberFormat="1" applyFont="1" applyBorder="1" applyAlignment="1">
      <alignment horizontal="right"/>
    </xf>
    <xf numFmtId="164" fontId="44" fillId="0" borderId="62" xfId="382" applyNumberFormat="1" applyFont="1" applyBorder="1"/>
    <xf numFmtId="164" fontId="44" fillId="0" borderId="67" xfId="382" applyNumberFormat="1" applyFont="1" applyFill="1" applyBorder="1"/>
    <xf numFmtId="164" fontId="44" fillId="0" borderId="60" xfId="382" applyNumberFormat="1" applyFont="1" applyBorder="1"/>
    <xf numFmtId="164" fontId="44" fillId="0" borderId="69" xfId="382" applyNumberFormat="1" applyFont="1" applyFill="1" applyBorder="1"/>
    <xf numFmtId="43" fontId="44" fillId="0" borderId="69" xfId="382" applyFont="1" applyBorder="1"/>
    <xf numFmtId="0" fontId="42" fillId="0" borderId="0" xfId="0" applyFont="1" applyFill="1" applyBorder="1" applyAlignment="1">
      <alignment horizontal="left" wrapText="1"/>
    </xf>
    <xf numFmtId="0" fontId="62" fillId="0" borderId="0" xfId="0" applyFont="1" applyFill="1" applyAlignment="1">
      <alignment horizontal="center"/>
    </xf>
    <xf numFmtId="0" fontId="138" fillId="0" borderId="0" xfId="513" applyFont="1" applyFill="1"/>
    <xf numFmtId="43" fontId="42" fillId="0" borderId="0" xfId="382" applyFont="1" applyFill="1" applyBorder="1" applyAlignment="1">
      <alignment horizontal="right"/>
    </xf>
    <xf numFmtId="0" fontId="42" fillId="0" borderId="0" xfId="484" quotePrefix="1" applyFont="1" applyFill="1" applyAlignment="1">
      <alignment horizontal="center" vertical="top"/>
    </xf>
    <xf numFmtId="0" fontId="18" fillId="0" borderId="0" xfId="0" applyFont="1" applyFill="1" applyAlignment="1">
      <alignment horizontal="left"/>
    </xf>
    <xf numFmtId="0" fontId="62" fillId="0" borderId="0" xfId="511" quotePrefix="1" applyFont="1" applyAlignment="1">
      <alignment horizontal="center"/>
    </xf>
    <xf numFmtId="0" fontId="42" fillId="0" borderId="0" xfId="511" quotePrefix="1" applyFont="1" applyFill="1" applyAlignment="1">
      <alignment horizontal="center"/>
    </xf>
    <xf numFmtId="0" fontId="21" fillId="0" borderId="0" xfId="0" quotePrefix="1" applyFont="1" applyFill="1" applyAlignment="1">
      <alignment horizontal="center" vertical="top"/>
    </xf>
    <xf numFmtId="0" fontId="23" fillId="0" borderId="0" xfId="0" applyFont="1" applyFill="1"/>
    <xf numFmtId="0" fontId="62" fillId="0" borderId="0" xfId="511" applyFont="1" applyFill="1" applyAlignment="1">
      <alignment vertical="top" wrapText="1"/>
    </xf>
    <xf numFmtId="43" fontId="24" fillId="0" borderId="18" xfId="382" applyFont="1" applyFill="1" applyBorder="1" applyAlignment="1">
      <alignment horizontal="center" wrapText="1"/>
    </xf>
    <xf numFmtId="0" fontId="138" fillId="0" borderId="0" xfId="511" applyFont="1" applyFill="1" applyAlignment="1">
      <alignment vertical="top" wrapText="1"/>
    </xf>
    <xf numFmtId="0" fontId="42" fillId="0" borderId="0" xfId="0" applyFont="1" applyFill="1" applyBorder="1" applyAlignment="1">
      <alignment vertical="top" wrapText="1"/>
    </xf>
    <xf numFmtId="0" fontId="62" fillId="0" borderId="0" xfId="11275" applyFont="1" applyFill="1"/>
    <xf numFmtId="0" fontId="62" fillId="0" borderId="0" xfId="569" applyFont="1" applyFill="1" applyBorder="1"/>
    <xf numFmtId="0" fontId="62" fillId="0" borderId="0" xfId="11275" quotePrefix="1" applyFont="1" applyFill="1" applyAlignment="1">
      <alignment horizontal="center"/>
    </xf>
    <xf numFmtId="0" fontId="62" fillId="0" borderId="0" xfId="11275" quotePrefix="1" applyFont="1" applyFill="1" applyAlignment="1">
      <alignment horizontal="center" vertical="top"/>
    </xf>
    <xf numFmtId="0" fontId="42" fillId="0" borderId="16" xfId="0" applyFont="1" applyFill="1" applyBorder="1" applyAlignment="1"/>
    <xf numFmtId="0" fontId="42" fillId="0" borderId="0" xfId="504" quotePrefix="1" applyFont="1" applyFill="1" applyAlignment="1">
      <alignment horizontal="center" vertical="top"/>
    </xf>
    <xf numFmtId="0" fontId="42" fillId="0" borderId="0" xfId="504" applyFont="1" applyFill="1" applyBorder="1" applyAlignment="1">
      <alignment horizontal="left" wrapText="1"/>
    </xf>
    <xf numFmtId="43" fontId="42" fillId="0" borderId="18" xfId="382" applyFont="1" applyFill="1" applyBorder="1" applyAlignment="1">
      <alignment horizontal="center"/>
    </xf>
    <xf numFmtId="166" fontId="42" fillId="0" borderId="0" xfId="678" applyNumberFormat="1" applyFont="1" applyFill="1" applyBorder="1"/>
    <xf numFmtId="0" fontId="44" fillId="0" borderId="17" xfId="0" applyNumberFormat="1" applyFont="1" applyFill="1" applyBorder="1" applyAlignment="1">
      <alignment horizontal="left"/>
    </xf>
    <xf numFmtId="37" fontId="46" fillId="0" borderId="0" xfId="0" applyNumberFormat="1" applyFont="1" applyFill="1" applyBorder="1" applyAlignment="1">
      <alignment horizontal="center"/>
    </xf>
    <xf numFmtId="3" fontId="44" fillId="0" borderId="5" xfId="0" applyNumberFormat="1" applyFont="1" applyFill="1" applyBorder="1" applyAlignment="1">
      <alignment horizontal="center"/>
    </xf>
    <xf numFmtId="3" fontId="44" fillId="0" borderId="35" xfId="0" applyNumberFormat="1" applyFont="1" applyFill="1" applyBorder="1" applyAlignment="1"/>
    <xf numFmtId="3" fontId="44" fillId="0" borderId="18" xfId="0" applyNumberFormat="1" applyFont="1" applyFill="1" applyBorder="1" applyAlignment="1">
      <alignment horizontal="center"/>
    </xf>
    <xf numFmtId="164" fontId="46" fillId="0" borderId="35" xfId="382" applyNumberFormat="1" applyFont="1" applyFill="1" applyBorder="1"/>
    <xf numFmtId="164" fontId="46" fillId="0" borderId="58" xfId="382" applyNumberFormat="1" applyFont="1" applyFill="1" applyBorder="1"/>
    <xf numFmtId="164" fontId="46" fillId="0" borderId="68" xfId="382" applyNumberFormat="1" applyFont="1" applyFill="1" applyBorder="1"/>
    <xf numFmtId="3" fontId="148" fillId="0" borderId="0" xfId="0" applyNumberFormat="1" applyFont="1" applyFill="1" applyBorder="1" applyAlignment="1">
      <alignment horizontal="center"/>
    </xf>
    <xf numFmtId="164" fontId="44" fillId="0" borderId="35" xfId="382" applyNumberFormat="1" applyFont="1" applyFill="1" applyBorder="1"/>
    <xf numFmtId="0" fontId="46" fillId="0" borderId="18" xfId="0" applyFont="1" applyFill="1" applyBorder="1" applyAlignment="1">
      <alignment horizontal="left" indent="1"/>
    </xf>
    <xf numFmtId="0" fontId="150" fillId="0" borderId="0" xfId="37698" applyFont="1" applyFill="1" applyAlignment="1"/>
    <xf numFmtId="164" fontId="132" fillId="0" borderId="0" xfId="382" applyNumberFormat="1" applyFont="1" applyFill="1" applyAlignment="1"/>
    <xf numFmtId="3" fontId="132" fillId="0" borderId="0" xfId="37698" applyNumberFormat="1" applyFont="1" applyFill="1" applyBorder="1" applyAlignment="1"/>
    <xf numFmtId="192" fontId="111" fillId="0" borderId="0" xfId="382" applyNumberFormat="1" applyFont="1" applyFill="1" applyBorder="1" applyAlignment="1"/>
    <xf numFmtId="0" fontId="111" fillId="0" borderId="0" xfId="37698" applyFont="1" applyFill="1" applyBorder="1" applyAlignment="1">
      <alignment horizontal="left" indent="1"/>
    </xf>
    <xf numFmtId="0" fontId="111" fillId="0" borderId="0" xfId="0" applyNumberFormat="1" applyFont="1" applyFill="1" applyBorder="1" applyAlignment="1">
      <alignment horizontal="left" indent="1"/>
    </xf>
    <xf numFmtId="3" fontId="111" fillId="0" borderId="0" xfId="37696" applyNumberFormat="1" applyFont="1" applyFill="1" applyBorder="1" applyAlignment="1"/>
    <xf numFmtId="0" fontId="111" fillId="0" borderId="0" xfId="382" applyNumberFormat="1" applyFont="1" applyFill="1" applyAlignment="1"/>
    <xf numFmtId="164" fontId="111" fillId="0" borderId="7" xfId="382" applyNumberFormat="1" applyFont="1" applyFill="1" applyBorder="1" applyAlignment="1">
      <alignment vertical="top"/>
    </xf>
    <xf numFmtId="49" fontId="111" fillId="0" borderId="0" xfId="37696" applyNumberFormat="1" applyFont="1" applyFill="1" applyAlignment="1">
      <alignment horizontal="right"/>
    </xf>
    <xf numFmtId="195" fontId="111" fillId="0" borderId="0" xfId="382" applyNumberFormat="1" applyFont="1" applyFill="1" applyBorder="1" applyProtection="1"/>
    <xf numFmtId="169" fontId="111" fillId="0" borderId="0" xfId="37694" quotePrefix="1" applyFont="1" applyFill="1" applyAlignment="1">
      <alignment horizontal="center"/>
    </xf>
    <xf numFmtId="0" fontId="42" fillId="0" borderId="0" xfId="0" applyFont="1" applyFill="1" applyBorder="1" applyAlignment="1">
      <alignment horizontal="left" wrapText="1"/>
    </xf>
    <xf numFmtId="0" fontId="42" fillId="0" borderId="0" xfId="0" applyFont="1" applyFill="1" applyAlignment="1">
      <alignment horizontal="left"/>
    </xf>
    <xf numFmtId="0" fontId="98" fillId="0" borderId="3" xfId="37696" applyNumberFormat="1" applyFont="1" applyFill="1" applyBorder="1" applyAlignment="1" applyProtection="1">
      <alignment horizontal="center"/>
      <protection locked="0"/>
    </xf>
    <xf numFmtId="3" fontId="42" fillId="0" borderId="0" xfId="11265" quotePrefix="1" applyNumberFormat="1" applyFont="1" applyFill="1" applyAlignment="1">
      <alignment horizontal="center"/>
    </xf>
    <xf numFmtId="0" fontId="42" fillId="0" borderId="0" xfId="0" applyFont="1" applyFill="1" applyAlignment="1">
      <alignment horizontal="left"/>
    </xf>
    <xf numFmtId="164" fontId="17" fillId="0" borderId="0" xfId="382" applyNumberFormat="1" applyFont="1" applyFill="1"/>
    <xf numFmtId="164" fontId="17" fillId="0" borderId="0" xfId="382" applyNumberFormat="1" applyFont="1" applyFill="1" applyBorder="1"/>
    <xf numFmtId="164" fontId="17" fillId="0" borderId="18" xfId="382" applyNumberFormat="1" applyFont="1" applyFill="1" applyBorder="1"/>
    <xf numFmtId="164" fontId="62" fillId="0" borderId="0" xfId="674" applyNumberFormat="1" applyFont="1"/>
    <xf numFmtId="0" fontId="17" fillId="0" borderId="11" xfId="0" applyFont="1" applyFill="1" applyBorder="1" applyAlignment="1">
      <alignment horizontal="center"/>
    </xf>
    <xf numFmtId="0" fontId="17" fillId="0" borderId="11" xfId="0" applyFont="1" applyBorder="1"/>
    <xf numFmtId="199" fontId="17" fillId="0" borderId="30" xfId="382" applyNumberFormat="1" applyFont="1" applyFill="1" applyBorder="1"/>
    <xf numFmtId="0" fontId="17" fillId="0" borderId="11" xfId="0" applyFont="1" applyFill="1" applyBorder="1"/>
    <xf numFmtId="199" fontId="17" fillId="0" borderId="55" xfId="382" applyNumberFormat="1" applyFont="1" applyFill="1" applyBorder="1"/>
    <xf numFmtId="199" fontId="17" fillId="0" borderId="11" xfId="382" applyNumberFormat="1" applyFont="1" applyFill="1" applyBorder="1"/>
    <xf numFmtId="164" fontId="42" fillId="0" borderId="0" xfId="11275" applyNumberFormat="1" applyFont="1" applyFill="1" applyBorder="1" applyAlignment="1">
      <alignment horizontal="center" vertical="top"/>
    </xf>
    <xf numFmtId="164" fontId="42" fillId="0" borderId="43" xfId="11275" applyNumberFormat="1" applyFont="1" applyFill="1" applyBorder="1" applyAlignment="1">
      <alignment horizontal="center" vertical="top"/>
    </xf>
    <xf numFmtId="164" fontId="42" fillId="0" borderId="54" xfId="11275" applyNumberFormat="1" applyFont="1" applyFill="1" applyBorder="1" applyAlignment="1">
      <alignment horizontal="center" vertical="top"/>
    </xf>
    <xf numFmtId="40" fontId="62" fillId="0" borderId="0" xfId="11275" quotePrefix="1" applyNumberFormat="1" applyFont="1" applyFill="1" applyBorder="1" applyAlignment="1">
      <alignment horizontal="left" vertical="top"/>
    </xf>
    <xf numFmtId="164" fontId="42" fillId="0" borderId="18" xfId="11275" applyNumberFormat="1" applyFont="1" applyFill="1" applyBorder="1" applyAlignment="1">
      <alignment horizontal="center" vertical="top"/>
    </xf>
    <xf numFmtId="164" fontId="42" fillId="0" borderId="6" xfId="382" applyNumberFormat="1" applyFont="1" applyFill="1" applyBorder="1" applyAlignment="1">
      <alignment horizontal="center"/>
    </xf>
    <xf numFmtId="43" fontId="62" fillId="0" borderId="6" xfId="382" applyFont="1" applyFill="1" applyBorder="1" applyAlignment="1">
      <alignment horizontal="center"/>
    </xf>
    <xf numFmtId="164" fontId="42" fillId="0" borderId="54" xfId="403" applyNumberFormat="1" applyFont="1" applyFill="1" applyBorder="1"/>
    <xf numFmtId="0" fontId="62" fillId="0" borderId="35" xfId="11275" applyFont="1" applyBorder="1"/>
    <xf numFmtId="0" fontId="62" fillId="0" borderId="35" xfId="11275" applyFont="1" applyFill="1" applyBorder="1"/>
    <xf numFmtId="164" fontId="62" fillId="0" borderId="35" xfId="11275" applyNumberFormat="1" applyFont="1" applyBorder="1"/>
    <xf numFmtId="164" fontId="62" fillId="0" borderId="0" xfId="11275" applyNumberFormat="1" applyFont="1" applyFill="1"/>
    <xf numFmtId="164" fontId="62" fillId="0" borderId="17" xfId="11275" applyNumberFormat="1" applyFont="1" applyBorder="1" applyAlignment="1">
      <alignment horizontal="left"/>
    </xf>
    <xf numFmtId="164" fontId="17" fillId="0" borderId="0" xfId="382" quotePrefix="1" applyNumberFormat="1" applyFont="1" applyFill="1"/>
    <xf numFmtId="0" fontId="17" fillId="0" borderId="0" xfId="35689" applyFont="1"/>
    <xf numFmtId="0" fontId="124" fillId="0" borderId="0" xfId="35689" applyFont="1"/>
    <xf numFmtId="0" fontId="125" fillId="0" borderId="0" xfId="35689" applyFont="1"/>
    <xf numFmtId="0" fontId="125" fillId="0" borderId="0" xfId="0" applyFont="1" applyAlignment="1">
      <alignment vertical="top"/>
    </xf>
    <xf numFmtId="0" fontId="42" fillId="0" borderId="0" xfId="0" applyFont="1" applyFill="1" applyAlignment="1">
      <alignment horizontal="center"/>
    </xf>
    <xf numFmtId="0" fontId="42" fillId="0" borderId="0" xfId="0" applyFont="1" applyAlignment="1">
      <alignment horizontal="center"/>
    </xf>
    <xf numFmtId="0" fontId="43" fillId="0" borderId="0" xfId="0" applyFont="1" applyAlignment="1">
      <alignment horizontal="center"/>
    </xf>
    <xf numFmtId="43" fontId="130" fillId="0" borderId="0" xfId="382" applyFont="1" applyFill="1" applyAlignment="1">
      <alignment horizontal="center"/>
    </xf>
    <xf numFmtId="0" fontId="16" fillId="0" borderId="0" xfId="11271" applyFont="1" applyFill="1"/>
    <xf numFmtId="0" fontId="16" fillId="0" borderId="0" xfId="11271" applyFont="1" applyFill="1" applyAlignment="1">
      <alignment horizontal="left"/>
    </xf>
    <xf numFmtId="0" fontId="16" fillId="0" borderId="0" xfId="11271" applyFont="1"/>
    <xf numFmtId="2" fontId="16" fillId="0" borderId="0" xfId="11271" applyNumberFormat="1" applyFont="1" applyFill="1" applyAlignment="1">
      <alignment horizontal="left"/>
    </xf>
    <xf numFmtId="49" fontId="16" fillId="0" borderId="0" xfId="11271" applyNumberFormat="1" applyFont="1" applyFill="1"/>
    <xf numFmtId="0" fontId="16" fillId="0" borderId="0" xfId="11271" applyFont="1" applyBorder="1"/>
    <xf numFmtId="164" fontId="16" fillId="0" borderId="0" xfId="382" applyNumberFormat="1" applyFont="1" applyFill="1" applyBorder="1"/>
    <xf numFmtId="164" fontId="16" fillId="0" borderId="0" xfId="382" applyNumberFormat="1" applyFont="1" applyBorder="1"/>
    <xf numFmtId="0" fontId="16" fillId="0" borderId="0" xfId="11271" quotePrefix="1" applyFont="1" applyFill="1" applyAlignment="1">
      <alignment horizontal="center"/>
    </xf>
    <xf numFmtId="43" fontId="16" fillId="0" borderId="0" xfId="382" applyFont="1"/>
    <xf numFmtId="167" fontId="16" fillId="0" borderId="0" xfId="11271" applyNumberFormat="1" applyFont="1"/>
    <xf numFmtId="164" fontId="16" fillId="0" borderId="0" xfId="382" applyNumberFormat="1" applyFont="1" applyFill="1"/>
    <xf numFmtId="164" fontId="16" fillId="0" borderId="0" xfId="11271" applyNumberFormat="1" applyFont="1" applyFill="1"/>
    <xf numFmtId="0" fontId="16" fillId="0" borderId="0" xfId="11271" quotePrefix="1" applyFont="1" applyFill="1" applyAlignment="1">
      <alignment horizontal="center" vertical="top"/>
    </xf>
    <xf numFmtId="0" fontId="16" fillId="0" borderId="0" xfId="11271" applyFont="1" applyFill="1" applyAlignment="1">
      <alignment horizontal="center"/>
    </xf>
    <xf numFmtId="0" fontId="16" fillId="0" borderId="0" xfId="11271" applyFont="1" applyAlignment="1">
      <alignment horizontal="center"/>
    </xf>
    <xf numFmtId="0" fontId="16" fillId="0" borderId="0" xfId="496" applyFont="1" applyAlignment="1">
      <alignment horizontal="left" vertical="top"/>
    </xf>
    <xf numFmtId="164" fontId="16" fillId="0" borderId="0" xfId="382" applyNumberFormat="1" applyFont="1" applyAlignment="1">
      <alignment horizontal="left" vertical="top"/>
    </xf>
    <xf numFmtId="164" fontId="16" fillId="0" borderId="0" xfId="382" applyNumberFormat="1" applyFont="1"/>
    <xf numFmtId="0" fontId="16" fillId="0" borderId="0" xfId="496" applyFont="1" applyAlignment="1">
      <alignment horizontal="center"/>
    </xf>
    <xf numFmtId="0" fontId="16" fillId="0" borderId="0" xfId="496" applyFont="1"/>
    <xf numFmtId="0" fontId="16" fillId="0" borderId="0" xfId="35157" applyFont="1" applyFill="1" applyBorder="1"/>
    <xf numFmtId="0" fontId="62" fillId="0" borderId="0" xfId="11275" applyFont="1" applyFill="1" applyBorder="1" applyAlignment="1">
      <alignment horizontal="left"/>
    </xf>
    <xf numFmtId="43" fontId="130" fillId="0" borderId="0" xfId="382" applyFont="1" applyFill="1" applyAlignment="1">
      <alignment horizontal="center"/>
    </xf>
    <xf numFmtId="0" fontId="42" fillId="0" borderId="0" xfId="484" applyFont="1" applyFill="1" applyAlignment="1">
      <alignment horizontal="center" vertical="top"/>
    </xf>
    <xf numFmtId="0" fontId="144" fillId="0" borderId="0" xfId="35688" applyFont="1" applyFill="1"/>
    <xf numFmtId="1" fontId="62" fillId="0" borderId="0" xfId="35688" applyNumberFormat="1" applyFont="1" applyFill="1" applyAlignment="1">
      <alignment horizontal="left"/>
    </xf>
    <xf numFmtId="2" fontId="62" fillId="0" borderId="0" xfId="35688" applyNumberFormat="1" applyFont="1" applyFill="1" applyAlignment="1">
      <alignment horizontal="left"/>
    </xf>
    <xf numFmtId="0" fontId="62" fillId="0" borderId="0" xfId="35688" applyFont="1"/>
    <xf numFmtId="0" fontId="62" fillId="0" borderId="0" xfId="35688" applyFont="1" applyFill="1"/>
    <xf numFmtId="0" fontId="62" fillId="0" borderId="0" xfId="35688" applyFont="1" applyFill="1" applyAlignment="1">
      <alignment horizontal="left"/>
    </xf>
    <xf numFmtId="41" fontId="42" fillId="0" borderId="0" xfId="484" applyNumberFormat="1" applyFont="1" applyAlignment="1">
      <alignment vertical="top"/>
    </xf>
    <xf numFmtId="43" fontId="62" fillId="0" borderId="0" xfId="11622" applyFont="1"/>
    <xf numFmtId="164" fontId="42" fillId="37" borderId="18" xfId="382" applyNumberFormat="1" applyFont="1" applyFill="1" applyBorder="1" applyAlignment="1"/>
    <xf numFmtId="187" fontId="42" fillId="0" borderId="0" xfId="0" applyNumberFormat="1" applyFont="1" applyFill="1" applyBorder="1" applyAlignment="1">
      <alignment horizontal="left" vertical="top"/>
    </xf>
    <xf numFmtId="164" fontId="24" fillId="0" borderId="18" xfId="11271" applyNumberFormat="1" applyFont="1" applyBorder="1"/>
    <xf numFmtId="0" fontId="42" fillId="37" borderId="18" xfId="0" applyFont="1" applyFill="1" applyBorder="1"/>
    <xf numFmtId="0" fontId="42" fillId="0" borderId="0" xfId="35688" applyFont="1" applyFill="1" applyAlignment="1">
      <alignment horizontal="left"/>
    </xf>
    <xf numFmtId="169" fontId="42" fillId="0" borderId="0" xfId="512" applyFont="1" applyFill="1" applyAlignment="1">
      <alignment horizontal="left"/>
    </xf>
    <xf numFmtId="169" fontId="42" fillId="0" borderId="0" xfId="512" quotePrefix="1" applyFont="1" applyFill="1" applyAlignment="1">
      <alignment horizontal="left"/>
    </xf>
    <xf numFmtId="0" fontId="15" fillId="0" borderId="0" xfId="0" applyFont="1" applyFill="1" applyAlignment="1">
      <alignment horizontal="left" indent="1"/>
    </xf>
    <xf numFmtId="0" fontId="42" fillId="0" borderId="0" xfId="0" applyFont="1" applyFill="1" applyAlignment="1">
      <alignment horizontal="left"/>
    </xf>
    <xf numFmtId="164" fontId="149" fillId="0" borderId="0" xfId="382" applyNumberFormat="1" applyFont="1" applyFill="1" applyAlignment="1"/>
    <xf numFmtId="164" fontId="111" fillId="0" borderId="17" xfId="382" applyNumberFormat="1" applyFont="1" applyFill="1" applyBorder="1" applyAlignment="1" applyProtection="1">
      <alignment horizontal="right"/>
      <protection locked="0"/>
    </xf>
    <xf numFmtId="2" fontId="42" fillId="37" borderId="0" xfId="0" applyNumberFormat="1" applyFont="1" applyFill="1" applyAlignment="1">
      <alignment horizontal="left"/>
    </xf>
    <xf numFmtId="0" fontId="42" fillId="0" borderId="0" xfId="504" applyFont="1" applyFill="1" applyBorder="1" applyAlignment="1">
      <alignment horizontal="left"/>
    </xf>
    <xf numFmtId="0" fontId="42" fillId="0" borderId="0" xfId="0" applyFont="1" applyFill="1" applyBorder="1" applyAlignment="1">
      <alignment horizontal="left" wrapText="1"/>
    </xf>
    <xf numFmtId="0" fontId="42" fillId="0" borderId="0" xfId="484" applyFont="1" applyFill="1" applyAlignment="1">
      <alignment horizontal="center" vertical="top"/>
    </xf>
    <xf numFmtId="0" fontId="62" fillId="0" borderId="45" xfId="569" applyFont="1" applyBorder="1" applyAlignment="1">
      <alignment horizontal="center"/>
    </xf>
    <xf numFmtId="0" fontId="62" fillId="0" borderId="18" xfId="569" applyFont="1" applyBorder="1" applyAlignment="1">
      <alignment horizontal="center"/>
    </xf>
    <xf numFmtId="0" fontId="42" fillId="0" borderId="0" xfId="484" quotePrefix="1" applyFont="1" applyFill="1" applyAlignment="1">
      <alignment horizontal="left" vertical="top" indent="1"/>
    </xf>
    <xf numFmtId="0" fontId="42" fillId="0" borderId="0" xfId="484" quotePrefix="1" applyFont="1" applyFill="1" applyAlignment="1">
      <alignment horizontal="left" vertical="top" indent="2"/>
    </xf>
    <xf numFmtId="0" fontId="42" fillId="0" borderId="0" xfId="484" applyFont="1" applyFill="1" applyAlignment="1">
      <alignment horizontal="left" vertical="top" indent="1"/>
    </xf>
    <xf numFmtId="0" fontId="42" fillId="0" borderId="0" xfId="0" applyNumberFormat="1" applyFont="1" applyFill="1" applyBorder="1" applyAlignment="1">
      <alignment horizontal="left" indent="1"/>
    </xf>
    <xf numFmtId="164" fontId="42" fillId="0" borderId="0" xfId="382" quotePrefix="1" applyNumberFormat="1" applyFont="1" applyFill="1" applyAlignment="1"/>
    <xf numFmtId="164" fontId="42" fillId="0" borderId="0" xfId="382" applyNumberFormat="1" applyFont="1" applyAlignment="1">
      <alignment horizontal="center"/>
    </xf>
    <xf numFmtId="164" fontId="42" fillId="0" borderId="18" xfId="382" applyNumberFormat="1" applyFont="1" applyBorder="1" applyAlignment="1">
      <alignment horizontal="center" wrapText="1"/>
    </xf>
    <xf numFmtId="0" fontId="42" fillId="37" borderId="0" xfId="0" applyFont="1" applyFill="1" applyAlignment="1">
      <alignment horizontal="left" indent="1"/>
    </xf>
    <xf numFmtId="43" fontId="42" fillId="0" borderId="0" xfId="382" applyFont="1" applyFill="1" applyBorder="1" applyAlignment="1">
      <alignment horizontal="left" indent="1"/>
    </xf>
    <xf numFmtId="164" fontId="42" fillId="37" borderId="0" xfId="382" applyNumberFormat="1" applyFont="1" applyFill="1" applyBorder="1" applyAlignment="1"/>
    <xf numFmtId="164" fontId="16" fillId="37" borderId="0" xfId="11271" applyNumberFormat="1" applyFont="1" applyFill="1"/>
    <xf numFmtId="49" fontId="16" fillId="37" borderId="0" xfId="11271" applyNumberFormat="1" applyFont="1" applyFill="1"/>
    <xf numFmtId="0" fontId="16" fillId="37" borderId="0" xfId="11271" applyFont="1" applyFill="1"/>
    <xf numFmtId="164" fontId="16" fillId="37" borderId="0" xfId="382" applyNumberFormat="1" applyFont="1" applyFill="1"/>
    <xf numFmtId="49" fontId="16" fillId="37" borderId="18" xfId="11271" applyNumberFormat="1" applyFont="1" applyFill="1" applyBorder="1"/>
    <xf numFmtId="164" fontId="16" fillId="37" borderId="18" xfId="11271" applyNumberFormat="1" applyFont="1" applyFill="1" applyBorder="1"/>
    <xf numFmtId="43" fontId="16" fillId="37" borderId="18" xfId="382" applyFont="1" applyFill="1" applyBorder="1"/>
    <xf numFmtId="198" fontId="62" fillId="37" borderId="18" xfId="382" applyNumberFormat="1" applyFont="1" applyFill="1" applyBorder="1"/>
    <xf numFmtId="164" fontId="16" fillId="37" borderId="18" xfId="382" applyNumberFormat="1" applyFont="1" applyFill="1" applyBorder="1"/>
    <xf numFmtId="2" fontId="24" fillId="37" borderId="0" xfId="11271" applyNumberFormat="1" applyFont="1" applyFill="1" applyAlignment="1">
      <alignment horizontal="left"/>
    </xf>
    <xf numFmtId="0" fontId="42" fillId="37" borderId="0" xfId="484" applyFont="1" applyFill="1" applyAlignment="1">
      <alignment horizontal="left" vertical="top" indent="2"/>
    </xf>
    <xf numFmtId="0" fontId="42" fillId="37" borderId="18" xfId="484" applyFont="1" applyFill="1" applyBorder="1" applyAlignment="1">
      <alignment horizontal="left" vertical="top" indent="2"/>
    </xf>
    <xf numFmtId="2" fontId="42" fillId="37" borderId="0" xfId="512" applyNumberFormat="1" applyFont="1" applyFill="1" applyAlignment="1">
      <alignment horizontal="left"/>
    </xf>
    <xf numFmtId="169" fontId="42" fillId="37" borderId="0" xfId="512" applyFont="1" applyFill="1" applyAlignment="1">
      <alignment horizontal="left"/>
    </xf>
    <xf numFmtId="164" fontId="0" fillId="37" borderId="0" xfId="0" applyNumberFormat="1" applyFill="1"/>
    <xf numFmtId="164" fontId="17" fillId="37" borderId="0" xfId="382" applyNumberFormat="1" applyFont="1" applyFill="1" applyAlignment="1">
      <alignment horizontal="center"/>
    </xf>
    <xf numFmtId="169" fontId="42" fillId="37" borderId="0" xfId="512" applyFont="1" applyFill="1" applyAlignment="1">
      <alignment horizontal="left" indent="1"/>
    </xf>
    <xf numFmtId="164" fontId="17" fillId="37" borderId="18" xfId="382" quotePrefix="1" applyNumberFormat="1" applyFont="1" applyFill="1" applyBorder="1"/>
    <xf numFmtId="164" fontId="130" fillId="37" borderId="18" xfId="382" applyNumberFormat="1" applyFont="1" applyFill="1" applyBorder="1" applyAlignment="1">
      <alignment horizontal="center"/>
    </xf>
    <xf numFmtId="0" fontId="42" fillId="37" borderId="0" xfId="35688" applyFont="1" applyFill="1" applyAlignment="1">
      <alignment horizontal="left" indent="1"/>
    </xf>
    <xf numFmtId="164" fontId="62" fillId="37" borderId="0" xfId="382" applyNumberFormat="1" applyFont="1" applyFill="1" applyBorder="1" applyAlignment="1">
      <alignment horizontal="left"/>
    </xf>
    <xf numFmtId="164" fontId="62" fillId="37" borderId="18" xfId="382" applyNumberFormat="1" applyFont="1" applyFill="1" applyBorder="1" applyAlignment="1">
      <alignment horizontal="left"/>
    </xf>
    <xf numFmtId="0" fontId="62" fillId="37" borderId="0" xfId="11275" applyFont="1" applyFill="1" applyBorder="1" applyAlignment="1">
      <alignment horizontal="left"/>
    </xf>
    <xf numFmtId="164" fontId="62" fillId="37" borderId="35" xfId="382" applyNumberFormat="1" applyFont="1" applyFill="1" applyBorder="1" applyAlignment="1">
      <alignment horizontal="left"/>
    </xf>
    <xf numFmtId="0" fontId="62" fillId="37" borderId="18" xfId="11275" applyFont="1" applyFill="1" applyBorder="1" applyAlignment="1">
      <alignment horizontal="left"/>
    </xf>
    <xf numFmtId="164" fontId="62" fillId="37" borderId="37" xfId="382" applyNumberFormat="1" applyFont="1" applyFill="1" applyBorder="1" applyAlignment="1">
      <alignment horizontal="left"/>
    </xf>
    <xf numFmtId="0" fontId="62" fillId="0" borderId="18" xfId="511" applyFont="1" applyFill="1" applyBorder="1" applyAlignment="1">
      <alignment horizontal="center" wrapText="1"/>
    </xf>
    <xf numFmtId="164" fontId="24" fillId="37" borderId="0" xfId="382" applyNumberFormat="1" applyFont="1" applyFill="1"/>
    <xf numFmtId="2" fontId="62" fillId="37" borderId="0" xfId="511" applyNumberFormat="1" applyFont="1" applyFill="1" applyAlignment="1">
      <alignment horizontal="left"/>
    </xf>
    <xf numFmtId="164" fontId="62" fillId="37" borderId="0" xfId="382" applyNumberFormat="1" applyFont="1" applyFill="1"/>
    <xf numFmtId="43" fontId="21" fillId="0" borderId="0" xfId="423" applyFont="1" applyFill="1" applyAlignment="1">
      <alignment horizontal="center"/>
    </xf>
    <xf numFmtId="3" fontId="42" fillId="0" borderId="0" xfId="474" applyNumberFormat="1" applyFont="1" applyFill="1" applyAlignment="1">
      <alignment horizontal="left"/>
    </xf>
    <xf numFmtId="43" fontId="20" fillId="0" borderId="0" xfId="423" applyFont="1" applyFill="1" applyAlignment="1">
      <alignment horizontal="center"/>
    </xf>
    <xf numFmtId="41" fontId="42" fillId="37" borderId="0" xfId="484" applyNumberFormat="1" applyFont="1" applyFill="1" applyBorder="1" applyAlignment="1">
      <alignment vertical="top"/>
    </xf>
    <xf numFmtId="187" fontId="42" fillId="37" borderId="0" xfId="0" applyNumberFormat="1" applyFont="1" applyFill="1" applyBorder="1" applyAlignment="1">
      <alignment horizontal="left" vertical="top"/>
    </xf>
    <xf numFmtId="164" fontId="42" fillId="37" borderId="0" xfId="13644" applyNumberFormat="1" applyFont="1" applyFill="1"/>
    <xf numFmtId="0" fontId="42" fillId="37" borderId="0" xfId="0" applyFont="1" applyFill="1" applyBorder="1" applyAlignment="1">
      <alignment horizontal="left" vertical="top"/>
    </xf>
    <xf numFmtId="0" fontId="16" fillId="37" borderId="0" xfId="35157" applyFont="1" applyFill="1" applyBorder="1"/>
    <xf numFmtId="164" fontId="16" fillId="37" borderId="0" xfId="382" applyNumberFormat="1" applyFont="1" applyFill="1" applyBorder="1"/>
    <xf numFmtId="2" fontId="42" fillId="37" borderId="0" xfId="0" applyNumberFormat="1" applyFont="1" applyFill="1" applyAlignment="1">
      <alignment horizontal="center"/>
    </xf>
    <xf numFmtId="164" fontId="42" fillId="37" borderId="0" xfId="382" applyNumberFormat="1" applyFont="1" applyFill="1" applyBorder="1" applyProtection="1">
      <protection locked="0"/>
    </xf>
    <xf numFmtId="2" fontId="16" fillId="37" borderId="0" xfId="11271" applyNumberFormat="1" applyFont="1" applyFill="1" applyAlignment="1">
      <alignment horizontal="left"/>
    </xf>
    <xf numFmtId="43" fontId="111" fillId="37" borderId="0" xfId="382" applyFont="1" applyFill="1" applyProtection="1">
      <protection locked="0"/>
    </xf>
    <xf numFmtId="0" fontId="42" fillId="0" borderId="0" xfId="0" applyFont="1" applyFill="1" applyAlignment="1">
      <alignment horizontal="center"/>
    </xf>
    <xf numFmtId="0" fontId="42" fillId="0" borderId="0" xfId="0" applyFont="1" applyFill="1" applyAlignment="1">
      <alignment horizontal="left"/>
    </xf>
    <xf numFmtId="164" fontId="46" fillId="0" borderId="11" xfId="382" applyNumberFormat="1" applyFont="1" applyFill="1" applyBorder="1" applyAlignment="1"/>
    <xf numFmtId="164" fontId="46" fillId="0" borderId="65" xfId="382" applyNumberFormat="1" applyFont="1" applyFill="1" applyBorder="1" applyAlignment="1"/>
    <xf numFmtId="0" fontId="46" fillId="0" borderId="6" xfId="0" applyNumberFormat="1" applyFont="1" applyFill="1" applyBorder="1" applyAlignment="1">
      <alignment horizontal="center"/>
    </xf>
    <xf numFmtId="0" fontId="46" fillId="0" borderId="6" xfId="0" applyFont="1" applyFill="1" applyBorder="1"/>
    <xf numFmtId="0" fontId="46" fillId="0" borderId="6" xfId="0" applyFont="1" applyFill="1" applyBorder="1" applyAlignment="1">
      <alignment horizontal="center"/>
    </xf>
    <xf numFmtId="171" fontId="44" fillId="0" borderId="27" xfId="674" applyNumberFormat="1" applyFont="1" applyFill="1" applyBorder="1" applyAlignment="1"/>
    <xf numFmtId="0" fontId="46" fillId="0" borderId="37" xfId="0" applyNumberFormat="1" applyFont="1" applyFill="1" applyBorder="1" applyAlignment="1"/>
    <xf numFmtId="10" fontId="46" fillId="0" borderId="30" xfId="674" applyNumberFormat="1" applyFont="1" applyFill="1" applyBorder="1"/>
    <xf numFmtId="1" fontId="46" fillId="0" borderId="22" xfId="0" applyNumberFormat="1" applyFont="1" applyFill="1" applyBorder="1" applyAlignment="1">
      <alignment horizontal="center"/>
    </xf>
    <xf numFmtId="10" fontId="111" fillId="0" borderId="0" xfId="382" applyNumberFormat="1" applyFont="1" applyFill="1" applyAlignment="1"/>
    <xf numFmtId="17" fontId="42" fillId="0" borderId="0" xfId="517" applyNumberFormat="1" applyFont="1" applyFill="1" applyBorder="1"/>
    <xf numFmtId="164" fontId="42" fillId="0" borderId="0" xfId="382" applyNumberFormat="1" applyFont="1" applyFill="1" applyBorder="1" applyAlignment="1">
      <alignment horizontal="right"/>
    </xf>
    <xf numFmtId="0" fontId="42" fillId="0" borderId="0" xfId="35689" applyFont="1"/>
    <xf numFmtId="0" fontId="91" fillId="0" borderId="0" xfId="0" applyFont="1" applyFill="1" applyAlignment="1">
      <alignment horizontal="right"/>
    </xf>
    <xf numFmtId="37" fontId="91" fillId="0" borderId="0" xfId="0" applyNumberFormat="1" applyFont="1" applyFill="1" applyAlignment="1">
      <alignment horizontal="right"/>
    </xf>
    <xf numFmtId="199" fontId="42" fillId="0" borderId="27" xfId="382" applyNumberFormat="1" applyFont="1" applyFill="1" applyBorder="1" applyAlignment="1">
      <alignment horizontal="right"/>
    </xf>
    <xf numFmtId="164" fontId="14" fillId="0" borderId="0" xfId="382" applyNumberFormat="1" applyFont="1" applyFill="1"/>
    <xf numFmtId="164" fontId="111" fillId="53" borderId="0" xfId="382" applyNumberFormat="1" applyFont="1" applyFill="1" applyAlignment="1"/>
    <xf numFmtId="169" fontId="111" fillId="53" borderId="0" xfId="37694" applyFont="1" applyFill="1" applyAlignment="1"/>
    <xf numFmtId="43" fontId="111" fillId="53" borderId="0" xfId="382" applyNumberFormat="1" applyFont="1" applyFill="1" applyAlignment="1"/>
    <xf numFmtId="164" fontId="131" fillId="53" borderId="0" xfId="382" applyNumberFormat="1" applyFont="1" applyFill="1"/>
    <xf numFmtId="3" fontId="111" fillId="53" borderId="0" xfId="37696" applyNumberFormat="1" applyFont="1" applyFill="1" applyAlignment="1"/>
    <xf numFmtId="168" fontId="111" fillId="53" borderId="0" xfId="37696" applyNumberFormat="1" applyFont="1" applyFill="1" applyAlignment="1">
      <alignment horizontal="center"/>
    </xf>
    <xf numFmtId="171" fontId="111" fillId="53" borderId="0" xfId="674" applyNumberFormat="1" applyFont="1" applyFill="1" applyAlignment="1"/>
    <xf numFmtId="194" fontId="111" fillId="53" borderId="0" xfId="37696" applyNumberFormat="1" applyFont="1" applyFill="1" applyAlignment="1"/>
    <xf numFmtId="168" fontId="111" fillId="53" borderId="0" xfId="37696" applyNumberFormat="1" applyFont="1" applyFill="1" applyAlignment="1">
      <alignment horizontal="right"/>
    </xf>
    <xf numFmtId="10" fontId="111" fillId="53" borderId="0" xfId="674" applyNumberFormat="1" applyFont="1" applyFill="1" applyAlignment="1"/>
    <xf numFmtId="3" fontId="132" fillId="53" borderId="0" xfId="37696" applyNumberFormat="1" applyFont="1" applyFill="1" applyAlignment="1"/>
    <xf numFmtId="164" fontId="132" fillId="53" borderId="0" xfId="382" applyNumberFormat="1" applyFont="1" applyFill="1" applyAlignment="1"/>
    <xf numFmtId="168" fontId="132" fillId="53" borderId="0" xfId="37696" applyNumberFormat="1" applyFont="1" applyFill="1" applyAlignment="1">
      <alignment horizontal="center"/>
    </xf>
    <xf numFmtId="164" fontId="111" fillId="53" borderId="18" xfId="382" applyNumberFormat="1" applyFont="1" applyFill="1" applyBorder="1" applyAlignment="1"/>
    <xf numFmtId="0" fontId="111" fillId="53" borderId="0" xfId="37696" applyNumberFormat="1" applyFont="1" applyFill="1"/>
    <xf numFmtId="164" fontId="111" fillId="53" borderId="40" xfId="382" applyNumberFormat="1" applyFont="1" applyFill="1" applyBorder="1" applyAlignment="1"/>
    <xf numFmtId="0" fontId="98" fillId="53" borderId="0" xfId="37696" applyNumberFormat="1" applyFont="1" applyFill="1" applyAlignment="1" applyProtection="1">
      <alignment horizontal="center"/>
      <protection locked="0"/>
    </xf>
    <xf numFmtId="171" fontId="111" fillId="53" borderId="0" xfId="37696" applyNumberFormat="1" applyFont="1" applyFill="1" applyAlignment="1"/>
    <xf numFmtId="171" fontId="111" fillId="53" borderId="0" xfId="674" applyNumberFormat="1" applyFont="1" applyFill="1" applyAlignment="1">
      <alignment vertical="top"/>
    </xf>
    <xf numFmtId="164" fontId="111" fillId="53" borderId="0" xfId="382" applyNumberFormat="1" applyFont="1" applyFill="1" applyAlignment="1">
      <alignment vertical="top"/>
    </xf>
    <xf numFmtId="171" fontId="111" fillId="53" borderId="0" xfId="37696" applyNumberFormat="1" applyFont="1" applyFill="1" applyAlignment="1">
      <alignment vertical="top"/>
    </xf>
    <xf numFmtId="164" fontId="133" fillId="53" borderId="0" xfId="382" applyNumberFormat="1" applyFont="1" applyFill="1" applyAlignment="1"/>
    <xf numFmtId="169" fontId="98" fillId="53" borderId="0" xfId="37694" applyFont="1" applyFill="1" applyAlignment="1"/>
    <xf numFmtId="169" fontId="111" fillId="53" borderId="0" xfId="37696" applyFont="1" applyFill="1" applyAlignment="1"/>
    <xf numFmtId="164" fontId="111" fillId="53" borderId="17" xfId="382" applyNumberFormat="1" applyFont="1" applyFill="1" applyBorder="1" applyAlignment="1"/>
    <xf numFmtId="0" fontId="111" fillId="53" borderId="0" xfId="37694" applyNumberFormat="1" applyFont="1" applyFill="1" applyAlignment="1">
      <alignment vertical="top"/>
    </xf>
    <xf numFmtId="169" fontId="111" fillId="53" borderId="0" xfId="37694" applyFont="1" applyFill="1" applyAlignment="1">
      <alignment vertical="top"/>
    </xf>
    <xf numFmtId="0" fontId="42" fillId="0" borderId="0" xfId="484" applyFont="1" applyFill="1" applyAlignment="1">
      <alignment horizontal="center" vertical="top"/>
    </xf>
    <xf numFmtId="0" fontId="138" fillId="0" borderId="0" xfId="35688" applyFont="1"/>
    <xf numFmtId="0" fontId="13" fillId="0" borderId="0" xfId="0" applyFont="1"/>
    <xf numFmtId="0" fontId="13" fillId="0" borderId="0" xfId="0" applyFont="1" applyFill="1" applyAlignment="1">
      <alignment horizontal="left"/>
    </xf>
    <xf numFmtId="0" fontId="13" fillId="0" borderId="0" xfId="0" applyFont="1" applyFill="1"/>
    <xf numFmtId="164" fontId="13" fillId="0" borderId="17" xfId="382" applyNumberFormat="1" applyFont="1" applyBorder="1"/>
    <xf numFmtId="164" fontId="13" fillId="0" borderId="0" xfId="11622" applyNumberFormat="1" applyFont="1" applyFill="1"/>
    <xf numFmtId="0" fontId="13" fillId="0" borderId="0" xfId="0" applyFont="1" applyFill="1" applyAlignment="1">
      <alignment horizontal="left" indent="1"/>
    </xf>
    <xf numFmtId="164" fontId="13" fillId="0" borderId="0" xfId="382" applyNumberFormat="1" applyFont="1" applyFill="1"/>
    <xf numFmtId="0" fontId="138" fillId="0" borderId="0" xfId="484" applyFont="1" applyFill="1" applyAlignment="1">
      <alignment vertical="top"/>
    </xf>
    <xf numFmtId="164" fontId="13" fillId="0" borderId="0" xfId="382" applyNumberFormat="1" applyFont="1"/>
    <xf numFmtId="164" fontId="13" fillId="0" borderId="0" xfId="382" applyNumberFormat="1" applyFont="1" applyFill="1" applyBorder="1"/>
    <xf numFmtId="164" fontId="13" fillId="0" borderId="18" xfId="382" applyNumberFormat="1" applyFont="1" applyFill="1" applyBorder="1"/>
    <xf numFmtId="164" fontId="13" fillId="0" borderId="17" xfId="382" applyNumberFormat="1" applyFont="1" applyFill="1" applyBorder="1"/>
    <xf numFmtId="164" fontId="13" fillId="0" borderId="0" xfId="0" applyNumberFormat="1" applyFont="1" applyFill="1"/>
    <xf numFmtId="0" fontId="42" fillId="0" borderId="0" xfId="0" applyFont="1" applyFill="1" applyAlignment="1">
      <alignment horizontal="left"/>
    </xf>
    <xf numFmtId="0" fontId="42" fillId="0" borderId="0" xfId="484" applyFont="1" applyFill="1" applyAlignment="1">
      <alignment horizontal="center" vertical="top"/>
    </xf>
    <xf numFmtId="43" fontId="13" fillId="0" borderId="0" xfId="11622" applyFont="1" applyFill="1"/>
    <xf numFmtId="0" fontId="62" fillId="0" borderId="0" xfId="11275" quotePrefix="1" applyFont="1" applyFill="1" applyAlignment="1">
      <alignment horizontal="left"/>
    </xf>
    <xf numFmtId="0" fontId="44" fillId="0" borderId="64" xfId="0" applyFont="1" applyFill="1" applyBorder="1" applyAlignment="1">
      <alignment horizontal="center" wrapText="1"/>
    </xf>
    <xf numFmtId="37" fontId="42" fillId="0" borderId="0" xfId="0" applyNumberFormat="1" applyFont="1" applyFill="1" applyBorder="1" applyAlignment="1">
      <alignment vertical="top" wrapText="1"/>
    </xf>
    <xf numFmtId="0" fontId="42" fillId="0" borderId="0" xfId="0" applyFont="1" applyFill="1" applyBorder="1" applyAlignment="1">
      <alignment horizontal="left" vertical="top"/>
    </xf>
    <xf numFmtId="0" fontId="138" fillId="0" borderId="0" xfId="504" applyFont="1" applyFill="1"/>
    <xf numFmtId="0" fontId="129" fillId="0" borderId="0" xfId="504" applyFont="1" applyFill="1"/>
    <xf numFmtId="197" fontId="43" fillId="0" borderId="0" xfId="434" applyNumberFormat="1" applyFont="1" applyFill="1" applyAlignment="1">
      <alignment horizontal="center" vertical="top"/>
    </xf>
    <xf numFmtId="43" fontId="123" fillId="0" borderId="0" xfId="382" applyFont="1" applyFill="1" applyAlignment="1">
      <alignment horizontal="center" vertical="top"/>
    </xf>
    <xf numFmtId="164" fontId="42" fillId="0" borderId="35" xfId="382" applyNumberFormat="1" applyFont="1" applyFill="1" applyBorder="1" applyAlignment="1">
      <alignment vertical="top"/>
    </xf>
    <xf numFmtId="164" fontId="122" fillId="0" borderId="0" xfId="382" applyNumberFormat="1" applyFont="1" applyFill="1" applyAlignment="1">
      <alignment vertical="top"/>
    </xf>
    <xf numFmtId="164" fontId="122" fillId="0" borderId="35" xfId="382" applyNumberFormat="1" applyFont="1" applyFill="1" applyBorder="1" applyAlignment="1">
      <alignment vertical="top"/>
    </xf>
    <xf numFmtId="37" fontId="42" fillId="0" borderId="0" xfId="0" applyNumberFormat="1" applyFont="1" applyFill="1" applyBorder="1" applyAlignment="1">
      <alignment vertical="top"/>
    </xf>
    <xf numFmtId="49" fontId="42" fillId="0" borderId="0" xfId="0" applyNumberFormat="1" applyFont="1" applyFill="1" applyAlignment="1">
      <alignment vertical="top"/>
    </xf>
    <xf numFmtId="0" fontId="43" fillId="0" borderId="19" xfId="0" applyFont="1" applyFill="1" applyBorder="1" applyAlignment="1">
      <alignment vertical="top"/>
    </xf>
    <xf numFmtId="0" fontId="61" fillId="0" borderId="5" xfId="0" applyFont="1" applyFill="1" applyBorder="1" applyAlignment="1">
      <alignment vertical="top"/>
    </xf>
    <xf numFmtId="164" fontId="42" fillId="0" borderId="5" xfId="382" applyNumberFormat="1" applyFont="1" applyFill="1" applyBorder="1" applyAlignment="1">
      <alignment vertical="top"/>
    </xf>
    <xf numFmtId="164" fontId="122" fillId="0" borderId="0" xfId="382" applyNumberFormat="1" applyFont="1" applyFill="1" applyBorder="1" applyAlignment="1">
      <alignment vertical="top"/>
    </xf>
    <xf numFmtId="0" fontId="43" fillId="0" borderId="0" xfId="0" applyFont="1" applyFill="1" applyBorder="1" applyAlignment="1">
      <alignment vertical="top"/>
    </xf>
    <xf numFmtId="0" fontId="61" fillId="0" borderId="0" xfId="0" applyFont="1" applyFill="1" applyBorder="1" applyAlignment="1">
      <alignment vertical="top"/>
    </xf>
    <xf numFmtId="0" fontId="42" fillId="0" borderId="0" xfId="0" applyFont="1" applyBorder="1" applyAlignment="1">
      <alignment horizontal="left" vertical="top"/>
    </xf>
    <xf numFmtId="0" fontId="42" fillId="0" borderId="0" xfId="0" applyFont="1" applyFill="1" applyAlignment="1">
      <alignment horizontal="center"/>
    </xf>
    <xf numFmtId="164" fontId="111" fillId="0" borderId="0" xfId="382" quotePrefix="1" applyNumberFormat="1" applyFont="1" applyFill="1" applyAlignment="1"/>
    <xf numFmtId="0" fontId="153" fillId="0" borderId="0" xfId="0" applyFont="1" applyFill="1" applyAlignment="1">
      <alignment horizontal="left"/>
    </xf>
    <xf numFmtId="164" fontId="12" fillId="0" borderId="0" xfId="382" applyNumberFormat="1" applyFont="1" applyFill="1"/>
    <xf numFmtId="164" fontId="42" fillId="0" borderId="0" xfId="403" applyNumberFormat="1" applyFont="1" applyFill="1"/>
    <xf numFmtId="164" fontId="42" fillId="0" borderId="0" xfId="382" applyNumberFormat="1" applyFont="1" applyFill="1" applyBorder="1" applyAlignment="1">
      <alignment horizontal="left" indent="1"/>
    </xf>
    <xf numFmtId="164" fontId="25" fillId="0" borderId="0" xfId="382" applyNumberFormat="1" applyFont="1" applyFill="1"/>
    <xf numFmtId="0" fontId="62" fillId="0" borderId="0" xfId="11275" applyFont="1" applyFill="1" applyAlignment="1">
      <alignment horizontal="center"/>
    </xf>
    <xf numFmtId="195" fontId="11" fillId="37" borderId="18" xfId="382" applyNumberFormat="1" applyFont="1" applyFill="1" applyBorder="1"/>
    <xf numFmtId="0" fontId="141" fillId="0" borderId="0" xfId="474" applyFont="1"/>
    <xf numFmtId="0" fontId="11" fillId="0" borderId="11" xfId="0" applyFont="1" applyBorder="1"/>
    <xf numFmtId="164" fontId="62" fillId="0" borderId="37" xfId="382" applyNumberFormat="1" applyFont="1" applyFill="1" applyBorder="1" applyAlignment="1">
      <alignment horizontal="left"/>
    </xf>
    <xf numFmtId="164" fontId="152" fillId="0" borderId="0" xfId="382" applyNumberFormat="1" applyFont="1" applyFill="1" applyAlignment="1"/>
    <xf numFmtId="169" fontId="132" fillId="0" borderId="0" xfId="37696" applyFont="1" applyFill="1" applyAlignment="1"/>
    <xf numFmtId="164" fontId="42" fillId="0" borderId="0" xfId="382" applyNumberFormat="1" applyFont="1" applyFill="1" applyBorder="1" applyAlignment="1">
      <alignment horizontal="center"/>
    </xf>
    <xf numFmtId="164" fontId="42" fillId="37" borderId="18" xfId="404" applyNumberFormat="1" applyFont="1" applyFill="1" applyBorder="1"/>
    <xf numFmtId="17" fontId="42" fillId="0" borderId="18" xfId="382" applyNumberFormat="1" applyFont="1" applyFill="1" applyBorder="1" applyAlignment="1">
      <alignment horizontal="center"/>
    </xf>
    <xf numFmtId="164" fontId="10" fillId="0" borderId="18" xfId="382" applyNumberFormat="1" applyFont="1" applyBorder="1"/>
    <xf numFmtId="164" fontId="42" fillId="37" borderId="18" xfId="382" applyNumberFormat="1" applyFont="1" applyFill="1" applyBorder="1" applyProtection="1">
      <protection locked="0"/>
    </xf>
    <xf numFmtId="0" fontId="141" fillId="0" borderId="0" xfId="0" applyFont="1" applyAlignment="1">
      <alignment vertical="top"/>
    </xf>
    <xf numFmtId="0" fontId="111" fillId="0" borderId="0" xfId="37695" applyFont="1" applyFill="1" applyAlignment="1">
      <alignment horizontal="center"/>
    </xf>
    <xf numFmtId="43" fontId="42" fillId="0" borderId="18" xfId="382" applyFont="1" applyBorder="1" applyAlignment="1">
      <alignment horizontal="center" wrapText="1"/>
    </xf>
    <xf numFmtId="2" fontId="10" fillId="0" borderId="0" xfId="11271" applyNumberFormat="1" applyFont="1" applyFill="1" applyAlignment="1">
      <alignment horizontal="left"/>
    </xf>
    <xf numFmtId="164" fontId="156" fillId="0" borderId="0" xfId="382" applyNumberFormat="1" applyFont="1" applyFill="1"/>
    <xf numFmtId="164" fontId="10" fillId="0" borderId="0" xfId="11271" applyNumberFormat="1" applyFont="1" applyFill="1"/>
    <xf numFmtId="43" fontId="42" fillId="0" borderId="18" xfId="382" quotePrefix="1" applyFont="1" applyFill="1" applyBorder="1" applyAlignment="1">
      <alignment horizontal="left"/>
    </xf>
    <xf numFmtId="164" fontId="42" fillId="0" borderId="18" xfId="382" applyNumberFormat="1" applyFont="1" applyFill="1" applyBorder="1" applyAlignment="1">
      <alignment horizontal="center" wrapText="1"/>
    </xf>
    <xf numFmtId="164" fontId="42" fillId="0" borderId="18" xfId="382" applyNumberFormat="1" applyFont="1" applyFill="1" applyBorder="1" applyAlignment="1">
      <alignment horizontal="center"/>
    </xf>
    <xf numFmtId="43" fontId="42" fillId="0" borderId="18" xfId="382" applyFont="1" applyBorder="1" applyAlignment="1">
      <alignment horizontal="center"/>
    </xf>
    <xf numFmtId="43" fontId="10" fillId="0" borderId="18" xfId="382" applyFont="1" applyBorder="1" applyAlignment="1">
      <alignment horizontal="center"/>
    </xf>
    <xf numFmtId="43" fontId="10" fillId="0" borderId="18" xfId="382" applyFont="1" applyFill="1" applyBorder="1" applyAlignment="1">
      <alignment horizontal="center"/>
    </xf>
    <xf numFmtId="0" fontId="42" fillId="0" borderId="18" xfId="484" applyFont="1" applyFill="1" applyBorder="1" applyAlignment="1">
      <alignment vertical="top"/>
    </xf>
    <xf numFmtId="0" fontId="42" fillId="0" borderId="0" xfId="0" applyFont="1" applyAlignment="1">
      <alignment horizontal="center" vertical="top"/>
    </xf>
    <xf numFmtId="43" fontId="42" fillId="0" borderId="18" xfId="382" applyFont="1" applyFill="1" applyBorder="1" applyAlignment="1">
      <alignment horizontal="center" vertical="center" wrapText="1"/>
    </xf>
    <xf numFmtId="0" fontId="129" fillId="0" borderId="0" xfId="0" quotePrefix="1" applyFont="1" applyFill="1" applyAlignment="1">
      <alignment vertical="center"/>
    </xf>
    <xf numFmtId="164" fontId="42" fillId="0" borderId="0" xfId="674" applyNumberFormat="1" applyFont="1" applyFill="1" applyAlignment="1">
      <alignment vertical="center"/>
    </xf>
    <xf numFmtId="164" fontId="42" fillId="0" borderId="3" xfId="0" applyNumberFormat="1" applyFont="1" applyFill="1" applyBorder="1"/>
    <xf numFmtId="0" fontId="158" fillId="0" borderId="0" xfId="0" applyFont="1"/>
    <xf numFmtId="0" fontId="141" fillId="0" borderId="0" xfId="0" applyFont="1" applyFill="1" applyBorder="1"/>
    <xf numFmtId="0" fontId="9" fillId="0" borderId="0" xfId="11271" applyFont="1" applyFill="1"/>
    <xf numFmtId="164" fontId="9" fillId="0" borderId="0" xfId="11271" applyNumberFormat="1" applyFont="1" applyFill="1"/>
    <xf numFmtId="0" fontId="9" fillId="0" borderId="0" xfId="11271" applyFont="1"/>
    <xf numFmtId="164" fontId="9" fillId="0" borderId="18" xfId="382" applyNumberFormat="1" applyFont="1" applyFill="1" applyBorder="1"/>
    <xf numFmtId="164" fontId="9" fillId="0" borderId="0" xfId="382" quotePrefix="1" applyNumberFormat="1" applyFont="1" applyFill="1"/>
    <xf numFmtId="0" fontId="42" fillId="0" borderId="0" xfId="504" applyFont="1" applyFill="1" applyAlignment="1">
      <alignment horizontal="left" wrapText="1"/>
    </xf>
    <xf numFmtId="164" fontId="42" fillId="0" borderId="54" xfId="382" applyNumberFormat="1" applyFont="1" applyFill="1" applyBorder="1" applyAlignment="1">
      <alignment vertical="top"/>
    </xf>
    <xf numFmtId="164" fontId="122" fillId="0" borderId="54" xfId="382" applyNumberFormat="1" applyFont="1" applyFill="1" applyBorder="1" applyAlignment="1">
      <alignment vertical="top"/>
    </xf>
    <xf numFmtId="164" fontId="16" fillId="37" borderId="35" xfId="382" applyNumberFormat="1" applyFont="1" applyFill="1" applyBorder="1"/>
    <xf numFmtId="195" fontId="42" fillId="37" borderId="37" xfId="382" applyNumberFormat="1" applyFont="1" applyFill="1" applyBorder="1"/>
    <xf numFmtId="164" fontId="16" fillId="0" borderId="35" xfId="382" applyNumberFormat="1" applyFont="1" applyFill="1" applyBorder="1"/>
    <xf numFmtId="0" fontId="147" fillId="0" borderId="0" xfId="0" applyFont="1"/>
    <xf numFmtId="0" fontId="158" fillId="0" borderId="0" xfId="0" applyFont="1" applyAlignment="1"/>
    <xf numFmtId="0" fontId="43" fillId="0" borderId="0" xfId="0" applyFont="1" applyFill="1" applyBorder="1" applyAlignment="1">
      <alignment horizontal="left" vertical="top"/>
    </xf>
    <xf numFmtId="0" fontId="159" fillId="0" borderId="0" xfId="0" applyFont="1" applyFill="1" applyBorder="1"/>
    <xf numFmtId="0" fontId="160" fillId="0" borderId="0" xfId="0" applyFont="1" applyFill="1" applyBorder="1"/>
    <xf numFmtId="0" fontId="43" fillId="0" borderId="0" xfId="0" applyFont="1" applyAlignment="1">
      <alignment vertical="top"/>
    </xf>
    <xf numFmtId="0" fontId="159" fillId="0" borderId="0" xfId="11271" applyFont="1" applyFill="1"/>
    <xf numFmtId="164" fontId="159" fillId="0" borderId="0" xfId="382" applyNumberFormat="1" applyFont="1" applyFill="1"/>
    <xf numFmtId="0" fontId="159" fillId="0" borderId="0" xfId="11271" applyFont="1"/>
    <xf numFmtId="0" fontId="159" fillId="0" borderId="0" xfId="11271" applyFont="1" applyBorder="1"/>
    <xf numFmtId="164" fontId="159" fillId="0" borderId="0" xfId="11271" applyNumberFormat="1" applyFont="1" applyFill="1"/>
    <xf numFmtId="198" fontId="159" fillId="0" borderId="0" xfId="382" applyNumberFormat="1" applyFont="1" applyFill="1"/>
    <xf numFmtId="0" fontId="159" fillId="0" borderId="0" xfId="0" applyFont="1" applyBorder="1"/>
    <xf numFmtId="0" fontId="158" fillId="0" borderId="0" xfId="0" applyFont="1" applyAlignment="1">
      <alignment vertical="center" wrapText="1"/>
    </xf>
    <xf numFmtId="0" fontId="162" fillId="0" borderId="0" xfId="0" applyFont="1" applyAlignment="1">
      <alignment vertical="top" wrapText="1"/>
    </xf>
    <xf numFmtId="0" fontId="125" fillId="0" borderId="0" xfId="504" applyFont="1" applyFill="1"/>
    <xf numFmtId="0" fontId="141" fillId="0" borderId="0" xfId="504" applyFont="1" applyFill="1"/>
    <xf numFmtId="0" fontId="159" fillId="0" borderId="0" xfId="0" applyFont="1" applyAlignment="1">
      <alignment vertical="top"/>
    </xf>
    <xf numFmtId="0" fontId="159" fillId="0" borderId="0" xfId="504" applyFont="1" applyFill="1"/>
    <xf numFmtId="201" fontId="42" fillId="0" borderId="0" xfId="0" applyNumberFormat="1" applyFont="1" applyFill="1" applyAlignment="1">
      <alignment horizontal="left" vertical="top"/>
    </xf>
    <xf numFmtId="201" fontId="42" fillId="0" borderId="0" xfId="0" applyNumberFormat="1" applyFont="1" applyFill="1" applyAlignment="1">
      <alignment horizontal="center"/>
    </xf>
    <xf numFmtId="1" fontId="42" fillId="0" borderId="0" xfId="0" applyNumberFormat="1" applyFont="1" applyFill="1" applyAlignment="1">
      <alignment horizontal="center"/>
    </xf>
    <xf numFmtId="0" fontId="125" fillId="0" borderId="0" xfId="0" applyFont="1" applyFill="1" applyAlignment="1">
      <alignment vertical="top"/>
    </xf>
    <xf numFmtId="0" fontId="125" fillId="0" borderId="0" xfId="474" applyFont="1"/>
    <xf numFmtId="0" fontId="8" fillId="0" borderId="11" xfId="0" applyFont="1" applyFill="1" applyBorder="1"/>
    <xf numFmtId="0" fontId="46" fillId="0" borderId="0" xfId="0" applyFont="1" applyFill="1" applyAlignment="1">
      <alignment horizontal="left" vertical="top"/>
    </xf>
    <xf numFmtId="0" fontId="46" fillId="0" borderId="0" xfId="0" applyNumberFormat="1" applyFont="1" applyFill="1" applyAlignment="1">
      <alignment horizontal="left" vertical="top" wrapText="1"/>
    </xf>
    <xf numFmtId="0" fontId="44" fillId="0" borderId="0" xfId="0" applyNumberFormat="1" applyFont="1" applyFill="1" applyAlignment="1">
      <alignment horizontal="left" vertical="top" wrapText="1"/>
    </xf>
    <xf numFmtId="0" fontId="46" fillId="0" borderId="56" xfId="0" applyNumberFormat="1" applyFont="1" applyFill="1" applyBorder="1" applyAlignment="1">
      <alignment horizontal="center"/>
    </xf>
    <xf numFmtId="10" fontId="46" fillId="0" borderId="26" xfId="674" applyNumberFormat="1" applyFont="1" applyFill="1" applyBorder="1" applyAlignment="1">
      <alignment vertical="top"/>
    </xf>
    <xf numFmtId="3" fontId="44" fillId="0" borderId="38" xfId="0" applyNumberFormat="1" applyFont="1" applyFill="1" applyBorder="1" applyAlignment="1">
      <alignment horizontal="left"/>
    </xf>
    <xf numFmtId="0" fontId="42" fillId="0" borderId="5" xfId="0" applyFont="1" applyBorder="1" applyAlignment="1">
      <alignment vertical="top"/>
    </xf>
    <xf numFmtId="0" fontId="42" fillId="0" borderId="19" xfId="0" applyFont="1" applyFill="1" applyBorder="1" applyAlignment="1">
      <alignment horizontal="left" vertical="top"/>
    </xf>
    <xf numFmtId="2" fontId="42" fillId="0" borderId="0" xfId="11271" applyNumberFormat="1" applyFont="1" applyFill="1" applyAlignment="1">
      <alignment horizontal="left"/>
    </xf>
    <xf numFmtId="0" fontId="42" fillId="0" borderId="0" xfId="11271" applyFont="1" applyFill="1"/>
    <xf numFmtId="164" fontId="42" fillId="0" borderId="0" xfId="11271" applyNumberFormat="1" applyFont="1" applyFill="1"/>
    <xf numFmtId="164" fontId="42" fillId="0" borderId="0" xfId="11271" applyNumberFormat="1" applyFont="1"/>
    <xf numFmtId="164" fontId="42" fillId="0" borderId="0" xfId="382" quotePrefix="1" applyNumberFormat="1" applyFont="1" applyFill="1"/>
    <xf numFmtId="164" fontId="42" fillId="0" borderId="18" xfId="11645" applyNumberFormat="1" applyFont="1" applyFill="1" applyBorder="1"/>
    <xf numFmtId="0" fontId="42" fillId="0" borderId="0" xfId="35157" applyFont="1" applyFill="1" applyBorder="1"/>
    <xf numFmtId="0" fontId="42" fillId="37" borderId="0" xfId="35157" applyFont="1" applyFill="1" applyBorder="1"/>
    <xf numFmtId="164" fontId="42" fillId="37" borderId="35" xfId="382" applyNumberFormat="1" applyFont="1" applyFill="1" applyBorder="1"/>
    <xf numFmtId="0" fontId="42" fillId="0" borderId="0" xfId="0" applyFont="1" applyFill="1" applyBorder="1" applyAlignment="1">
      <alignment horizontal="left" vertical="top" indent="1"/>
    </xf>
    <xf numFmtId="10" fontId="42" fillId="0" borderId="0" xfId="674" applyNumberFormat="1" applyFont="1" applyFill="1" applyAlignment="1">
      <alignment horizontal="center" wrapText="1"/>
    </xf>
    <xf numFmtId="0" fontId="42" fillId="0" borderId="0" xfId="474" applyFont="1" applyAlignment="1"/>
    <xf numFmtId="0" fontId="42" fillId="0" borderId="0" xfId="474" applyFont="1" applyFill="1" applyAlignment="1"/>
    <xf numFmtId="0" fontId="163" fillId="0" borderId="0" xfId="0" applyFont="1" applyAlignment="1"/>
    <xf numFmtId="164" fontId="42" fillId="0" borderId="0" xfId="382" applyNumberFormat="1" applyFont="1" applyAlignment="1">
      <alignment vertical="top"/>
    </xf>
    <xf numFmtId="164" fontId="43" fillId="0" borderId="0" xfId="382" applyNumberFormat="1" applyFont="1" applyFill="1" applyAlignment="1">
      <alignment horizontal="center" vertical="top"/>
    </xf>
    <xf numFmtId="164" fontId="42" fillId="0" borderId="35" xfId="382" applyNumberFormat="1" applyFont="1" applyBorder="1" applyAlignment="1">
      <alignment vertical="top"/>
    </xf>
    <xf numFmtId="164" fontId="123" fillId="0" borderId="35" xfId="382" applyNumberFormat="1" applyFont="1" applyFill="1" applyBorder="1" applyAlignment="1">
      <alignment horizontal="center" wrapText="1"/>
    </xf>
    <xf numFmtId="164" fontId="123" fillId="0" borderId="54" xfId="382" applyNumberFormat="1" applyFont="1" applyFill="1" applyBorder="1" applyAlignment="1">
      <alignment horizontal="center" wrapText="1"/>
    </xf>
    <xf numFmtId="164" fontId="123" fillId="0" borderId="0" xfId="382" applyNumberFormat="1" applyFont="1" applyFill="1" applyBorder="1" applyAlignment="1">
      <alignment horizontal="center" wrapText="1"/>
    </xf>
    <xf numFmtId="164" fontId="42" fillId="0" borderId="0" xfId="382" applyNumberFormat="1" applyFont="1" applyFill="1" applyAlignment="1">
      <alignment horizontal="left" vertical="top"/>
    </xf>
    <xf numFmtId="164" fontId="60" fillId="0" borderId="35" xfId="382" applyNumberFormat="1" applyFont="1" applyFill="1" applyBorder="1" applyAlignment="1">
      <alignment vertical="top"/>
    </xf>
    <xf numFmtId="164" fontId="161" fillId="0" borderId="54" xfId="382" applyNumberFormat="1" applyFont="1" applyFill="1" applyBorder="1" applyAlignment="1">
      <alignment vertical="top"/>
    </xf>
    <xf numFmtId="164" fontId="161" fillId="0" borderId="0" xfId="382" applyNumberFormat="1" applyFont="1" applyFill="1" applyBorder="1" applyAlignment="1">
      <alignment vertical="top"/>
    </xf>
    <xf numFmtId="164" fontId="161" fillId="0" borderId="35" xfId="382" applyNumberFormat="1" applyFont="1" applyFill="1" applyBorder="1" applyAlignment="1">
      <alignment vertical="top"/>
    </xf>
    <xf numFmtId="164" fontId="42" fillId="0" borderId="43" xfId="382" applyNumberFormat="1" applyFont="1" applyFill="1" applyBorder="1" applyAlignment="1">
      <alignment vertical="top"/>
    </xf>
    <xf numFmtId="164" fontId="42" fillId="0" borderId="16" xfId="382" applyNumberFormat="1" applyFont="1" applyFill="1" applyBorder="1" applyAlignment="1">
      <alignment vertical="top"/>
    </xf>
    <xf numFmtId="164" fontId="42" fillId="0" borderId="20" xfId="382" applyNumberFormat="1" applyFont="1" applyFill="1" applyBorder="1" applyAlignment="1">
      <alignment vertical="top"/>
    </xf>
    <xf numFmtId="164" fontId="42" fillId="0" borderId="44" xfId="382" applyNumberFormat="1" applyFont="1" applyFill="1" applyBorder="1" applyAlignment="1">
      <alignment vertical="top"/>
    </xf>
    <xf numFmtId="164" fontId="43" fillId="0" borderId="0" xfId="382" applyNumberFormat="1" applyFont="1" applyFill="1" applyAlignment="1">
      <alignment horizontal="left" vertical="top"/>
    </xf>
    <xf numFmtId="164" fontId="43" fillId="0" borderId="0" xfId="382" applyNumberFormat="1" applyFont="1" applyFill="1" applyAlignment="1">
      <alignment vertical="top"/>
    </xf>
    <xf numFmtId="164" fontId="42" fillId="0" borderId="54" xfId="382" applyNumberFormat="1" applyFont="1" applyFill="1" applyBorder="1" applyAlignment="1">
      <alignment horizontal="center" vertical="top"/>
    </xf>
    <xf numFmtId="164" fontId="42" fillId="0" borderId="0" xfId="382" applyNumberFormat="1" applyFont="1" applyFill="1" applyBorder="1" applyAlignment="1">
      <alignment horizontal="left" vertical="top"/>
    </xf>
    <xf numFmtId="164" fontId="42" fillId="0" borderId="0" xfId="382" applyNumberFormat="1" applyFont="1" applyBorder="1" applyAlignment="1">
      <alignment horizontal="left" vertical="top"/>
    </xf>
    <xf numFmtId="164" fontId="92" fillId="0" borderId="0" xfId="382" applyNumberFormat="1" applyFont="1" applyFill="1" applyBorder="1" applyAlignment="1">
      <alignment vertical="top"/>
    </xf>
    <xf numFmtId="164" fontId="42" fillId="0" borderId="0" xfId="382" applyNumberFormat="1" applyFont="1" applyFill="1" applyBorder="1" applyAlignment="1">
      <alignment horizontal="center" vertical="top"/>
    </xf>
    <xf numFmtId="164" fontId="60" fillId="0" borderId="0" xfId="382" applyNumberFormat="1" applyFont="1" applyFill="1" applyAlignment="1">
      <alignment vertical="top"/>
    </xf>
    <xf numFmtId="164" fontId="141" fillId="0" borderId="54" xfId="382" applyNumberFormat="1" applyFont="1" applyFill="1" applyBorder="1" applyAlignment="1">
      <alignment vertical="top"/>
    </xf>
    <xf numFmtId="164" fontId="141" fillId="0" borderId="0" xfId="382" applyNumberFormat="1" applyFont="1" applyFill="1" applyAlignment="1">
      <alignment vertical="top"/>
    </xf>
    <xf numFmtId="164" fontId="129" fillId="0" borderId="35" xfId="382" applyNumberFormat="1" applyFont="1" applyFill="1" applyBorder="1" applyAlignment="1">
      <alignment vertical="top"/>
    </xf>
    <xf numFmtId="164" fontId="155" fillId="0" borderId="35" xfId="382" applyNumberFormat="1" applyFont="1" applyFill="1" applyBorder="1" applyAlignment="1">
      <alignment vertical="top"/>
    </xf>
    <xf numFmtId="164" fontId="42" fillId="0" borderId="0" xfId="382" applyNumberFormat="1" applyFont="1" applyFill="1" applyBorder="1" applyAlignment="1">
      <alignment vertical="top" wrapText="1"/>
    </xf>
    <xf numFmtId="164" fontId="42" fillId="0" borderId="0" xfId="382" applyNumberFormat="1" applyFont="1" applyFill="1" applyBorder="1" applyAlignment="1">
      <alignment horizontal="left" vertical="top" wrapText="1"/>
    </xf>
    <xf numFmtId="164" fontId="42" fillId="0" borderId="0" xfId="382" applyNumberFormat="1" applyFont="1" applyAlignment="1">
      <alignment horizontal="left" vertical="top"/>
    </xf>
    <xf numFmtId="164" fontId="42" fillId="37" borderId="0" xfId="0" applyNumberFormat="1" applyFont="1" applyFill="1" applyAlignment="1"/>
    <xf numFmtId="0" fontId="163" fillId="0" borderId="0" xfId="0" applyFont="1" applyAlignment="1">
      <alignment horizontal="left" indent="1"/>
    </xf>
    <xf numFmtId="0" fontId="7" fillId="0" borderId="0" xfId="0" applyFont="1" applyFill="1" applyAlignment="1">
      <alignment horizontal="left" indent="1"/>
    </xf>
    <xf numFmtId="164" fontId="0" fillId="0" borderId="0" xfId="382" applyNumberFormat="1" applyFont="1"/>
    <xf numFmtId="0" fontId="42" fillId="0" borderId="0" xfId="0" applyFont="1" applyFill="1" applyAlignment="1">
      <alignment vertical="center"/>
    </xf>
    <xf numFmtId="9" fontId="46" fillId="0" borderId="60" xfId="674" applyNumberFormat="1" applyFont="1" applyFill="1" applyBorder="1" applyAlignment="1">
      <alignment vertical="top"/>
    </xf>
    <xf numFmtId="0" fontId="46" fillId="0" borderId="0" xfId="0" applyFont="1" applyFill="1" applyAlignment="1">
      <alignment vertical="top"/>
    </xf>
    <xf numFmtId="0" fontId="42" fillId="0" borderId="0" xfId="484" applyFont="1" applyFill="1" applyAlignment="1">
      <alignment horizontal="center" vertical="top"/>
    </xf>
    <xf numFmtId="0" fontId="7" fillId="0" borderId="0" xfId="0" applyFont="1" applyFill="1" applyAlignment="1">
      <alignment horizontal="center"/>
    </xf>
    <xf numFmtId="43" fontId="7" fillId="0" borderId="0" xfId="11622" applyFont="1" applyFill="1" applyAlignment="1">
      <alignment horizontal="center"/>
    </xf>
    <xf numFmtId="164" fontId="7" fillId="0" borderId="0" xfId="382" applyNumberFormat="1" applyFont="1" applyFill="1"/>
    <xf numFmtId="164" fontId="7" fillId="0" borderId="0" xfId="11622" applyNumberFormat="1" applyFont="1" applyFill="1"/>
    <xf numFmtId="164" fontId="7" fillId="0" borderId="0" xfId="0" applyNumberFormat="1" applyFont="1" applyFill="1"/>
    <xf numFmtId="164" fontId="7" fillId="0" borderId="0" xfId="0" applyNumberFormat="1" applyFont="1" applyFill="1" applyBorder="1"/>
    <xf numFmtId="164" fontId="7" fillId="0" borderId="17" xfId="0" applyNumberFormat="1" applyFont="1" applyFill="1" applyBorder="1"/>
    <xf numFmtId="0" fontId="7" fillId="0" borderId="0" xfId="0" applyFont="1" applyFill="1"/>
    <xf numFmtId="164" fontId="42" fillId="0" borderId="0" xfId="37701" applyNumberFormat="1" applyFont="1" applyFill="1" applyBorder="1"/>
    <xf numFmtId="0" fontId="42" fillId="0" borderId="0" xfId="37699" applyFont="1" applyFill="1" applyBorder="1"/>
    <xf numFmtId="0" fontId="42" fillId="0" borderId="0" xfId="11275" applyFont="1" applyFill="1" applyBorder="1" applyAlignment="1">
      <alignment vertical="top"/>
    </xf>
    <xf numFmtId="0" fontId="42" fillId="0" borderId="0" xfId="11275" quotePrefix="1" applyFont="1" applyFill="1" applyBorder="1" applyAlignment="1">
      <alignment vertical="top"/>
    </xf>
    <xf numFmtId="0" fontId="138" fillId="0" borderId="0" xfId="11275" applyFont="1"/>
    <xf numFmtId="164" fontId="0" fillId="0" borderId="0" xfId="382" applyNumberFormat="1" applyFont="1" applyAlignment="1">
      <alignment horizontal="center"/>
    </xf>
    <xf numFmtId="0" fontId="0" fillId="0" borderId="0" xfId="0" applyAlignment="1">
      <alignment horizontal="left" indent="1"/>
    </xf>
    <xf numFmtId="0" fontId="0" fillId="0" borderId="0" xfId="0" quotePrefix="1" applyAlignment="1">
      <alignment horizontal="center"/>
    </xf>
    <xf numFmtId="169" fontId="149" fillId="0" borderId="0" xfId="37694" applyFont="1" applyAlignment="1"/>
    <xf numFmtId="169" fontId="46" fillId="0" borderId="0" xfId="37694" applyFont="1" applyAlignment="1">
      <alignment vertical="top"/>
    </xf>
    <xf numFmtId="10" fontId="46" fillId="0" borderId="60" xfId="674" applyNumberFormat="1" applyFont="1" applyFill="1" applyBorder="1" applyAlignment="1">
      <alignment vertical="top"/>
    </xf>
    <xf numFmtId="0" fontId="42" fillId="0" borderId="0" xfId="0" applyFont="1" applyFill="1" applyBorder="1" applyAlignment="1">
      <alignment horizontal="left" vertical="top"/>
    </xf>
    <xf numFmtId="164" fontId="0" fillId="0" borderId="16" xfId="382" applyNumberFormat="1" applyFont="1" applyBorder="1"/>
    <xf numFmtId="164" fontId="42" fillId="0" borderId="0" xfId="382" applyNumberFormat="1" applyFont="1" applyAlignment="1">
      <alignment horizontal="left"/>
    </xf>
    <xf numFmtId="164" fontId="42" fillId="0" borderId="0" xfId="0" applyNumberFormat="1" applyFont="1" applyFill="1" applyBorder="1"/>
    <xf numFmtId="0" fontId="42" fillId="0" borderId="0" xfId="35688" applyFont="1"/>
    <xf numFmtId="43" fontId="42" fillId="0" borderId="0" xfId="11622" applyFont="1"/>
    <xf numFmtId="0" fontId="42" fillId="0" borderId="0" xfId="35688" applyFont="1" applyFill="1"/>
    <xf numFmtId="43" fontId="122" fillId="0" borderId="0" xfId="382" applyFont="1"/>
    <xf numFmtId="43" fontId="122" fillId="0" borderId="0" xfId="382" applyFont="1" applyAlignment="1">
      <alignment horizontal="center"/>
    </xf>
    <xf numFmtId="43" fontId="122" fillId="0" borderId="0" xfId="382" applyFont="1" applyAlignment="1">
      <alignment horizontal="left" indent="1"/>
    </xf>
    <xf numFmtId="164" fontId="0" fillId="51" borderId="0" xfId="382" applyNumberFormat="1" applyFont="1" applyFill="1"/>
    <xf numFmtId="164" fontId="0" fillId="0" borderId="18" xfId="382" applyNumberFormat="1" applyFont="1" applyFill="1" applyBorder="1"/>
    <xf numFmtId="10" fontId="0" fillId="0" borderId="18" xfId="674" applyNumberFormat="1" applyFont="1" applyFill="1" applyBorder="1"/>
    <xf numFmtId="0" fontId="0" fillId="0" borderId="0" xfId="0" quotePrefix="1" applyAlignment="1">
      <alignment vertical="top"/>
    </xf>
    <xf numFmtId="0" fontId="0" fillId="0" borderId="0" xfId="0" quotePrefix="1"/>
    <xf numFmtId="164" fontId="42" fillId="0" borderId="70" xfId="382" applyNumberFormat="1" applyFont="1" applyFill="1" applyBorder="1" applyAlignment="1">
      <alignment vertical="top"/>
    </xf>
    <xf numFmtId="0" fontId="46" fillId="0" borderId="0" xfId="0" applyNumberFormat="1" applyFont="1" applyFill="1" applyBorder="1" applyAlignment="1">
      <alignment horizontal="left"/>
    </xf>
    <xf numFmtId="0" fontId="42" fillId="0" borderId="0" xfId="474" applyFont="1" applyFill="1" applyBorder="1"/>
    <xf numFmtId="0" fontId="42" fillId="0" borderId="0" xfId="0" applyFont="1" applyFill="1" applyAlignment="1">
      <alignment horizontal="center"/>
    </xf>
    <xf numFmtId="43" fontId="122" fillId="0" borderId="0" xfId="382" applyFont="1" applyFill="1" applyAlignment="1">
      <alignment horizontal="left"/>
    </xf>
    <xf numFmtId="0" fontId="42" fillId="0" borderId="0" xfId="0" applyFont="1" applyAlignment="1">
      <alignment horizontal="center" vertical="top"/>
    </xf>
    <xf numFmtId="0" fontId="42" fillId="0" borderId="0" xfId="0" applyFont="1" applyAlignment="1">
      <alignment horizontal="center" vertical="center"/>
    </xf>
    <xf numFmtId="164" fontId="122" fillId="37" borderId="0" xfId="382" applyNumberFormat="1" applyFont="1" applyFill="1"/>
    <xf numFmtId="0" fontId="125" fillId="0" borderId="0" xfId="0" applyFont="1" applyFill="1" applyAlignment="1">
      <alignment horizontal="left"/>
    </xf>
    <xf numFmtId="17" fontId="42" fillId="37" borderId="0" xfId="0" applyNumberFormat="1" applyFont="1" applyFill="1" applyBorder="1" applyAlignment="1">
      <alignment horizontal="center"/>
    </xf>
    <xf numFmtId="10" fontId="42" fillId="37" borderId="0" xfId="678" applyNumberFormat="1" applyFont="1" applyFill="1" applyBorder="1"/>
    <xf numFmtId="0" fontId="125" fillId="0" borderId="0" xfId="0" quotePrefix="1" applyFont="1" applyFill="1" applyAlignment="1">
      <alignment horizontal="center"/>
    </xf>
    <xf numFmtId="164" fontId="6" fillId="0" borderId="0" xfId="382" applyNumberFormat="1" applyFont="1" applyFill="1"/>
    <xf numFmtId="164" fontId="125" fillId="0" borderId="0" xfId="382" quotePrefix="1" applyNumberFormat="1" applyFont="1" applyFill="1" applyAlignment="1">
      <alignment horizontal="center"/>
    </xf>
    <xf numFmtId="164" fontId="42" fillId="54" borderId="71" xfId="382" applyNumberFormat="1" applyFont="1" applyFill="1" applyBorder="1" applyAlignment="1"/>
    <xf numFmtId="164" fontId="42" fillId="54" borderId="72" xfId="0" applyNumberFormat="1" applyFont="1" applyFill="1" applyBorder="1"/>
    <xf numFmtId="164" fontId="42" fillId="54" borderId="73" xfId="0" applyNumberFormat="1" applyFont="1" applyFill="1" applyBorder="1"/>
    <xf numFmtId="164" fontId="122" fillId="0" borderId="0" xfId="0" applyNumberFormat="1" applyFont="1" applyFill="1"/>
    <xf numFmtId="164" fontId="42" fillId="54" borderId="19" xfId="0" applyNumberFormat="1" applyFont="1" applyFill="1" applyBorder="1"/>
    <xf numFmtId="0" fontId="42" fillId="54" borderId="5" xfId="0" applyFont="1" applyFill="1" applyBorder="1"/>
    <xf numFmtId="0" fontId="42" fillId="54" borderId="70" xfId="0" applyFont="1" applyFill="1" applyBorder="1"/>
    <xf numFmtId="0" fontId="125" fillId="0" borderId="0" xfId="0" applyFont="1" applyFill="1" applyAlignment="1">
      <alignment horizontal="center" vertical="top"/>
    </xf>
    <xf numFmtId="0" fontId="125" fillId="0" borderId="0" xfId="0" applyFont="1" applyFill="1" applyAlignment="1">
      <alignment horizontal="left" vertical="top"/>
    </xf>
    <xf numFmtId="0" fontId="125" fillId="0" borderId="0" xfId="0" applyFont="1" applyFill="1"/>
    <xf numFmtId="164" fontId="46" fillId="0" borderId="0" xfId="382" applyNumberFormat="1" applyFont="1" applyAlignment="1"/>
    <xf numFmtId="164" fontId="46" fillId="0" borderId="0" xfId="382" applyNumberFormat="1" applyFont="1" applyFill="1" applyAlignment="1">
      <alignment vertical="top"/>
    </xf>
    <xf numFmtId="164" fontId="44" fillId="0" borderId="0" xfId="382" applyNumberFormat="1" applyFont="1" applyFill="1" applyAlignment="1">
      <alignment vertical="top"/>
    </xf>
    <xf numFmtId="164" fontId="13" fillId="37" borderId="0" xfId="382" applyNumberFormat="1" applyFont="1" applyFill="1"/>
    <xf numFmtId="0" fontId="159" fillId="0" borderId="0" xfId="0" applyFont="1"/>
    <xf numFmtId="0" fontId="125" fillId="0" borderId="0" xfId="484" applyFont="1" applyFill="1" applyAlignment="1">
      <alignment vertical="top"/>
    </xf>
    <xf numFmtId="164" fontId="42" fillId="37" borderId="18" xfId="13644" applyNumberFormat="1" applyFont="1" applyFill="1" applyBorder="1"/>
    <xf numFmtId="43" fontId="42" fillId="37" borderId="0" xfId="382" applyFont="1" applyFill="1" applyBorder="1"/>
    <xf numFmtId="43" fontId="16" fillId="37" borderId="0" xfId="382" applyFont="1" applyFill="1" applyBorder="1"/>
    <xf numFmtId="164" fontId="26" fillId="0" borderId="0" xfId="496" applyNumberFormat="1" applyFont="1" applyFill="1" applyAlignment="1">
      <alignment vertical="top"/>
    </xf>
    <xf numFmtId="164" fontId="42" fillId="37" borderId="18" xfId="0" applyNumberFormat="1" applyFont="1" applyFill="1" applyBorder="1" applyAlignment="1"/>
    <xf numFmtId="43" fontId="7" fillId="0" borderId="18" xfId="382" applyFont="1" applyFill="1" applyBorder="1" applyAlignment="1">
      <alignment horizontal="center" wrapText="1"/>
    </xf>
    <xf numFmtId="0" fontId="42" fillId="0" borderId="0" xfId="484" applyFont="1" applyAlignment="1">
      <alignment vertical="top" wrapText="1"/>
    </xf>
    <xf numFmtId="10" fontId="46" fillId="37" borderId="60" xfId="0" applyNumberFormat="1" applyFont="1" applyFill="1" applyBorder="1" applyAlignment="1"/>
    <xf numFmtId="171" fontId="44" fillId="0" borderId="63" xfId="674" applyNumberFormat="1" applyFont="1" applyFill="1" applyBorder="1" applyAlignment="1"/>
    <xf numFmtId="10" fontId="46" fillId="0" borderId="61" xfId="674" applyNumberFormat="1" applyFont="1" applyFill="1" applyBorder="1"/>
    <xf numFmtId="0" fontId="42" fillId="0" borderId="0" xfId="0" quotePrefix="1" applyFont="1" applyFill="1"/>
    <xf numFmtId="0" fontId="4" fillId="0" borderId="0" xfId="0" applyFont="1" applyFill="1" applyAlignment="1">
      <alignment horizontal="left"/>
    </xf>
    <xf numFmtId="10" fontId="137" fillId="0" borderId="0" xfId="31558" applyNumberFormat="1" applyFont="1" applyFill="1"/>
    <xf numFmtId="0" fontId="4" fillId="0" borderId="0" xfId="0" applyFont="1" applyAlignment="1">
      <alignment horizontal="left"/>
    </xf>
    <xf numFmtId="10" fontId="137" fillId="0" borderId="0" xfId="31558" applyNumberFormat="1" applyFont="1"/>
    <xf numFmtId="13" fontId="42" fillId="0" borderId="0" xfId="382" applyNumberFormat="1" applyFont="1" applyAlignment="1">
      <alignment vertical="center"/>
    </xf>
    <xf numFmtId="0" fontId="42" fillId="0" borderId="0" xfId="0" applyFont="1" applyAlignment="1">
      <alignment vertical="center"/>
    </xf>
    <xf numFmtId="16" fontId="42" fillId="0" borderId="0" xfId="0" applyNumberFormat="1" applyFont="1" applyAlignment="1">
      <alignment vertical="center"/>
    </xf>
    <xf numFmtId="13" fontId="42" fillId="0" borderId="0" xfId="382" applyNumberFormat="1" applyFont="1"/>
    <xf numFmtId="16" fontId="42" fillId="0" borderId="0" xfId="0" applyNumberFormat="1" applyFont="1"/>
    <xf numFmtId="10" fontId="42" fillId="0" borderId="0" xfId="674" applyNumberFormat="1" applyFont="1"/>
    <xf numFmtId="0" fontId="42" fillId="53" borderId="0" xfId="0" applyFont="1" applyFill="1"/>
    <xf numFmtId="0" fontId="42" fillId="55" borderId="0" xfId="504" applyFont="1" applyFill="1"/>
    <xf numFmtId="0" fontId="166" fillId="0" borderId="0" xfId="0" applyFont="1" applyFill="1"/>
    <xf numFmtId="0" fontId="46" fillId="0" borderId="18" xfId="0" applyNumberFormat="1" applyFont="1" applyFill="1" applyBorder="1" applyAlignment="1">
      <alignment horizontal="left"/>
    </xf>
    <xf numFmtId="169" fontId="111" fillId="54" borderId="0" xfId="37694" applyFont="1" applyFill="1" applyAlignment="1"/>
    <xf numFmtId="0" fontId="46" fillId="0" borderId="22" xfId="0" applyNumberFormat="1" applyFont="1" applyBorder="1" applyAlignment="1">
      <alignment horizontal="center" vertical="center"/>
    </xf>
    <xf numFmtId="0" fontId="148" fillId="0" borderId="35" xfId="0" applyNumberFormat="1" applyFont="1" applyFill="1" applyBorder="1" applyAlignment="1">
      <alignment horizontal="left"/>
    </xf>
    <xf numFmtId="0" fontId="163" fillId="0" borderId="0" xfId="0" applyFont="1" applyFill="1" applyAlignment="1">
      <alignment vertical="top"/>
    </xf>
    <xf numFmtId="2" fontId="42" fillId="37" borderId="0" xfId="11271" applyNumberFormat="1" applyFont="1" applyFill="1" applyAlignment="1">
      <alignment horizontal="left"/>
    </xf>
    <xf numFmtId="0" fontId="42" fillId="37" borderId="0" xfId="11271" applyFont="1" applyFill="1"/>
    <xf numFmtId="0" fontId="16" fillId="37" borderId="18" xfId="11271" applyFont="1" applyFill="1" applyBorder="1"/>
    <xf numFmtId="164" fontId="42" fillId="37" borderId="0" xfId="11271" applyNumberFormat="1" applyFont="1" applyFill="1"/>
    <xf numFmtId="0" fontId="42" fillId="56" borderId="0" xfId="0" applyFont="1" applyFill="1" applyBorder="1" applyAlignment="1">
      <alignment horizontal="left" vertical="top"/>
    </xf>
    <xf numFmtId="0" fontId="62" fillId="0" borderId="0" xfId="11275" quotePrefix="1" applyFont="1" applyAlignment="1">
      <alignment horizontal="center"/>
    </xf>
    <xf numFmtId="0" fontId="3" fillId="0" borderId="0" xfId="0" applyFont="1" applyFill="1" applyAlignment="1">
      <alignment horizontal="left" indent="1"/>
    </xf>
    <xf numFmtId="164" fontId="125" fillId="0" borderId="0" xfId="382" applyNumberFormat="1" applyFont="1" applyBorder="1"/>
    <xf numFmtId="164" fontId="159" fillId="0" borderId="0" xfId="382" applyNumberFormat="1" applyFont="1" applyBorder="1" applyAlignment="1">
      <alignment vertical="top"/>
    </xf>
    <xf numFmtId="0" fontId="42" fillId="0" borderId="0" xfId="0" applyFont="1" applyFill="1" applyBorder="1" applyAlignment="1">
      <alignment horizontal="left" vertical="top"/>
    </xf>
    <xf numFmtId="0" fontId="46" fillId="0" borderId="0" xfId="0" quotePrefix="1" applyFont="1" applyFill="1" applyBorder="1" applyAlignment="1">
      <alignment horizontal="center"/>
    </xf>
    <xf numFmtId="0" fontId="42" fillId="0" borderId="0" xfId="0" applyFont="1" applyFill="1" applyAlignment="1">
      <alignment wrapText="1"/>
    </xf>
    <xf numFmtId="0" fontId="42" fillId="0" borderId="0" xfId="0" applyFont="1" applyFill="1" applyBorder="1" applyAlignment="1">
      <alignment wrapText="1"/>
    </xf>
    <xf numFmtId="43" fontId="43" fillId="0" borderId="45" xfId="403" applyFont="1" applyFill="1" applyBorder="1" applyAlignment="1">
      <alignment horizontal="center"/>
    </xf>
    <xf numFmtId="37" fontId="42" fillId="0" borderId="43" xfId="0" applyNumberFormat="1" applyFont="1" applyFill="1" applyBorder="1" applyAlignment="1"/>
    <xf numFmtId="37" fontId="42" fillId="0" borderId="54" xfId="0" applyNumberFormat="1" applyFont="1" applyFill="1" applyBorder="1" applyAlignment="1"/>
    <xf numFmtId="0" fontId="42" fillId="0" borderId="54" xfId="0" applyFont="1" applyFill="1" applyBorder="1" applyAlignment="1">
      <alignment wrapText="1"/>
    </xf>
    <xf numFmtId="0" fontId="42" fillId="0" borderId="54" xfId="0" applyFont="1" applyFill="1" applyBorder="1" applyAlignment="1"/>
    <xf numFmtId="43" fontId="123" fillId="0" borderId="54" xfId="382" applyFont="1" applyFill="1" applyBorder="1" applyAlignment="1">
      <alignment horizontal="center"/>
    </xf>
    <xf numFmtId="43" fontId="123" fillId="0" borderId="0" xfId="382" applyFont="1" applyFill="1" applyAlignment="1">
      <alignment horizontal="center"/>
    </xf>
    <xf numFmtId="37" fontId="42" fillId="0" borderId="0" xfId="0" applyNumberFormat="1" applyFont="1" applyFill="1" applyBorder="1" applyAlignment="1">
      <alignment wrapText="1"/>
    </xf>
    <xf numFmtId="0" fontId="0" fillId="0" borderId="0" xfId="0" applyFont="1" applyFill="1" applyAlignment="1">
      <alignment vertical="top"/>
    </xf>
    <xf numFmtId="0" fontId="43" fillId="0" borderId="0" xfId="0" applyFont="1" applyFill="1" applyAlignment="1">
      <alignment horizontal="left" vertical="top"/>
    </xf>
    <xf numFmtId="0" fontId="163" fillId="0" borderId="0" xfId="0" applyFont="1" applyAlignment="1">
      <alignment vertical="top"/>
    </xf>
    <xf numFmtId="0" fontId="46" fillId="0" borderId="18" xfId="0" applyNumberFormat="1" applyFont="1" applyFill="1" applyBorder="1" applyAlignment="1">
      <alignment horizontal="left"/>
    </xf>
    <xf numFmtId="0" fontId="46" fillId="0" borderId="18" xfId="0" applyNumberFormat="1" applyFont="1" applyFill="1" applyBorder="1" applyAlignment="1">
      <alignment horizontal="center"/>
    </xf>
    <xf numFmtId="0" fontId="46" fillId="0" borderId="0" xfId="0" applyFont="1" applyFill="1" applyBorder="1" applyAlignment="1">
      <alignment horizontal="left"/>
    </xf>
    <xf numFmtId="0" fontId="46" fillId="0" borderId="18" xfId="0" applyFont="1" applyFill="1" applyBorder="1" applyAlignment="1">
      <alignment horizontal="left"/>
    </xf>
    <xf numFmtId="0" fontId="42" fillId="0" borderId="0" xfId="0" applyFont="1" applyFill="1" applyAlignment="1">
      <alignment horizontal="center"/>
    </xf>
    <xf numFmtId="0" fontId="42" fillId="0" borderId="0" xfId="0" applyFont="1" applyFill="1" applyAlignment="1">
      <alignment horizontal="left" vertical="top" wrapText="1"/>
    </xf>
    <xf numFmtId="43" fontId="42" fillId="0" borderId="0" xfId="0" applyNumberFormat="1" applyFont="1" applyFill="1" applyAlignment="1">
      <alignment horizontal="left"/>
    </xf>
    <xf numFmtId="0" fontId="42" fillId="0" borderId="0" xfId="0" applyFont="1" applyAlignment="1">
      <alignment horizontal="center"/>
    </xf>
    <xf numFmtId="0" fontId="42" fillId="0" borderId="0" xfId="504" applyFont="1" applyFill="1" applyBorder="1" applyAlignment="1">
      <alignment horizontal="left"/>
    </xf>
    <xf numFmtId="0" fontId="42" fillId="0" borderId="0" xfId="0" applyFont="1" applyAlignment="1">
      <alignment horizontal="center" vertical="top"/>
    </xf>
    <xf numFmtId="0" fontId="42" fillId="0" borderId="0" xfId="474" applyFont="1" applyFill="1" applyAlignment="1">
      <alignment horizontal="center"/>
    </xf>
    <xf numFmtId="3" fontId="42" fillId="0" borderId="0" xfId="11265" quotePrefix="1" applyNumberFormat="1" applyFont="1" applyFill="1" applyAlignment="1">
      <alignment horizontal="center"/>
    </xf>
    <xf numFmtId="0" fontId="42" fillId="0" borderId="0" xfId="569" applyFont="1" applyFill="1" applyBorder="1" applyAlignment="1">
      <alignment horizontal="center" vertical="top"/>
    </xf>
    <xf numFmtId="0" fontId="42" fillId="0" borderId="0" xfId="564" quotePrefix="1" applyFont="1" applyFill="1" applyBorder="1" applyAlignment="1">
      <alignment horizontal="center" vertical="top"/>
    </xf>
    <xf numFmtId="0" fontId="42" fillId="0" borderId="0" xfId="0" applyFont="1" applyFill="1" applyBorder="1" applyAlignment="1">
      <alignment horizontal="left" vertical="top"/>
    </xf>
    <xf numFmtId="0" fontId="42" fillId="0" borderId="0" xfId="0" quotePrefix="1" applyFont="1" applyFill="1" applyBorder="1" applyAlignment="1">
      <alignment horizontal="center" vertical="top"/>
    </xf>
    <xf numFmtId="0" fontId="42" fillId="0" borderId="0" xfId="11272" applyFont="1" applyAlignment="1">
      <alignment horizontal="center" vertical="top"/>
    </xf>
    <xf numFmtId="0" fontId="42" fillId="0" borderId="0" xfId="569" quotePrefix="1" applyFont="1" applyFill="1" applyBorder="1" applyAlignment="1">
      <alignment horizontal="center" vertical="top"/>
    </xf>
    <xf numFmtId="0" fontId="42" fillId="0" borderId="0" xfId="0" applyFont="1" applyAlignment="1">
      <alignment horizontal="center" vertical="center"/>
    </xf>
    <xf numFmtId="0" fontId="42" fillId="0" borderId="0" xfId="0" applyFont="1" applyFill="1" applyAlignment="1">
      <alignment vertical="top" wrapText="1"/>
    </xf>
    <xf numFmtId="0" fontId="42" fillId="0" borderId="0" xfId="484" applyFont="1" applyFill="1" applyAlignment="1">
      <alignment horizontal="center" vertical="top"/>
    </xf>
    <xf numFmtId="0" fontId="111" fillId="37" borderId="0" xfId="37695" applyFont="1" applyFill="1"/>
    <xf numFmtId="0" fontId="111" fillId="37" borderId="0" xfId="37696" applyNumberFormat="1" applyFont="1" applyFill="1"/>
    <xf numFmtId="0" fontId="111" fillId="37" borderId="0" xfId="37697" applyNumberFormat="1" applyFont="1" applyFill="1" applyAlignment="1">
      <alignment horizontal="right"/>
    </xf>
    <xf numFmtId="169" fontId="111" fillId="37" borderId="0" xfId="37694" applyFont="1" applyFill="1" applyAlignment="1"/>
    <xf numFmtId="0" fontId="111" fillId="37" borderId="0" xfId="37695" applyFont="1" applyFill="1" applyAlignment="1">
      <alignment horizontal="right"/>
    </xf>
    <xf numFmtId="0" fontId="46" fillId="0" borderId="35" xfId="0" quotePrefix="1" applyFont="1" applyFill="1" applyBorder="1" applyAlignment="1">
      <alignment horizontal="left" vertical="center"/>
    </xf>
    <xf numFmtId="164" fontId="46" fillId="0" borderId="30" xfId="382" quotePrefix="1" applyNumberFormat="1" applyFont="1" applyFill="1" applyBorder="1" applyAlignment="1">
      <alignment horizontal="right" vertical="center"/>
    </xf>
    <xf numFmtId="164" fontId="46" fillId="0" borderId="61" xfId="382" quotePrefix="1" applyNumberFormat="1" applyFont="1" applyFill="1" applyBorder="1" applyAlignment="1">
      <alignment horizontal="right" vertical="center"/>
    </xf>
    <xf numFmtId="164" fontId="46" fillId="0" borderId="26" xfId="382" quotePrefix="1" applyNumberFormat="1" applyFont="1" applyFill="1" applyBorder="1" applyAlignment="1">
      <alignment horizontal="right" vertical="center"/>
    </xf>
    <xf numFmtId="164" fontId="46" fillId="0" borderId="60" xfId="382" quotePrefix="1" applyNumberFormat="1" applyFont="1" applyFill="1" applyBorder="1" applyAlignment="1">
      <alignment horizontal="right" vertical="center"/>
    </xf>
    <xf numFmtId="10" fontId="46" fillId="37" borderId="26" xfId="674" applyNumberFormat="1" applyFont="1" applyFill="1" applyBorder="1" applyAlignment="1"/>
    <xf numFmtId="10" fontId="46" fillId="37" borderId="60" xfId="674" applyNumberFormat="1" applyFont="1" applyFill="1" applyBorder="1" applyAlignment="1"/>
    <xf numFmtId="187" fontId="42" fillId="37" borderId="0" xfId="510" applyNumberFormat="1" applyFont="1" applyFill="1" applyBorder="1" applyAlignment="1">
      <alignment horizontal="left" vertical="center"/>
    </xf>
    <xf numFmtId="0" fontId="42" fillId="37" borderId="0" xfId="504" applyFont="1" applyFill="1"/>
    <xf numFmtId="0" fontId="42" fillId="37" borderId="0" xfId="504" applyFont="1" applyFill="1" applyAlignment="1">
      <alignment horizontal="left"/>
    </xf>
    <xf numFmtId="0" fontId="42" fillId="37" borderId="0" xfId="504" applyFont="1" applyFill="1" applyBorder="1"/>
    <xf numFmtId="0" fontId="42" fillId="37" borderId="18" xfId="504" applyFont="1" applyFill="1" applyBorder="1"/>
    <xf numFmtId="0" fontId="42" fillId="37" borderId="0" xfId="0" applyNumberFormat="1" applyFont="1" applyFill="1" applyBorder="1" applyAlignment="1">
      <alignment horizontal="left" indent="1"/>
    </xf>
    <xf numFmtId="164" fontId="42" fillId="37" borderId="0" xfId="382" applyNumberFormat="1" applyFont="1" applyFill="1" applyBorder="1" applyAlignment="1">
      <alignment horizontal="center" wrapText="1"/>
    </xf>
    <xf numFmtId="0" fontId="129" fillId="37" borderId="0" xfId="504" applyFont="1" applyFill="1"/>
    <xf numFmtId="164" fontId="42" fillId="0" borderId="0" xfId="382" quotePrefix="1" applyNumberFormat="1" applyFont="1" applyFill="1" applyBorder="1"/>
    <xf numFmtId="0" fontId="42" fillId="0" borderId="0" xfId="504" quotePrefix="1" applyFont="1" applyFill="1" applyAlignment="1">
      <alignment horizontal="left"/>
    </xf>
    <xf numFmtId="164" fontId="129" fillId="0" borderId="0" xfId="382" applyNumberFormat="1" applyFont="1" applyFill="1" applyBorder="1" applyAlignment="1">
      <alignment horizontal="center"/>
    </xf>
    <xf numFmtId="0" fontId="42" fillId="0" borderId="0" xfId="474" applyFont="1" applyFill="1" applyBorder="1" applyAlignment="1">
      <alignment horizontal="center"/>
    </xf>
    <xf numFmtId="164" fontId="42" fillId="0" borderId="0" xfId="0" applyNumberFormat="1" applyFont="1" applyFill="1" applyAlignment="1"/>
    <xf numFmtId="164" fontId="42" fillId="0" borderId="35" xfId="382" applyNumberFormat="1" applyFont="1" applyFill="1" applyBorder="1"/>
    <xf numFmtId="0" fontId="42" fillId="0" borderId="0" xfId="0" quotePrefix="1" applyFont="1" applyBorder="1"/>
    <xf numFmtId="164" fontId="42" fillId="37" borderId="0" xfId="382" applyNumberFormat="1" applyFont="1" applyFill="1" applyAlignment="1"/>
    <xf numFmtId="201" fontId="42" fillId="37" borderId="0" xfId="0" applyNumberFormat="1" applyFont="1" applyFill="1" applyAlignment="1">
      <alignment horizontal="left" vertical="top"/>
    </xf>
    <xf numFmtId="0" fontId="42" fillId="37" borderId="0" xfId="0" applyFont="1" applyFill="1" applyBorder="1" applyAlignment="1">
      <alignment vertical="top"/>
    </xf>
    <xf numFmtId="164" fontId="42" fillId="37" borderId="54" xfId="382" applyNumberFormat="1" applyFont="1" applyFill="1" applyBorder="1" applyAlignment="1">
      <alignment vertical="top"/>
    </xf>
    <xf numFmtId="164" fontId="42" fillId="37" borderId="0" xfId="382" applyNumberFormat="1" applyFont="1" applyFill="1" applyBorder="1" applyAlignment="1">
      <alignment vertical="top"/>
    </xf>
    <xf numFmtId="164" fontId="42" fillId="37" borderId="35" xfId="382" applyNumberFormat="1" applyFont="1" applyFill="1" applyBorder="1" applyAlignment="1">
      <alignment vertical="top"/>
    </xf>
    <xf numFmtId="0" fontId="42" fillId="37" borderId="0" xfId="0" applyFont="1" applyFill="1" applyBorder="1" applyAlignment="1">
      <alignment wrapText="1"/>
    </xf>
    <xf numFmtId="2" fontId="42" fillId="37" borderId="0" xfId="0" applyNumberFormat="1" applyFont="1" applyFill="1" applyAlignment="1">
      <alignment horizontal="center" vertical="top"/>
    </xf>
    <xf numFmtId="2" fontId="42" fillId="37" borderId="0" xfId="0" applyNumberFormat="1" applyFont="1" applyFill="1" applyAlignment="1">
      <alignment horizontal="left" vertical="top"/>
    </xf>
    <xf numFmtId="164" fontId="42" fillId="37" borderId="45" xfId="382" applyNumberFormat="1" applyFont="1" applyFill="1" applyBorder="1" applyAlignment="1">
      <alignment vertical="top"/>
    </xf>
    <xf numFmtId="164" fontId="42" fillId="37" borderId="37" xfId="382" applyNumberFormat="1" applyFont="1" applyFill="1" applyBorder="1" applyAlignment="1">
      <alignment vertical="top"/>
    </xf>
    <xf numFmtId="164" fontId="42" fillId="37" borderId="54" xfId="382" applyNumberFormat="1" applyFont="1" applyFill="1" applyBorder="1" applyAlignment="1">
      <alignment horizontal="center" vertical="top"/>
    </xf>
    <xf numFmtId="164" fontId="42" fillId="37" borderId="0" xfId="382" applyNumberFormat="1" applyFont="1" applyFill="1" applyBorder="1" applyAlignment="1">
      <alignment horizontal="center" vertical="top"/>
    </xf>
    <xf numFmtId="164" fontId="42" fillId="37" borderId="35" xfId="382" applyNumberFormat="1" applyFont="1" applyFill="1" applyBorder="1" applyAlignment="1">
      <alignment horizontal="center" vertical="top"/>
    </xf>
    <xf numFmtId="164" fontId="42" fillId="37" borderId="54" xfId="403" applyNumberFormat="1" applyFont="1" applyFill="1" applyBorder="1" applyAlignment="1">
      <alignment horizontal="center"/>
    </xf>
    <xf numFmtId="0" fontId="42" fillId="37" borderId="54" xfId="0" applyFont="1" applyFill="1" applyBorder="1" applyAlignment="1">
      <alignment wrapText="1"/>
    </xf>
    <xf numFmtId="0" fontId="42" fillId="37" borderId="0" xfId="0" applyFont="1" applyFill="1" applyAlignment="1">
      <alignment vertical="top"/>
    </xf>
    <xf numFmtId="0" fontId="42" fillId="37" borderId="0" xfId="0" applyFont="1" applyFill="1" applyAlignment="1">
      <alignment wrapText="1"/>
    </xf>
    <xf numFmtId="2" fontId="42" fillId="37" borderId="0" xfId="0" quotePrefix="1" applyNumberFormat="1" applyFont="1" applyFill="1" applyAlignment="1">
      <alignment horizontal="left" vertical="top"/>
    </xf>
    <xf numFmtId="0" fontId="43" fillId="37" borderId="0" xfId="0" applyFont="1" applyFill="1" applyAlignment="1">
      <alignment vertical="top"/>
    </xf>
    <xf numFmtId="164" fontId="43" fillId="37" borderId="54" xfId="382" applyNumberFormat="1" applyFont="1" applyFill="1" applyBorder="1" applyAlignment="1">
      <alignment vertical="top"/>
    </xf>
    <xf numFmtId="164" fontId="43" fillId="37" borderId="0" xfId="382" applyNumberFormat="1" applyFont="1" applyFill="1" applyBorder="1" applyAlignment="1">
      <alignment vertical="top"/>
    </xf>
    <xf numFmtId="164" fontId="43" fillId="37" borderId="35" xfId="382" applyNumberFormat="1" applyFont="1" applyFill="1" applyBorder="1" applyAlignment="1">
      <alignment vertical="top"/>
    </xf>
    <xf numFmtId="0" fontId="43" fillId="37" borderId="0" xfId="0" applyFont="1" applyFill="1" applyAlignment="1">
      <alignment wrapText="1"/>
    </xf>
    <xf numFmtId="2" fontId="42" fillId="37" borderId="0" xfId="0" quotePrefix="1" applyNumberFormat="1" applyFont="1" applyFill="1" applyAlignment="1">
      <alignment horizontal="center" vertical="top"/>
    </xf>
    <xf numFmtId="187" fontId="42" fillId="0" borderId="0" xfId="0" applyNumberFormat="1" applyFont="1" applyFill="1" applyAlignment="1">
      <alignment horizontal="left" vertical="top"/>
    </xf>
    <xf numFmtId="43" fontId="122" fillId="0" borderId="0" xfId="382" applyFont="1" applyAlignment="1"/>
    <xf numFmtId="43" fontId="42" fillId="0" borderId="0" xfId="382" applyFont="1" applyAlignment="1"/>
    <xf numFmtId="0" fontId="129" fillId="0" borderId="0" xfId="0" applyFont="1" applyAlignment="1">
      <alignment horizontal="center"/>
    </xf>
    <xf numFmtId="0" fontId="42" fillId="0" borderId="0" xfId="0" applyFont="1" applyFill="1" applyAlignment="1">
      <alignment horizontal="left" vertical="center"/>
    </xf>
    <xf numFmtId="10" fontId="42" fillId="0" borderId="0" xfId="674" applyNumberFormat="1" applyFont="1" applyFill="1" applyAlignment="1">
      <alignment horizontal="center"/>
    </xf>
    <xf numFmtId="10" fontId="42" fillId="0" borderId="0" xfId="31558" applyNumberFormat="1" applyFont="1" applyAlignment="1">
      <alignment horizontal="center"/>
    </xf>
    <xf numFmtId="10" fontId="42" fillId="0" borderId="0" xfId="0" applyNumberFormat="1" applyFont="1" applyFill="1" applyAlignment="1">
      <alignment horizontal="center"/>
    </xf>
    <xf numFmtId="10" fontId="42" fillId="0" borderId="0" xfId="31558" applyNumberFormat="1" applyFont="1" applyAlignment="1">
      <alignment horizontal="center" vertical="center"/>
    </xf>
    <xf numFmtId="0" fontId="42" fillId="0" borderId="0" xfId="533" applyFont="1" applyFill="1" applyAlignment="1">
      <alignment horizontal="center"/>
    </xf>
    <xf numFmtId="10" fontId="42" fillId="0" borderId="0" xfId="674" applyNumberFormat="1" applyFont="1" applyAlignment="1">
      <alignment horizontal="center"/>
    </xf>
    <xf numFmtId="43" fontId="42" fillId="0" borderId="18" xfId="382" applyFont="1" applyBorder="1" applyAlignment="1"/>
    <xf numFmtId="43" fontId="42" fillId="0" borderId="0" xfId="382" applyFont="1" applyAlignment="1">
      <alignment horizontal="center"/>
    </xf>
    <xf numFmtId="0" fontId="164" fillId="0" borderId="0" xfId="474" applyFont="1" applyFill="1"/>
    <xf numFmtId="39" fontId="42" fillId="0" borderId="0" xfId="474" applyNumberFormat="1" applyFont="1" applyFill="1" applyBorder="1"/>
    <xf numFmtId="0" fontId="42" fillId="0" borderId="11" xfId="474" applyFont="1" applyFill="1" applyBorder="1" applyAlignment="1">
      <alignment horizontal="center" wrapText="1"/>
    </xf>
    <xf numFmtId="0" fontId="164" fillId="0" borderId="0" xfId="474" applyFont="1" applyFill="1" applyAlignment="1">
      <alignment horizontal="left"/>
    </xf>
    <xf numFmtId="39" fontId="42" fillId="0" borderId="0" xfId="474" quotePrefix="1" applyNumberFormat="1" applyFont="1" applyFill="1" applyAlignment="1">
      <alignment horizontal="center"/>
    </xf>
    <xf numFmtId="39" fontId="42" fillId="0" borderId="0" xfId="474" applyNumberFormat="1" applyFont="1" applyFill="1"/>
    <xf numFmtId="176" fontId="42" fillId="0" borderId="0" xfId="474" applyNumberFormat="1" applyFont="1" applyFill="1" applyAlignment="1">
      <alignment horizontal="left"/>
    </xf>
    <xf numFmtId="164" fontId="42" fillId="0" borderId="0" xfId="382" quotePrefix="1" applyNumberFormat="1" applyFont="1" applyFill="1" applyAlignment="1">
      <alignment horizontal="center"/>
    </xf>
    <xf numFmtId="43" fontId="44" fillId="0" borderId="60" xfId="382" applyFont="1" applyFill="1" applyBorder="1" applyAlignment="1">
      <alignment horizontal="right"/>
    </xf>
    <xf numFmtId="164" fontId="110" fillId="0" borderId="0" xfId="382" applyNumberFormat="1" applyFont="1" applyFill="1"/>
    <xf numFmtId="0" fontId="0" fillId="0" borderId="0" xfId="0" applyFill="1"/>
    <xf numFmtId="0" fontId="24" fillId="0" borderId="0" xfId="514" applyFont="1" applyFill="1"/>
    <xf numFmtId="14" fontId="42" fillId="0" borderId="18" xfId="0" applyNumberFormat="1" applyFont="1" applyFill="1" applyBorder="1" applyAlignment="1">
      <alignment horizontal="center" wrapText="1"/>
    </xf>
    <xf numFmtId="0" fontId="42" fillId="0" borderId="16" xfId="0" applyFont="1" applyBorder="1" applyAlignment="1">
      <alignment horizontal="left" indent="1"/>
    </xf>
    <xf numFmtId="0" fontId="42" fillId="0" borderId="16" xfId="0" applyFont="1" applyFill="1" applyBorder="1" applyAlignment="1">
      <alignment horizontal="left" indent="1"/>
    </xf>
    <xf numFmtId="164" fontId="42" fillId="0" borderId="0" xfId="382" applyNumberFormat="1" applyFont="1" applyFill="1" applyAlignment="1">
      <alignment horizontal="center"/>
    </xf>
    <xf numFmtId="187" fontId="42" fillId="37" borderId="0" xfId="0" applyNumberFormat="1" applyFont="1" applyFill="1" applyAlignment="1">
      <alignment horizontal="left"/>
    </xf>
    <xf numFmtId="164" fontId="42" fillId="0" borderId="0" xfId="382" applyNumberFormat="1" applyFont="1" applyAlignment="1">
      <alignment horizontal="center" vertical="top"/>
    </xf>
    <xf numFmtId="197" fontId="42" fillId="0" borderId="0" xfId="434" applyNumberFormat="1" applyFont="1" applyFill="1" applyAlignment="1">
      <alignment horizontal="center" vertical="top"/>
    </xf>
    <xf numFmtId="164" fontId="42" fillId="0" borderId="0" xfId="382" applyNumberFormat="1" applyFont="1" applyFill="1" applyAlignment="1">
      <alignment horizontal="center" vertical="top"/>
    </xf>
    <xf numFmtId="0" fontId="42" fillId="0" borderId="0" xfId="569" applyFont="1" applyFill="1" applyBorder="1" applyAlignment="1">
      <alignment vertical="top"/>
    </xf>
    <xf numFmtId="0" fontId="42" fillId="0" borderId="0" xfId="564" quotePrefix="1" applyFont="1" applyFill="1" applyBorder="1" applyAlignment="1">
      <alignment vertical="top"/>
    </xf>
    <xf numFmtId="0" fontId="42" fillId="50" borderId="4" xfId="0" applyFont="1" applyFill="1" applyBorder="1" applyAlignment="1">
      <alignment horizontal="left"/>
    </xf>
    <xf numFmtId="0" fontId="42" fillId="0" borderId="0" xfId="504" applyFont="1" applyBorder="1" applyAlignment="1">
      <alignment horizontal="left" indent="2"/>
    </xf>
    <xf numFmtId="0" fontId="46" fillId="35" borderId="46" xfId="0" applyFont="1" applyFill="1" applyBorder="1" applyAlignment="1"/>
    <xf numFmtId="0" fontId="46" fillId="35" borderId="46" xfId="0" applyNumberFormat="1" applyFont="1" applyFill="1" applyBorder="1" applyAlignment="1">
      <alignment horizontal="center"/>
    </xf>
    <xf numFmtId="0" fontId="46" fillId="0" borderId="56" xfId="0" applyFont="1" applyFill="1" applyBorder="1" applyAlignment="1">
      <alignment horizontal="center"/>
    </xf>
    <xf numFmtId="0" fontId="46" fillId="0" borderId="24" xfId="0" applyNumberFormat="1" applyFont="1" applyFill="1" applyBorder="1" applyAlignment="1">
      <alignment horizontal="center"/>
    </xf>
    <xf numFmtId="0" fontId="46" fillId="0" borderId="17" xfId="0" applyNumberFormat="1" applyFont="1" applyFill="1" applyBorder="1" applyAlignment="1"/>
    <xf numFmtId="0" fontId="168" fillId="0" borderId="0" xfId="37696" applyNumberFormat="1" applyFont="1"/>
    <xf numFmtId="0" fontId="42" fillId="0" borderId="45" xfId="0" applyFont="1" applyBorder="1"/>
    <xf numFmtId="164" fontId="42" fillId="0" borderId="0" xfId="382" applyNumberFormat="1" applyFont="1" applyFill="1" applyAlignment="1">
      <alignment horizontal="center" wrapText="1"/>
    </xf>
    <xf numFmtId="164" fontId="42" fillId="0" borderId="35" xfId="382" applyNumberFormat="1" applyFont="1" applyFill="1" applyBorder="1" applyAlignment="1">
      <alignment horizontal="center" wrapText="1"/>
    </xf>
    <xf numFmtId="0" fontId="42" fillId="0" borderId="0" xfId="35688" applyFont="1" applyAlignment="1">
      <alignment horizontal="center"/>
    </xf>
    <xf numFmtId="43" fontId="42" fillId="0" borderId="0" xfId="11622" applyFont="1" applyFill="1" applyAlignment="1">
      <alignment horizontal="center"/>
    </xf>
    <xf numFmtId="43" fontId="42" fillId="0" borderId="0" xfId="382" applyFont="1" applyFill="1" applyAlignment="1">
      <alignment horizontal="center"/>
    </xf>
    <xf numFmtId="1" fontId="42" fillId="0" borderId="0" xfId="35688" applyNumberFormat="1" applyFont="1" applyFill="1" applyAlignment="1">
      <alignment horizontal="left"/>
    </xf>
    <xf numFmtId="2" fontId="42" fillId="0" borderId="0" xfId="35688" applyNumberFormat="1" applyFont="1" applyFill="1" applyAlignment="1">
      <alignment horizontal="left"/>
    </xf>
    <xf numFmtId="0" fontId="42" fillId="0" borderId="0" xfId="484" quotePrefix="1" applyFont="1" applyAlignment="1">
      <alignment horizontal="center" vertical="top"/>
    </xf>
    <xf numFmtId="0" fontId="42" fillId="0" borderId="0" xfId="35688" applyFont="1" applyFill="1" applyAlignment="1">
      <alignment horizontal="center"/>
    </xf>
    <xf numFmtId="1" fontId="42" fillId="0" borderId="0" xfId="35688" applyNumberFormat="1" applyFont="1" applyFill="1" applyAlignment="1">
      <alignment horizontal="left" wrapText="1"/>
    </xf>
    <xf numFmtId="0" fontId="42" fillId="0" borderId="0" xfId="511" applyFont="1" applyAlignment="1">
      <alignment horizontal="center"/>
    </xf>
    <xf numFmtId="0" fontId="42" fillId="0" borderId="0" xfId="511" applyFont="1" applyFill="1" applyAlignment="1">
      <alignment horizontal="left"/>
    </xf>
    <xf numFmtId="2" fontId="42" fillId="0" borderId="0" xfId="511" applyNumberFormat="1" applyFont="1" applyFill="1" applyAlignment="1">
      <alignment horizontal="left"/>
    </xf>
    <xf numFmtId="1" fontId="42" fillId="0" borderId="0" xfId="511" applyNumberFormat="1" applyFont="1" applyFill="1" applyAlignment="1">
      <alignment horizontal="left"/>
    </xf>
    <xf numFmtId="0" fontId="42" fillId="0" borderId="0" xfId="0" applyFont="1" applyFill="1" applyAlignment="1" applyProtection="1">
      <alignment horizontal="left"/>
      <protection locked="0"/>
    </xf>
    <xf numFmtId="43" fontId="42" fillId="0" borderId="0" xfId="423" applyFont="1" applyFill="1"/>
    <xf numFmtId="0" fontId="42" fillId="0" borderId="0" xfId="511" applyFont="1" applyFill="1" applyAlignment="1">
      <alignment horizontal="center"/>
    </xf>
    <xf numFmtId="43" fontId="42" fillId="0" borderId="0" xfId="423" applyFont="1" applyFill="1" applyAlignment="1">
      <alignment horizontal="center"/>
    </xf>
    <xf numFmtId="1" fontId="42" fillId="0" borderId="0" xfId="11271" applyNumberFormat="1" applyFont="1" applyFill="1" applyAlignment="1">
      <alignment horizontal="left"/>
    </xf>
    <xf numFmtId="0" fontId="42" fillId="0" borderId="0" xfId="11271" applyFont="1"/>
    <xf numFmtId="0" fontId="42" fillId="0" borderId="0" xfId="11271" applyFont="1" applyFill="1" applyAlignment="1"/>
    <xf numFmtId="0" fontId="42" fillId="0" borderId="0" xfId="11271" applyFont="1" applyFill="1" applyAlignment="1">
      <alignment horizontal="left"/>
    </xf>
    <xf numFmtId="0" fontId="42" fillId="0" borderId="0" xfId="11271" applyFont="1" applyFill="1" applyAlignment="1">
      <alignment horizontal="center"/>
    </xf>
    <xf numFmtId="0" fontId="42" fillId="0" borderId="0" xfId="11271" quotePrefix="1" applyFont="1" applyFill="1" applyAlignment="1">
      <alignment horizontal="center"/>
    </xf>
    <xf numFmtId="0" fontId="42" fillId="0" borderId="0" xfId="11271" applyFont="1" applyAlignment="1">
      <alignment horizontal="center"/>
    </xf>
    <xf numFmtId="0" fontId="42" fillId="0" borderId="0" xfId="11271" quotePrefix="1" applyFont="1" applyAlignment="1">
      <alignment horizontal="center" vertical="top"/>
    </xf>
    <xf numFmtId="0" fontId="42" fillId="0" borderId="11" xfId="0" applyFont="1" applyFill="1" applyBorder="1" applyAlignment="1">
      <alignment horizontal="center"/>
    </xf>
    <xf numFmtId="0" fontId="42" fillId="0" borderId="0" xfId="569" applyFont="1" applyAlignment="1">
      <alignment horizontal="left"/>
    </xf>
    <xf numFmtId="0" fontId="42" fillId="0" borderId="0" xfId="11275" applyFont="1" applyAlignment="1">
      <alignment horizontal="left"/>
    </xf>
    <xf numFmtId="0" fontId="42" fillId="0" borderId="0" xfId="11275" applyFont="1" applyFill="1" applyAlignment="1">
      <alignment horizontal="center"/>
    </xf>
    <xf numFmtId="0" fontId="42" fillId="0" borderId="18" xfId="530" applyFont="1" applyBorder="1" applyAlignment="1">
      <alignment horizontal="center"/>
    </xf>
    <xf numFmtId="0" fontId="42" fillId="0" borderId="4" xfId="530" applyFont="1" applyBorder="1" applyAlignment="1">
      <alignment horizontal="center"/>
    </xf>
    <xf numFmtId="0" fontId="42" fillId="0" borderId="6" xfId="530" applyFont="1" applyBorder="1" applyAlignment="1">
      <alignment horizontal="center"/>
    </xf>
    <xf numFmtId="164" fontId="42" fillId="37" borderId="43" xfId="382" applyNumberFormat="1" applyFont="1" applyFill="1" applyBorder="1" applyAlignment="1">
      <alignment horizontal="left"/>
    </xf>
    <xf numFmtId="0" fontId="42" fillId="0" borderId="18" xfId="530" applyFont="1" applyBorder="1" applyAlignment="1"/>
    <xf numFmtId="40" fontId="42" fillId="0" borderId="0" xfId="11275" quotePrefix="1" applyNumberFormat="1" applyFont="1" applyFill="1" applyBorder="1" applyAlignment="1">
      <alignment horizontal="left" vertical="top"/>
    </xf>
    <xf numFmtId="0" fontId="42" fillId="0" borderId="18" xfId="11275" applyFont="1" applyFill="1" applyBorder="1"/>
    <xf numFmtId="164" fontId="42" fillId="37" borderId="0" xfId="382" applyNumberFormat="1" applyFont="1" applyFill="1" applyAlignment="1">
      <alignment horizontal="left"/>
    </xf>
    <xf numFmtId="164" fontId="42" fillId="0" borderId="54" xfId="382" applyNumberFormat="1" applyFont="1" applyFill="1" applyBorder="1" applyAlignment="1">
      <alignment horizontal="left"/>
    </xf>
    <xf numFmtId="43" fontId="42" fillId="0" borderId="18" xfId="382" applyFont="1" applyFill="1" applyBorder="1"/>
    <xf numFmtId="0" fontId="42" fillId="0" borderId="0" xfId="496" applyFont="1" applyAlignment="1">
      <alignment horizontal="center"/>
    </xf>
    <xf numFmtId="0" fontId="42" fillId="0" borderId="0" xfId="496" applyFont="1" applyFill="1" applyAlignment="1">
      <alignment horizontal="left"/>
    </xf>
    <xf numFmtId="164" fontId="169" fillId="0" borderId="0" xfId="382" applyNumberFormat="1" applyFont="1"/>
    <xf numFmtId="0" fontId="42" fillId="0" borderId="0" xfId="513" applyFont="1" applyAlignment="1"/>
    <xf numFmtId="0" fontId="42" fillId="0" borderId="0" xfId="11271" applyFont="1" applyAlignment="1"/>
    <xf numFmtId="43" fontId="42" fillId="0" borderId="0" xfId="382" applyFont="1"/>
    <xf numFmtId="0" fontId="42" fillId="0" borderId="0" xfId="513" applyFont="1" applyFill="1" applyAlignment="1">
      <alignment horizontal="center"/>
    </xf>
    <xf numFmtId="43" fontId="42" fillId="0" borderId="0" xfId="382" applyFont="1" applyFill="1"/>
    <xf numFmtId="0" fontId="42" fillId="0" borderId="0" xfId="513" applyFont="1" applyFill="1" applyBorder="1"/>
    <xf numFmtId="164" fontId="42" fillId="0" borderId="0" xfId="401" applyNumberFormat="1" applyFont="1" applyFill="1" applyBorder="1"/>
    <xf numFmtId="0" fontId="42" fillId="0" borderId="0" xfId="513" applyFont="1" applyFill="1"/>
    <xf numFmtId="0" fontId="42" fillId="0" borderId="0" xfId="513" quotePrefix="1" applyFont="1" applyFill="1" applyAlignment="1">
      <alignment horizontal="center" vertical="top"/>
    </xf>
    <xf numFmtId="0" fontId="42" fillId="0" borderId="0" xfId="11272" applyFont="1" applyAlignment="1">
      <alignment horizontal="center"/>
    </xf>
    <xf numFmtId="164" fontId="42" fillId="37" borderId="0" xfId="382" applyNumberFormat="1" applyFont="1" applyFill="1" applyBorder="1" applyAlignment="1">
      <alignment horizontal="center"/>
    </xf>
    <xf numFmtId="164" fontId="42" fillId="37" borderId="18" xfId="382" applyNumberFormat="1" applyFont="1" applyFill="1" applyBorder="1" applyAlignment="1">
      <alignment horizontal="center"/>
    </xf>
    <xf numFmtId="43" fontId="42" fillId="0" borderId="0" xfId="423" applyNumberFormat="1" applyFont="1" applyFill="1" applyAlignment="1">
      <alignment horizontal="left"/>
    </xf>
    <xf numFmtId="43" fontId="42" fillId="0" borderId="0" xfId="511" applyNumberFormat="1" applyFont="1" applyAlignment="1">
      <alignment horizontal="left"/>
    </xf>
    <xf numFmtId="0" fontId="42" fillId="0" borderId="0" xfId="514" applyFont="1"/>
    <xf numFmtId="0" fontId="42" fillId="0" borderId="0" xfId="514" applyFont="1" applyAlignment="1">
      <alignment horizontal="center"/>
    </xf>
    <xf numFmtId="164" fontId="42" fillId="0" borderId="0" xfId="382" quotePrefix="1" applyNumberFormat="1" applyFont="1" applyBorder="1" applyAlignment="1">
      <alignment horizontal="center"/>
    </xf>
    <xf numFmtId="0" fontId="42" fillId="0" borderId="0" xfId="514" quotePrefix="1" applyFont="1" applyAlignment="1">
      <alignment horizontal="center"/>
    </xf>
    <xf numFmtId="49" fontId="42" fillId="0" borderId="0" xfId="11271" applyNumberFormat="1" applyFont="1" applyBorder="1"/>
    <xf numFmtId="0" fontId="42" fillId="0" borderId="0" xfId="11271" applyFont="1" applyBorder="1"/>
    <xf numFmtId="0" fontId="42" fillId="0" borderId="0" xfId="474" quotePrefix="1" applyFont="1" applyAlignment="1"/>
    <xf numFmtId="0" fontId="42" fillId="0" borderId="0" xfId="11272" applyFont="1" applyAlignment="1"/>
    <xf numFmtId="164" fontId="42" fillId="0" borderId="18" xfId="382" quotePrefix="1" applyNumberFormat="1" applyFont="1" applyBorder="1" applyAlignment="1">
      <alignment horizontal="center" wrapText="1"/>
    </xf>
    <xf numFmtId="0" fontId="42" fillId="0" borderId="0" xfId="0" quotePrefix="1" applyFont="1" applyAlignment="1">
      <alignment horizontal="center" wrapText="1"/>
    </xf>
    <xf numFmtId="0" fontId="42" fillId="0" borderId="0" xfId="0" quotePrefix="1" applyFont="1" applyAlignment="1">
      <alignment horizontal="left" wrapText="1"/>
    </xf>
    <xf numFmtId="37" fontId="42" fillId="0" borderId="0" xfId="0" applyNumberFormat="1" applyFont="1" applyAlignment="1">
      <alignment horizontal="center"/>
    </xf>
    <xf numFmtId="37" fontId="42" fillId="0" borderId="0" xfId="0" applyNumberFormat="1" applyFont="1" applyBorder="1" applyAlignment="1"/>
    <xf numFmtId="0" fontId="42" fillId="0" borderId="18" xfId="0" applyFont="1" applyBorder="1" applyAlignment="1">
      <alignment horizontal="left"/>
    </xf>
    <xf numFmtId="169" fontId="111" fillId="37" borderId="0" xfId="37694" applyFont="1" applyFill="1" applyAlignment="1">
      <alignment horizontal="center" vertical="center"/>
    </xf>
    <xf numFmtId="164" fontId="42" fillId="37" borderId="0" xfId="382" applyNumberFormat="1" applyFont="1" applyFill="1" applyAlignment="1">
      <alignment horizontal="center" vertical="top"/>
    </xf>
    <xf numFmtId="0" fontId="42" fillId="37" borderId="0" xfId="11271" applyFont="1" applyFill="1" applyAlignment="1">
      <alignment horizontal="left"/>
    </xf>
    <xf numFmtId="0" fontId="42" fillId="37" borderId="0" xfId="0" applyFont="1" applyFill="1" applyAlignment="1"/>
    <xf numFmtId="164" fontId="17" fillId="37" borderId="0" xfId="11271" applyNumberFormat="1" applyFont="1" applyFill="1"/>
    <xf numFmtId="164" fontId="42" fillId="37" borderId="18" xfId="11271" applyNumberFormat="1" applyFont="1" applyFill="1" applyBorder="1"/>
    <xf numFmtId="164" fontId="17" fillId="37" borderId="18" xfId="11271" applyNumberFormat="1" applyFont="1" applyFill="1" applyBorder="1"/>
    <xf numFmtId="0" fontId="42" fillId="37" borderId="0" xfId="0" applyFont="1" applyFill="1" applyAlignment="1">
      <alignment horizontal="left"/>
    </xf>
    <xf numFmtId="0" fontId="42" fillId="37" borderId="11" xfId="0" applyFont="1" applyFill="1" applyBorder="1"/>
    <xf numFmtId="199" fontId="42" fillId="37" borderId="11" xfId="382" applyNumberFormat="1" applyFont="1" applyFill="1" applyBorder="1"/>
    <xf numFmtId="2" fontId="42" fillId="37" borderId="0" xfId="474" applyNumberFormat="1" applyFont="1" applyFill="1" applyAlignment="1">
      <alignment horizontal="left" vertical="top"/>
    </xf>
    <xf numFmtId="0" fontId="42" fillId="37" borderId="27" xfId="0" applyFont="1" applyFill="1" applyBorder="1"/>
    <xf numFmtId="199" fontId="42" fillId="37" borderId="11" xfId="382" applyNumberFormat="1" applyFont="1" applyFill="1" applyBorder="1" applyAlignment="1">
      <alignment horizontal="right"/>
    </xf>
    <xf numFmtId="199" fontId="42" fillId="37" borderId="27" xfId="382" applyNumberFormat="1" applyFont="1" applyFill="1" applyBorder="1"/>
    <xf numFmtId="199" fontId="42" fillId="37" borderId="27" xfId="382" applyNumberFormat="1" applyFont="1" applyFill="1" applyBorder="1" applyAlignment="1">
      <alignment horizontal="right"/>
    </xf>
    <xf numFmtId="0" fontId="42" fillId="37" borderId="0" xfId="474" applyFont="1" applyFill="1" applyAlignment="1">
      <alignment horizontal="left" vertical="top"/>
    </xf>
    <xf numFmtId="199" fontId="42" fillId="37" borderId="30" xfId="382" applyNumberFormat="1" applyFont="1" applyFill="1" applyBorder="1"/>
    <xf numFmtId="0" fontId="91" fillId="0" borderId="0" xfId="0" applyFont="1" applyAlignment="1">
      <alignment horizontal="left"/>
    </xf>
    <xf numFmtId="0" fontId="46" fillId="0" borderId="0" xfId="0" applyNumberFormat="1" applyFont="1" applyFill="1" applyAlignment="1">
      <alignment horizontal="left" vertical="top" wrapText="1"/>
    </xf>
    <xf numFmtId="0" fontId="159" fillId="0" borderId="0" xfId="474" applyFont="1"/>
    <xf numFmtId="0" fontId="42" fillId="0" borderId="0" xfId="474" applyFont="1" applyAlignment="1">
      <alignment vertical="top"/>
    </xf>
    <xf numFmtId="164" fontId="46" fillId="0" borderId="0" xfId="382" applyNumberFormat="1" applyFont="1" applyFill="1" applyBorder="1" applyAlignment="1"/>
    <xf numFmtId="164" fontId="46" fillId="0" borderId="0" xfId="382" quotePrefix="1" applyNumberFormat="1" applyFont="1" applyFill="1" applyBorder="1" applyAlignment="1"/>
    <xf numFmtId="164" fontId="170" fillId="0" borderId="0" xfId="382" quotePrefix="1" applyNumberFormat="1" applyFont="1" applyFill="1" applyBorder="1" applyAlignment="1">
      <alignment vertical="top"/>
    </xf>
    <xf numFmtId="171" fontId="166" fillId="0" borderId="0" xfId="0" applyNumberFormat="1" applyFont="1" applyFill="1" applyBorder="1" applyAlignment="1">
      <alignment horizontal="right"/>
    </xf>
    <xf numFmtId="0" fontId="55" fillId="0" borderId="0" xfId="0" applyFont="1" applyFill="1" applyAlignment="1"/>
    <xf numFmtId="0" fontId="143" fillId="0" borderId="0" xfId="0" applyFont="1" applyFill="1"/>
    <xf numFmtId="0" fontId="0" fillId="0" borderId="0" xfId="0" applyFill="1" applyAlignment="1"/>
    <xf numFmtId="0" fontId="46" fillId="0" borderId="35" xfId="0" applyFont="1" applyFill="1" applyBorder="1" applyAlignment="1">
      <alignment vertical="top"/>
    </xf>
    <xf numFmtId="3" fontId="128" fillId="0" borderId="0" xfId="0" applyNumberFormat="1" applyFont="1" applyFill="1" applyBorder="1" applyAlignment="1">
      <alignment horizontal="center" vertical="top"/>
    </xf>
    <xf numFmtId="0" fontId="128" fillId="0" borderId="0" xfId="0" applyFont="1" applyFill="1" applyBorder="1" applyAlignment="1">
      <alignment horizontal="center" vertical="top"/>
    </xf>
    <xf numFmtId="0" fontId="46" fillId="0" borderId="0" xfId="0" applyNumberFormat="1" applyFont="1" applyFill="1" applyBorder="1" applyAlignment="1">
      <alignment vertical="top"/>
    </xf>
    <xf numFmtId="164" fontId="46" fillId="0" borderId="60" xfId="382" quotePrefix="1" applyNumberFormat="1" applyFont="1" applyFill="1" applyBorder="1" applyAlignment="1">
      <alignment vertical="top"/>
    </xf>
    <xf numFmtId="187" fontId="42" fillId="0" borderId="0" xfId="474" applyNumberFormat="1" applyFont="1" applyAlignment="1">
      <alignment horizontal="center"/>
    </xf>
    <xf numFmtId="0" fontId="42" fillId="0" borderId="0" xfId="474" applyFont="1" applyAlignment="1">
      <alignment horizontal="left" indent="1"/>
    </xf>
    <xf numFmtId="187" fontId="42" fillId="0" borderId="0" xfId="474" applyNumberFormat="1" applyFont="1" applyAlignment="1">
      <alignment horizontal="center" vertical="center"/>
    </xf>
    <xf numFmtId="0" fontId="42" fillId="0" borderId="0" xfId="474" applyFont="1" applyAlignment="1">
      <alignment horizontal="left" indent="2"/>
    </xf>
    <xf numFmtId="0" fontId="43" fillId="0" borderId="18" xfId="474" applyFont="1" applyBorder="1" applyAlignment="1">
      <alignment horizontal="center"/>
    </xf>
    <xf numFmtId="0" fontId="43" fillId="0" borderId="18" xfId="474" applyFont="1" applyBorder="1" applyAlignment="1">
      <alignment horizontal="center" vertical="center" wrapText="1"/>
    </xf>
    <xf numFmtId="0" fontId="43" fillId="0" borderId="0" xfId="474" applyFont="1" applyAlignment="1">
      <alignment vertical="center" wrapText="1"/>
    </xf>
    <xf numFmtId="0" fontId="43" fillId="0" borderId="0" xfId="474" applyFont="1" applyAlignment="1">
      <alignment horizontal="left" indent="1"/>
    </xf>
    <xf numFmtId="0" fontId="43" fillId="0" borderId="0" xfId="474" applyFont="1" applyAlignment="1">
      <alignment wrapText="1"/>
    </xf>
    <xf numFmtId="0" fontId="43" fillId="0" borderId="0" xfId="474" applyFont="1" applyAlignment="1">
      <alignment horizontal="center"/>
    </xf>
    <xf numFmtId="0" fontId="58" fillId="0" borderId="0" xfId="0" applyFont="1" applyAlignment="1">
      <alignment horizontal="left"/>
    </xf>
    <xf numFmtId="0" fontId="44" fillId="0" borderId="0" xfId="0" applyFont="1" applyAlignment="1"/>
    <xf numFmtId="0" fontId="46" fillId="0" borderId="0" xfId="0" applyFont="1" applyFill="1" applyBorder="1" applyAlignment="1">
      <alignment horizontal="left" vertical="top"/>
    </xf>
    <xf numFmtId="0" fontId="0" fillId="0" borderId="0" xfId="0" applyAlignment="1">
      <alignment horizontal="left"/>
    </xf>
    <xf numFmtId="164" fontId="46" fillId="0" borderId="0" xfId="382" applyNumberFormat="1" applyFont="1" applyFill="1" applyBorder="1" applyAlignment="1">
      <alignment vertical="top" wrapText="1"/>
    </xf>
    <xf numFmtId="164" fontId="46" fillId="0" borderId="0" xfId="382" applyNumberFormat="1" applyFont="1" applyFill="1" applyAlignment="1">
      <alignment horizontal="left" vertical="top" wrapText="1"/>
    </xf>
    <xf numFmtId="0" fontId="125" fillId="0" borderId="0" xfId="0" applyFont="1" applyFill="1" applyBorder="1" applyAlignment="1">
      <alignment horizontal="left" vertical="top" wrapText="1"/>
    </xf>
    <xf numFmtId="0" fontId="61" fillId="0" borderId="0" xfId="0" applyFont="1" applyFill="1" applyBorder="1" applyAlignment="1">
      <alignment horizontal="left" vertical="top"/>
    </xf>
    <xf numFmtId="164" fontId="42" fillId="0" borderId="35" xfId="382" applyNumberFormat="1" applyFont="1" applyFill="1" applyBorder="1" applyAlignment="1">
      <alignment horizontal="left"/>
    </xf>
    <xf numFmtId="0" fontId="60" fillId="0" borderId="0" xfId="0" applyFont="1" applyFill="1" applyBorder="1" applyAlignment="1">
      <alignment vertical="top"/>
    </xf>
    <xf numFmtId="0" fontId="125" fillId="0" borderId="54" xfId="0" applyFont="1" applyFill="1" applyBorder="1" applyAlignment="1">
      <alignment horizontal="left" vertical="top" wrapText="1"/>
    </xf>
    <xf numFmtId="0" fontId="43" fillId="0" borderId="0" xfId="474" applyFont="1" applyFill="1" applyAlignment="1">
      <alignment horizontal="center"/>
    </xf>
    <xf numFmtId="0" fontId="42" fillId="0" borderId="0" xfId="474" applyFont="1" applyFill="1" applyAlignment="1">
      <alignment vertical="top"/>
    </xf>
    <xf numFmtId="197" fontId="43" fillId="0" borderId="0" xfId="434" applyNumberFormat="1" applyFont="1" applyFill="1" applyAlignment="1">
      <alignment horizontal="center"/>
    </xf>
    <xf numFmtId="43" fontId="123" fillId="0" borderId="0" xfId="382" applyFont="1" applyFill="1" applyBorder="1" applyAlignment="1">
      <alignment horizontal="center" wrapText="1"/>
    </xf>
    <xf numFmtId="37" fontId="42" fillId="0" borderId="0" xfId="474" applyNumberFormat="1" applyFont="1" applyFill="1" applyBorder="1"/>
    <xf numFmtId="0" fontId="42" fillId="0" borderId="0" xfId="474" applyFont="1" applyFill="1" applyBorder="1" applyAlignment="1">
      <alignment horizontal="left" vertical="top" wrapText="1"/>
    </xf>
    <xf numFmtId="0" fontId="42" fillId="37" borderId="0" xfId="474" applyFont="1" applyFill="1" applyBorder="1" applyAlignment="1">
      <alignment horizontal="left" vertical="top" wrapText="1"/>
    </xf>
    <xf numFmtId="0" fontId="42" fillId="0" borderId="0" xfId="474" applyFont="1" applyFill="1" applyBorder="1" applyAlignment="1">
      <alignment vertical="top"/>
    </xf>
    <xf numFmtId="164" fontId="42" fillId="0" borderId="5" xfId="382" applyNumberFormat="1" applyFont="1" applyFill="1" applyBorder="1"/>
    <xf numFmtId="0" fontId="141" fillId="0" borderId="0" xfId="474" applyFont="1" applyFill="1" applyBorder="1" applyAlignment="1">
      <alignment horizontal="left" vertical="top"/>
    </xf>
    <xf numFmtId="0" fontId="42" fillId="0" borderId="0" xfId="474" applyFont="1" applyFill="1" applyBorder="1" applyAlignment="1">
      <alignment horizontal="left" vertical="top"/>
    </xf>
    <xf numFmtId="0" fontId="42" fillId="0" borderId="0" xfId="474" applyFont="1" applyFill="1" applyBorder="1" applyAlignment="1">
      <alignment vertical="top" wrapText="1"/>
    </xf>
    <xf numFmtId="0" fontId="42" fillId="0" borderId="0" xfId="474" applyFont="1" applyFill="1" applyAlignment="1">
      <alignment vertical="top" wrapText="1"/>
    </xf>
    <xf numFmtId="0" fontId="42" fillId="37" borderId="0" xfId="474" applyFont="1" applyFill="1" applyAlignment="1">
      <alignment vertical="top" wrapText="1"/>
    </xf>
    <xf numFmtId="0" fontId="42" fillId="37" borderId="0" xfId="474" applyFont="1" applyFill="1" applyBorder="1" applyAlignment="1">
      <alignment vertical="top" wrapText="1"/>
    </xf>
    <xf numFmtId="0" fontId="91" fillId="0" borderId="0" xfId="474" applyFont="1"/>
    <xf numFmtId="164" fontId="42" fillId="0" borderId="54" xfId="382" applyNumberFormat="1" applyFont="1" applyFill="1" applyBorder="1" applyAlignment="1"/>
    <xf numFmtId="0" fontId="43" fillId="37" borderId="0" xfId="474" applyFont="1" applyFill="1" applyAlignment="1">
      <alignment vertical="top" wrapText="1"/>
    </xf>
    <xf numFmtId="37" fontId="42" fillId="0" borderId="0" xfId="474" applyNumberFormat="1" applyFont="1" applyFill="1" applyBorder="1" applyAlignment="1">
      <alignment vertical="top"/>
    </xf>
    <xf numFmtId="164" fontId="42" fillId="0" borderId="35" xfId="382" applyNumberFormat="1" applyFont="1" applyFill="1" applyBorder="1" applyAlignment="1"/>
    <xf numFmtId="164" fontId="159" fillId="0" borderId="0" xfId="382" applyNumberFormat="1" applyFont="1"/>
    <xf numFmtId="187" fontId="159" fillId="0" borderId="0" xfId="474" applyNumberFormat="1" applyFont="1" applyAlignment="1">
      <alignment horizontal="center"/>
    </xf>
    <xf numFmtId="0" fontId="159" fillId="0" borderId="0" xfId="474" applyFont="1" applyAlignment="1">
      <alignment horizontal="left" indent="1"/>
    </xf>
    <xf numFmtId="0" fontId="159" fillId="0" borderId="0" xfId="474" applyFont="1" applyAlignment="1">
      <alignment vertical="center"/>
    </xf>
    <xf numFmtId="0" fontId="159" fillId="0" borderId="18" xfId="474" applyFont="1" applyBorder="1"/>
    <xf numFmtId="0" fontId="43" fillId="0" borderId="0" xfId="474" applyFont="1" applyFill="1" applyAlignment="1">
      <alignment horizontal="centerContinuous"/>
    </xf>
    <xf numFmtId="0" fontId="43" fillId="0" borderId="0" xfId="474" applyFont="1" applyAlignment="1">
      <alignment horizontal="center" wrapText="1"/>
    </xf>
    <xf numFmtId="43" fontId="123" fillId="0" borderId="0" xfId="382" applyFont="1" applyFill="1" applyBorder="1" applyAlignment="1">
      <alignment horizontal="centerContinuous" wrapText="1"/>
    </xf>
    <xf numFmtId="0" fontId="42" fillId="0" borderId="0" xfId="474" applyFont="1" applyFill="1" applyAlignment="1">
      <alignment horizontal="left" indent="1"/>
    </xf>
    <xf numFmtId="0" fontId="141" fillId="0" borderId="0" xfId="474" applyFont="1" applyFill="1" applyAlignment="1"/>
    <xf numFmtId="0" fontId="43" fillId="0" borderId="0" xfId="474" applyFont="1" applyFill="1" applyAlignment="1">
      <alignment horizontal="left" indent="1"/>
    </xf>
    <xf numFmtId="164" fontId="42" fillId="51" borderId="0" xfId="382" applyNumberFormat="1" applyFont="1" applyFill="1" applyBorder="1"/>
    <xf numFmtId="0" fontId="172" fillId="0" borderId="0" xfId="522" applyFont="1"/>
    <xf numFmtId="164" fontId="42" fillId="51" borderId="0" xfId="382" applyNumberFormat="1" applyFont="1" applyFill="1"/>
    <xf numFmtId="43" fontId="42" fillId="0" borderId="0" xfId="382" applyNumberFormat="1" applyFont="1" applyFill="1" applyBorder="1" applyAlignment="1">
      <alignment vertical="top"/>
    </xf>
    <xf numFmtId="168" fontId="46" fillId="0" borderId="35" xfId="0" applyNumberFormat="1" applyFont="1" applyBorder="1" applyAlignment="1">
      <alignment horizontal="left" wrapText="1"/>
    </xf>
    <xf numFmtId="170" fontId="46" fillId="0" borderId="0" xfId="382" applyNumberFormat="1" applyFont="1" applyFill="1" applyBorder="1" applyAlignment="1"/>
    <xf numFmtId="171" fontId="46" fillId="0" borderId="30" xfId="0" quotePrefix="1" applyNumberFormat="1" applyFont="1" applyFill="1" applyBorder="1" applyAlignment="1">
      <alignment horizontal="right" vertical="top"/>
    </xf>
    <xf numFmtId="171" fontId="46" fillId="0" borderId="61" xfId="0" quotePrefix="1" applyNumberFormat="1" applyFont="1" applyFill="1" applyBorder="1" applyAlignment="1">
      <alignment horizontal="right" vertical="top"/>
    </xf>
    <xf numFmtId="171" fontId="46" fillId="0" borderId="30" xfId="674" quotePrefix="1" applyNumberFormat="1" applyFont="1" applyFill="1" applyBorder="1" applyAlignment="1">
      <alignment vertical="top"/>
    </xf>
    <xf numFmtId="171" fontId="46" fillId="0" borderId="61" xfId="674" quotePrefix="1" applyNumberFormat="1" applyFont="1" applyFill="1" applyBorder="1" applyAlignment="1">
      <alignment vertical="top"/>
    </xf>
    <xf numFmtId="164" fontId="46" fillId="0" borderId="0" xfId="382" applyNumberFormat="1" applyFont="1" applyFill="1" applyAlignment="1">
      <alignment horizontal="left" vertical="top"/>
    </xf>
    <xf numFmtId="164" fontId="46" fillId="0" borderId="0" xfId="382" applyNumberFormat="1" applyFont="1" applyFill="1" applyAlignment="1">
      <alignment vertical="top" wrapText="1"/>
    </xf>
    <xf numFmtId="0" fontId="46" fillId="0" borderId="0" xfId="0" applyFont="1" applyAlignment="1">
      <alignment vertical="top" wrapText="1"/>
    </xf>
    <xf numFmtId="0" fontId="46" fillId="0" borderId="0" xfId="0" applyNumberFormat="1" applyFont="1" applyBorder="1" applyAlignment="1">
      <alignment horizontal="center" vertical="top"/>
    </xf>
    <xf numFmtId="0" fontId="46" fillId="0" borderId="0" xfId="0" applyNumberFormat="1" applyFont="1" applyFill="1" applyBorder="1" applyAlignment="1">
      <alignment horizontal="left" vertical="top"/>
    </xf>
    <xf numFmtId="3" fontId="46" fillId="0" borderId="0" xfId="0" applyNumberFormat="1" applyFont="1" applyFill="1" applyBorder="1" applyAlignment="1">
      <alignment horizontal="center" vertical="top"/>
    </xf>
    <xf numFmtId="0" fontId="46" fillId="0" borderId="0" xfId="0" applyFont="1" applyFill="1" applyBorder="1" applyAlignment="1">
      <alignment horizontal="center" vertical="top"/>
    </xf>
    <xf numFmtId="0" fontId="46" fillId="0" borderId="0" xfId="0" applyNumberFormat="1" applyFont="1" applyFill="1" applyBorder="1" applyAlignment="1">
      <alignment horizontal="left" vertical="top" wrapText="1"/>
    </xf>
    <xf numFmtId="0" fontId="46" fillId="0" borderId="22" xfId="0" applyNumberFormat="1" applyFont="1" applyBorder="1" applyAlignment="1">
      <alignment horizontal="center" vertical="top"/>
    </xf>
    <xf numFmtId="170" fontId="46" fillId="0" borderId="26" xfId="382" quotePrefix="1" applyNumberFormat="1" applyFont="1" applyFill="1" applyBorder="1" applyAlignment="1">
      <alignment vertical="top"/>
    </xf>
    <xf numFmtId="170" fontId="46" fillId="0" borderId="60" xfId="382" quotePrefix="1" applyNumberFormat="1" applyFont="1" applyFill="1" applyBorder="1" applyAlignment="1">
      <alignment vertical="top"/>
    </xf>
    <xf numFmtId="0" fontId="46" fillId="0" borderId="0" xfId="0" applyNumberFormat="1" applyFont="1" applyBorder="1" applyAlignment="1">
      <alignment vertical="top"/>
    </xf>
    <xf numFmtId="0" fontId="46" fillId="0" borderId="18" xfId="0" applyFont="1" applyFill="1" applyBorder="1" applyAlignment="1">
      <alignment horizontal="left" vertical="top"/>
    </xf>
    <xf numFmtId="0" fontId="46" fillId="0" borderId="18" xfId="0" applyNumberFormat="1" applyFont="1" applyBorder="1" applyAlignment="1">
      <alignment horizontal="center" vertical="top"/>
    </xf>
    <xf numFmtId="3" fontId="139" fillId="0" borderId="37" xfId="0" applyNumberFormat="1" applyFont="1" applyBorder="1" applyAlignment="1">
      <alignment vertical="top"/>
    </xf>
    <xf numFmtId="171" fontId="128" fillId="0" borderId="26" xfId="0" applyNumberFormat="1" applyFont="1" applyFill="1" applyBorder="1" applyAlignment="1">
      <alignment horizontal="right" vertical="top"/>
    </xf>
    <xf numFmtId="171" fontId="128" fillId="0" borderId="60" xfId="0" applyNumberFormat="1" applyFont="1" applyFill="1" applyBorder="1" applyAlignment="1">
      <alignment horizontal="right" vertical="top"/>
    </xf>
    <xf numFmtId="171" fontId="46" fillId="0" borderId="0" xfId="0" applyNumberFormat="1" applyFont="1" applyFill="1" applyBorder="1" applyAlignment="1">
      <alignment horizontal="right"/>
    </xf>
    <xf numFmtId="164" fontId="46" fillId="0" borderId="28" xfId="382" quotePrefix="1" applyNumberFormat="1" applyFont="1" applyFill="1" applyBorder="1" applyAlignment="1">
      <alignment horizontal="right" vertical="top"/>
    </xf>
    <xf numFmtId="164" fontId="46" fillId="0" borderId="62" xfId="382" quotePrefix="1" applyNumberFormat="1" applyFont="1" applyFill="1" applyBorder="1" applyAlignment="1">
      <alignment horizontal="right" vertical="top"/>
    </xf>
    <xf numFmtId="164" fontId="46" fillId="0" borderId="0" xfId="382" quotePrefix="1" applyNumberFormat="1" applyFont="1" applyFill="1" applyBorder="1" applyAlignment="1">
      <alignment horizontal="right"/>
    </xf>
    <xf numFmtId="0" fontId="44" fillId="0" borderId="47" xfId="0" applyNumberFormat="1" applyFont="1" applyFill="1" applyBorder="1" applyAlignment="1">
      <alignment horizontal="left" vertical="top" wrapText="1"/>
    </xf>
    <xf numFmtId="0" fontId="165" fillId="0" borderId="47" xfId="0" applyNumberFormat="1" applyFont="1" applyFill="1" applyBorder="1" applyAlignment="1">
      <alignment horizontal="left" vertical="top" wrapText="1"/>
    </xf>
    <xf numFmtId="0" fontId="159" fillId="0" borderId="47" xfId="474" applyFont="1" applyBorder="1"/>
    <xf numFmtId="164" fontId="42" fillId="51" borderId="18" xfId="382" applyNumberFormat="1" applyFont="1" applyFill="1" applyBorder="1"/>
    <xf numFmtId="0" fontId="42" fillId="0" borderId="0" xfId="474" applyFont="1" applyFill="1" applyAlignment="1">
      <alignment horizontal="left" vertical="top" indent="1"/>
    </xf>
    <xf numFmtId="202" fontId="46" fillId="0" borderId="26" xfId="382" quotePrefix="1" applyNumberFormat="1" applyFont="1" applyFill="1" applyBorder="1" applyAlignment="1">
      <alignment vertical="top"/>
    </xf>
    <xf numFmtId="164" fontId="129" fillId="0" borderId="47" xfId="382" applyNumberFormat="1" applyFont="1" applyBorder="1"/>
    <xf numFmtId="0" fontId="42" fillId="0" borderId="0" xfId="0" applyFont="1" applyFill="1" applyBorder="1" applyAlignment="1">
      <alignment horizontal="left" vertical="top" wrapText="1"/>
    </xf>
    <xf numFmtId="0" fontId="42" fillId="0" borderId="0" xfId="0" applyFont="1" applyAlignment="1">
      <alignment horizontal="center" vertical="top"/>
    </xf>
    <xf numFmtId="0" fontId="42" fillId="0" borderId="0" xfId="474" applyFont="1" applyFill="1" applyAlignment="1">
      <alignment horizontal="left" vertical="top" wrapText="1"/>
    </xf>
    <xf numFmtId="0" fontId="42" fillId="0" borderId="0" xfId="474" applyFont="1" applyFill="1" applyAlignment="1">
      <alignment horizontal="center"/>
    </xf>
    <xf numFmtId="0" fontId="42" fillId="0" borderId="0" xfId="0" applyFont="1" applyFill="1" applyBorder="1" applyAlignment="1">
      <alignment horizontal="left" vertical="top"/>
    </xf>
    <xf numFmtId="0" fontId="43" fillId="0" borderId="0" xfId="474" applyFont="1" applyFill="1" applyAlignment="1">
      <alignment horizontal="center"/>
    </xf>
    <xf numFmtId="0" fontId="42" fillId="0" borderId="0" xfId="474" quotePrefix="1" applyFont="1" applyFill="1" applyAlignment="1">
      <alignment horizontal="center" vertical="center"/>
    </xf>
    <xf numFmtId="0" fontId="46" fillId="0" borderId="22" xfId="0" applyNumberFormat="1" applyFont="1" applyBorder="1" applyAlignment="1">
      <alignment horizontal="center" vertical="top" wrapText="1"/>
    </xf>
    <xf numFmtId="0" fontId="46" fillId="0" borderId="0" xfId="0" applyNumberFormat="1" applyFont="1" applyBorder="1" applyAlignment="1">
      <alignment horizontal="center" vertical="top" wrapText="1"/>
    </xf>
    <xf numFmtId="0" fontId="46" fillId="0" borderId="0" xfId="0" applyNumberFormat="1" applyFont="1" applyFill="1" applyBorder="1" applyAlignment="1">
      <alignment vertical="top" wrapText="1"/>
    </xf>
    <xf numFmtId="3" fontId="46" fillId="0" borderId="0" xfId="0" applyNumberFormat="1" applyFont="1" applyFill="1" applyBorder="1" applyAlignment="1">
      <alignment horizontal="center" vertical="top" wrapText="1"/>
    </xf>
    <xf numFmtId="0" fontId="46" fillId="0" borderId="0" xfId="0" applyFont="1" applyFill="1" applyBorder="1" applyAlignment="1">
      <alignment horizontal="center" vertical="top" wrapText="1"/>
    </xf>
    <xf numFmtId="164" fontId="46" fillId="0" borderId="0" xfId="382" quotePrefix="1" applyNumberFormat="1" applyFont="1" applyFill="1" applyBorder="1" applyAlignment="1">
      <alignment horizontal="left" vertical="top" wrapText="1"/>
    </xf>
    <xf numFmtId="164" fontId="46" fillId="0" borderId="30" xfId="382" quotePrefix="1" applyNumberFormat="1" applyFont="1" applyFill="1" applyBorder="1" applyAlignment="1">
      <alignment vertical="top"/>
    </xf>
    <xf numFmtId="164" fontId="46" fillId="0" borderId="61" xfId="382" quotePrefix="1" applyNumberFormat="1" applyFont="1" applyFill="1" applyBorder="1" applyAlignment="1">
      <alignment vertical="top"/>
    </xf>
    <xf numFmtId="0" fontId="46" fillId="0" borderId="22" xfId="0" applyNumberFormat="1" applyFont="1" applyFill="1" applyBorder="1" applyAlignment="1">
      <alignment horizontal="center" vertical="top" wrapText="1"/>
    </xf>
    <xf numFmtId="164" fontId="46" fillId="0" borderId="28" xfId="382" quotePrefix="1" applyNumberFormat="1" applyFont="1" applyFill="1" applyBorder="1" applyAlignment="1">
      <alignment vertical="top"/>
    </xf>
    <xf numFmtId="164" fontId="46" fillId="0" borderId="62" xfId="382" quotePrefix="1" applyNumberFormat="1" applyFont="1" applyFill="1" applyBorder="1" applyAlignment="1">
      <alignment vertical="top"/>
    </xf>
    <xf numFmtId="168" fontId="46" fillId="0" borderId="35" xfId="0" quotePrefix="1" applyNumberFormat="1" applyFont="1" applyBorder="1" applyAlignment="1">
      <alignment horizontal="left" wrapText="1"/>
    </xf>
    <xf numFmtId="3" fontId="46" fillId="0" borderId="35" xfId="0" quotePrefix="1" applyNumberFormat="1" applyFont="1" applyFill="1" applyBorder="1" applyAlignment="1">
      <alignment vertical="top"/>
    </xf>
    <xf numFmtId="187" fontId="43" fillId="0" borderId="0" xfId="0" applyNumberFormat="1" applyFont="1" applyFill="1" applyAlignment="1">
      <alignment horizontal="left" vertical="top"/>
    </xf>
    <xf numFmtId="1" fontId="43" fillId="0" borderId="0" xfId="0" applyNumberFormat="1" applyFont="1" applyFill="1" applyAlignment="1">
      <alignment horizontal="left" vertical="top"/>
    </xf>
    <xf numFmtId="164" fontId="122" fillId="0" borderId="0" xfId="382" applyNumberFormat="1" applyFont="1" applyFill="1" applyBorder="1" applyAlignment="1">
      <alignment horizontal="left"/>
    </xf>
    <xf numFmtId="164" fontId="122" fillId="0" borderId="0" xfId="382" quotePrefix="1" applyNumberFormat="1" applyFont="1" applyFill="1" applyBorder="1" applyAlignment="1">
      <alignment horizontal="left"/>
    </xf>
    <xf numFmtId="164" fontId="122" fillId="0" borderId="54" xfId="382" quotePrefix="1" applyNumberFormat="1" applyFont="1" applyFill="1" applyBorder="1" applyAlignment="1">
      <alignment horizontal="left"/>
    </xf>
    <xf numFmtId="164" fontId="122" fillId="0" borderId="35" xfId="382" quotePrefix="1" applyNumberFormat="1" applyFont="1" applyFill="1" applyBorder="1" applyAlignment="1">
      <alignment horizontal="left"/>
    </xf>
    <xf numFmtId="0" fontId="42" fillId="0" borderId="0" xfId="0" quotePrefix="1" applyFont="1" applyFill="1" applyBorder="1" applyAlignment="1">
      <alignment horizontal="left" vertical="top"/>
    </xf>
    <xf numFmtId="164" fontId="122" fillId="0" borderId="0" xfId="0" applyNumberFormat="1" applyFont="1" applyFill="1" applyAlignment="1"/>
    <xf numFmtId="164" fontId="122" fillId="0" borderId="0" xfId="0" quotePrefix="1" applyNumberFormat="1" applyFont="1" applyFill="1" applyAlignment="1"/>
    <xf numFmtId="164" fontId="122" fillId="0" borderId="54" xfId="0" quotePrefix="1" applyNumberFormat="1" applyFont="1" applyFill="1" applyBorder="1" applyAlignment="1"/>
    <xf numFmtId="164" fontId="122" fillId="0" borderId="0" xfId="0" quotePrefix="1" applyNumberFormat="1" applyFont="1" applyFill="1" applyBorder="1" applyAlignment="1"/>
    <xf numFmtId="164" fontId="122" fillId="0" borderId="35" xfId="0" quotePrefix="1" applyNumberFormat="1" applyFont="1" applyFill="1" applyBorder="1" applyAlignment="1"/>
    <xf numFmtId="164" fontId="123" fillId="0" borderId="0" xfId="0" applyNumberFormat="1" applyFont="1" applyFill="1" applyAlignment="1"/>
    <xf numFmtId="164" fontId="123" fillId="0" borderId="0" xfId="0" quotePrefix="1" applyNumberFormat="1" applyFont="1" applyFill="1" applyAlignment="1"/>
    <xf numFmtId="164" fontId="123" fillId="0" borderId="54" xfId="0" quotePrefix="1" applyNumberFormat="1" applyFont="1" applyFill="1" applyBorder="1" applyAlignment="1"/>
    <xf numFmtId="164" fontId="123" fillId="0" borderId="0" xfId="0" quotePrefix="1" applyNumberFormat="1" applyFont="1" applyFill="1" applyBorder="1" applyAlignment="1"/>
    <xf numFmtId="164" fontId="123" fillId="0" borderId="35" xfId="382" quotePrefix="1" applyNumberFormat="1" applyFont="1" applyFill="1" applyBorder="1" applyAlignment="1"/>
    <xf numFmtId="164" fontId="123" fillId="0" borderId="54" xfId="382" quotePrefix="1" applyNumberFormat="1" applyFont="1" applyFill="1" applyBorder="1" applyAlignment="1"/>
    <xf numFmtId="164" fontId="123" fillId="0" borderId="0" xfId="382" quotePrefix="1" applyNumberFormat="1" applyFont="1" applyFill="1" applyBorder="1" applyAlignment="1"/>
    <xf numFmtId="164" fontId="122" fillId="0" borderId="35" xfId="382" quotePrefix="1" applyNumberFormat="1" applyFont="1" applyFill="1" applyBorder="1" applyAlignment="1"/>
    <xf numFmtId="164" fontId="122" fillId="0" borderId="54" xfId="382" quotePrefix="1" applyNumberFormat="1" applyFont="1" applyFill="1" applyBorder="1" applyAlignment="1"/>
    <xf numFmtId="164" fontId="122" fillId="0" borderId="0" xfId="382" quotePrefix="1" applyNumberFormat="1" applyFont="1" applyFill="1" applyBorder="1" applyAlignment="1"/>
    <xf numFmtId="37" fontId="42" fillId="0" borderId="0" xfId="382" applyNumberFormat="1" applyFont="1" applyAlignment="1">
      <alignment vertical="top"/>
    </xf>
    <xf numFmtId="0" fontId="43" fillId="0" borderId="0" xfId="474" applyFont="1" applyAlignment="1">
      <alignment horizontal="centerContinuous" vertical="top"/>
    </xf>
    <xf numFmtId="37" fontId="43" fillId="0" borderId="0" xfId="382" applyNumberFormat="1" applyFont="1" applyAlignment="1">
      <alignment horizontal="center" vertical="top"/>
    </xf>
    <xf numFmtId="0" fontId="43" fillId="0" borderId="45" xfId="474" applyFont="1" applyBorder="1" applyAlignment="1">
      <alignment horizontal="center" vertical="top" wrapText="1"/>
    </xf>
    <xf numFmtId="164" fontId="123" fillId="0" borderId="54" xfId="382" applyNumberFormat="1" applyFont="1" applyFill="1" applyBorder="1" applyAlignment="1">
      <alignment vertical="top"/>
    </xf>
    <xf numFmtId="164" fontId="123" fillId="0" borderId="0" xfId="382" applyNumberFormat="1" applyFont="1" applyFill="1" applyBorder="1" applyAlignment="1">
      <alignment vertical="top"/>
    </xf>
    <xf numFmtId="164" fontId="123" fillId="0" borderId="35" xfId="382" applyNumberFormat="1" applyFont="1" applyFill="1" applyBorder="1" applyAlignment="1">
      <alignment vertical="top"/>
    </xf>
    <xf numFmtId="164" fontId="123" fillId="0" borderId="0" xfId="382" applyNumberFormat="1" applyFont="1" applyFill="1" applyBorder="1" applyAlignment="1">
      <alignment horizontal="left"/>
    </xf>
    <xf numFmtId="164" fontId="123" fillId="0" borderId="0" xfId="382" quotePrefix="1" applyNumberFormat="1" applyFont="1" applyFill="1" applyBorder="1" applyAlignment="1">
      <alignment horizontal="left"/>
    </xf>
    <xf numFmtId="164" fontId="123" fillId="0" borderId="54" xfId="382" quotePrefix="1" applyNumberFormat="1" applyFont="1" applyFill="1" applyBorder="1" applyAlignment="1">
      <alignment horizontal="left"/>
    </xf>
    <xf numFmtId="164" fontId="123" fillId="0" borderId="35" xfId="382" quotePrefix="1" applyNumberFormat="1" applyFont="1" applyFill="1" applyBorder="1" applyAlignment="1">
      <alignment horizontal="left"/>
    </xf>
    <xf numFmtId="164" fontId="123" fillId="0" borderId="35" xfId="0" quotePrefix="1" applyNumberFormat="1" applyFont="1" applyFill="1" applyBorder="1" applyAlignment="1"/>
    <xf numFmtId="0" fontId="174" fillId="0" borderId="0" xfId="522" applyFont="1"/>
    <xf numFmtId="0" fontId="175" fillId="51" borderId="0" xfId="37708" applyFont="1" applyFill="1" applyAlignment="1">
      <alignment horizontal="center"/>
    </xf>
    <xf numFmtId="0" fontId="175" fillId="51" borderId="0" xfId="522" applyFont="1" applyFill="1" applyAlignment="1">
      <alignment horizontal="center" wrapText="1"/>
    </xf>
    <xf numFmtId="0" fontId="141" fillId="0" borderId="0" xfId="522" applyFont="1"/>
    <xf numFmtId="164" fontId="43" fillId="0" borderId="0" xfId="382" applyNumberFormat="1" applyFont="1" applyFill="1" applyBorder="1"/>
    <xf numFmtId="0" fontId="173" fillId="0" borderId="0" xfId="522" applyFont="1"/>
    <xf numFmtId="0" fontId="43" fillId="0" borderId="0" xfId="474" applyFont="1" applyFill="1"/>
    <xf numFmtId="164" fontId="42" fillId="0" borderId="0" xfId="474" applyNumberFormat="1" applyFont="1" applyFill="1"/>
    <xf numFmtId="0" fontId="174" fillId="0" borderId="0" xfId="522" applyFont="1" applyFill="1"/>
    <xf numFmtId="0" fontId="43" fillId="0" borderId="0" xfId="474" applyFont="1" applyFill="1" applyAlignment="1">
      <alignment horizontal="left" vertical="top" indent="1"/>
    </xf>
    <xf numFmtId="0" fontId="141" fillId="0" borderId="0" xfId="474" applyFont="1" applyFill="1" applyAlignment="1">
      <alignment horizontal="left"/>
    </xf>
    <xf numFmtId="0" fontId="174" fillId="0" borderId="0" xfId="522" applyFont="1" applyAlignment="1">
      <alignment horizontal="center"/>
    </xf>
    <xf numFmtId="0" fontId="174" fillId="0" borderId="0" xfId="522" quotePrefix="1" applyFont="1" applyFill="1" applyAlignment="1">
      <alignment horizontal="center" vertical="top"/>
    </xf>
    <xf numFmtId="0" fontId="173" fillId="0" borderId="0" xfId="522" applyFont="1" applyFill="1"/>
    <xf numFmtId="0" fontId="174" fillId="0" borderId="0" xfId="522" applyFont="1" applyFill="1" applyAlignment="1">
      <alignment horizontal="center"/>
    </xf>
    <xf numFmtId="17" fontId="174" fillId="0" borderId="0" xfId="37708" applyNumberFormat="1" applyFont="1" applyFill="1"/>
    <xf numFmtId="43" fontId="174" fillId="0" borderId="0" xfId="408" applyFont="1" applyFill="1"/>
    <xf numFmtId="164" fontId="174" fillId="0" borderId="0" xfId="382" applyNumberFormat="1" applyFont="1"/>
    <xf numFmtId="0" fontId="42" fillId="0" borderId="0" xfId="474" quotePrefix="1" applyFont="1" applyFill="1" applyAlignment="1">
      <alignment horizontal="left" vertical="top" indent="1"/>
    </xf>
    <xf numFmtId="0" fontId="42" fillId="0" borderId="0" xfId="474" quotePrefix="1" applyFont="1" applyFill="1" applyAlignment="1">
      <alignment horizontal="left"/>
    </xf>
    <xf numFmtId="0" fontId="176" fillId="0" borderId="0" xfId="522" applyFont="1"/>
    <xf numFmtId="17" fontId="42" fillId="0" borderId="0" xfId="474" applyNumberFormat="1"/>
    <xf numFmtId="0" fontId="42" fillId="0" borderId="0" xfId="474" applyAlignment="1">
      <alignment horizontal="left" indent="1"/>
    </xf>
    <xf numFmtId="164" fontId="0" fillId="0" borderId="0" xfId="382" applyNumberFormat="1" applyFont="1" applyBorder="1"/>
    <xf numFmtId="43" fontId="42" fillId="0" borderId="0" xfId="474" applyNumberFormat="1" applyBorder="1"/>
    <xf numFmtId="164" fontId="42" fillId="0" borderId="0" xfId="382" applyNumberFormat="1"/>
    <xf numFmtId="0" fontId="42" fillId="0" borderId="0" xfId="474" applyBorder="1"/>
    <xf numFmtId="0" fontId="42" fillId="0" borderId="0" xfId="474" quotePrefix="1" applyAlignment="1">
      <alignment horizontal="center"/>
    </xf>
    <xf numFmtId="43" fontId="130" fillId="0" borderId="0" xfId="382" applyFont="1" applyFill="1" applyAlignment="1">
      <alignment horizontal="center"/>
    </xf>
    <xf numFmtId="0" fontId="42" fillId="0" borderId="0" xfId="484" applyFont="1" applyFill="1" applyAlignment="1">
      <alignment horizontal="center" vertical="top"/>
    </xf>
    <xf numFmtId="0" fontId="62" fillId="0" borderId="0" xfId="37709" applyFont="1"/>
    <xf numFmtId="43" fontId="42" fillId="0" borderId="0" xfId="484" applyNumberFormat="1" applyFont="1" applyAlignment="1">
      <alignment vertical="top"/>
    </xf>
    <xf numFmtId="0" fontId="42" fillId="0" borderId="0" xfId="37709" applyFont="1"/>
    <xf numFmtId="43" fontId="42" fillId="0" borderId="0" xfId="382" applyFont="1" applyAlignment="1">
      <alignment vertical="top"/>
    </xf>
    <xf numFmtId="43" fontId="42" fillId="0" borderId="0" xfId="382" applyFont="1" applyFill="1" applyAlignment="1">
      <alignment vertical="top"/>
    </xf>
    <xf numFmtId="43" fontId="42" fillId="0" borderId="40" xfId="382" applyFont="1" applyFill="1" applyBorder="1" applyAlignment="1">
      <alignment vertical="top"/>
    </xf>
    <xf numFmtId="43" fontId="62" fillId="0" borderId="17" xfId="382" applyFont="1" applyBorder="1"/>
    <xf numFmtId="0" fontId="42" fillId="51" borderId="0" xfId="474" applyFill="1"/>
    <xf numFmtId="43" fontId="42" fillId="57" borderId="0" xfId="484" applyNumberFormat="1" applyFont="1" applyFill="1" applyAlignment="1">
      <alignment vertical="top"/>
    </xf>
    <xf numFmtId="43" fontId="42" fillId="57" borderId="45" xfId="484" applyNumberFormat="1" applyFont="1" applyFill="1" applyBorder="1" applyAlignment="1">
      <alignment vertical="top"/>
    </xf>
    <xf numFmtId="0" fontId="138" fillId="0" borderId="0" xfId="474" applyFont="1" applyFill="1"/>
    <xf numFmtId="0" fontId="138" fillId="0" borderId="0" xfId="37709" applyFont="1" applyFill="1"/>
    <xf numFmtId="43" fontId="62" fillId="57" borderId="0" xfId="37709" applyNumberFormat="1" applyFont="1" applyFill="1" applyBorder="1"/>
    <xf numFmtId="43" fontId="62" fillId="57" borderId="54" xfId="37709" applyNumberFormat="1" applyFont="1" applyFill="1" applyBorder="1"/>
    <xf numFmtId="0" fontId="62" fillId="0" borderId="0" xfId="37709" quotePrefix="1" applyFont="1" applyFill="1" applyAlignment="1">
      <alignment horizontal="center" vertical="top"/>
    </xf>
    <xf numFmtId="0" fontId="42" fillId="0" borderId="0" xfId="37709" quotePrefix="1" applyFont="1" applyFill="1" applyAlignment="1">
      <alignment horizontal="center"/>
    </xf>
    <xf numFmtId="43" fontId="62" fillId="57" borderId="0" xfId="382" applyFont="1" applyFill="1" applyBorder="1"/>
    <xf numFmtId="43" fontId="62" fillId="57" borderId="54" xfId="382" applyFont="1" applyFill="1" applyBorder="1"/>
    <xf numFmtId="43" fontId="62" fillId="0" borderId="0" xfId="382" applyFont="1"/>
    <xf numFmtId="43" fontId="62" fillId="57" borderId="0" xfId="382" applyFont="1" applyFill="1"/>
    <xf numFmtId="164" fontId="2" fillId="0" borderId="0" xfId="474" applyNumberFormat="1" applyFont="1" applyFill="1"/>
    <xf numFmtId="164" fontId="2" fillId="0" borderId="0" xfId="382" applyNumberFormat="1" applyFont="1" applyFill="1" applyAlignment="1">
      <alignment horizontal="left"/>
    </xf>
    <xf numFmtId="0" fontId="2" fillId="0" borderId="0" xfId="474" applyFont="1" applyFill="1" applyAlignment="1">
      <alignment horizontal="left"/>
    </xf>
    <xf numFmtId="0" fontId="62" fillId="0" borderId="0" xfId="37709" applyFont="1" applyFill="1" applyAlignment="1">
      <alignment horizontal="left"/>
    </xf>
    <xf numFmtId="164" fontId="2" fillId="0" borderId="0" xfId="382" applyNumberFormat="1" applyFont="1" applyFill="1"/>
    <xf numFmtId="1" fontId="62" fillId="0" borderId="0" xfId="37709" applyNumberFormat="1" applyFont="1" applyFill="1" applyAlignment="1">
      <alignment horizontal="left"/>
    </xf>
    <xf numFmtId="0" fontId="2" fillId="0" borderId="0" xfId="474" applyFont="1" applyFill="1"/>
    <xf numFmtId="43" fontId="42" fillId="57" borderId="0" xfId="382" applyFont="1" applyFill="1" applyBorder="1" applyAlignment="1">
      <alignment vertical="top"/>
    </xf>
    <xf numFmtId="43" fontId="42" fillId="57" borderId="54" xfId="382" applyFont="1" applyFill="1" applyBorder="1" applyAlignment="1">
      <alignment vertical="top"/>
    </xf>
    <xf numFmtId="164" fontId="2" fillId="0" borderId="17" xfId="474" applyNumberFormat="1" applyFont="1" applyFill="1" applyBorder="1"/>
    <xf numFmtId="164" fontId="2" fillId="0" borderId="17" xfId="382" applyNumberFormat="1" applyFont="1" applyFill="1" applyBorder="1"/>
    <xf numFmtId="164" fontId="2" fillId="0" borderId="0" xfId="474" applyNumberFormat="1" applyFont="1" applyFill="1" applyBorder="1"/>
    <xf numFmtId="0" fontId="2" fillId="0" borderId="0" xfId="474" applyFont="1" applyFill="1" applyAlignment="1">
      <alignment horizontal="left" indent="1"/>
    </xf>
    <xf numFmtId="43" fontId="42" fillId="0" borderId="32" xfId="382" applyFont="1" applyBorder="1" applyAlignment="1">
      <alignment vertical="top"/>
    </xf>
    <xf numFmtId="43" fontId="42" fillId="0" borderId="74" xfId="382" applyFont="1" applyBorder="1" applyAlignment="1">
      <alignment vertical="top"/>
    </xf>
    <xf numFmtId="43" fontId="42" fillId="0" borderId="7" xfId="382" applyFont="1" applyBorder="1" applyAlignment="1">
      <alignment vertical="top"/>
    </xf>
    <xf numFmtId="43" fontId="42" fillId="0" borderId="16" xfId="382" applyFont="1" applyFill="1" applyBorder="1" applyAlignment="1">
      <alignment vertical="top"/>
    </xf>
    <xf numFmtId="43" fontId="42" fillId="0" borderId="43" xfId="382" applyFont="1" applyFill="1" applyBorder="1" applyAlignment="1">
      <alignment vertical="top"/>
    </xf>
    <xf numFmtId="43" fontId="42" fillId="0" borderId="17" xfId="382" applyFont="1" applyFill="1" applyBorder="1" applyAlignment="1">
      <alignment vertical="top"/>
    </xf>
    <xf numFmtId="43" fontId="42" fillId="0" borderId="75" xfId="382" applyFont="1" applyFill="1" applyBorder="1" applyAlignment="1">
      <alignment vertical="top"/>
    </xf>
    <xf numFmtId="43" fontId="42" fillId="0" borderId="18" xfId="382" applyFont="1" applyBorder="1" applyAlignment="1">
      <alignment vertical="top"/>
    </xf>
    <xf numFmtId="43" fontId="42" fillId="0" borderId="45" xfId="382" applyFont="1" applyBorder="1" applyAlignment="1">
      <alignment vertical="top"/>
    </xf>
    <xf numFmtId="43" fontId="42" fillId="51" borderId="0" xfId="382" applyFont="1" applyFill="1" applyAlignment="1">
      <alignment vertical="top"/>
    </xf>
    <xf numFmtId="43" fontId="42" fillId="0" borderId="24" xfId="382" applyFont="1" applyBorder="1" applyAlignment="1">
      <alignment vertical="top"/>
    </xf>
    <xf numFmtId="43" fontId="42" fillId="0" borderId="76" xfId="382" applyFont="1" applyBorder="1" applyAlignment="1">
      <alignment vertical="top"/>
    </xf>
    <xf numFmtId="0" fontId="2" fillId="0" borderId="0" xfId="474" applyFont="1"/>
    <xf numFmtId="43" fontId="62" fillId="51" borderId="0" xfId="382" applyFont="1" applyFill="1"/>
    <xf numFmtId="43" fontId="42" fillId="51" borderId="0" xfId="382" applyFont="1" applyFill="1" applyBorder="1" applyAlignment="1">
      <alignment vertical="top"/>
    </xf>
    <xf numFmtId="43" fontId="42" fillId="51" borderId="54" xfId="382" applyFont="1" applyFill="1" applyBorder="1" applyAlignment="1">
      <alignment vertical="top"/>
    </xf>
    <xf numFmtId="164" fontId="2" fillId="0" borderId="0" xfId="11622" applyNumberFormat="1" applyFont="1" applyFill="1"/>
    <xf numFmtId="43" fontId="42" fillId="0" borderId="0" xfId="382" applyFont="1" applyFill="1" applyBorder="1" applyAlignment="1">
      <alignment vertical="top"/>
    </xf>
    <xf numFmtId="43" fontId="42" fillId="0" borderId="54" xfId="382" applyFont="1" applyFill="1" applyBorder="1" applyAlignment="1">
      <alignment vertical="top"/>
    </xf>
    <xf numFmtId="2" fontId="62" fillId="0" borderId="0" xfId="37709" applyNumberFormat="1" applyFont="1" applyFill="1" applyAlignment="1">
      <alignment horizontal="left"/>
    </xf>
    <xf numFmtId="43" fontId="42" fillId="0" borderId="0" xfId="382" applyFont="1" applyBorder="1" applyAlignment="1">
      <alignment vertical="top"/>
    </xf>
    <xf numFmtId="43" fontId="42" fillId="0" borderId="54" xfId="382" applyFont="1" applyBorder="1" applyAlignment="1">
      <alignment vertical="top"/>
    </xf>
    <xf numFmtId="2" fontId="42" fillId="0" borderId="0" xfId="37709" applyNumberFormat="1" applyFont="1" applyFill="1" applyAlignment="1">
      <alignment horizontal="left"/>
    </xf>
    <xf numFmtId="43" fontId="42" fillId="57" borderId="54" xfId="382" quotePrefix="1" applyFont="1" applyFill="1" applyBorder="1" applyAlignment="1">
      <alignment vertical="top"/>
    </xf>
    <xf numFmtId="0" fontId="42" fillId="0" borderId="0" xfId="474" quotePrefix="1" applyFont="1" applyAlignment="1">
      <alignment horizontal="left" indent="1"/>
    </xf>
    <xf numFmtId="43" fontId="42" fillId="0" borderId="0" xfId="382" applyFont="1" applyFill="1" applyAlignment="1">
      <alignment horizontal="center" vertical="top"/>
    </xf>
    <xf numFmtId="43" fontId="42" fillId="0" borderId="17" xfId="382" applyFont="1" applyFill="1" applyBorder="1" applyAlignment="1">
      <alignment horizontal="center" vertical="top"/>
    </xf>
    <xf numFmtId="43" fontId="42" fillId="0" borderId="75" xfId="382" applyFont="1" applyFill="1" applyBorder="1" applyAlignment="1">
      <alignment horizontal="center" vertical="top"/>
    </xf>
    <xf numFmtId="0" fontId="42" fillId="0" borderId="0" xfId="484" quotePrefix="1" applyFont="1" applyFill="1" applyAlignment="1">
      <alignment horizontal="left" vertical="top"/>
    </xf>
    <xf numFmtId="0" fontId="42" fillId="0" borderId="0" xfId="484" applyFont="1" applyBorder="1" applyAlignment="1">
      <alignment vertical="top"/>
    </xf>
    <xf numFmtId="0" fontId="42" fillId="0" borderId="54" xfId="484" applyFont="1" applyBorder="1" applyAlignment="1">
      <alignment vertical="top"/>
    </xf>
    <xf numFmtId="43" fontId="42" fillId="0" borderId="0" xfId="484" applyNumberFormat="1" applyFont="1" applyBorder="1" applyAlignment="1">
      <alignment vertical="top"/>
    </xf>
    <xf numFmtId="0" fontId="42" fillId="0" borderId="7" xfId="484" applyFont="1" applyBorder="1" applyAlignment="1">
      <alignment vertical="top"/>
    </xf>
    <xf numFmtId="0" fontId="42" fillId="0" borderId="74" xfId="484" applyFont="1" applyBorder="1" applyAlignment="1">
      <alignment vertical="top"/>
    </xf>
    <xf numFmtId="43" fontId="2" fillId="0" borderId="18" xfId="382" applyFont="1" applyFill="1" applyBorder="1" applyAlignment="1">
      <alignment horizontal="center"/>
    </xf>
    <xf numFmtId="164" fontId="2" fillId="0" borderId="18" xfId="382" applyNumberFormat="1" applyFont="1" applyFill="1" applyBorder="1" applyAlignment="1">
      <alignment horizontal="center"/>
    </xf>
    <xf numFmtId="0" fontId="62" fillId="0" borderId="0" xfId="37709" applyFont="1" applyAlignment="1">
      <alignment horizontal="center"/>
    </xf>
    <xf numFmtId="0" fontId="2" fillId="0" borderId="0" xfId="474" applyFont="1" applyFill="1" applyAlignment="1">
      <alignment horizontal="center"/>
    </xf>
    <xf numFmtId="164" fontId="2" fillId="0" borderId="0" xfId="382" applyNumberFormat="1" applyFont="1" applyFill="1" applyAlignment="1">
      <alignment horizontal="center"/>
    </xf>
    <xf numFmtId="0" fontId="62" fillId="0" borderId="0" xfId="474" applyFont="1" applyFill="1" applyAlignment="1">
      <alignment horizontal="center"/>
    </xf>
    <xf numFmtId="0" fontId="62" fillId="0" borderId="0" xfId="474" applyFont="1" applyFill="1" applyAlignment="1"/>
    <xf numFmtId="0" fontId="42" fillId="0" borderId="0" xfId="474" quotePrefix="1" applyFont="1" applyFill="1" applyBorder="1" applyAlignment="1">
      <alignment vertical="top"/>
    </xf>
    <xf numFmtId="0" fontId="144" fillId="0" borderId="0" xfId="37709" applyFont="1" applyFill="1"/>
    <xf numFmtId="0" fontId="138" fillId="0" borderId="0" xfId="37709" applyFont="1"/>
    <xf numFmtId="0" fontId="107" fillId="0" borderId="0" xfId="37710"/>
    <xf numFmtId="43" fontId="177" fillId="0" borderId="40" xfId="37711" applyFont="1" applyBorder="1"/>
    <xf numFmtId="43" fontId="0" fillId="0" borderId="0" xfId="37711" applyFont="1"/>
    <xf numFmtId="0" fontId="107" fillId="55" borderId="0" xfId="37710" applyFill="1"/>
    <xf numFmtId="43" fontId="177" fillId="55" borderId="40" xfId="37711" applyFont="1" applyFill="1" applyBorder="1"/>
    <xf numFmtId="0" fontId="107" fillId="55" borderId="0" xfId="37710" applyFill="1" applyAlignment="1">
      <alignment horizontal="left"/>
    </xf>
    <xf numFmtId="0" fontId="107" fillId="0" borderId="0" xfId="37710" applyAlignment="1">
      <alignment horizontal="left" indent="1"/>
    </xf>
    <xf numFmtId="43" fontId="177" fillId="0" borderId="17" xfId="37711" applyFont="1" applyBorder="1"/>
    <xf numFmtId="0" fontId="107" fillId="0" borderId="0" xfId="37710" applyAlignment="1">
      <alignment horizontal="left" indent="2"/>
    </xf>
    <xf numFmtId="0" fontId="107" fillId="0" borderId="0" xfId="37710" applyFill="1" applyAlignment="1">
      <alignment horizontal="left" indent="1"/>
    </xf>
    <xf numFmtId="0" fontId="177" fillId="55" borderId="0" xfId="37710" applyFont="1" applyFill="1" applyAlignment="1">
      <alignment horizontal="left"/>
    </xf>
    <xf numFmtId="43" fontId="0" fillId="0" borderId="40" xfId="37711" applyFont="1" applyBorder="1"/>
    <xf numFmtId="0" fontId="107" fillId="58" borderId="0" xfId="37710" applyFill="1"/>
    <xf numFmtId="43" fontId="0" fillId="58" borderId="40" xfId="37711" applyFont="1" applyFill="1" applyBorder="1"/>
    <xf numFmtId="0" fontId="107" fillId="58" borderId="0" xfId="37710" applyFill="1" applyAlignment="1">
      <alignment horizontal="left"/>
    </xf>
    <xf numFmtId="0" fontId="177" fillId="58" borderId="0" xfId="37710" applyFont="1" applyFill="1" applyAlignment="1">
      <alignment horizontal="left"/>
    </xf>
    <xf numFmtId="43" fontId="177" fillId="0" borderId="40" xfId="37710" applyNumberFormat="1" applyFont="1" applyBorder="1"/>
    <xf numFmtId="0" fontId="107" fillId="59" borderId="0" xfId="37710" applyFill="1"/>
    <xf numFmtId="43" fontId="177" fillId="59" borderId="40" xfId="37711" applyFont="1" applyFill="1" applyBorder="1"/>
    <xf numFmtId="0" fontId="107" fillId="59" borderId="0" xfId="37710" applyFill="1" applyAlignment="1">
      <alignment horizontal="left"/>
    </xf>
    <xf numFmtId="43" fontId="0" fillId="59" borderId="0" xfId="37711" applyFont="1" applyFill="1"/>
    <xf numFmtId="0" fontId="177" fillId="59" borderId="0" xfId="37710" applyFont="1" applyFill="1" applyAlignment="1">
      <alignment horizontal="left"/>
    </xf>
    <xf numFmtId="43" fontId="177" fillId="0" borderId="0" xfId="37711" applyFont="1" applyBorder="1"/>
    <xf numFmtId="0" fontId="107" fillId="0" borderId="0" xfId="37710" applyAlignment="1">
      <alignment horizontal="left"/>
    </xf>
    <xf numFmtId="0" fontId="107" fillId="60" borderId="0" xfId="37710" applyFill="1"/>
    <xf numFmtId="43" fontId="177" fillId="60" borderId="40" xfId="37711" applyFont="1" applyFill="1" applyBorder="1"/>
    <xf numFmtId="0" fontId="107" fillId="60" borderId="0" xfId="37710" applyFill="1" applyAlignment="1">
      <alignment horizontal="left"/>
    </xf>
    <xf numFmtId="43" fontId="0" fillId="57" borderId="0" xfId="37711" applyFont="1" applyFill="1"/>
    <xf numFmtId="43" fontId="177" fillId="0" borderId="0" xfId="37711" applyFont="1" applyFill="1" applyBorder="1"/>
    <xf numFmtId="43" fontId="177" fillId="0" borderId="17" xfId="37711" applyFont="1" applyFill="1" applyBorder="1"/>
    <xf numFmtId="43" fontId="0" fillId="60" borderId="0" xfId="37711" applyFont="1" applyFill="1"/>
    <xf numFmtId="203" fontId="107" fillId="0" borderId="0" xfId="37710" applyNumberFormat="1"/>
    <xf numFmtId="43" fontId="0" fillId="58" borderId="0" xfId="37711" applyFont="1" applyFill="1"/>
    <xf numFmtId="0" fontId="125" fillId="0" borderId="0" xfId="504" applyFont="1" applyFill="1" applyAlignment="1"/>
    <xf numFmtId="0" fontId="43" fillId="0" borderId="0" xfId="474" applyFont="1" applyFill="1" applyAlignment="1">
      <alignment horizontal="center"/>
    </xf>
    <xf numFmtId="0" fontId="43" fillId="51" borderId="0" xfId="522" applyFont="1" applyFill="1" applyAlignment="1">
      <alignment horizontal="center"/>
    </xf>
    <xf numFmtId="0" fontId="43" fillId="51" borderId="0" xfId="474" applyFont="1" applyFill="1" applyBorder="1" applyAlignment="1">
      <alignment horizontal="centerContinuous"/>
    </xf>
    <xf numFmtId="0" fontId="43" fillId="51" borderId="0" xfId="37708" applyFont="1" applyFill="1" applyAlignment="1">
      <alignment horizontal="centerContinuous"/>
    </xf>
    <xf numFmtId="0" fontId="43" fillId="51" borderId="0" xfId="522" applyFont="1" applyFill="1" applyAlignment="1">
      <alignment horizontal="center" wrapText="1"/>
    </xf>
    <xf numFmtId="0" fontId="43" fillId="51" borderId="18" xfId="37708" applyFont="1" applyFill="1" applyBorder="1" applyAlignment="1">
      <alignment horizontal="center" wrapText="1"/>
    </xf>
    <xf numFmtId="164" fontId="43" fillId="51" borderId="18" xfId="403" applyNumberFormat="1" applyFont="1" applyFill="1" applyBorder="1" applyAlignment="1">
      <alignment horizontal="center" wrapText="1"/>
    </xf>
    <xf numFmtId="0" fontId="42" fillId="51" borderId="0" xfId="522" applyFont="1" applyFill="1" applyAlignment="1">
      <alignment horizontal="center"/>
    </xf>
    <xf numFmtId="0" fontId="164" fillId="51" borderId="0" xfId="37708" applyFont="1" applyFill="1" applyAlignment="1">
      <alignment horizontal="right" wrapText="1"/>
    </xf>
    <xf numFmtId="0" fontId="164" fillId="51" borderId="0" xfId="37708" applyFont="1" applyFill="1" applyBorder="1" applyAlignment="1">
      <alignment horizontal="right"/>
    </xf>
    <xf numFmtId="17" fontId="42" fillId="51" borderId="0" xfId="37708" applyNumberFormat="1" applyFont="1" applyFill="1" applyAlignment="1">
      <alignment horizontal="left"/>
    </xf>
    <xf numFmtId="164" fontId="42" fillId="51" borderId="0" xfId="382" quotePrefix="1" applyNumberFormat="1" applyFont="1" applyFill="1" applyAlignment="1">
      <alignment horizontal="center"/>
    </xf>
    <xf numFmtId="0" fontId="42" fillId="51" borderId="0" xfId="474" applyFont="1" applyFill="1" applyAlignment="1">
      <alignment horizontal="center"/>
    </xf>
    <xf numFmtId="0" fontId="42" fillId="51" borderId="0" xfId="474" applyFont="1" applyFill="1"/>
    <xf numFmtId="164" fontId="42" fillId="51" borderId="0" xfId="474" applyNumberFormat="1" applyFont="1" applyFill="1"/>
    <xf numFmtId="164" fontId="42" fillId="51" borderId="0" xfId="382" applyNumberFormat="1" applyFont="1" applyFill="1" applyAlignment="1">
      <alignment horizontal="center"/>
    </xf>
    <xf numFmtId="17" fontId="42" fillId="51" borderId="0" xfId="37708" applyNumberFormat="1" applyFont="1" applyFill="1" applyAlignment="1">
      <alignment horizontal="center"/>
    </xf>
    <xf numFmtId="164" fontId="42" fillId="51" borderId="0" xfId="37703" applyNumberFormat="1" applyFont="1" applyFill="1"/>
    <xf numFmtId="17" fontId="42" fillId="51" borderId="0" xfId="37708" applyNumberFormat="1" applyFont="1" applyFill="1"/>
    <xf numFmtId="43" fontId="42" fillId="51" borderId="0" xfId="408" applyFont="1" applyFill="1"/>
    <xf numFmtId="0" fontId="42" fillId="51" borderId="0" xfId="522" applyFont="1" applyFill="1"/>
    <xf numFmtId="0" fontId="42" fillId="51" borderId="0" xfId="522" quotePrefix="1" applyFont="1" applyFill="1" applyAlignment="1">
      <alignment horizontal="center" vertical="top"/>
    </xf>
    <xf numFmtId="0" fontId="91" fillId="0" borderId="0" xfId="522" applyFont="1"/>
    <xf numFmtId="0" fontId="42" fillId="0" borderId="0" xfId="522" applyFont="1"/>
    <xf numFmtId="0" fontId="178" fillId="0" borderId="0" xfId="522" applyFont="1"/>
    <xf numFmtId="164" fontId="0" fillId="0" borderId="0" xfId="382" applyNumberFormat="1" applyFont="1" applyFill="1"/>
    <xf numFmtId="0" fontId="42" fillId="0" borderId="0" xfId="474" quotePrefix="1" applyAlignment="1">
      <alignment horizontal="left" indent="1"/>
    </xf>
    <xf numFmtId="0" fontId="125" fillId="0" borderId="0" xfId="0" applyFont="1" applyFill="1" applyBorder="1"/>
    <xf numFmtId="0" fontId="2" fillId="0" borderId="0" xfId="0" applyFont="1" applyFill="1"/>
    <xf numFmtId="0" fontId="42" fillId="0" borderId="0" xfId="474" applyFont="1" applyFill="1" applyAlignment="1">
      <alignment horizontal="left"/>
    </xf>
    <xf numFmtId="0" fontId="42" fillId="0" borderId="0" xfId="474" applyFont="1" applyFill="1" applyAlignment="1">
      <alignment horizontal="center"/>
    </xf>
    <xf numFmtId="1" fontId="42" fillId="0" borderId="0" xfId="474" applyNumberFormat="1" applyFont="1" applyFill="1" applyAlignment="1">
      <alignment horizontal="left" vertical="top"/>
    </xf>
    <xf numFmtId="0" fontId="42" fillId="0" borderId="0" xfId="474" applyFont="1" applyFill="1" applyBorder="1" applyAlignment="1">
      <alignment horizontal="left"/>
    </xf>
    <xf numFmtId="0" fontId="61" fillId="0" borderId="0" xfId="474" applyFont="1" applyFill="1" applyBorder="1"/>
    <xf numFmtId="1" fontId="42" fillId="0" borderId="0" xfId="474" applyNumberFormat="1" applyFont="1" applyFill="1" applyAlignment="1">
      <alignment horizontal="center" vertical="top"/>
    </xf>
    <xf numFmtId="0" fontId="42" fillId="0" borderId="0" xfId="474" quotePrefix="1" applyFont="1" applyBorder="1"/>
    <xf numFmtId="0" fontId="141" fillId="0" borderId="0" xfId="474" applyFont="1" applyBorder="1"/>
    <xf numFmtId="10" fontId="0" fillId="0" borderId="0" xfId="674" applyNumberFormat="1" applyFont="1" applyAlignment="1">
      <alignment vertical="top"/>
    </xf>
    <xf numFmtId="0" fontId="42" fillId="0" borderId="0" xfId="474" applyAlignment="1">
      <alignment vertical="top"/>
    </xf>
    <xf numFmtId="37" fontId="0" fillId="0" borderId="0" xfId="382" applyNumberFormat="1" applyFont="1" applyAlignment="1">
      <alignment vertical="top"/>
    </xf>
    <xf numFmtId="10" fontId="0" fillId="0" borderId="18" xfId="674" applyNumberFormat="1" applyFont="1" applyBorder="1" applyAlignment="1">
      <alignment vertical="top"/>
    </xf>
    <xf numFmtId="0" fontId="1" fillId="0" borderId="0" xfId="474" quotePrefix="1" applyFont="1" applyAlignment="1">
      <alignment horizontal="left" vertical="top"/>
    </xf>
    <xf numFmtId="37" fontId="137" fillId="0" borderId="0" xfId="382" applyNumberFormat="1" applyFont="1" applyAlignment="1">
      <alignment horizontal="center" vertical="top"/>
    </xf>
    <xf numFmtId="0" fontId="137" fillId="0" borderId="0" xfId="474" applyFont="1" applyAlignment="1">
      <alignment horizontal="center" vertical="top"/>
    </xf>
    <xf numFmtId="10" fontId="43" fillId="0" borderId="0" xfId="382" applyNumberFormat="1" applyFont="1" applyAlignment="1">
      <alignment vertical="top"/>
    </xf>
    <xf numFmtId="164" fontId="42" fillId="51" borderId="0" xfId="382" quotePrefix="1" applyNumberFormat="1" applyFont="1" applyFill="1" applyBorder="1"/>
    <xf numFmtId="164" fontId="42" fillId="51" borderId="18" xfId="382" quotePrefix="1" applyNumberFormat="1" applyFont="1" applyFill="1" applyBorder="1"/>
    <xf numFmtId="43" fontId="62" fillId="0" borderId="0" xfId="382" applyNumberFormat="1" applyFont="1"/>
    <xf numFmtId="43" fontId="42" fillId="0" borderId="0" xfId="382" applyNumberFormat="1" applyFont="1"/>
    <xf numFmtId="43" fontId="62" fillId="0" borderId="0" xfId="382" applyNumberFormat="1" applyFont="1" applyFill="1"/>
    <xf numFmtId="0" fontId="42" fillId="0" borderId="0" xfId="522" quotePrefix="1" applyFont="1" applyAlignment="1">
      <alignment vertical="top"/>
    </xf>
    <xf numFmtId="164" fontId="42" fillId="0" borderId="0" xfId="0" applyNumberFormat="1" applyFont="1" applyFill="1" applyAlignment="1">
      <alignment vertical="top"/>
    </xf>
    <xf numFmtId="3" fontId="42" fillId="0" borderId="0" xfId="11265" quotePrefix="1" applyNumberFormat="1" applyFont="1" applyFill="1" applyAlignment="1">
      <alignment horizontal="center"/>
    </xf>
    <xf numFmtId="0" fontId="42" fillId="0" borderId="0" xfId="474" applyFont="1" applyAlignment="1">
      <alignment horizontal="center"/>
    </xf>
    <xf numFmtId="0" fontId="91" fillId="0" borderId="0" xfId="0" applyFont="1" applyAlignment="1">
      <alignment horizontal="center" wrapText="1"/>
    </xf>
    <xf numFmtId="0" fontId="179" fillId="0" borderId="0" xfId="0" applyFont="1" applyAlignment="1">
      <alignment horizontal="center" wrapText="1"/>
    </xf>
    <xf numFmtId="0" fontId="0" fillId="0" borderId="0" xfId="0" applyAlignment="1">
      <alignment horizontal="center" wrapText="1"/>
    </xf>
    <xf numFmtId="0" fontId="42" fillId="0" borderId="0" xfId="474" applyFont="1" applyAlignment="1">
      <alignment horizontal="center" wrapText="1"/>
    </xf>
    <xf numFmtId="164" fontId="0" fillId="0" borderId="0" xfId="382" quotePrefix="1" applyNumberFormat="1" applyFont="1" applyFill="1"/>
    <xf numFmtId="0" fontId="0" fillId="0" borderId="0" xfId="0" applyFill="1" applyAlignment="1">
      <alignment horizontal="center"/>
    </xf>
    <xf numFmtId="0" fontId="91" fillId="0" borderId="0" xfId="0" applyFont="1"/>
    <xf numFmtId="0" fontId="43" fillId="0" borderId="0" xfId="474" applyFont="1" applyFill="1" applyAlignment="1">
      <alignment horizontal="center"/>
    </xf>
    <xf numFmtId="43" fontId="122" fillId="0" borderId="0" xfId="382" applyFont="1" applyFill="1" applyAlignment="1">
      <alignment horizontal="left"/>
    </xf>
    <xf numFmtId="43" fontId="42" fillId="0" borderId="18" xfId="382" applyFont="1" applyFill="1" applyBorder="1" applyAlignment="1">
      <alignment horizontal="center"/>
    </xf>
    <xf numFmtId="0" fontId="42" fillId="0" borderId="43" xfId="474" applyFont="1" applyBorder="1" applyAlignment="1">
      <alignment vertical="top" wrapText="1"/>
    </xf>
    <xf numFmtId="0" fontId="42" fillId="0" borderId="54" xfId="474" applyFont="1" applyBorder="1" applyAlignment="1">
      <alignment vertical="top" wrapText="1"/>
    </xf>
    <xf numFmtId="0" fontId="42" fillId="0" borderId="4" xfId="474" applyFont="1" applyBorder="1" applyAlignment="1">
      <alignment vertical="top"/>
    </xf>
    <xf numFmtId="37" fontId="43" fillId="0" borderId="0" xfId="382" applyNumberFormat="1" applyFont="1" applyFill="1" applyAlignment="1">
      <alignment horizontal="center" vertical="top"/>
    </xf>
    <xf numFmtId="37" fontId="43" fillId="0" borderId="37" xfId="382" applyNumberFormat="1" applyFont="1" applyFill="1" applyBorder="1" applyAlignment="1">
      <alignment horizontal="center" wrapText="1"/>
    </xf>
    <xf numFmtId="0" fontId="42" fillId="0" borderId="0" xfId="37712" applyFont="1"/>
    <xf numFmtId="0" fontId="42" fillId="0" borderId="0" xfId="37712" applyFont="1" applyFill="1"/>
    <xf numFmtId="0" fontId="42" fillId="0" borderId="0" xfId="37712" applyFont="1" applyFill="1" applyAlignment="1">
      <alignment horizontal="center"/>
    </xf>
    <xf numFmtId="0" fontId="42" fillId="0" borderId="0" xfId="37712" applyFont="1" applyFill="1" applyBorder="1" applyAlignment="1">
      <alignment horizontal="center"/>
    </xf>
    <xf numFmtId="0" fontId="42" fillId="0" borderId="0" xfId="37712" applyFont="1" applyAlignment="1">
      <alignment horizontal="center" vertical="center"/>
    </xf>
    <xf numFmtId="0" fontId="42" fillId="0" borderId="0" xfId="37712" applyFont="1" applyFill="1" applyAlignment="1">
      <alignment horizontal="center" vertical="center"/>
    </xf>
    <xf numFmtId="166" fontId="42" fillId="0" borderId="0" xfId="37712" applyNumberFormat="1" applyFont="1" applyAlignment="1">
      <alignment horizontal="center" vertical="center"/>
    </xf>
    <xf numFmtId="0" fontId="91" fillId="0" borderId="0" xfId="37712" applyFont="1" applyFill="1"/>
    <xf numFmtId="0" fontId="125" fillId="0" borderId="0" xfId="37712" quotePrefix="1" applyFont="1" applyFill="1" applyAlignment="1">
      <alignment horizontal="center"/>
    </xf>
    <xf numFmtId="1" fontId="42" fillId="0" borderId="0" xfId="37712" applyNumberFormat="1" applyFont="1" applyFill="1" applyAlignment="1">
      <alignment horizontal="left"/>
    </xf>
    <xf numFmtId="0" fontId="42" fillId="0" borderId="0" xfId="37712" applyFont="1" applyFill="1" applyAlignment="1"/>
    <xf numFmtId="0" fontId="125" fillId="0" borderId="0" xfId="37712" applyFont="1"/>
    <xf numFmtId="164" fontId="125" fillId="37" borderId="0" xfId="382" applyNumberFormat="1" applyFont="1" applyFill="1"/>
    <xf numFmtId="43" fontId="125" fillId="59" borderId="0" xfId="382" quotePrefix="1" applyFont="1" applyFill="1" applyAlignment="1">
      <alignment horizontal="left"/>
    </xf>
    <xf numFmtId="43" fontId="42" fillId="0" borderId="0" xfId="382" applyFont="1" applyFill="1" applyAlignment="1">
      <alignment horizontal="left"/>
    </xf>
    <xf numFmtId="0" fontId="42" fillId="59" borderId="0" xfId="37712" applyFont="1" applyFill="1" applyAlignment="1"/>
    <xf numFmtId="0" fontId="42" fillId="59" borderId="0" xfId="504" applyFont="1" applyFill="1" applyBorder="1"/>
    <xf numFmtId="0" fontId="125" fillId="0" borderId="0" xfId="37712" applyFont="1" applyFill="1" applyAlignment="1">
      <alignment vertical="top"/>
    </xf>
    <xf numFmtId="0" fontId="153" fillId="0" borderId="0" xfId="37712" applyFont="1" applyFill="1" applyAlignment="1">
      <alignment horizontal="left"/>
    </xf>
    <xf numFmtId="0" fontId="42" fillId="0" borderId="0" xfId="37712" applyFont="1" applyFill="1" applyAlignment="1">
      <alignment horizontal="left"/>
    </xf>
    <xf numFmtId="0" fontId="91" fillId="0" borderId="0" xfId="37712" applyFont="1" applyFill="1" applyAlignment="1">
      <alignment horizontal="left"/>
    </xf>
    <xf numFmtId="1" fontId="42" fillId="54" borderId="0" xfId="37712" applyNumberFormat="1" applyFont="1" applyFill="1" applyAlignment="1">
      <alignment horizontal="left"/>
    </xf>
    <xf numFmtId="0" fontId="91" fillId="54" borderId="0" xfId="37712" applyFont="1" applyFill="1" applyAlignment="1">
      <alignment horizontal="left"/>
    </xf>
    <xf numFmtId="0" fontId="42" fillId="54" borderId="0" xfId="37712" applyFont="1" applyFill="1" applyAlignment="1">
      <alignment horizontal="center"/>
    </xf>
    <xf numFmtId="164" fontId="42" fillId="54" borderId="0" xfId="382" applyNumberFormat="1" applyFont="1" applyFill="1" applyAlignment="1"/>
    <xf numFmtId="0" fontId="42" fillId="54" borderId="0" xfId="37712" applyFont="1" applyFill="1" applyAlignment="1"/>
    <xf numFmtId="0" fontId="42" fillId="54" borderId="0" xfId="37712" applyFont="1" applyFill="1"/>
    <xf numFmtId="164" fontId="42" fillId="54" borderId="0" xfId="382" applyNumberFormat="1" applyFont="1" applyFill="1"/>
    <xf numFmtId="0" fontId="42" fillId="54" borderId="0" xfId="37712" applyFont="1" applyFill="1" applyAlignment="1">
      <alignment horizontal="left"/>
    </xf>
    <xf numFmtId="164" fontId="42" fillId="54" borderId="18" xfId="382" applyNumberFormat="1" applyFont="1" applyFill="1" applyBorder="1"/>
    <xf numFmtId="0" fontId="42" fillId="54" borderId="0" xfId="504" applyFont="1" applyFill="1" applyBorder="1"/>
    <xf numFmtId="0" fontId="125" fillId="59" borderId="0" xfId="37712" quotePrefix="1" applyFont="1" applyFill="1"/>
    <xf numFmtId="2" fontId="42" fillId="0" borderId="0" xfId="37712" applyNumberFormat="1" applyFont="1" applyFill="1" applyAlignment="1">
      <alignment horizontal="left"/>
    </xf>
    <xf numFmtId="17" fontId="42" fillId="37" borderId="0" xfId="37712" applyNumberFormat="1" applyFont="1" applyFill="1" applyBorder="1" applyAlignment="1">
      <alignment horizontal="center"/>
    </xf>
    <xf numFmtId="164" fontId="42" fillId="0" borderId="0" xfId="37712" applyNumberFormat="1" applyFont="1" applyFill="1"/>
    <xf numFmtId="164" fontId="42" fillId="0" borderId="0" xfId="37712" applyNumberFormat="1" applyFont="1" applyFill="1" applyBorder="1"/>
    <xf numFmtId="0" fontId="136" fillId="0" borderId="0" xfId="37712" applyFont="1" applyAlignment="1">
      <alignment horizontal="center"/>
    </xf>
    <xf numFmtId="0" fontId="43" fillId="0" borderId="0" xfId="37712" applyFont="1"/>
    <xf numFmtId="0" fontId="43" fillId="0" borderId="0" xfId="37712" applyFont="1" applyBorder="1"/>
    <xf numFmtId="10" fontId="125" fillId="37" borderId="0" xfId="678" applyNumberFormat="1" applyFont="1" applyFill="1" applyBorder="1"/>
    <xf numFmtId="164" fontId="42" fillId="0" borderId="7" xfId="37712" applyNumberFormat="1" applyFont="1" applyFill="1" applyBorder="1"/>
    <xf numFmtId="164" fontId="42" fillId="54" borderId="72" xfId="382" applyNumberFormat="1" applyFont="1" applyFill="1" applyBorder="1" applyAlignment="1"/>
    <xf numFmtId="0" fontId="42" fillId="0" borderId="0" xfId="37712" applyFont="1" applyFill="1" applyAlignment="1">
      <alignment horizontal="right"/>
    </xf>
    <xf numFmtId="43" fontId="42" fillId="0" borderId="0" xfId="37712" applyNumberFormat="1" applyFont="1" applyFill="1" applyAlignment="1">
      <alignment horizontal="right"/>
    </xf>
    <xf numFmtId="164" fontId="122" fillId="0" borderId="0" xfId="37712" applyNumberFormat="1" applyFont="1" applyFill="1"/>
    <xf numFmtId="164" fontId="42" fillId="54" borderId="73" xfId="382" applyNumberFormat="1" applyFont="1" applyFill="1" applyBorder="1" applyAlignment="1"/>
    <xf numFmtId="17" fontId="42" fillId="0" borderId="0" xfId="37712" applyNumberFormat="1" applyFont="1" applyFill="1" applyBorder="1"/>
    <xf numFmtId="43" fontId="42" fillId="0" borderId="0" xfId="37712" applyNumberFormat="1" applyFont="1" applyFill="1"/>
    <xf numFmtId="0" fontId="129" fillId="0" borderId="0" xfId="37712" quotePrefix="1" applyFont="1" applyFill="1" applyAlignment="1">
      <alignment vertical="center"/>
    </xf>
    <xf numFmtId="164" fontId="42" fillId="0" borderId="3" xfId="37712" applyNumberFormat="1" applyFont="1" applyFill="1" applyBorder="1"/>
    <xf numFmtId="164" fontId="42" fillId="54" borderId="19" xfId="37712" applyNumberFormat="1" applyFont="1" applyFill="1" applyBorder="1"/>
    <xf numFmtId="0" fontId="42" fillId="54" borderId="5" xfId="37712" applyFont="1" applyFill="1" applyBorder="1"/>
    <xf numFmtId="0" fontId="42" fillId="54" borderId="70" xfId="37712" applyFont="1" applyFill="1" applyBorder="1"/>
    <xf numFmtId="43" fontId="42" fillId="0" borderId="0" xfId="37712" applyNumberFormat="1" applyFont="1" applyFill="1" applyBorder="1"/>
    <xf numFmtId="0" fontId="42" fillId="0" borderId="0" xfId="37712" quotePrefix="1" applyFont="1" applyFill="1" applyAlignment="1">
      <alignment horizontal="center" vertical="top"/>
    </xf>
    <xf numFmtId="0" fontId="42" fillId="0" borderId="0" xfId="37712" applyFont="1" applyFill="1" applyAlignment="1">
      <alignment horizontal="center" vertical="top"/>
    </xf>
    <xf numFmtId="0" fontId="42" fillId="0" borderId="0" xfId="37712" applyFont="1" applyAlignment="1">
      <alignment horizontal="center" vertical="top"/>
    </xf>
    <xf numFmtId="0" fontId="125" fillId="0" borderId="0" xfId="37712" applyFont="1" applyFill="1" applyAlignment="1">
      <alignment horizontal="center" vertical="top"/>
    </xf>
    <xf numFmtId="0" fontId="125" fillId="0" borderId="0" xfId="37712" applyFont="1" applyFill="1" applyAlignment="1">
      <alignment horizontal="left" vertical="top"/>
    </xf>
    <xf numFmtId="17" fontId="42" fillId="0" borderId="0" xfId="37712" applyNumberFormat="1" applyFont="1" applyFill="1" applyBorder="1" applyAlignment="1">
      <alignment horizontal="left" vertical="top"/>
    </xf>
    <xf numFmtId="0" fontId="125" fillId="0" borderId="0" xfId="37712" applyFont="1" applyFill="1"/>
    <xf numFmtId="0" fontId="125" fillId="59" borderId="0" xfId="37712" applyFont="1" applyFill="1" applyAlignment="1">
      <alignment horizontal="center" vertical="top"/>
    </xf>
    <xf numFmtId="43" fontId="42" fillId="0" borderId="0" xfId="37712" applyNumberFormat="1" applyFont="1"/>
    <xf numFmtId="43" fontId="42" fillId="0" borderId="0" xfId="37712" quotePrefix="1" applyNumberFormat="1" applyFont="1" applyFill="1"/>
    <xf numFmtId="164" fontId="5" fillId="0" borderId="0" xfId="382" applyNumberFormat="1" applyFont="1"/>
    <xf numFmtId="0" fontId="52" fillId="0" borderId="0" xfId="502" applyFill="1" applyAlignment="1">
      <alignment horizontal="left"/>
    </xf>
    <xf numFmtId="0" fontId="52" fillId="0" borderId="0" xfId="502" applyAlignment="1">
      <alignment horizontal="left"/>
    </xf>
    <xf numFmtId="164" fontId="5" fillId="0" borderId="0" xfId="382" applyNumberFormat="1" applyFont="1" applyFill="1"/>
    <xf numFmtId="164" fontId="5" fillId="0" borderId="0" xfId="382" applyNumberFormat="1" applyFont="1" applyAlignment="1">
      <alignment horizontal="center" wrapText="1"/>
    </xf>
    <xf numFmtId="0" fontId="52" fillId="0" borderId="0" xfId="502" applyAlignment="1">
      <alignment horizontal="center" wrapText="1"/>
    </xf>
    <xf numFmtId="0" fontId="42" fillId="0" borderId="0" xfId="382" applyNumberFormat="1" applyFont="1"/>
    <xf numFmtId="0" fontId="43" fillId="0" borderId="0" xfId="474" applyFont="1" applyFill="1" applyAlignment="1">
      <alignment horizontal="center"/>
    </xf>
    <xf numFmtId="43" fontId="122" fillId="0" borderId="0" xfId="403" applyFont="1" applyFill="1" applyAlignment="1">
      <alignment horizontal="left" vertical="top"/>
    </xf>
    <xf numFmtId="0" fontId="43" fillId="0" borderId="0" xfId="484" applyFont="1" applyFill="1" applyAlignment="1">
      <alignment horizontal="center" vertical="top"/>
    </xf>
    <xf numFmtId="0" fontId="182" fillId="0" borderId="0" xfId="0" applyFont="1"/>
    <xf numFmtId="164" fontId="42" fillId="37" borderId="0" xfId="382" quotePrefix="1" applyNumberFormat="1" applyFont="1" applyFill="1" applyBorder="1"/>
    <xf numFmtId="0" fontId="42" fillId="37" borderId="0" xfId="504" quotePrefix="1" applyFont="1" applyFill="1" applyAlignment="1">
      <alignment horizontal="left"/>
    </xf>
    <xf numFmtId="0" fontId="42" fillId="0" borderId="0" xfId="484" applyFont="1" applyFill="1" applyAlignment="1">
      <alignment horizontal="center" vertical="top"/>
    </xf>
    <xf numFmtId="43" fontId="42" fillId="0" borderId="18" xfId="382" applyFont="1" applyFill="1" applyBorder="1" applyAlignment="1">
      <alignment horizontal="center"/>
    </xf>
    <xf numFmtId="0" fontId="125" fillId="0" borderId="0" xfId="484" applyFont="1" applyAlignment="1">
      <alignment vertical="top"/>
    </xf>
    <xf numFmtId="164" fontId="42" fillId="0" borderId="0" xfId="11622" applyNumberFormat="1" applyFont="1" applyFill="1"/>
    <xf numFmtId="164" fontId="42" fillId="0" borderId="0" xfId="474" applyNumberFormat="1" applyFont="1" applyFill="1" applyBorder="1"/>
    <xf numFmtId="164" fontId="42" fillId="0" borderId="17" xfId="474" applyNumberFormat="1" applyFont="1" applyFill="1" applyBorder="1"/>
    <xf numFmtId="43" fontId="42" fillId="0" borderId="0" xfId="11622" applyFont="1" applyFill="1"/>
    <xf numFmtId="170" fontId="42" fillId="0" borderId="0" xfId="382" applyNumberFormat="1" applyFont="1" applyBorder="1"/>
    <xf numFmtId="0" fontId="42" fillId="0" borderId="0" xfId="0" applyFont="1" applyBorder="1" applyAlignment="1">
      <alignment horizontal="left" vertical="top" wrapText="1"/>
    </xf>
    <xf numFmtId="0" fontId="0" fillId="0" borderId="0" xfId="0" applyAlignment="1">
      <alignment horizontal="center" vertical="top"/>
    </xf>
    <xf numFmtId="164" fontId="0" fillId="0" borderId="0" xfId="382" applyNumberFormat="1" applyFont="1" applyAlignment="1">
      <alignment vertical="top"/>
    </xf>
    <xf numFmtId="0" fontId="0" fillId="0" borderId="0" xfId="0" quotePrefix="1" applyAlignment="1">
      <alignment horizontal="left" vertical="top" wrapText="1"/>
    </xf>
    <xf numFmtId="0" fontId="43" fillId="0" borderId="18" xfId="0" applyFont="1" applyFill="1" applyBorder="1" applyAlignment="1">
      <alignment horizontal="center"/>
    </xf>
    <xf numFmtId="14" fontId="43" fillId="0" borderId="37" xfId="0" applyNumberFormat="1" applyFont="1" applyFill="1" applyBorder="1" applyAlignment="1">
      <alignment horizontal="center" wrapText="1"/>
    </xf>
    <xf numFmtId="164" fontId="42" fillId="0" borderId="35" xfId="11645" applyNumberFormat="1" applyFont="1" applyFill="1" applyBorder="1"/>
    <xf numFmtId="164" fontId="42" fillId="0" borderId="37" xfId="11645" applyNumberFormat="1" applyFont="1" applyFill="1" applyBorder="1"/>
    <xf numFmtId="0" fontId="42" fillId="0" borderId="35" xfId="0" applyNumberFormat="1" applyFont="1" applyBorder="1"/>
    <xf numFmtId="0" fontId="42" fillId="0" borderId="0" xfId="0" applyFont="1" applyFill="1" applyAlignment="1">
      <alignment vertical="top" wrapText="1"/>
    </xf>
    <xf numFmtId="164" fontId="0" fillId="51" borderId="0" xfId="382" applyNumberFormat="1" applyFont="1" applyFill="1" applyBorder="1"/>
    <xf numFmtId="164" fontId="42" fillId="51" borderId="0" xfId="382" applyNumberFormat="1" applyFill="1"/>
    <xf numFmtId="164" fontId="42" fillId="51" borderId="18" xfId="382" applyNumberFormat="1" applyFill="1" applyBorder="1"/>
    <xf numFmtId="0" fontId="42" fillId="0" borderId="0" xfId="11271" quotePrefix="1" applyFont="1" applyFill="1" applyAlignment="1">
      <alignment horizontal="center" vertical="top"/>
    </xf>
    <xf numFmtId="0" fontId="24" fillId="0" borderId="0" xfId="11271" applyFont="1" applyAlignment="1">
      <alignment vertical="top"/>
    </xf>
    <xf numFmtId="0" fontId="43" fillId="0" borderId="0" xfId="474" applyFont="1" applyFill="1" applyAlignment="1">
      <alignment horizontal="center"/>
    </xf>
    <xf numFmtId="0" fontId="43" fillId="0" borderId="0" xfId="474" applyFont="1" applyFill="1" applyBorder="1" applyAlignment="1">
      <alignment horizontal="center" vertical="top" wrapText="1"/>
    </xf>
    <xf numFmtId="37" fontId="43" fillId="0" borderId="0" xfId="382" applyNumberFormat="1" applyFont="1" applyFill="1" applyBorder="1" applyAlignment="1">
      <alignment horizontal="center" wrapText="1"/>
    </xf>
    <xf numFmtId="0" fontId="138" fillId="0" borderId="0" xfId="474" applyFont="1" applyFill="1" applyAlignment="1">
      <alignment vertical="top" wrapText="1"/>
    </xf>
    <xf numFmtId="0" fontId="42" fillId="0" borderId="0" xfId="474" applyFont="1" applyAlignment="1">
      <alignment vertical="top" wrapText="1"/>
    </xf>
    <xf numFmtId="0" fontId="43" fillId="0" borderId="18" xfId="474" applyFont="1" applyBorder="1" applyAlignment="1">
      <alignment horizontal="center" vertical="top"/>
    </xf>
    <xf numFmtId="0" fontId="43" fillId="0" borderId="0" xfId="474" applyFont="1" applyAlignment="1">
      <alignment horizontal="center" vertical="top"/>
    </xf>
    <xf numFmtId="0" fontId="42" fillId="0" borderId="0" xfId="474" applyFill="1" applyAlignment="1">
      <alignment vertical="top"/>
    </xf>
    <xf numFmtId="0" fontId="42" fillId="0" borderId="0" xfId="474" applyFont="1" applyFill="1" applyAlignment="1">
      <alignment horizontal="left" vertical="top" wrapText="1" indent="1"/>
    </xf>
    <xf numFmtId="0" fontId="42" fillId="0" borderId="0" xfId="474" applyFont="1" applyAlignment="1">
      <alignment horizontal="left" vertical="top" wrapText="1" indent="1"/>
    </xf>
    <xf numFmtId="0" fontId="181" fillId="0" borderId="0" xfId="474" applyFont="1" applyFill="1" applyAlignment="1">
      <alignment vertical="top"/>
    </xf>
    <xf numFmtId="0" fontId="42" fillId="0" borderId="0" xfId="474" applyAlignment="1">
      <alignment vertical="top" wrapText="1"/>
    </xf>
    <xf numFmtId="0" fontId="42" fillId="0" borderId="0" xfId="474" applyAlignment="1">
      <alignment horizontal="left" vertical="top" wrapText="1" indent="1"/>
    </xf>
    <xf numFmtId="0" fontId="42" fillId="0" borderId="0" xfId="474" applyAlignment="1">
      <alignment horizontal="left" vertical="top" indent="1"/>
    </xf>
    <xf numFmtId="0" fontId="42" fillId="0" borderId="0" xfId="511" applyFont="1" applyFill="1" applyAlignment="1">
      <alignment vertical="top" wrapText="1"/>
    </xf>
    <xf numFmtId="164" fontId="62" fillId="0" borderId="0" xfId="382" applyNumberFormat="1" applyFont="1"/>
    <xf numFmtId="164" fontId="42" fillId="0" borderId="0" xfId="382" applyNumberFormat="1" applyFont="1" applyFill="1" applyAlignment="1">
      <alignment vertical="top" wrapText="1"/>
    </xf>
    <xf numFmtId="164" fontId="62" fillId="0" borderId="0" xfId="382" applyNumberFormat="1" applyFont="1" applyAlignment="1">
      <alignment horizontal="left" vertical="top"/>
    </xf>
    <xf numFmtId="0" fontId="98" fillId="0" borderId="0" xfId="37696" applyNumberFormat="1" applyFont="1" applyFill="1" applyAlignment="1">
      <alignment horizontal="center"/>
    </xf>
    <xf numFmtId="3" fontId="111" fillId="0" borderId="0" xfId="37696" applyNumberFormat="1" applyFont="1" applyFill="1" applyAlignment="1">
      <alignment horizontal="left" vertical="top" wrapText="1"/>
    </xf>
    <xf numFmtId="169" fontId="149" fillId="0" borderId="0" xfId="37694" applyFont="1" applyAlignment="1">
      <alignment horizontal="left" vertical="top" wrapText="1"/>
    </xf>
    <xf numFmtId="0" fontId="98" fillId="0" borderId="0" xfId="37696" applyNumberFormat="1" applyFont="1" applyFill="1" applyAlignment="1" applyProtection="1">
      <alignment horizontal="center"/>
      <protection locked="0"/>
    </xf>
    <xf numFmtId="0" fontId="42" fillId="0" borderId="0" xfId="474" applyFont="1" applyFill="1" applyAlignment="1">
      <alignment horizontal="center" vertical="top"/>
    </xf>
    <xf numFmtId="0" fontId="42" fillId="0" borderId="0" xfId="474" applyFont="1" applyFill="1" applyAlignment="1">
      <alignment horizontal="center" vertical="top" wrapText="1"/>
    </xf>
    <xf numFmtId="0" fontId="46" fillId="0" borderId="0" xfId="0" applyFont="1" applyFill="1" applyBorder="1" applyAlignment="1">
      <alignment horizontal="left" vertical="top" wrapText="1"/>
    </xf>
    <xf numFmtId="0" fontId="46" fillId="0" borderId="0" xfId="0" applyFont="1" applyFill="1" applyAlignment="1">
      <alignment horizontal="left" vertical="top"/>
    </xf>
    <xf numFmtId="168" fontId="44" fillId="0" borderId="0" xfId="0" applyNumberFormat="1" applyFont="1" applyBorder="1" applyAlignment="1">
      <alignment horizontal="left"/>
    </xf>
    <xf numFmtId="0" fontId="46" fillId="0" borderId="0" xfId="0" applyNumberFormat="1" applyFont="1" applyFill="1" applyBorder="1" applyAlignment="1">
      <alignment horizontal="left"/>
    </xf>
    <xf numFmtId="0" fontId="46" fillId="0" borderId="18" xfId="0" applyNumberFormat="1" applyFont="1" applyFill="1" applyBorder="1" applyAlignment="1">
      <alignment horizontal="center"/>
    </xf>
    <xf numFmtId="0" fontId="44" fillId="50" borderId="56" xfId="0" applyFont="1" applyFill="1" applyBorder="1" applyAlignment="1">
      <alignment horizontal="left"/>
    </xf>
    <xf numFmtId="0" fontId="44" fillId="50" borderId="6" xfId="0" applyFont="1" applyFill="1" applyBorder="1" applyAlignment="1">
      <alignment horizontal="left"/>
    </xf>
    <xf numFmtId="168" fontId="44" fillId="0" borderId="17" xfId="0" applyNumberFormat="1" applyFont="1" applyBorder="1" applyAlignment="1">
      <alignment horizontal="left"/>
    </xf>
    <xf numFmtId="168" fontId="46" fillId="0" borderId="0" xfId="0" applyNumberFormat="1" applyFont="1" applyFill="1" applyBorder="1" applyAlignment="1">
      <alignment horizontal="left"/>
    </xf>
    <xf numFmtId="168" fontId="46" fillId="0" borderId="18" xfId="0" applyNumberFormat="1" applyFont="1" applyFill="1" applyBorder="1" applyAlignment="1">
      <alignment horizontal="left"/>
    </xf>
    <xf numFmtId="0" fontId="46" fillId="0" borderId="47" xfId="0" applyNumberFormat="1" applyFont="1" applyFill="1" applyBorder="1" applyAlignment="1">
      <alignment horizontal="left"/>
    </xf>
    <xf numFmtId="0" fontId="46" fillId="0" borderId="0" xfId="0" applyFont="1" applyFill="1" applyBorder="1" applyAlignment="1">
      <alignment horizontal="left"/>
    </xf>
    <xf numFmtId="0" fontId="46" fillId="0" borderId="18" xfId="0" applyNumberFormat="1" applyFont="1" applyFill="1" applyBorder="1" applyAlignment="1">
      <alignment horizontal="left"/>
    </xf>
    <xf numFmtId="0" fontId="46" fillId="0" borderId="0" xfId="0" quotePrefix="1" applyNumberFormat="1" applyFont="1" applyFill="1" applyBorder="1" applyAlignment="1">
      <alignment horizontal="center" vertical="top" wrapText="1"/>
    </xf>
    <xf numFmtId="0" fontId="46" fillId="0" borderId="0" xfId="0" quotePrefix="1" applyNumberFormat="1" applyFont="1" applyFill="1" applyBorder="1" applyAlignment="1">
      <alignment horizontal="left" vertical="top" wrapText="1"/>
    </xf>
    <xf numFmtId="0" fontId="44" fillId="0" borderId="0" xfId="0" applyNumberFormat="1" applyFont="1" applyBorder="1" applyAlignment="1">
      <alignment horizontal="left"/>
    </xf>
    <xf numFmtId="0" fontId="44" fillId="0" borderId="35" xfId="0" applyNumberFormat="1" applyFont="1" applyBorder="1" applyAlignment="1">
      <alignment horizontal="left"/>
    </xf>
    <xf numFmtId="0" fontId="44" fillId="0" borderId="0" xfId="0" applyNumberFormat="1" applyFont="1" applyFill="1" applyBorder="1" applyAlignment="1">
      <alignment horizontal="left"/>
    </xf>
    <xf numFmtId="0" fontId="44" fillId="0" borderId="17" xfId="0" applyNumberFormat="1" applyFont="1" applyFill="1" applyBorder="1" applyAlignment="1">
      <alignment horizontal="left"/>
    </xf>
    <xf numFmtId="0" fontId="44" fillId="0" borderId="47" xfId="0" applyNumberFormat="1" applyFont="1" applyFill="1" applyBorder="1" applyAlignment="1">
      <alignment horizontal="left"/>
    </xf>
    <xf numFmtId="0" fontId="44" fillId="0" borderId="17" xfId="0" applyNumberFormat="1" applyFont="1" applyBorder="1" applyAlignment="1">
      <alignment horizontal="left"/>
    </xf>
    <xf numFmtId="0" fontId="46" fillId="0" borderId="18" xfId="0" applyFont="1" applyFill="1" applyBorder="1" applyAlignment="1">
      <alignment horizontal="left"/>
    </xf>
    <xf numFmtId="0" fontId="44" fillId="0" borderId="17" xfId="0" applyFont="1" applyBorder="1" applyAlignment="1">
      <alignment horizontal="left"/>
    </xf>
    <xf numFmtId="0" fontId="44" fillId="0" borderId="47" xfId="0" applyFont="1" applyFill="1" applyBorder="1" applyAlignment="1">
      <alignment horizontal="left"/>
    </xf>
    <xf numFmtId="0" fontId="44" fillId="0" borderId="17" xfId="0" applyFont="1" applyFill="1" applyBorder="1" applyAlignment="1">
      <alignment horizontal="left"/>
    </xf>
    <xf numFmtId="0" fontId="46" fillId="0" borderId="0" xfId="0" applyNumberFormat="1" applyFont="1" applyFill="1" applyAlignment="1">
      <alignment horizontal="left" vertical="top" wrapText="1"/>
    </xf>
    <xf numFmtId="0" fontId="58" fillId="0" borderId="0" xfId="0" applyFont="1" applyAlignment="1">
      <alignment horizontal="center"/>
    </xf>
    <xf numFmtId="0" fontId="55" fillId="0" borderId="0" xfId="0" applyFont="1" applyAlignment="1">
      <alignment horizontal="center"/>
    </xf>
    <xf numFmtId="0" fontId="46" fillId="0" borderId="0" xfId="0" applyFont="1" applyFill="1" applyAlignment="1">
      <alignment horizontal="left" vertical="top" wrapText="1"/>
    </xf>
    <xf numFmtId="0" fontId="44" fillId="0" borderId="0" xfId="0" applyNumberFormat="1" applyFont="1" applyBorder="1" applyAlignment="1">
      <alignment horizontal="center"/>
    </xf>
    <xf numFmtId="0" fontId="46" fillId="0" borderId="0" xfId="0" applyFont="1" applyBorder="1" applyAlignment="1">
      <alignment horizontal="center" wrapText="1"/>
    </xf>
    <xf numFmtId="0" fontId="46" fillId="0" borderId="18" xfId="0" applyFont="1" applyBorder="1" applyAlignment="1">
      <alignment horizontal="center" wrapText="1"/>
    </xf>
    <xf numFmtId="3" fontId="46" fillId="0" borderId="35" xfId="0" applyNumberFormat="1" applyFont="1" applyBorder="1" applyAlignment="1">
      <alignment horizontal="left" vertical="top" wrapText="1"/>
    </xf>
    <xf numFmtId="3" fontId="46" fillId="0" borderId="37" xfId="0" applyNumberFormat="1" applyFont="1" applyBorder="1" applyAlignment="1">
      <alignment horizontal="left" vertical="top" wrapText="1"/>
    </xf>
    <xf numFmtId="0" fontId="44" fillId="0" borderId="0" xfId="0" applyFont="1" applyFill="1" applyAlignment="1">
      <alignment horizontal="left"/>
    </xf>
    <xf numFmtId="0" fontId="46" fillId="50" borderId="57" xfId="0" applyFont="1" applyFill="1" applyBorder="1" applyAlignment="1">
      <alignment horizontal="left"/>
    </xf>
    <xf numFmtId="0" fontId="46" fillId="50" borderId="32" xfId="0" applyFont="1" applyFill="1" applyBorder="1" applyAlignment="1">
      <alignment horizontal="left"/>
    </xf>
    <xf numFmtId="0" fontId="167" fillId="35" borderId="31" xfId="0" applyFont="1" applyFill="1" applyBorder="1" applyAlignment="1">
      <alignment horizontal="left"/>
    </xf>
    <xf numFmtId="0" fontId="167" fillId="35" borderId="46" xfId="0" applyFont="1" applyFill="1" applyBorder="1" applyAlignment="1">
      <alignment horizontal="left"/>
    </xf>
    <xf numFmtId="0" fontId="46" fillId="0" borderId="0" xfId="0" applyNumberFormat="1" applyFont="1" applyFill="1" applyAlignment="1">
      <alignment horizontal="left" vertical="top"/>
    </xf>
    <xf numFmtId="169" fontId="46" fillId="0" borderId="0" xfId="590" applyFont="1" applyFill="1" applyAlignment="1" applyProtection="1">
      <alignment horizontal="left" vertical="top" wrapText="1"/>
      <protection locked="0"/>
    </xf>
    <xf numFmtId="0" fontId="42" fillId="0" borderId="0" xfId="0" applyFont="1" applyFill="1" applyAlignment="1">
      <alignment horizontal="left" vertical="top" wrapText="1"/>
    </xf>
    <xf numFmtId="0" fontId="46" fillId="0" borderId="0" xfId="0" applyFont="1" applyFill="1" applyBorder="1" applyAlignment="1">
      <alignment horizontal="left" vertical="top"/>
    </xf>
    <xf numFmtId="0" fontId="46" fillId="33" borderId="0" xfId="0" applyFont="1" applyFill="1" applyAlignment="1">
      <alignment horizontal="left" wrapText="1"/>
    </xf>
    <xf numFmtId="0" fontId="42" fillId="0" borderId="0" xfId="0" applyFont="1" applyFill="1" applyAlignment="1">
      <alignment horizontal="center"/>
    </xf>
    <xf numFmtId="0" fontId="42" fillId="0" borderId="0" xfId="0" applyFont="1" applyFill="1" applyAlignment="1">
      <alignment horizontal="center" wrapText="1"/>
    </xf>
    <xf numFmtId="0" fontId="43" fillId="0" borderId="0" xfId="0" applyFont="1" applyFill="1" applyAlignment="1">
      <alignment horizontal="center" wrapText="1"/>
    </xf>
    <xf numFmtId="0" fontId="42" fillId="0" borderId="0" xfId="504" applyFont="1" applyFill="1" applyBorder="1" applyAlignment="1">
      <alignment horizontal="left" vertical="top" wrapText="1"/>
    </xf>
    <xf numFmtId="0" fontId="42" fillId="0" borderId="0" xfId="0" applyFont="1" applyFill="1" applyAlignment="1">
      <alignment horizontal="left" wrapText="1"/>
    </xf>
    <xf numFmtId="43" fontId="42" fillId="0" borderId="0" xfId="0" applyNumberFormat="1" applyFont="1" applyFill="1" applyAlignment="1">
      <alignment horizontal="left"/>
    </xf>
    <xf numFmtId="0" fontId="42" fillId="0" borderId="0" xfId="0" applyFont="1" applyAlignment="1">
      <alignment horizontal="left" wrapText="1"/>
    </xf>
    <xf numFmtId="43" fontId="122" fillId="0" borderId="0" xfId="382" applyFont="1" applyFill="1" applyAlignment="1">
      <alignment horizontal="left"/>
    </xf>
    <xf numFmtId="0" fontId="125" fillId="59" borderId="0" xfId="37712" applyFont="1" applyFill="1" applyAlignment="1">
      <alignment horizontal="left" vertical="top" wrapText="1"/>
    </xf>
    <xf numFmtId="0" fontId="42" fillId="0" borderId="0" xfId="37712" applyFont="1" applyFill="1" applyAlignment="1">
      <alignment horizontal="left" wrapText="1"/>
    </xf>
    <xf numFmtId="43" fontId="42" fillId="0" borderId="0" xfId="37712" applyNumberFormat="1" applyFont="1" applyFill="1" applyAlignment="1">
      <alignment horizontal="left"/>
    </xf>
    <xf numFmtId="0" fontId="42" fillId="0" borderId="0" xfId="37712" applyFont="1" applyFill="1" applyAlignment="1">
      <alignment horizontal="left" vertical="top" wrapText="1"/>
    </xf>
    <xf numFmtId="0" fontId="42" fillId="0" borderId="0" xfId="37712" applyFont="1" applyAlignment="1">
      <alignment horizontal="left" wrapText="1"/>
    </xf>
    <xf numFmtId="0" fontId="42" fillId="0" borderId="0" xfId="37712" applyFont="1" applyFill="1" applyAlignment="1">
      <alignment horizontal="center"/>
    </xf>
    <xf numFmtId="0" fontId="42" fillId="0" borderId="0" xfId="37712" applyFont="1" applyFill="1" applyAlignment="1">
      <alignment horizontal="center" wrapText="1"/>
    </xf>
    <xf numFmtId="0" fontId="42" fillId="59" borderId="0" xfId="37712" applyFont="1" applyFill="1" applyAlignment="1">
      <alignment horizontal="left" wrapText="1"/>
    </xf>
    <xf numFmtId="0" fontId="43" fillId="0" borderId="0" xfId="37712" applyFont="1" applyFill="1" applyAlignment="1">
      <alignment horizontal="center" wrapText="1"/>
    </xf>
    <xf numFmtId="0" fontId="42" fillId="0" borderId="0" xfId="0" applyFont="1" applyAlignment="1">
      <alignment horizontal="center"/>
    </xf>
    <xf numFmtId="0" fontId="42" fillId="0" borderId="0" xfId="0" applyFont="1" applyFill="1" applyBorder="1" applyAlignment="1">
      <alignment horizontal="left" vertical="top" wrapText="1"/>
    </xf>
    <xf numFmtId="0" fontId="27" fillId="0" borderId="0" xfId="11271" applyFont="1" applyFill="1" applyAlignment="1">
      <alignment horizontal="left" wrapText="1"/>
    </xf>
    <xf numFmtId="0" fontId="142" fillId="0" borderId="0" xfId="0" applyFont="1" applyFill="1" applyAlignment="1">
      <alignment horizontal="left" vertical="center" wrapText="1"/>
    </xf>
    <xf numFmtId="0" fontId="42" fillId="0" borderId="0" xfId="504" applyFont="1" applyFill="1" applyAlignment="1">
      <alignment horizontal="left" vertical="top" wrapText="1"/>
    </xf>
    <xf numFmtId="0" fontId="42" fillId="0" borderId="0" xfId="504" applyFont="1" applyFill="1" applyBorder="1" applyAlignment="1">
      <alignment horizontal="left"/>
    </xf>
    <xf numFmtId="0" fontId="42" fillId="0" borderId="0" xfId="504" applyFont="1" applyBorder="1" applyAlignment="1">
      <alignment horizontal="left" vertical="top" wrapText="1"/>
    </xf>
    <xf numFmtId="0" fontId="141" fillId="0" borderId="11" xfId="484" quotePrefix="1" applyFont="1" applyBorder="1" applyAlignment="1">
      <alignment horizontal="center" vertical="top"/>
    </xf>
    <xf numFmtId="0" fontId="141" fillId="0" borderId="11" xfId="484" applyFont="1" applyBorder="1" applyAlignment="1">
      <alignment horizontal="center" vertical="top"/>
    </xf>
    <xf numFmtId="0" fontId="141" fillId="0" borderId="11" xfId="382" quotePrefix="1" applyNumberFormat="1" applyFont="1" applyBorder="1" applyAlignment="1">
      <alignment horizontal="center" vertical="top"/>
    </xf>
    <xf numFmtId="0" fontId="141" fillId="0" borderId="11" xfId="382" applyNumberFormat="1" applyFont="1" applyBorder="1" applyAlignment="1">
      <alignment horizontal="center" vertical="top"/>
    </xf>
    <xf numFmtId="43" fontId="141" fillId="0" borderId="11" xfId="382" quotePrefix="1" applyFont="1" applyBorder="1" applyAlignment="1">
      <alignment horizontal="center" vertical="top"/>
    </xf>
    <xf numFmtId="43" fontId="141" fillId="0" borderId="11" xfId="382" applyFont="1" applyBorder="1" applyAlignment="1">
      <alignment horizontal="center" vertical="top"/>
    </xf>
    <xf numFmtId="0" fontId="42" fillId="0" borderId="0" xfId="474" applyFont="1" applyFill="1" applyAlignment="1">
      <alignment horizontal="left" vertical="top" wrapText="1"/>
    </xf>
    <xf numFmtId="0" fontId="42" fillId="0" borderId="0" xfId="474" quotePrefix="1" applyFont="1" applyFill="1" applyBorder="1" applyAlignment="1">
      <alignment horizontal="center" vertical="top"/>
    </xf>
    <xf numFmtId="0" fontId="62" fillId="0" borderId="0" xfId="474" applyFont="1" applyFill="1" applyAlignment="1">
      <alignment horizontal="center"/>
    </xf>
    <xf numFmtId="0" fontId="72" fillId="0" borderId="18" xfId="474" applyFont="1" applyFill="1" applyBorder="1" applyAlignment="1">
      <alignment horizontal="center"/>
    </xf>
    <xf numFmtId="0" fontId="43" fillId="0" borderId="0" xfId="484" applyFont="1" applyFill="1" applyAlignment="1">
      <alignment horizontal="center" vertical="top"/>
    </xf>
    <xf numFmtId="164" fontId="43" fillId="0" borderId="0" xfId="382" applyNumberFormat="1" applyFont="1" applyFill="1" applyAlignment="1">
      <alignment horizontal="center" vertical="top"/>
    </xf>
    <xf numFmtId="0" fontId="42" fillId="0" borderId="0" xfId="484" applyFont="1" applyFill="1" applyAlignment="1">
      <alignment horizontal="left" vertical="top" wrapText="1"/>
    </xf>
    <xf numFmtId="0" fontId="42" fillId="0" borderId="0" xfId="474" applyFont="1" applyFill="1" applyAlignment="1">
      <alignment horizontal="left"/>
    </xf>
    <xf numFmtId="0" fontId="42" fillId="0" borderId="0" xfId="0" applyFont="1" applyAlignment="1">
      <alignment horizontal="center" vertical="top"/>
    </xf>
    <xf numFmtId="0" fontId="42" fillId="0" borderId="0" xfId="11272" applyFont="1" applyAlignment="1">
      <alignment horizontal="center"/>
    </xf>
    <xf numFmtId="0" fontId="42" fillId="0" borderId="0" xfId="474" quotePrefix="1" applyFont="1" applyFill="1" applyAlignment="1">
      <alignment horizontal="center"/>
    </xf>
    <xf numFmtId="0" fontId="42" fillId="0" borderId="0" xfId="474" applyFont="1" applyAlignment="1">
      <alignment horizontal="left" vertical="top" wrapText="1"/>
    </xf>
    <xf numFmtId="0" fontId="42" fillId="0" borderId="0" xfId="474" applyFont="1" applyFill="1" applyAlignment="1">
      <alignment horizontal="center"/>
    </xf>
    <xf numFmtId="3" fontId="42" fillId="0" borderId="0" xfId="11265" quotePrefix="1" applyNumberFormat="1" applyFont="1" applyFill="1" applyAlignment="1">
      <alignment horizontal="center"/>
    </xf>
    <xf numFmtId="0" fontId="42" fillId="0" borderId="0" xfId="0" quotePrefix="1" applyFont="1" applyAlignment="1">
      <alignment horizontal="center"/>
    </xf>
    <xf numFmtId="0" fontId="42" fillId="0" borderId="0" xfId="569" applyFont="1" applyFill="1" applyBorder="1" applyAlignment="1">
      <alignment horizontal="center" vertical="top"/>
    </xf>
    <xf numFmtId="0" fontId="42" fillId="0" borderId="0" xfId="564" quotePrefix="1" applyFont="1" applyFill="1" applyBorder="1" applyAlignment="1">
      <alignment horizontal="center" vertical="top"/>
    </xf>
    <xf numFmtId="0" fontId="43" fillId="0" borderId="0" xfId="0" applyFont="1" applyAlignment="1">
      <alignment horizontal="center" vertical="top"/>
    </xf>
    <xf numFmtId="0" fontId="42" fillId="0" borderId="0" xfId="0" applyFont="1" applyFill="1" applyAlignment="1">
      <alignment horizontal="center" vertical="top"/>
    </xf>
    <xf numFmtId="0" fontId="43" fillId="0" borderId="0" xfId="0" applyFont="1" applyFill="1" applyAlignment="1">
      <alignment horizontal="center" vertical="top"/>
    </xf>
    <xf numFmtId="164" fontId="123" fillId="0" borderId="0" xfId="382" applyNumberFormat="1" applyFont="1" applyFill="1" applyAlignment="1">
      <alignment horizontal="center" vertical="top"/>
    </xf>
    <xf numFmtId="0" fontId="42" fillId="0" borderId="24" xfId="0" applyFont="1" applyFill="1" applyBorder="1" applyAlignment="1">
      <alignment horizontal="left" vertical="top" wrapText="1"/>
    </xf>
    <xf numFmtId="164" fontId="123" fillId="0" borderId="0" xfId="382" applyNumberFormat="1" applyFont="1" applyFill="1" applyBorder="1" applyAlignment="1">
      <alignment horizontal="center" vertical="top"/>
    </xf>
    <xf numFmtId="164" fontId="123" fillId="0" borderId="35" xfId="382" applyNumberFormat="1" applyFont="1" applyFill="1" applyBorder="1" applyAlignment="1">
      <alignment horizontal="center" vertical="top"/>
    </xf>
    <xf numFmtId="164" fontId="123" fillId="0" borderId="54" xfId="382" applyNumberFormat="1" applyFont="1" applyFill="1" applyBorder="1" applyAlignment="1">
      <alignment horizontal="center" vertical="top"/>
    </xf>
    <xf numFmtId="164" fontId="43" fillId="0" borderId="54" xfId="382" applyNumberFormat="1" applyFont="1" applyFill="1" applyBorder="1" applyAlignment="1">
      <alignment horizontal="center" vertical="top"/>
    </xf>
    <xf numFmtId="164" fontId="43" fillId="0" borderId="0" xfId="382" applyNumberFormat="1" applyFont="1" applyFill="1" applyBorder="1" applyAlignment="1">
      <alignment horizontal="center" vertical="top"/>
    </xf>
    <xf numFmtId="0" fontId="42" fillId="0" borderId="24" xfId="0" applyFont="1" applyFill="1" applyBorder="1" applyAlignment="1">
      <alignment vertical="top" wrapText="1"/>
    </xf>
    <xf numFmtId="0" fontId="42" fillId="0" borderId="0" xfId="0" applyFont="1" applyBorder="1" applyAlignment="1">
      <alignment horizontal="left" vertical="top" wrapText="1"/>
    </xf>
    <xf numFmtId="0" fontId="43" fillId="0" borderId="0" xfId="0" applyFont="1" applyFill="1" applyBorder="1" applyAlignment="1">
      <alignment vertical="top" wrapText="1"/>
    </xf>
    <xf numFmtId="0" fontId="42" fillId="0" borderId="0" xfId="0" applyFont="1" applyFill="1" applyBorder="1" applyAlignment="1">
      <alignment horizontal="left" vertical="top"/>
    </xf>
    <xf numFmtId="164" fontId="123" fillId="0" borderId="44" xfId="382" applyNumberFormat="1" applyFont="1" applyFill="1" applyBorder="1" applyAlignment="1">
      <alignment horizontal="center" vertical="top"/>
    </xf>
    <xf numFmtId="0" fontId="0" fillId="0" borderId="0" xfId="0" applyAlignment="1">
      <alignment horizontal="left" vertical="top" wrapText="1"/>
    </xf>
    <xf numFmtId="0" fontId="42" fillId="0" borderId="0" xfId="0" quotePrefix="1" applyFont="1" applyFill="1" applyBorder="1" applyAlignment="1">
      <alignment horizontal="center" vertical="top"/>
    </xf>
    <xf numFmtId="0" fontId="62" fillId="0" borderId="0" xfId="0" applyFont="1" applyFill="1" applyAlignment="1">
      <alignment horizontal="center"/>
    </xf>
    <xf numFmtId="164" fontId="125" fillId="0" borderId="35" xfId="474" applyNumberFormat="1" applyFont="1" applyBorder="1" applyAlignment="1">
      <alignment horizontal="center" wrapText="1"/>
    </xf>
    <xf numFmtId="0" fontId="43" fillId="0" borderId="0" xfId="474" quotePrefix="1" applyFont="1" applyFill="1" applyAlignment="1">
      <alignment horizontal="center"/>
    </xf>
    <xf numFmtId="0" fontId="43" fillId="0" borderId="0" xfId="474" applyFont="1" applyFill="1" applyAlignment="1">
      <alignment horizontal="center"/>
    </xf>
    <xf numFmtId="0" fontId="43" fillId="37" borderId="0" xfId="474" applyFont="1" applyFill="1" applyAlignment="1">
      <alignment horizontal="center"/>
    </xf>
    <xf numFmtId="43" fontId="123" fillId="0" borderId="0" xfId="382" applyFont="1" applyFill="1" applyBorder="1" applyAlignment="1">
      <alignment horizontal="center"/>
    </xf>
    <xf numFmtId="43" fontId="123" fillId="0" borderId="35" xfId="382" applyFont="1" applyFill="1" applyBorder="1" applyAlignment="1">
      <alignment horizontal="center"/>
    </xf>
    <xf numFmtId="43" fontId="123" fillId="0" borderId="54" xfId="382" applyFont="1" applyFill="1" applyBorder="1" applyAlignment="1">
      <alignment horizontal="center"/>
    </xf>
    <xf numFmtId="43" fontId="161" fillId="0" borderId="0" xfId="382" applyFont="1" applyFill="1" applyAlignment="1">
      <alignment horizontal="center"/>
    </xf>
    <xf numFmtId="0" fontId="43" fillId="0" borderId="28" xfId="474" applyFont="1" applyFill="1" applyBorder="1" applyAlignment="1">
      <alignment horizontal="center" vertical="top" wrapText="1"/>
    </xf>
    <xf numFmtId="0" fontId="43" fillId="0" borderId="26" xfId="474" applyFont="1" applyFill="1" applyBorder="1" applyAlignment="1">
      <alignment horizontal="center" vertical="top" wrapText="1"/>
    </xf>
    <xf numFmtId="0" fontId="43" fillId="0" borderId="30" xfId="474" applyFont="1" applyFill="1" applyBorder="1" applyAlignment="1">
      <alignment horizontal="center" vertical="top" wrapText="1"/>
    </xf>
    <xf numFmtId="0" fontId="43" fillId="0" borderId="0" xfId="0" applyFont="1" applyFill="1" applyBorder="1" applyAlignment="1">
      <alignment horizontal="left" vertical="top" wrapText="1"/>
    </xf>
    <xf numFmtId="0" fontId="43" fillId="0" borderId="24" xfId="0" applyFont="1" applyFill="1" applyBorder="1" applyAlignment="1">
      <alignment vertical="top" wrapText="1"/>
    </xf>
    <xf numFmtId="0" fontId="43" fillId="0" borderId="24" xfId="0" applyFont="1" applyFill="1" applyBorder="1" applyAlignment="1">
      <alignment horizontal="left" vertical="top" wrapText="1"/>
    </xf>
    <xf numFmtId="0" fontId="42" fillId="0" borderId="0" xfId="0" applyFont="1" applyFill="1" applyAlignment="1">
      <alignment horizontal="left" vertical="center" wrapText="1"/>
    </xf>
    <xf numFmtId="43" fontId="42" fillId="0" borderId="0" xfId="382" applyFont="1" applyFill="1" applyAlignment="1">
      <alignment horizontal="center" wrapText="1"/>
    </xf>
    <xf numFmtId="43" fontId="130" fillId="0" borderId="0" xfId="382" applyFont="1" applyFill="1" applyAlignment="1">
      <alignment horizontal="center" wrapText="1"/>
    </xf>
    <xf numFmtId="43" fontId="10" fillId="0" borderId="0" xfId="382" applyFont="1" applyFill="1" applyBorder="1" applyAlignment="1">
      <alignment horizontal="center" wrapText="1"/>
    </xf>
    <xf numFmtId="43" fontId="10" fillId="0" borderId="18" xfId="382" applyFont="1" applyFill="1" applyBorder="1" applyAlignment="1">
      <alignment horizontal="center" wrapText="1"/>
    </xf>
    <xf numFmtId="0" fontId="16" fillId="0" borderId="0" xfId="11271" applyFont="1" applyFill="1" applyAlignment="1">
      <alignment horizontal="left" wrapText="1"/>
    </xf>
    <xf numFmtId="185" fontId="42" fillId="0" borderId="0" xfId="474" applyNumberFormat="1" applyFont="1" applyAlignment="1" applyProtection="1">
      <alignment horizontal="center"/>
      <protection locked="0"/>
    </xf>
    <xf numFmtId="185" fontId="43" fillId="0" borderId="0" xfId="474" applyNumberFormat="1" applyFont="1" applyAlignment="1" applyProtection="1">
      <alignment horizontal="center"/>
      <protection locked="0"/>
    </xf>
    <xf numFmtId="0" fontId="42" fillId="0" borderId="0" xfId="474" applyFont="1" applyAlignment="1" applyProtection="1">
      <alignment horizontal="center"/>
      <protection locked="0"/>
    </xf>
    <xf numFmtId="0" fontId="42" fillId="0" borderId="0" xfId="474" applyFont="1" applyFill="1" applyAlignment="1" applyProtection="1">
      <alignment horizontal="center"/>
      <protection locked="0"/>
    </xf>
    <xf numFmtId="0" fontId="42" fillId="0" borderId="0" xfId="11272" applyFont="1" applyAlignment="1">
      <alignment horizontal="center" vertical="top"/>
    </xf>
    <xf numFmtId="0" fontId="42" fillId="0" borderId="0" xfId="0" quotePrefix="1" applyFont="1" applyFill="1" applyAlignment="1">
      <alignment horizontal="center"/>
    </xf>
    <xf numFmtId="0" fontId="42" fillId="0" borderId="0" xfId="513" applyFont="1" applyFill="1" applyAlignment="1">
      <alignment horizontal="left" vertical="top" wrapText="1"/>
    </xf>
    <xf numFmtId="0" fontId="42" fillId="0" borderId="0" xfId="513" applyFont="1" applyAlignment="1">
      <alignment horizontal="center"/>
    </xf>
    <xf numFmtId="0" fontId="42" fillId="0" borderId="0" xfId="513" applyFont="1" applyBorder="1" applyAlignment="1">
      <alignment horizontal="center"/>
    </xf>
    <xf numFmtId="0" fontId="42" fillId="0" borderId="0" xfId="513" applyFont="1" applyFill="1" applyAlignment="1">
      <alignment horizontal="center"/>
    </xf>
    <xf numFmtId="0" fontId="42" fillId="0" borderId="0" xfId="11271" applyFont="1" applyAlignment="1">
      <alignment horizontal="center"/>
    </xf>
    <xf numFmtId="0" fontId="42" fillId="0" borderId="0" xfId="0" quotePrefix="1" applyFont="1" applyFill="1" applyBorder="1" applyAlignment="1">
      <alignment horizontal="left" vertical="top" wrapText="1"/>
    </xf>
    <xf numFmtId="0" fontId="9" fillId="0" borderId="0" xfId="35157" applyFont="1" applyFill="1" applyBorder="1" applyAlignment="1">
      <alignment horizontal="left" wrapText="1"/>
    </xf>
    <xf numFmtId="0" fontId="158" fillId="0" borderId="0" xfId="0" applyFont="1" applyAlignment="1">
      <alignment horizontal="center" wrapText="1"/>
    </xf>
    <xf numFmtId="0" fontId="42" fillId="0" borderId="0" xfId="11275" quotePrefix="1" applyFont="1" applyFill="1" applyBorder="1" applyAlignment="1">
      <alignment horizontal="center" vertical="top"/>
    </xf>
    <xf numFmtId="0" fontId="42" fillId="0" borderId="0" xfId="0" applyFont="1" applyAlignment="1">
      <alignment horizontal="left" vertical="top" wrapText="1"/>
    </xf>
    <xf numFmtId="0" fontId="42" fillId="0" borderId="0" xfId="11275" applyFont="1" applyFill="1" applyBorder="1" applyAlignment="1">
      <alignment horizontal="center" vertical="top"/>
    </xf>
    <xf numFmtId="164" fontId="42" fillId="0" borderId="6" xfId="11275" applyNumberFormat="1" applyFont="1" applyFill="1" applyBorder="1" applyAlignment="1">
      <alignment horizontal="center" vertical="top"/>
    </xf>
    <xf numFmtId="0" fontId="62" fillId="0" borderId="0" xfId="569" applyFont="1" applyFill="1" applyAlignment="1">
      <alignment horizontal="left" wrapText="1"/>
    </xf>
    <xf numFmtId="164" fontId="42" fillId="0" borderId="18" xfId="11275" applyNumberFormat="1" applyFont="1" applyFill="1" applyBorder="1" applyAlignment="1">
      <alignment horizontal="center" vertical="top"/>
    </xf>
    <xf numFmtId="0" fontId="42" fillId="0" borderId="0" xfId="569" quotePrefix="1" applyFont="1" applyFill="1" applyBorder="1" applyAlignment="1">
      <alignment horizontal="center" vertical="top"/>
    </xf>
    <xf numFmtId="0" fontId="62" fillId="0" borderId="0" xfId="11275" quotePrefix="1" applyFont="1" applyFill="1" applyAlignment="1">
      <alignment horizontal="left"/>
    </xf>
    <xf numFmtId="0" fontId="62" fillId="0" borderId="0" xfId="11275" applyFont="1" applyFill="1" applyAlignment="1">
      <alignment horizontal="left" vertical="top" wrapText="1"/>
    </xf>
    <xf numFmtId="0" fontId="62" fillId="0" borderId="54" xfId="569" applyFont="1" applyBorder="1" applyAlignment="1">
      <alignment horizontal="center"/>
    </xf>
    <xf numFmtId="0" fontId="62" fillId="0" borderId="0" xfId="569" applyFont="1" applyAlignment="1">
      <alignment horizontal="center"/>
    </xf>
    <xf numFmtId="0" fontId="42" fillId="0" borderId="0" xfId="474" applyAlignment="1">
      <alignment horizontal="left"/>
    </xf>
    <xf numFmtId="0" fontId="42" fillId="0" borderId="0" xfId="0" applyFont="1" applyAlignment="1">
      <alignment horizontal="center" vertical="center"/>
    </xf>
    <xf numFmtId="43" fontId="42" fillId="0" borderId="18" xfId="382" applyFont="1" applyBorder="1" applyAlignment="1">
      <alignment horizontal="center"/>
    </xf>
    <xf numFmtId="0" fontId="42" fillId="0" borderId="18" xfId="0" applyFont="1" applyFill="1" applyBorder="1" applyAlignment="1">
      <alignment horizontal="center"/>
    </xf>
    <xf numFmtId="0" fontId="17" fillId="0" borderId="18" xfId="0" applyFont="1" applyFill="1" applyBorder="1" applyAlignment="1">
      <alignment horizontal="center"/>
    </xf>
    <xf numFmtId="0" fontId="42" fillId="0" borderId="0" xfId="474" applyFont="1" applyAlignment="1">
      <alignment horizontal="center"/>
    </xf>
    <xf numFmtId="0" fontId="24" fillId="0" borderId="0" xfId="11271" applyFont="1" applyBorder="1" applyAlignment="1">
      <alignment horizontal="center" wrapText="1"/>
    </xf>
    <xf numFmtId="0" fontId="24" fillId="0" borderId="18" xfId="11271" applyFont="1" applyBorder="1" applyAlignment="1">
      <alignment horizontal="center" wrapText="1"/>
    </xf>
    <xf numFmtId="0" fontId="42" fillId="0" borderId="4" xfId="474" applyFont="1" applyFill="1" applyBorder="1" applyAlignment="1">
      <alignment horizontal="center"/>
    </xf>
    <xf numFmtId="0" fontId="42" fillId="0" borderId="6" xfId="474" applyFont="1" applyFill="1" applyBorder="1" applyAlignment="1">
      <alignment horizontal="center"/>
    </xf>
    <xf numFmtId="0" fontId="42" fillId="0" borderId="21" xfId="474" applyFont="1" applyFill="1" applyBorder="1" applyAlignment="1">
      <alignment horizontal="center"/>
    </xf>
    <xf numFmtId="164" fontId="42" fillId="0" borderId="0" xfId="382" applyNumberFormat="1" applyFont="1" applyFill="1" applyAlignment="1">
      <alignment horizontal="left" vertical="top" wrapText="1"/>
    </xf>
    <xf numFmtId="0" fontId="42" fillId="0" borderId="0" xfId="474" quotePrefix="1" applyFont="1" applyFill="1" applyAlignment="1">
      <alignment horizontal="center" vertical="top"/>
    </xf>
    <xf numFmtId="0" fontId="42" fillId="0" borderId="0" xfId="474" quotePrefix="1" applyFont="1" applyFill="1" applyAlignment="1">
      <alignment horizontal="center" vertical="center"/>
    </xf>
    <xf numFmtId="17" fontId="42" fillId="51" borderId="0" xfId="37708" applyNumberFormat="1" applyFont="1" applyFill="1" applyAlignment="1">
      <alignment horizontal="left" wrapText="1"/>
    </xf>
    <xf numFmtId="17" fontId="42" fillId="51" borderId="0" xfId="37708" applyNumberFormat="1" applyFont="1" applyFill="1" applyAlignment="1">
      <alignment horizontal="left"/>
    </xf>
    <xf numFmtId="0" fontId="42" fillId="51" borderId="0" xfId="474" quotePrefix="1" applyFont="1" applyFill="1" applyAlignment="1">
      <alignment horizontal="center" vertical="top"/>
    </xf>
    <xf numFmtId="0" fontId="42" fillId="51" borderId="0" xfId="474" quotePrefix="1" applyFont="1" applyFill="1" applyAlignment="1">
      <alignment horizontal="center"/>
    </xf>
    <xf numFmtId="0" fontId="42" fillId="51" borderId="0" xfId="474" quotePrefix="1" applyFont="1" applyFill="1" applyAlignment="1">
      <alignment horizontal="center" vertical="center"/>
    </xf>
    <xf numFmtId="43" fontId="130" fillId="0" borderId="0" xfId="382" applyFont="1" applyFill="1" applyAlignment="1">
      <alignment horizontal="center"/>
    </xf>
    <xf numFmtId="43" fontId="42" fillId="0" borderId="0" xfId="382" applyFont="1" applyFill="1" applyAlignment="1">
      <alignment horizontal="center"/>
    </xf>
    <xf numFmtId="0" fontId="24" fillId="0" borderId="0" xfId="0" applyFont="1" applyFill="1" applyAlignment="1">
      <alignment horizontal="left" vertical="top" wrapText="1"/>
    </xf>
    <xf numFmtId="0" fontId="42" fillId="0" borderId="0" xfId="0" applyFont="1" applyFill="1" applyAlignment="1">
      <alignment vertical="top" wrapText="1"/>
    </xf>
    <xf numFmtId="0" fontId="0" fillId="0" borderId="0" xfId="0" applyAlignment="1">
      <alignment horizontal="left" wrapText="1"/>
    </xf>
    <xf numFmtId="0" fontId="21" fillId="0" borderId="0" xfId="0" quotePrefix="1" applyFont="1" applyFill="1" applyAlignment="1">
      <alignment horizontal="left" vertical="top" wrapText="1"/>
    </xf>
    <xf numFmtId="0" fontId="42" fillId="0" borderId="0" xfId="484" applyFont="1" applyFill="1" applyAlignment="1">
      <alignment horizontal="center" vertical="top"/>
    </xf>
    <xf numFmtId="0" fontId="21" fillId="0" borderId="0" xfId="0" quotePrefix="1" applyFont="1" applyAlignment="1">
      <alignment horizontal="left" vertical="top" wrapText="1"/>
    </xf>
    <xf numFmtId="0" fontId="42" fillId="0" borderId="0" xfId="484" applyFont="1" applyAlignment="1">
      <alignment horizontal="left" vertical="top" wrapText="1"/>
    </xf>
    <xf numFmtId="0" fontId="42" fillId="54" borderId="0" xfId="484" applyFont="1" applyFill="1" applyAlignment="1">
      <alignment horizontal="left" vertical="top"/>
    </xf>
    <xf numFmtId="43" fontId="42" fillId="0" borderId="18" xfId="382" applyFont="1" applyFill="1" applyBorder="1" applyAlignment="1">
      <alignment horizontal="center"/>
    </xf>
  </cellXfs>
  <cellStyles count="37713">
    <cellStyle name="_x0013_" xfId="37708"/>
    <cellStyle name=" 1" xfId="1"/>
    <cellStyle name=" 1 2" xfId="2"/>
    <cellStyle name=" 1 2 2" xfId="3"/>
    <cellStyle name=" 1 3" xfId="4"/>
    <cellStyle name="20% - Accent1 10" xfId="5"/>
    <cellStyle name="20% - Accent1 10 2" xfId="11327"/>
    <cellStyle name="20% - Accent1 11" xfId="6"/>
    <cellStyle name="20% - Accent1 11 2" xfId="11328"/>
    <cellStyle name="20% - Accent1 12" xfId="7"/>
    <cellStyle name="20% - Accent1 12 2" xfId="11329"/>
    <cellStyle name="20% - Accent1 13" xfId="8"/>
    <cellStyle name="20% - Accent1 13 2" xfId="11330"/>
    <cellStyle name="20% - Accent1 14" xfId="11283"/>
    <cellStyle name="20% - Accent1 2" xfId="9"/>
    <cellStyle name="20% - Accent1 2 2" xfId="10"/>
    <cellStyle name="20% - Accent1 2 2 2" xfId="11332"/>
    <cellStyle name="20% - Accent1 2 3" xfId="11"/>
    <cellStyle name="20% - Accent1 2 3 2" xfId="11333"/>
    <cellStyle name="20% - Accent1 2 4" xfId="11331"/>
    <cellStyle name="20% - Accent1 2_10-15-10-Stmt AU - Period I - Working 1 0" xfId="12"/>
    <cellStyle name="20% - Accent1 3" xfId="13"/>
    <cellStyle name="20% - Accent1 3 2" xfId="14"/>
    <cellStyle name="20% - Accent1 3 2 2" xfId="11335"/>
    <cellStyle name="20% - Accent1 3 3" xfId="15"/>
    <cellStyle name="20% - Accent1 3 3 2" xfId="11336"/>
    <cellStyle name="20% - Accent1 3 4" xfId="11334"/>
    <cellStyle name="20% - Accent1 3_10-15-10-Stmt AU - Period I - Working 1 0" xfId="16"/>
    <cellStyle name="20% - Accent1 4" xfId="17"/>
    <cellStyle name="20% - Accent1 4 2" xfId="18"/>
    <cellStyle name="20% - Accent1 4 2 2" xfId="11338"/>
    <cellStyle name="20% - Accent1 4 3" xfId="19"/>
    <cellStyle name="20% - Accent1 4 3 2" xfId="11339"/>
    <cellStyle name="20% - Accent1 4 4" xfId="11337"/>
    <cellStyle name="20% - Accent1 4_10-15-10-Stmt AU - Period I - Working 1 0" xfId="20"/>
    <cellStyle name="20% - Accent1 5" xfId="21"/>
    <cellStyle name="20% - Accent1 5 2" xfId="22"/>
    <cellStyle name="20% - Accent1 5 2 2" xfId="11341"/>
    <cellStyle name="20% - Accent1 5 3" xfId="23"/>
    <cellStyle name="20% - Accent1 5 3 2" xfId="11342"/>
    <cellStyle name="20% - Accent1 5 4" xfId="11340"/>
    <cellStyle name="20% - Accent1 5_10-15-10-Stmt AU - Period I - Working 1 0" xfId="24"/>
    <cellStyle name="20% - Accent1 6" xfId="25"/>
    <cellStyle name="20% - Accent1 6 2" xfId="26"/>
    <cellStyle name="20% - Accent1 6 2 2" xfId="11344"/>
    <cellStyle name="20% - Accent1 6 3" xfId="27"/>
    <cellStyle name="20% - Accent1 6 3 2" xfId="11345"/>
    <cellStyle name="20% - Accent1 6 4" xfId="11343"/>
    <cellStyle name="20% - Accent1 6_10-15-10-Stmt AU - Period I - Working 1 0" xfId="28"/>
    <cellStyle name="20% - Accent1 7" xfId="29"/>
    <cellStyle name="20% - Accent1 7 2" xfId="30"/>
    <cellStyle name="20% - Accent1 7 2 2" xfId="11347"/>
    <cellStyle name="20% - Accent1 7 3" xfId="31"/>
    <cellStyle name="20% - Accent1 7 3 2" xfId="11348"/>
    <cellStyle name="20% - Accent1 7 4" xfId="11346"/>
    <cellStyle name="20% - Accent1 7_10-15-10-Stmt AU - Period I - Working 1 0" xfId="32"/>
    <cellStyle name="20% - Accent1 8" xfId="33"/>
    <cellStyle name="20% - Accent1 8 2" xfId="11349"/>
    <cellStyle name="20% - Accent1 9" xfId="34"/>
    <cellStyle name="20% - Accent1 9 2" xfId="11350"/>
    <cellStyle name="20% - Accent2 10" xfId="35"/>
    <cellStyle name="20% - Accent2 10 2" xfId="11351"/>
    <cellStyle name="20% - Accent2 11" xfId="36"/>
    <cellStyle name="20% - Accent2 11 2" xfId="11352"/>
    <cellStyle name="20% - Accent2 12" xfId="37"/>
    <cellStyle name="20% - Accent2 12 2" xfId="11353"/>
    <cellStyle name="20% - Accent2 13" xfId="38"/>
    <cellStyle name="20% - Accent2 13 2" xfId="11354"/>
    <cellStyle name="20% - Accent2 14" xfId="11284"/>
    <cellStyle name="20% - Accent2 2" xfId="39"/>
    <cellStyle name="20% - Accent2 2 2" xfId="40"/>
    <cellStyle name="20% - Accent2 2 2 2" xfId="11356"/>
    <cellStyle name="20% - Accent2 2 3" xfId="41"/>
    <cellStyle name="20% - Accent2 2 3 2" xfId="11357"/>
    <cellStyle name="20% - Accent2 2 4" xfId="11355"/>
    <cellStyle name="20% - Accent2 2_10-15-10-Stmt AU - Period I - Working 1 0" xfId="42"/>
    <cellStyle name="20% - Accent2 3" xfId="43"/>
    <cellStyle name="20% - Accent2 3 2" xfId="44"/>
    <cellStyle name="20% - Accent2 3 2 2" xfId="11359"/>
    <cellStyle name="20% - Accent2 3 3" xfId="45"/>
    <cellStyle name="20% - Accent2 3 3 2" xfId="11360"/>
    <cellStyle name="20% - Accent2 3 4" xfId="11358"/>
    <cellStyle name="20% - Accent2 3_10-15-10-Stmt AU - Period I - Working 1 0" xfId="46"/>
    <cellStyle name="20% - Accent2 4" xfId="47"/>
    <cellStyle name="20% - Accent2 4 2" xfId="48"/>
    <cellStyle name="20% - Accent2 4 2 2" xfId="11362"/>
    <cellStyle name="20% - Accent2 4 3" xfId="49"/>
    <cellStyle name="20% - Accent2 4 3 2" xfId="11363"/>
    <cellStyle name="20% - Accent2 4 4" xfId="11361"/>
    <cellStyle name="20% - Accent2 4_10-15-10-Stmt AU - Period I - Working 1 0" xfId="50"/>
    <cellStyle name="20% - Accent2 5" xfId="51"/>
    <cellStyle name="20% - Accent2 5 2" xfId="52"/>
    <cellStyle name="20% - Accent2 5 2 2" xfId="11365"/>
    <cellStyle name="20% - Accent2 5 3" xfId="53"/>
    <cellStyle name="20% - Accent2 5 3 2" xfId="11366"/>
    <cellStyle name="20% - Accent2 5 4" xfId="11364"/>
    <cellStyle name="20% - Accent2 5_10-15-10-Stmt AU - Period I - Working 1 0" xfId="54"/>
    <cellStyle name="20% - Accent2 6" xfId="55"/>
    <cellStyle name="20% - Accent2 6 2" xfId="56"/>
    <cellStyle name="20% - Accent2 6 2 2" xfId="11368"/>
    <cellStyle name="20% - Accent2 6 3" xfId="57"/>
    <cellStyle name="20% - Accent2 6 3 2" xfId="11369"/>
    <cellStyle name="20% - Accent2 6 4" xfId="11367"/>
    <cellStyle name="20% - Accent2 6_10-15-10-Stmt AU - Period I - Working 1 0" xfId="58"/>
    <cellStyle name="20% - Accent2 7" xfId="59"/>
    <cellStyle name="20% - Accent2 7 2" xfId="60"/>
    <cellStyle name="20% - Accent2 7 2 2" xfId="11371"/>
    <cellStyle name="20% - Accent2 7 3" xfId="61"/>
    <cellStyle name="20% - Accent2 7 3 2" xfId="11372"/>
    <cellStyle name="20% - Accent2 7 4" xfId="11370"/>
    <cellStyle name="20% - Accent2 7_10-15-10-Stmt AU - Period I - Working 1 0" xfId="62"/>
    <cellStyle name="20% - Accent2 8" xfId="63"/>
    <cellStyle name="20% - Accent2 8 2" xfId="11373"/>
    <cellStyle name="20% - Accent2 9" xfId="64"/>
    <cellStyle name="20% - Accent2 9 2" xfId="11374"/>
    <cellStyle name="20% - Accent3 10" xfId="65"/>
    <cellStyle name="20% - Accent3 10 2" xfId="11375"/>
    <cellStyle name="20% - Accent3 11" xfId="66"/>
    <cellStyle name="20% - Accent3 11 2" xfId="11376"/>
    <cellStyle name="20% - Accent3 12" xfId="67"/>
    <cellStyle name="20% - Accent3 12 2" xfId="11377"/>
    <cellStyle name="20% - Accent3 13" xfId="68"/>
    <cellStyle name="20% - Accent3 13 2" xfId="11378"/>
    <cellStyle name="20% - Accent3 14" xfId="11285"/>
    <cellStyle name="20% - Accent3 2" xfId="69"/>
    <cellStyle name="20% - Accent3 2 2" xfId="70"/>
    <cellStyle name="20% - Accent3 2 2 2" xfId="11380"/>
    <cellStyle name="20% - Accent3 2 3" xfId="71"/>
    <cellStyle name="20% - Accent3 2 3 2" xfId="11381"/>
    <cellStyle name="20% - Accent3 2 4" xfId="11379"/>
    <cellStyle name="20% - Accent3 2_10-15-10-Stmt AU - Period I - Working 1 0" xfId="72"/>
    <cellStyle name="20% - Accent3 3" xfId="73"/>
    <cellStyle name="20% - Accent3 3 2" xfId="74"/>
    <cellStyle name="20% - Accent3 3 2 2" xfId="11383"/>
    <cellStyle name="20% - Accent3 3 3" xfId="75"/>
    <cellStyle name="20% - Accent3 3 3 2" xfId="11384"/>
    <cellStyle name="20% - Accent3 3 4" xfId="11382"/>
    <cellStyle name="20% - Accent3 3_10-15-10-Stmt AU - Period I - Working 1 0" xfId="76"/>
    <cellStyle name="20% - Accent3 4" xfId="77"/>
    <cellStyle name="20% - Accent3 4 2" xfId="78"/>
    <cellStyle name="20% - Accent3 4 2 2" xfId="11386"/>
    <cellStyle name="20% - Accent3 4 3" xfId="79"/>
    <cellStyle name="20% - Accent3 4 3 2" xfId="11387"/>
    <cellStyle name="20% - Accent3 4 4" xfId="11385"/>
    <cellStyle name="20% - Accent3 4_10-15-10-Stmt AU - Period I - Working 1 0" xfId="80"/>
    <cellStyle name="20% - Accent3 5" xfId="81"/>
    <cellStyle name="20% - Accent3 5 2" xfId="82"/>
    <cellStyle name="20% - Accent3 5 2 2" xfId="11389"/>
    <cellStyle name="20% - Accent3 5 3" xfId="83"/>
    <cellStyle name="20% - Accent3 5 3 2" xfId="11390"/>
    <cellStyle name="20% - Accent3 5 4" xfId="11388"/>
    <cellStyle name="20% - Accent3 5_10-15-10-Stmt AU - Period I - Working 1 0" xfId="84"/>
    <cellStyle name="20% - Accent3 6" xfId="85"/>
    <cellStyle name="20% - Accent3 6 2" xfId="86"/>
    <cellStyle name="20% - Accent3 6 2 2" xfId="11392"/>
    <cellStyle name="20% - Accent3 6 3" xfId="87"/>
    <cellStyle name="20% - Accent3 6 3 2" xfId="11393"/>
    <cellStyle name="20% - Accent3 6 4" xfId="11391"/>
    <cellStyle name="20% - Accent3 6_10-15-10-Stmt AU - Period I - Working 1 0" xfId="88"/>
    <cellStyle name="20% - Accent3 7" xfId="89"/>
    <cellStyle name="20% - Accent3 7 2" xfId="90"/>
    <cellStyle name="20% - Accent3 7 2 2" xfId="11395"/>
    <cellStyle name="20% - Accent3 7 3" xfId="91"/>
    <cellStyle name="20% - Accent3 7 3 2" xfId="11396"/>
    <cellStyle name="20% - Accent3 7 4" xfId="11394"/>
    <cellStyle name="20% - Accent3 7_10-15-10-Stmt AU - Period I - Working 1 0" xfId="92"/>
    <cellStyle name="20% - Accent3 8" xfId="93"/>
    <cellStyle name="20% - Accent3 8 2" xfId="11397"/>
    <cellStyle name="20% - Accent3 9" xfId="94"/>
    <cellStyle name="20% - Accent3 9 2" xfId="11398"/>
    <cellStyle name="20% - Accent4 10" xfId="95"/>
    <cellStyle name="20% - Accent4 10 2" xfId="11399"/>
    <cellStyle name="20% - Accent4 11" xfId="96"/>
    <cellStyle name="20% - Accent4 11 2" xfId="11400"/>
    <cellStyle name="20% - Accent4 12" xfId="97"/>
    <cellStyle name="20% - Accent4 12 2" xfId="11401"/>
    <cellStyle name="20% - Accent4 13" xfId="98"/>
    <cellStyle name="20% - Accent4 13 2" xfId="11402"/>
    <cellStyle name="20% - Accent4 14" xfId="11286"/>
    <cellStyle name="20% - Accent4 2" xfId="99"/>
    <cellStyle name="20% - Accent4 2 2" xfId="100"/>
    <cellStyle name="20% - Accent4 2 2 2" xfId="11404"/>
    <cellStyle name="20% - Accent4 2 3" xfId="101"/>
    <cellStyle name="20% - Accent4 2 3 2" xfId="11405"/>
    <cellStyle name="20% - Accent4 2 4" xfId="11403"/>
    <cellStyle name="20% - Accent4 2_10-15-10-Stmt AU - Period I - Working 1 0" xfId="102"/>
    <cellStyle name="20% - Accent4 3" xfId="103"/>
    <cellStyle name="20% - Accent4 3 2" xfId="104"/>
    <cellStyle name="20% - Accent4 3 2 2" xfId="11407"/>
    <cellStyle name="20% - Accent4 3 3" xfId="105"/>
    <cellStyle name="20% - Accent4 3 3 2" xfId="11408"/>
    <cellStyle name="20% - Accent4 3 4" xfId="11406"/>
    <cellStyle name="20% - Accent4 3_10-15-10-Stmt AU - Period I - Working 1 0" xfId="106"/>
    <cellStyle name="20% - Accent4 4" xfId="107"/>
    <cellStyle name="20% - Accent4 4 2" xfId="108"/>
    <cellStyle name="20% - Accent4 4 2 2" xfId="11410"/>
    <cellStyle name="20% - Accent4 4 3" xfId="109"/>
    <cellStyle name="20% - Accent4 4 3 2" xfId="11411"/>
    <cellStyle name="20% - Accent4 4 4" xfId="11409"/>
    <cellStyle name="20% - Accent4 4_10-15-10-Stmt AU - Period I - Working 1 0" xfId="110"/>
    <cellStyle name="20% - Accent4 5" xfId="111"/>
    <cellStyle name="20% - Accent4 5 2" xfId="112"/>
    <cellStyle name="20% - Accent4 5 2 2" xfId="11413"/>
    <cellStyle name="20% - Accent4 5 3" xfId="113"/>
    <cellStyle name="20% - Accent4 5 3 2" xfId="11414"/>
    <cellStyle name="20% - Accent4 5 4" xfId="11412"/>
    <cellStyle name="20% - Accent4 5_10-15-10-Stmt AU - Period I - Working 1 0" xfId="114"/>
    <cellStyle name="20% - Accent4 6" xfId="115"/>
    <cellStyle name="20% - Accent4 6 2" xfId="116"/>
    <cellStyle name="20% - Accent4 6 2 2" xfId="11416"/>
    <cellStyle name="20% - Accent4 6 3" xfId="117"/>
    <cellStyle name="20% - Accent4 6 3 2" xfId="11417"/>
    <cellStyle name="20% - Accent4 6 4" xfId="11415"/>
    <cellStyle name="20% - Accent4 6_10-15-10-Stmt AU - Period I - Working 1 0" xfId="118"/>
    <cellStyle name="20% - Accent4 7" xfId="119"/>
    <cellStyle name="20% - Accent4 7 2" xfId="120"/>
    <cellStyle name="20% - Accent4 7 2 2" xfId="11419"/>
    <cellStyle name="20% - Accent4 7 3" xfId="121"/>
    <cellStyle name="20% - Accent4 7 3 2" xfId="11420"/>
    <cellStyle name="20% - Accent4 7 4" xfId="11418"/>
    <cellStyle name="20% - Accent4 7_10-15-10-Stmt AU - Period I - Working 1 0" xfId="122"/>
    <cellStyle name="20% - Accent4 8" xfId="123"/>
    <cellStyle name="20% - Accent4 8 2" xfId="11421"/>
    <cellStyle name="20% - Accent4 9" xfId="124"/>
    <cellStyle name="20% - Accent4 9 2" xfId="11422"/>
    <cellStyle name="20% - Accent5 10" xfId="125"/>
    <cellStyle name="20% - Accent5 10 2" xfId="11423"/>
    <cellStyle name="20% - Accent5 11" xfId="126"/>
    <cellStyle name="20% - Accent5 11 2" xfId="11424"/>
    <cellStyle name="20% - Accent5 12" xfId="127"/>
    <cellStyle name="20% - Accent5 12 2" xfId="11425"/>
    <cellStyle name="20% - Accent5 13" xfId="128"/>
    <cellStyle name="20% - Accent5 13 2" xfId="11426"/>
    <cellStyle name="20% - Accent5 14" xfId="11287"/>
    <cellStyle name="20% - Accent5 2" xfId="129"/>
    <cellStyle name="20% - Accent5 2 2" xfId="130"/>
    <cellStyle name="20% - Accent5 2 2 2" xfId="11428"/>
    <cellStyle name="20% - Accent5 2 3" xfId="131"/>
    <cellStyle name="20% - Accent5 2 3 2" xfId="11429"/>
    <cellStyle name="20% - Accent5 2 4" xfId="11427"/>
    <cellStyle name="20% - Accent5 2_10-15-10-Stmt AU - Period I - Working 1 0" xfId="132"/>
    <cellStyle name="20% - Accent5 3" xfId="133"/>
    <cellStyle name="20% - Accent5 3 2" xfId="134"/>
    <cellStyle name="20% - Accent5 3 2 2" xfId="11431"/>
    <cellStyle name="20% - Accent5 3 3" xfId="135"/>
    <cellStyle name="20% - Accent5 3 3 2" xfId="11432"/>
    <cellStyle name="20% - Accent5 3 4" xfId="11430"/>
    <cellStyle name="20% - Accent5 3_10-15-10-Stmt AU - Period I - Working 1 0" xfId="136"/>
    <cellStyle name="20% - Accent5 4" xfId="137"/>
    <cellStyle name="20% - Accent5 4 2" xfId="138"/>
    <cellStyle name="20% - Accent5 4 2 2" xfId="11434"/>
    <cellStyle name="20% - Accent5 4 3" xfId="139"/>
    <cellStyle name="20% - Accent5 4 3 2" xfId="11435"/>
    <cellStyle name="20% - Accent5 4 4" xfId="11433"/>
    <cellStyle name="20% - Accent5 4_10-15-10-Stmt AU - Period I - Working 1 0" xfId="140"/>
    <cellStyle name="20% - Accent5 5" xfId="141"/>
    <cellStyle name="20% - Accent5 5 2" xfId="142"/>
    <cellStyle name="20% - Accent5 5 2 2" xfId="11437"/>
    <cellStyle name="20% - Accent5 5 3" xfId="143"/>
    <cellStyle name="20% - Accent5 5 3 2" xfId="11438"/>
    <cellStyle name="20% - Accent5 5 4" xfId="11436"/>
    <cellStyle name="20% - Accent5 5_10-15-10-Stmt AU - Period I - Working 1 0" xfId="144"/>
    <cellStyle name="20% - Accent5 6" xfId="145"/>
    <cellStyle name="20% - Accent5 6 2" xfId="146"/>
    <cellStyle name="20% - Accent5 6 2 2" xfId="11440"/>
    <cellStyle name="20% - Accent5 6 3" xfId="147"/>
    <cellStyle name="20% - Accent5 6 3 2" xfId="11441"/>
    <cellStyle name="20% - Accent5 6 4" xfId="11439"/>
    <cellStyle name="20% - Accent5 6_10-15-10-Stmt AU - Period I - Working 1 0" xfId="148"/>
    <cellStyle name="20% - Accent5 7" xfId="149"/>
    <cellStyle name="20% - Accent5 7 2" xfId="150"/>
    <cellStyle name="20% - Accent5 7 2 2" xfId="11443"/>
    <cellStyle name="20% - Accent5 7 3" xfId="151"/>
    <cellStyle name="20% - Accent5 7 3 2" xfId="11444"/>
    <cellStyle name="20% - Accent5 7 4" xfId="11442"/>
    <cellStyle name="20% - Accent5 7_10-15-10-Stmt AU - Period I - Working 1 0" xfId="152"/>
    <cellStyle name="20% - Accent5 8" xfId="153"/>
    <cellStyle name="20% - Accent5 8 2" xfId="11445"/>
    <cellStyle name="20% - Accent5 9" xfId="154"/>
    <cellStyle name="20% - Accent5 9 2" xfId="11446"/>
    <cellStyle name="20% - Accent6 10" xfId="155"/>
    <cellStyle name="20% - Accent6 10 2" xfId="11447"/>
    <cellStyle name="20% - Accent6 11" xfId="156"/>
    <cellStyle name="20% - Accent6 11 2" xfId="11448"/>
    <cellStyle name="20% - Accent6 12" xfId="157"/>
    <cellStyle name="20% - Accent6 12 2" xfId="11449"/>
    <cellStyle name="20% - Accent6 13" xfId="158"/>
    <cellStyle name="20% - Accent6 13 2" xfId="11450"/>
    <cellStyle name="20% - Accent6 14" xfId="11288"/>
    <cellStyle name="20% - Accent6 2" xfId="159"/>
    <cellStyle name="20% - Accent6 2 2" xfId="160"/>
    <cellStyle name="20% - Accent6 2 2 2" xfId="11452"/>
    <cellStyle name="20% - Accent6 2 3" xfId="161"/>
    <cellStyle name="20% - Accent6 2 3 2" xfId="11453"/>
    <cellStyle name="20% - Accent6 2 4" xfId="11451"/>
    <cellStyle name="20% - Accent6 2_10-15-10-Stmt AU - Period I - Working 1 0" xfId="162"/>
    <cellStyle name="20% - Accent6 3" xfId="163"/>
    <cellStyle name="20% - Accent6 3 2" xfId="164"/>
    <cellStyle name="20% - Accent6 3 2 2" xfId="11455"/>
    <cellStyle name="20% - Accent6 3 3" xfId="165"/>
    <cellStyle name="20% - Accent6 3 3 2" xfId="11456"/>
    <cellStyle name="20% - Accent6 3 4" xfId="11454"/>
    <cellStyle name="20% - Accent6 3_10-15-10-Stmt AU - Period I - Working 1 0" xfId="166"/>
    <cellStyle name="20% - Accent6 4" xfId="167"/>
    <cellStyle name="20% - Accent6 4 2" xfId="168"/>
    <cellStyle name="20% - Accent6 4 2 2" xfId="11458"/>
    <cellStyle name="20% - Accent6 4 3" xfId="169"/>
    <cellStyle name="20% - Accent6 4 3 2" xfId="11459"/>
    <cellStyle name="20% - Accent6 4 4" xfId="11457"/>
    <cellStyle name="20% - Accent6 4_10-15-10-Stmt AU - Period I - Working 1 0" xfId="170"/>
    <cellStyle name="20% - Accent6 5" xfId="171"/>
    <cellStyle name="20% - Accent6 5 2" xfId="172"/>
    <cellStyle name="20% - Accent6 5 2 2" xfId="11461"/>
    <cellStyle name="20% - Accent6 5 3" xfId="173"/>
    <cellStyle name="20% - Accent6 5 3 2" xfId="11462"/>
    <cellStyle name="20% - Accent6 5 4" xfId="11460"/>
    <cellStyle name="20% - Accent6 5_10-15-10-Stmt AU - Period I - Working 1 0" xfId="174"/>
    <cellStyle name="20% - Accent6 6" xfId="175"/>
    <cellStyle name="20% - Accent6 6 2" xfId="176"/>
    <cellStyle name="20% - Accent6 6 2 2" xfId="11464"/>
    <cellStyle name="20% - Accent6 6 3" xfId="177"/>
    <cellStyle name="20% - Accent6 6 3 2" xfId="11465"/>
    <cellStyle name="20% - Accent6 6 4" xfId="11463"/>
    <cellStyle name="20% - Accent6 6_10-15-10-Stmt AU - Period I - Working 1 0" xfId="178"/>
    <cellStyle name="20% - Accent6 7" xfId="179"/>
    <cellStyle name="20% - Accent6 7 2" xfId="180"/>
    <cellStyle name="20% - Accent6 7 2 2" xfId="11467"/>
    <cellStyle name="20% - Accent6 7 3" xfId="181"/>
    <cellStyle name="20% - Accent6 7 3 2" xfId="11468"/>
    <cellStyle name="20% - Accent6 7 4" xfId="11466"/>
    <cellStyle name="20% - Accent6 7_10-15-10-Stmt AU - Period I - Working 1 0" xfId="182"/>
    <cellStyle name="20% - Accent6 8" xfId="183"/>
    <cellStyle name="20% - Accent6 8 2" xfId="11469"/>
    <cellStyle name="20% - Accent6 9" xfId="184"/>
    <cellStyle name="20% - Accent6 9 2" xfId="11470"/>
    <cellStyle name="40% - Accent1 10" xfId="185"/>
    <cellStyle name="40% - Accent1 10 2" xfId="11471"/>
    <cellStyle name="40% - Accent1 11" xfId="186"/>
    <cellStyle name="40% - Accent1 11 2" xfId="11472"/>
    <cellStyle name="40% - Accent1 12" xfId="187"/>
    <cellStyle name="40% - Accent1 12 2" xfId="11473"/>
    <cellStyle name="40% - Accent1 13" xfId="188"/>
    <cellStyle name="40% - Accent1 13 2" xfId="11474"/>
    <cellStyle name="40% - Accent1 14" xfId="11289"/>
    <cellStyle name="40% - Accent1 2" xfId="189"/>
    <cellStyle name="40% - Accent1 2 2" xfId="190"/>
    <cellStyle name="40% - Accent1 2 2 2" xfId="11476"/>
    <cellStyle name="40% - Accent1 2 3" xfId="191"/>
    <cellStyle name="40% - Accent1 2 3 2" xfId="11477"/>
    <cellStyle name="40% - Accent1 2 4" xfId="11475"/>
    <cellStyle name="40% - Accent1 2_10-15-10-Stmt AU - Period I - Working 1 0" xfId="192"/>
    <cellStyle name="40% - Accent1 3" xfId="193"/>
    <cellStyle name="40% - Accent1 3 2" xfId="194"/>
    <cellStyle name="40% - Accent1 3 2 2" xfId="11479"/>
    <cellStyle name="40% - Accent1 3 3" xfId="195"/>
    <cellStyle name="40% - Accent1 3 3 2" xfId="11480"/>
    <cellStyle name="40% - Accent1 3 4" xfId="11478"/>
    <cellStyle name="40% - Accent1 3_10-15-10-Stmt AU - Period I - Working 1 0" xfId="196"/>
    <cellStyle name="40% - Accent1 4" xfId="197"/>
    <cellStyle name="40% - Accent1 4 2" xfId="198"/>
    <cellStyle name="40% - Accent1 4 2 2" xfId="11482"/>
    <cellStyle name="40% - Accent1 4 3" xfId="199"/>
    <cellStyle name="40% - Accent1 4 3 2" xfId="11483"/>
    <cellStyle name="40% - Accent1 4 4" xfId="11481"/>
    <cellStyle name="40% - Accent1 4_10-15-10-Stmt AU - Period I - Working 1 0" xfId="200"/>
    <cellStyle name="40% - Accent1 5" xfId="201"/>
    <cellStyle name="40% - Accent1 5 2" xfId="202"/>
    <cellStyle name="40% - Accent1 5 2 2" xfId="11485"/>
    <cellStyle name="40% - Accent1 5 3" xfId="203"/>
    <cellStyle name="40% - Accent1 5 3 2" xfId="11486"/>
    <cellStyle name="40% - Accent1 5 4" xfId="11484"/>
    <cellStyle name="40% - Accent1 5_10-15-10-Stmt AU - Period I - Working 1 0" xfId="204"/>
    <cellStyle name="40% - Accent1 6" xfId="205"/>
    <cellStyle name="40% - Accent1 6 2" xfId="206"/>
    <cellStyle name="40% - Accent1 6 2 2" xfId="11488"/>
    <cellStyle name="40% - Accent1 6 3" xfId="207"/>
    <cellStyle name="40% - Accent1 6 3 2" xfId="11489"/>
    <cellStyle name="40% - Accent1 6 4" xfId="11487"/>
    <cellStyle name="40% - Accent1 6_10-15-10-Stmt AU - Period I - Working 1 0" xfId="208"/>
    <cellStyle name="40% - Accent1 7" xfId="209"/>
    <cellStyle name="40% - Accent1 7 2" xfId="210"/>
    <cellStyle name="40% - Accent1 7 2 2" xfId="11491"/>
    <cellStyle name="40% - Accent1 7 3" xfId="211"/>
    <cellStyle name="40% - Accent1 7 3 2" xfId="11492"/>
    <cellStyle name="40% - Accent1 7 4" xfId="11490"/>
    <cellStyle name="40% - Accent1 7_10-15-10-Stmt AU - Period I - Working 1 0" xfId="212"/>
    <cellStyle name="40% - Accent1 8" xfId="213"/>
    <cellStyle name="40% - Accent1 8 2" xfId="11493"/>
    <cellStyle name="40% - Accent1 9" xfId="214"/>
    <cellStyle name="40% - Accent1 9 2" xfId="11494"/>
    <cellStyle name="40% - Accent2 10" xfId="215"/>
    <cellStyle name="40% - Accent2 10 2" xfId="11495"/>
    <cellStyle name="40% - Accent2 11" xfId="216"/>
    <cellStyle name="40% - Accent2 11 2" xfId="11496"/>
    <cellStyle name="40% - Accent2 12" xfId="217"/>
    <cellStyle name="40% - Accent2 12 2" xfId="11497"/>
    <cellStyle name="40% - Accent2 13" xfId="218"/>
    <cellStyle name="40% - Accent2 13 2" xfId="11498"/>
    <cellStyle name="40% - Accent2 14" xfId="11290"/>
    <cellStyle name="40% - Accent2 2" xfId="219"/>
    <cellStyle name="40% - Accent2 2 2" xfId="220"/>
    <cellStyle name="40% - Accent2 2 2 2" xfId="11500"/>
    <cellStyle name="40% - Accent2 2 3" xfId="221"/>
    <cellStyle name="40% - Accent2 2 3 2" xfId="11501"/>
    <cellStyle name="40% - Accent2 2 4" xfId="11499"/>
    <cellStyle name="40% - Accent2 2_10-15-10-Stmt AU - Period I - Working 1 0" xfId="222"/>
    <cellStyle name="40% - Accent2 3" xfId="223"/>
    <cellStyle name="40% - Accent2 3 2" xfId="224"/>
    <cellStyle name="40% - Accent2 3 2 2" xfId="11503"/>
    <cellStyle name="40% - Accent2 3 3" xfId="225"/>
    <cellStyle name="40% - Accent2 3 3 2" xfId="11504"/>
    <cellStyle name="40% - Accent2 3 4" xfId="11502"/>
    <cellStyle name="40% - Accent2 3_10-15-10-Stmt AU - Period I - Working 1 0" xfId="226"/>
    <cellStyle name="40% - Accent2 4" xfId="227"/>
    <cellStyle name="40% - Accent2 4 2" xfId="228"/>
    <cellStyle name="40% - Accent2 4 2 2" xfId="11506"/>
    <cellStyle name="40% - Accent2 4 3" xfId="229"/>
    <cellStyle name="40% - Accent2 4 3 2" xfId="11507"/>
    <cellStyle name="40% - Accent2 4 4" xfId="11505"/>
    <cellStyle name="40% - Accent2 4_10-15-10-Stmt AU - Period I - Working 1 0" xfId="230"/>
    <cellStyle name="40% - Accent2 5" xfId="231"/>
    <cellStyle name="40% - Accent2 5 2" xfId="232"/>
    <cellStyle name="40% - Accent2 5 2 2" xfId="11509"/>
    <cellStyle name="40% - Accent2 5 3" xfId="233"/>
    <cellStyle name="40% - Accent2 5 3 2" xfId="11510"/>
    <cellStyle name="40% - Accent2 5 4" xfId="11508"/>
    <cellStyle name="40% - Accent2 5_10-15-10-Stmt AU - Period I - Working 1 0" xfId="234"/>
    <cellStyle name="40% - Accent2 6" xfId="235"/>
    <cellStyle name="40% - Accent2 6 2" xfId="236"/>
    <cellStyle name="40% - Accent2 6 2 2" xfId="11512"/>
    <cellStyle name="40% - Accent2 6 3" xfId="237"/>
    <cellStyle name="40% - Accent2 6 3 2" xfId="11513"/>
    <cellStyle name="40% - Accent2 6 4" xfId="11511"/>
    <cellStyle name="40% - Accent2 6_10-15-10-Stmt AU - Period I - Working 1 0" xfId="238"/>
    <cellStyle name="40% - Accent2 7" xfId="239"/>
    <cellStyle name="40% - Accent2 7 2" xfId="240"/>
    <cellStyle name="40% - Accent2 7 2 2" xfId="11515"/>
    <cellStyle name="40% - Accent2 7 3" xfId="241"/>
    <cellStyle name="40% - Accent2 7 3 2" xfId="11516"/>
    <cellStyle name="40% - Accent2 7 4" xfId="11514"/>
    <cellStyle name="40% - Accent2 7_10-15-10-Stmt AU - Period I - Working 1 0" xfId="242"/>
    <cellStyle name="40% - Accent2 8" xfId="243"/>
    <cellStyle name="40% - Accent2 8 2" xfId="11517"/>
    <cellStyle name="40% - Accent2 9" xfId="244"/>
    <cellStyle name="40% - Accent2 9 2" xfId="11518"/>
    <cellStyle name="40% - Accent3 10" xfId="245"/>
    <cellStyle name="40% - Accent3 10 2" xfId="11519"/>
    <cellStyle name="40% - Accent3 11" xfId="246"/>
    <cellStyle name="40% - Accent3 11 2" xfId="11520"/>
    <cellStyle name="40% - Accent3 12" xfId="247"/>
    <cellStyle name="40% - Accent3 12 2" xfId="11521"/>
    <cellStyle name="40% - Accent3 13" xfId="248"/>
    <cellStyle name="40% - Accent3 13 2" xfId="11522"/>
    <cellStyle name="40% - Accent3 14" xfId="11291"/>
    <cellStyle name="40% - Accent3 2" xfId="249"/>
    <cellStyle name="40% - Accent3 2 2" xfId="250"/>
    <cellStyle name="40% - Accent3 2 2 2" xfId="11524"/>
    <cellStyle name="40% - Accent3 2 3" xfId="251"/>
    <cellStyle name="40% - Accent3 2 3 2" xfId="11525"/>
    <cellStyle name="40% - Accent3 2 4" xfId="11523"/>
    <cellStyle name="40% - Accent3 2_10-15-10-Stmt AU - Period I - Working 1 0" xfId="252"/>
    <cellStyle name="40% - Accent3 3" xfId="253"/>
    <cellStyle name="40% - Accent3 3 2" xfId="254"/>
    <cellStyle name="40% - Accent3 3 2 2" xfId="11527"/>
    <cellStyle name="40% - Accent3 3 3" xfId="255"/>
    <cellStyle name="40% - Accent3 3 3 2" xfId="11528"/>
    <cellStyle name="40% - Accent3 3 4" xfId="11526"/>
    <cellStyle name="40% - Accent3 3_10-15-10-Stmt AU - Period I - Working 1 0" xfId="256"/>
    <cellStyle name="40% - Accent3 4" xfId="257"/>
    <cellStyle name="40% - Accent3 4 2" xfId="258"/>
    <cellStyle name="40% - Accent3 4 2 2" xfId="11530"/>
    <cellStyle name="40% - Accent3 4 3" xfId="259"/>
    <cellStyle name="40% - Accent3 4 3 2" xfId="11531"/>
    <cellStyle name="40% - Accent3 4 4" xfId="11529"/>
    <cellStyle name="40% - Accent3 4_10-15-10-Stmt AU - Period I - Working 1 0" xfId="260"/>
    <cellStyle name="40% - Accent3 5" xfId="261"/>
    <cellStyle name="40% - Accent3 5 2" xfId="262"/>
    <cellStyle name="40% - Accent3 5 2 2" xfId="11533"/>
    <cellStyle name="40% - Accent3 5 3" xfId="263"/>
    <cellStyle name="40% - Accent3 5 3 2" xfId="11534"/>
    <cellStyle name="40% - Accent3 5 4" xfId="11532"/>
    <cellStyle name="40% - Accent3 5_10-15-10-Stmt AU - Period I - Working 1 0" xfId="264"/>
    <cellStyle name="40% - Accent3 6" xfId="265"/>
    <cellStyle name="40% - Accent3 6 2" xfId="266"/>
    <cellStyle name="40% - Accent3 6 2 2" xfId="11536"/>
    <cellStyle name="40% - Accent3 6 3" xfId="267"/>
    <cellStyle name="40% - Accent3 6 3 2" xfId="11537"/>
    <cellStyle name="40% - Accent3 6 4" xfId="11535"/>
    <cellStyle name="40% - Accent3 6_10-15-10-Stmt AU - Period I - Working 1 0" xfId="268"/>
    <cellStyle name="40% - Accent3 7" xfId="269"/>
    <cellStyle name="40% - Accent3 7 2" xfId="270"/>
    <cellStyle name="40% - Accent3 7 2 2" xfId="11539"/>
    <cellStyle name="40% - Accent3 7 3" xfId="271"/>
    <cellStyle name="40% - Accent3 7 3 2" xfId="11540"/>
    <cellStyle name="40% - Accent3 7 4" xfId="11538"/>
    <cellStyle name="40% - Accent3 7_10-15-10-Stmt AU - Period I - Working 1 0" xfId="272"/>
    <cellStyle name="40% - Accent3 8" xfId="273"/>
    <cellStyle name="40% - Accent3 8 2" xfId="11541"/>
    <cellStyle name="40% - Accent3 9" xfId="274"/>
    <cellStyle name="40% - Accent3 9 2" xfId="11542"/>
    <cellStyle name="40% - Accent4 10" xfId="275"/>
    <cellStyle name="40% - Accent4 10 2" xfId="11543"/>
    <cellStyle name="40% - Accent4 11" xfId="276"/>
    <cellStyle name="40% - Accent4 11 2" xfId="11544"/>
    <cellStyle name="40% - Accent4 12" xfId="277"/>
    <cellStyle name="40% - Accent4 12 2" xfId="11545"/>
    <cellStyle name="40% - Accent4 13" xfId="278"/>
    <cellStyle name="40% - Accent4 13 2" xfId="11546"/>
    <cellStyle name="40% - Accent4 14" xfId="11292"/>
    <cellStyle name="40% - Accent4 2" xfId="279"/>
    <cellStyle name="40% - Accent4 2 2" xfId="280"/>
    <cellStyle name="40% - Accent4 2 2 2" xfId="11548"/>
    <cellStyle name="40% - Accent4 2 3" xfId="281"/>
    <cellStyle name="40% - Accent4 2 3 2" xfId="11549"/>
    <cellStyle name="40% - Accent4 2 4" xfId="11547"/>
    <cellStyle name="40% - Accent4 2_10-15-10-Stmt AU - Period I - Working 1 0" xfId="282"/>
    <cellStyle name="40% - Accent4 3" xfId="283"/>
    <cellStyle name="40% - Accent4 3 2" xfId="284"/>
    <cellStyle name="40% - Accent4 3 2 2" xfId="11551"/>
    <cellStyle name="40% - Accent4 3 3" xfId="285"/>
    <cellStyle name="40% - Accent4 3 3 2" xfId="11552"/>
    <cellStyle name="40% - Accent4 3 4" xfId="11550"/>
    <cellStyle name="40% - Accent4 3_10-15-10-Stmt AU - Period I - Working 1 0" xfId="286"/>
    <cellStyle name="40% - Accent4 4" xfId="287"/>
    <cellStyle name="40% - Accent4 4 2" xfId="288"/>
    <cellStyle name="40% - Accent4 4 2 2" xfId="11554"/>
    <cellStyle name="40% - Accent4 4 3" xfId="289"/>
    <cellStyle name="40% - Accent4 4 3 2" xfId="11555"/>
    <cellStyle name="40% - Accent4 4 4" xfId="11553"/>
    <cellStyle name="40% - Accent4 4_10-15-10-Stmt AU - Period I - Working 1 0" xfId="290"/>
    <cellStyle name="40% - Accent4 5" xfId="291"/>
    <cellStyle name="40% - Accent4 5 2" xfId="292"/>
    <cellStyle name="40% - Accent4 5 2 2" xfId="11557"/>
    <cellStyle name="40% - Accent4 5 3" xfId="293"/>
    <cellStyle name="40% - Accent4 5 3 2" xfId="11558"/>
    <cellStyle name="40% - Accent4 5 4" xfId="11556"/>
    <cellStyle name="40% - Accent4 5_10-15-10-Stmt AU - Period I - Working 1 0" xfId="294"/>
    <cellStyle name="40% - Accent4 6" xfId="295"/>
    <cellStyle name="40% - Accent4 6 2" xfId="296"/>
    <cellStyle name="40% - Accent4 6 2 2" xfId="11560"/>
    <cellStyle name="40% - Accent4 6 3" xfId="297"/>
    <cellStyle name="40% - Accent4 6 3 2" xfId="11561"/>
    <cellStyle name="40% - Accent4 6 4" xfId="11559"/>
    <cellStyle name="40% - Accent4 6_10-15-10-Stmt AU - Period I - Working 1 0" xfId="298"/>
    <cellStyle name="40% - Accent4 7" xfId="299"/>
    <cellStyle name="40% - Accent4 7 2" xfId="300"/>
    <cellStyle name="40% - Accent4 7 2 2" xfId="11563"/>
    <cellStyle name="40% - Accent4 7 3" xfId="301"/>
    <cellStyle name="40% - Accent4 7 3 2" xfId="11564"/>
    <cellStyle name="40% - Accent4 7 4" xfId="11562"/>
    <cellStyle name="40% - Accent4 7_10-15-10-Stmt AU - Period I - Working 1 0" xfId="302"/>
    <cellStyle name="40% - Accent4 8" xfId="303"/>
    <cellStyle name="40% - Accent4 8 2" xfId="11565"/>
    <cellStyle name="40% - Accent4 9" xfId="304"/>
    <cellStyle name="40% - Accent4 9 2" xfId="11566"/>
    <cellStyle name="40% - Accent5 10" xfId="305"/>
    <cellStyle name="40% - Accent5 10 2" xfId="11567"/>
    <cellStyle name="40% - Accent5 11" xfId="306"/>
    <cellStyle name="40% - Accent5 11 2" xfId="11568"/>
    <cellStyle name="40% - Accent5 12" xfId="307"/>
    <cellStyle name="40% - Accent5 12 2" xfId="11569"/>
    <cellStyle name="40% - Accent5 13" xfId="308"/>
    <cellStyle name="40% - Accent5 13 2" xfId="11570"/>
    <cellStyle name="40% - Accent5 14" xfId="11293"/>
    <cellStyle name="40% - Accent5 2" xfId="309"/>
    <cellStyle name="40% - Accent5 2 2" xfId="310"/>
    <cellStyle name="40% - Accent5 2 2 2" xfId="11572"/>
    <cellStyle name="40% - Accent5 2 3" xfId="311"/>
    <cellStyle name="40% - Accent5 2 3 2" xfId="11573"/>
    <cellStyle name="40% - Accent5 2 4" xfId="11571"/>
    <cellStyle name="40% - Accent5 2_10-15-10-Stmt AU - Period I - Working 1 0" xfId="312"/>
    <cellStyle name="40% - Accent5 3" xfId="313"/>
    <cellStyle name="40% - Accent5 3 2" xfId="314"/>
    <cellStyle name="40% - Accent5 3 2 2" xfId="11575"/>
    <cellStyle name="40% - Accent5 3 3" xfId="315"/>
    <cellStyle name="40% - Accent5 3 3 2" xfId="11576"/>
    <cellStyle name="40% - Accent5 3 4" xfId="11574"/>
    <cellStyle name="40% - Accent5 3_10-15-10-Stmt AU - Period I - Working 1 0" xfId="316"/>
    <cellStyle name="40% - Accent5 4" xfId="317"/>
    <cellStyle name="40% - Accent5 4 2" xfId="318"/>
    <cellStyle name="40% - Accent5 4 2 2" xfId="11578"/>
    <cellStyle name="40% - Accent5 4 3" xfId="319"/>
    <cellStyle name="40% - Accent5 4 3 2" xfId="11579"/>
    <cellStyle name="40% - Accent5 4 4" xfId="11577"/>
    <cellStyle name="40% - Accent5 4_10-15-10-Stmt AU - Period I - Working 1 0" xfId="320"/>
    <cellStyle name="40% - Accent5 5" xfId="321"/>
    <cellStyle name="40% - Accent5 5 2" xfId="322"/>
    <cellStyle name="40% - Accent5 5 2 2" xfId="11581"/>
    <cellStyle name="40% - Accent5 5 3" xfId="323"/>
    <cellStyle name="40% - Accent5 5 3 2" xfId="11582"/>
    <cellStyle name="40% - Accent5 5 4" xfId="11580"/>
    <cellStyle name="40% - Accent5 5_10-15-10-Stmt AU - Period I - Working 1 0" xfId="324"/>
    <cellStyle name="40% - Accent5 6" xfId="325"/>
    <cellStyle name="40% - Accent5 6 2" xfId="326"/>
    <cellStyle name="40% - Accent5 6 2 2" xfId="11584"/>
    <cellStyle name="40% - Accent5 6 3" xfId="327"/>
    <cellStyle name="40% - Accent5 6 3 2" xfId="11585"/>
    <cellStyle name="40% - Accent5 6 4" xfId="11583"/>
    <cellStyle name="40% - Accent5 6_10-15-10-Stmt AU - Period I - Working 1 0" xfId="328"/>
    <cellStyle name="40% - Accent5 7" xfId="329"/>
    <cellStyle name="40% - Accent5 7 2" xfId="330"/>
    <cellStyle name="40% - Accent5 7 2 2" xfId="11587"/>
    <cellStyle name="40% - Accent5 7 3" xfId="331"/>
    <cellStyle name="40% - Accent5 7 3 2" xfId="11588"/>
    <cellStyle name="40% - Accent5 7 4" xfId="11586"/>
    <cellStyle name="40% - Accent5 7_10-15-10-Stmt AU - Period I - Working 1 0" xfId="332"/>
    <cellStyle name="40% - Accent5 8" xfId="333"/>
    <cellStyle name="40% - Accent5 8 2" xfId="11589"/>
    <cellStyle name="40% - Accent5 9" xfId="334"/>
    <cellStyle name="40% - Accent5 9 2" xfId="11590"/>
    <cellStyle name="40% - Accent6 10" xfId="335"/>
    <cellStyle name="40% - Accent6 10 2" xfId="11591"/>
    <cellStyle name="40% - Accent6 11" xfId="336"/>
    <cellStyle name="40% - Accent6 11 2" xfId="11592"/>
    <cellStyle name="40% - Accent6 12" xfId="337"/>
    <cellStyle name="40% - Accent6 12 2" xfId="11593"/>
    <cellStyle name="40% - Accent6 13" xfId="338"/>
    <cellStyle name="40% - Accent6 13 2" xfId="11594"/>
    <cellStyle name="40% - Accent6 14" xfId="11294"/>
    <cellStyle name="40% - Accent6 2" xfId="339"/>
    <cellStyle name="40% - Accent6 2 2" xfId="340"/>
    <cellStyle name="40% - Accent6 2 2 2" xfId="11596"/>
    <cellStyle name="40% - Accent6 2 3" xfId="341"/>
    <cellStyle name="40% - Accent6 2 3 2" xfId="11597"/>
    <cellStyle name="40% - Accent6 2 4" xfId="11595"/>
    <cellStyle name="40% - Accent6 2_10-15-10-Stmt AU - Period I - Working 1 0" xfId="342"/>
    <cellStyle name="40% - Accent6 3" xfId="343"/>
    <cellStyle name="40% - Accent6 3 2" xfId="344"/>
    <cellStyle name="40% - Accent6 3 2 2" xfId="11599"/>
    <cellStyle name="40% - Accent6 3 3" xfId="345"/>
    <cellStyle name="40% - Accent6 3 3 2" xfId="11600"/>
    <cellStyle name="40% - Accent6 3 4" xfId="11598"/>
    <cellStyle name="40% - Accent6 3_10-15-10-Stmt AU - Period I - Working 1 0" xfId="346"/>
    <cellStyle name="40% - Accent6 4" xfId="347"/>
    <cellStyle name="40% - Accent6 4 2" xfId="348"/>
    <cellStyle name="40% - Accent6 4 2 2" xfId="11602"/>
    <cellStyle name="40% - Accent6 4 3" xfId="349"/>
    <cellStyle name="40% - Accent6 4 3 2" xfId="11603"/>
    <cellStyle name="40% - Accent6 4 4" xfId="11601"/>
    <cellStyle name="40% - Accent6 4_10-15-10-Stmt AU - Period I - Working 1 0" xfId="350"/>
    <cellStyle name="40% - Accent6 5" xfId="351"/>
    <cellStyle name="40% - Accent6 5 2" xfId="352"/>
    <cellStyle name="40% - Accent6 5 2 2" xfId="11605"/>
    <cellStyle name="40% - Accent6 5 3" xfId="353"/>
    <cellStyle name="40% - Accent6 5 3 2" xfId="11606"/>
    <cellStyle name="40% - Accent6 5 4" xfId="11604"/>
    <cellStyle name="40% - Accent6 5_10-15-10-Stmt AU - Period I - Working 1 0" xfId="354"/>
    <cellStyle name="40% - Accent6 6" xfId="355"/>
    <cellStyle name="40% - Accent6 6 2" xfId="356"/>
    <cellStyle name="40% - Accent6 6 2 2" xfId="11608"/>
    <cellStyle name="40% - Accent6 6 3" xfId="357"/>
    <cellStyle name="40% - Accent6 6 3 2" xfId="11609"/>
    <cellStyle name="40% - Accent6 6 4" xfId="11607"/>
    <cellStyle name="40% - Accent6 6_10-15-10-Stmt AU - Period I - Working 1 0" xfId="358"/>
    <cellStyle name="40% - Accent6 7" xfId="359"/>
    <cellStyle name="40% - Accent6 7 2" xfId="360"/>
    <cellStyle name="40% - Accent6 7 2 2" xfId="11611"/>
    <cellStyle name="40% - Accent6 7 3" xfId="361"/>
    <cellStyle name="40% - Accent6 7 3 2" xfId="11612"/>
    <cellStyle name="40% - Accent6 7 4" xfId="11610"/>
    <cellStyle name="40% - Accent6 7_10-15-10-Stmt AU - Period I - Working 1 0" xfId="362"/>
    <cellStyle name="40% - Accent6 8" xfId="363"/>
    <cellStyle name="40% - Accent6 8 2" xfId="11613"/>
    <cellStyle name="40% - Accent6 9" xfId="364"/>
    <cellStyle name="40% - Accent6 9 2" xfId="11614"/>
    <cellStyle name="60% - Accent1 2" xfId="365"/>
    <cellStyle name="60% - Accent2 2" xfId="366"/>
    <cellStyle name="60% - Accent3 2" xfId="367"/>
    <cellStyle name="60% - Accent4 2" xfId="368"/>
    <cellStyle name="60% - Accent5 2" xfId="369"/>
    <cellStyle name="60% - Accent6 2" xfId="370"/>
    <cellStyle name="Accent1 2" xfId="371"/>
    <cellStyle name="Accent2 2" xfId="372"/>
    <cellStyle name="Accent3 2" xfId="373"/>
    <cellStyle name="Accent4 2" xfId="374"/>
    <cellStyle name="Accent5 2" xfId="375"/>
    <cellStyle name="Accent6 2" xfId="376"/>
    <cellStyle name="Bad 2" xfId="377"/>
    <cellStyle name="Body" xfId="378"/>
    <cellStyle name="Calculation 2" xfId="379"/>
    <cellStyle name="Calculation 2 10" xfId="754"/>
    <cellStyle name="Calculation 2 10 2" xfId="755"/>
    <cellStyle name="Calculation 2 11" xfId="756"/>
    <cellStyle name="Calculation 2 11 2" xfId="757"/>
    <cellStyle name="Calculation 2 12" xfId="758"/>
    <cellStyle name="Calculation 2 12 2" xfId="759"/>
    <cellStyle name="Calculation 2 13" xfId="760"/>
    <cellStyle name="Calculation 2 13 2" xfId="761"/>
    <cellStyle name="Calculation 2 14" xfId="762"/>
    <cellStyle name="Calculation 2 14 2" xfId="763"/>
    <cellStyle name="Calculation 2 15" xfId="764"/>
    <cellStyle name="Calculation 2 15 2" xfId="765"/>
    <cellStyle name="Calculation 2 16" xfId="766"/>
    <cellStyle name="Calculation 2 2" xfId="767"/>
    <cellStyle name="Calculation 2 2 10" xfId="768"/>
    <cellStyle name="Calculation 2 2 10 2" xfId="769"/>
    <cellStyle name="Calculation 2 2 11" xfId="770"/>
    <cellStyle name="Calculation 2 2 2" xfId="771"/>
    <cellStyle name="Calculation 2 2 2 2" xfId="772"/>
    <cellStyle name="Calculation 2 2 2 2 2" xfId="773"/>
    <cellStyle name="Calculation 2 2 2 3" xfId="774"/>
    <cellStyle name="Calculation 2 2 3" xfId="775"/>
    <cellStyle name="Calculation 2 2 3 2" xfId="776"/>
    <cellStyle name="Calculation 2 2 4" xfId="777"/>
    <cellStyle name="Calculation 2 2 4 2" xfId="778"/>
    <cellStyle name="Calculation 2 2 5" xfId="779"/>
    <cellStyle name="Calculation 2 2 5 2" xfId="780"/>
    <cellStyle name="Calculation 2 2 6" xfId="781"/>
    <cellStyle name="Calculation 2 2 6 2" xfId="782"/>
    <cellStyle name="Calculation 2 2 7" xfId="783"/>
    <cellStyle name="Calculation 2 2 7 2" xfId="784"/>
    <cellStyle name="Calculation 2 2 8" xfId="785"/>
    <cellStyle name="Calculation 2 2 8 2" xfId="786"/>
    <cellStyle name="Calculation 2 2 9" xfId="787"/>
    <cellStyle name="Calculation 2 2 9 2" xfId="788"/>
    <cellStyle name="Calculation 2 3" xfId="789"/>
    <cellStyle name="Calculation 2 3 10" xfId="790"/>
    <cellStyle name="Calculation 2 3 10 2" xfId="791"/>
    <cellStyle name="Calculation 2 3 11" xfId="792"/>
    <cellStyle name="Calculation 2 3 2" xfId="793"/>
    <cellStyle name="Calculation 2 3 2 2" xfId="794"/>
    <cellStyle name="Calculation 2 3 2 2 2" xfId="795"/>
    <cellStyle name="Calculation 2 3 2 3" xfId="796"/>
    <cellStyle name="Calculation 2 3 3" xfId="797"/>
    <cellStyle name="Calculation 2 3 3 2" xfId="798"/>
    <cellStyle name="Calculation 2 3 4" xfId="799"/>
    <cellStyle name="Calculation 2 3 4 2" xfId="800"/>
    <cellStyle name="Calculation 2 3 5" xfId="801"/>
    <cellStyle name="Calculation 2 3 5 2" xfId="802"/>
    <cellStyle name="Calculation 2 3 6" xfId="803"/>
    <cellStyle name="Calculation 2 3 6 2" xfId="804"/>
    <cellStyle name="Calculation 2 3 7" xfId="805"/>
    <cellStyle name="Calculation 2 3 7 2" xfId="806"/>
    <cellStyle name="Calculation 2 3 8" xfId="807"/>
    <cellStyle name="Calculation 2 3 8 2" xfId="808"/>
    <cellStyle name="Calculation 2 3 9" xfId="809"/>
    <cellStyle name="Calculation 2 3 9 2" xfId="810"/>
    <cellStyle name="Calculation 2 4" xfId="811"/>
    <cellStyle name="Calculation 2 4 10" xfId="812"/>
    <cellStyle name="Calculation 2 4 10 2" xfId="813"/>
    <cellStyle name="Calculation 2 4 11" xfId="814"/>
    <cellStyle name="Calculation 2 4 2" xfId="815"/>
    <cellStyle name="Calculation 2 4 2 2" xfId="816"/>
    <cellStyle name="Calculation 2 4 2 2 2" xfId="817"/>
    <cellStyle name="Calculation 2 4 2 3" xfId="818"/>
    <cellStyle name="Calculation 2 4 3" xfId="819"/>
    <cellStyle name="Calculation 2 4 3 2" xfId="820"/>
    <cellStyle name="Calculation 2 4 4" xfId="821"/>
    <cellStyle name="Calculation 2 4 4 2" xfId="822"/>
    <cellStyle name="Calculation 2 4 5" xfId="823"/>
    <cellStyle name="Calculation 2 4 5 2" xfId="824"/>
    <cellStyle name="Calculation 2 4 6" xfId="825"/>
    <cellStyle name="Calculation 2 4 6 2" xfId="826"/>
    <cellStyle name="Calculation 2 4 7" xfId="827"/>
    <cellStyle name="Calculation 2 4 7 2" xfId="828"/>
    <cellStyle name="Calculation 2 4 8" xfId="829"/>
    <cellStyle name="Calculation 2 4 8 2" xfId="830"/>
    <cellStyle name="Calculation 2 4 9" xfId="831"/>
    <cellStyle name="Calculation 2 4 9 2" xfId="832"/>
    <cellStyle name="Calculation 2 5" xfId="833"/>
    <cellStyle name="Calculation 2 5 10" xfId="834"/>
    <cellStyle name="Calculation 2 5 10 2" xfId="835"/>
    <cellStyle name="Calculation 2 5 11" xfId="836"/>
    <cellStyle name="Calculation 2 5 2" xfId="837"/>
    <cellStyle name="Calculation 2 5 2 2" xfId="838"/>
    <cellStyle name="Calculation 2 5 2 2 2" xfId="839"/>
    <cellStyle name="Calculation 2 5 2 3" xfId="840"/>
    <cellStyle name="Calculation 2 5 3" xfId="841"/>
    <cellStyle name="Calculation 2 5 3 2" xfId="842"/>
    <cellStyle name="Calculation 2 5 4" xfId="843"/>
    <cellStyle name="Calculation 2 5 4 2" xfId="844"/>
    <cellStyle name="Calculation 2 5 5" xfId="845"/>
    <cellStyle name="Calculation 2 5 5 2" xfId="846"/>
    <cellStyle name="Calculation 2 5 6" xfId="847"/>
    <cellStyle name="Calculation 2 5 6 2" xfId="848"/>
    <cellStyle name="Calculation 2 5 7" xfId="849"/>
    <cellStyle name="Calculation 2 5 7 2" xfId="850"/>
    <cellStyle name="Calculation 2 5 8" xfId="851"/>
    <cellStyle name="Calculation 2 5 8 2" xfId="852"/>
    <cellStyle name="Calculation 2 5 9" xfId="853"/>
    <cellStyle name="Calculation 2 5 9 2" xfId="854"/>
    <cellStyle name="Calculation 2 6" xfId="855"/>
    <cellStyle name="Calculation 2 6 10" xfId="856"/>
    <cellStyle name="Calculation 2 6 10 2" xfId="857"/>
    <cellStyle name="Calculation 2 6 11" xfId="858"/>
    <cellStyle name="Calculation 2 6 2" xfId="859"/>
    <cellStyle name="Calculation 2 6 2 2" xfId="860"/>
    <cellStyle name="Calculation 2 6 2 2 2" xfId="861"/>
    <cellStyle name="Calculation 2 6 2 3" xfId="862"/>
    <cellStyle name="Calculation 2 6 3" xfId="863"/>
    <cellStyle name="Calculation 2 6 3 2" xfId="864"/>
    <cellStyle name="Calculation 2 6 4" xfId="865"/>
    <cellStyle name="Calculation 2 6 4 2" xfId="866"/>
    <cellStyle name="Calculation 2 6 5" xfId="867"/>
    <cellStyle name="Calculation 2 6 5 2" xfId="868"/>
    <cellStyle name="Calculation 2 6 6" xfId="869"/>
    <cellStyle name="Calculation 2 6 6 2" xfId="870"/>
    <cellStyle name="Calculation 2 6 7" xfId="871"/>
    <cellStyle name="Calculation 2 6 7 2" xfId="872"/>
    <cellStyle name="Calculation 2 6 8" xfId="873"/>
    <cellStyle name="Calculation 2 6 8 2" xfId="874"/>
    <cellStyle name="Calculation 2 6 9" xfId="875"/>
    <cellStyle name="Calculation 2 6 9 2" xfId="876"/>
    <cellStyle name="Calculation 2 7" xfId="877"/>
    <cellStyle name="Calculation 2 7 2" xfId="878"/>
    <cellStyle name="Calculation 2 7 2 2" xfId="879"/>
    <cellStyle name="Calculation 2 7 3" xfId="880"/>
    <cellStyle name="Calculation 2 8" xfId="881"/>
    <cellStyle name="Calculation 2 8 2" xfId="882"/>
    <cellStyle name="Calculation 2 9" xfId="883"/>
    <cellStyle name="Calculation 2 9 2" xfId="884"/>
    <cellStyle name="Check Cell 2" xfId="380"/>
    <cellStyle name="Column.Head" xfId="381"/>
    <cellStyle name="Comma" xfId="382" builtinId="3"/>
    <cellStyle name="Comma  - Style1" xfId="383"/>
    <cellStyle name="Comma  - Style2" xfId="384"/>
    <cellStyle name="Comma  - Style3" xfId="385"/>
    <cellStyle name="Comma  - Style4" xfId="386"/>
    <cellStyle name="Comma  - Style5" xfId="387"/>
    <cellStyle name="Comma  - Style6" xfId="388"/>
    <cellStyle name="Comma  - Style7" xfId="389"/>
    <cellStyle name="Comma  - Style8" xfId="390"/>
    <cellStyle name="Comma [0] 2" xfId="391"/>
    <cellStyle name="Comma [0] 2 2" xfId="392"/>
    <cellStyle name="Comma [0] 3" xfId="885"/>
    <cellStyle name="Comma 10" xfId="393"/>
    <cellStyle name="Comma 10 2" xfId="394"/>
    <cellStyle name="Comma 11" xfId="395"/>
    <cellStyle name="Comma 11 2" xfId="396"/>
    <cellStyle name="Comma 12" xfId="397"/>
    <cellStyle name="Comma 12 2" xfId="398"/>
    <cellStyle name="Comma 12 3" xfId="886"/>
    <cellStyle name="Comma 12 3 2" xfId="11645"/>
    <cellStyle name="Comma 12 3 2 2" xfId="19670"/>
    <cellStyle name="Comma 12 3 2 2 2" xfId="33695"/>
    <cellStyle name="Comma 12 3 2 2 2 2" xfId="37703"/>
    <cellStyle name="Comma 12 3 2 3" xfId="25684"/>
    <cellStyle name="Comma 12 3 3" xfId="13660"/>
    <cellStyle name="Comma 12 3 3 2" xfId="21675"/>
    <cellStyle name="Comma 12 3 3 2 2" xfId="35700"/>
    <cellStyle name="Comma 12 3 3 3" xfId="27689"/>
    <cellStyle name="Comma 12 3 4" xfId="15666"/>
    <cellStyle name="Comma 12 3 4 2" xfId="29691"/>
    <cellStyle name="Comma 12 3 5" xfId="17668"/>
    <cellStyle name="Comma 12 3 5 2" xfId="31693"/>
    <cellStyle name="Comma 12 3 6" xfId="23682"/>
    <cellStyle name="Comma 13" xfId="399"/>
    <cellStyle name="Comma 13 2" xfId="400"/>
    <cellStyle name="Comma 14" xfId="401"/>
    <cellStyle name="Comma 14 2" xfId="887"/>
    <cellStyle name="Comma 14 2 10" xfId="17669"/>
    <cellStyle name="Comma 14 2 10 2" xfId="31694"/>
    <cellStyle name="Comma 14 2 11" xfId="23683"/>
    <cellStyle name="Comma 14 2 2" xfId="888"/>
    <cellStyle name="Comma 14 2 2 10" xfId="23684"/>
    <cellStyle name="Comma 14 2 2 2" xfId="889"/>
    <cellStyle name="Comma 14 2 2 2 2" xfId="890"/>
    <cellStyle name="Comma 14 2 2 2 2 2" xfId="891"/>
    <cellStyle name="Comma 14 2 2 2 2 2 2" xfId="11650"/>
    <cellStyle name="Comma 14 2 2 2 2 2 2 2" xfId="19675"/>
    <cellStyle name="Comma 14 2 2 2 2 2 2 2 2" xfId="33700"/>
    <cellStyle name="Comma 14 2 2 2 2 2 2 3" xfId="25689"/>
    <cellStyle name="Comma 14 2 2 2 2 2 3" xfId="13665"/>
    <cellStyle name="Comma 14 2 2 2 2 2 3 2" xfId="21680"/>
    <cellStyle name="Comma 14 2 2 2 2 2 3 2 2" xfId="35705"/>
    <cellStyle name="Comma 14 2 2 2 2 2 3 3" xfId="27694"/>
    <cellStyle name="Comma 14 2 2 2 2 2 4" xfId="15671"/>
    <cellStyle name="Comma 14 2 2 2 2 2 4 2" xfId="29696"/>
    <cellStyle name="Comma 14 2 2 2 2 2 5" xfId="17673"/>
    <cellStyle name="Comma 14 2 2 2 2 2 5 2" xfId="31698"/>
    <cellStyle name="Comma 14 2 2 2 2 2 6" xfId="23687"/>
    <cellStyle name="Comma 14 2 2 2 2 3" xfId="11649"/>
    <cellStyle name="Comma 14 2 2 2 2 3 2" xfId="19674"/>
    <cellStyle name="Comma 14 2 2 2 2 3 2 2" xfId="33699"/>
    <cellStyle name="Comma 14 2 2 2 2 3 3" xfId="25688"/>
    <cellStyle name="Comma 14 2 2 2 2 4" xfId="13664"/>
    <cellStyle name="Comma 14 2 2 2 2 4 2" xfId="21679"/>
    <cellStyle name="Comma 14 2 2 2 2 4 2 2" xfId="35704"/>
    <cellStyle name="Comma 14 2 2 2 2 4 3" xfId="27693"/>
    <cellStyle name="Comma 14 2 2 2 2 5" xfId="15670"/>
    <cellStyle name="Comma 14 2 2 2 2 5 2" xfId="29695"/>
    <cellStyle name="Comma 14 2 2 2 2 6" xfId="17672"/>
    <cellStyle name="Comma 14 2 2 2 2 6 2" xfId="31697"/>
    <cellStyle name="Comma 14 2 2 2 2 7" xfId="23686"/>
    <cellStyle name="Comma 14 2 2 2 3" xfId="892"/>
    <cellStyle name="Comma 14 2 2 2 3 2" xfId="11651"/>
    <cellStyle name="Comma 14 2 2 2 3 2 2" xfId="19676"/>
    <cellStyle name="Comma 14 2 2 2 3 2 2 2" xfId="33701"/>
    <cellStyle name="Comma 14 2 2 2 3 2 3" xfId="25690"/>
    <cellStyle name="Comma 14 2 2 2 3 3" xfId="13666"/>
    <cellStyle name="Comma 14 2 2 2 3 3 2" xfId="21681"/>
    <cellStyle name="Comma 14 2 2 2 3 3 2 2" xfId="35706"/>
    <cellStyle name="Comma 14 2 2 2 3 3 3" xfId="27695"/>
    <cellStyle name="Comma 14 2 2 2 3 4" xfId="15672"/>
    <cellStyle name="Comma 14 2 2 2 3 4 2" xfId="29697"/>
    <cellStyle name="Comma 14 2 2 2 3 5" xfId="17674"/>
    <cellStyle name="Comma 14 2 2 2 3 5 2" xfId="31699"/>
    <cellStyle name="Comma 14 2 2 2 3 6" xfId="23688"/>
    <cellStyle name="Comma 14 2 2 2 4" xfId="11648"/>
    <cellStyle name="Comma 14 2 2 2 4 2" xfId="19673"/>
    <cellStyle name="Comma 14 2 2 2 4 2 2" xfId="33698"/>
    <cellStyle name="Comma 14 2 2 2 4 3" xfId="25687"/>
    <cellStyle name="Comma 14 2 2 2 5" xfId="13663"/>
    <cellStyle name="Comma 14 2 2 2 5 2" xfId="21678"/>
    <cellStyle name="Comma 14 2 2 2 5 2 2" xfId="35703"/>
    <cellStyle name="Comma 14 2 2 2 5 3" xfId="27692"/>
    <cellStyle name="Comma 14 2 2 2 6" xfId="15669"/>
    <cellStyle name="Comma 14 2 2 2 6 2" xfId="29694"/>
    <cellStyle name="Comma 14 2 2 2 7" xfId="17671"/>
    <cellStyle name="Comma 14 2 2 2 7 2" xfId="31696"/>
    <cellStyle name="Comma 14 2 2 2 8" xfId="23685"/>
    <cellStyle name="Comma 14 2 2 3" xfId="893"/>
    <cellStyle name="Comma 14 2 2 3 2" xfId="894"/>
    <cellStyle name="Comma 14 2 2 3 2 2" xfId="11653"/>
    <cellStyle name="Comma 14 2 2 3 2 2 2" xfId="19678"/>
    <cellStyle name="Comma 14 2 2 3 2 2 2 2" xfId="33703"/>
    <cellStyle name="Comma 14 2 2 3 2 2 3" xfId="25692"/>
    <cellStyle name="Comma 14 2 2 3 2 3" xfId="13668"/>
    <cellStyle name="Comma 14 2 2 3 2 3 2" xfId="21683"/>
    <cellStyle name="Comma 14 2 2 3 2 3 2 2" xfId="35708"/>
    <cellStyle name="Comma 14 2 2 3 2 3 3" xfId="27697"/>
    <cellStyle name="Comma 14 2 2 3 2 4" xfId="15674"/>
    <cellStyle name="Comma 14 2 2 3 2 4 2" xfId="29699"/>
    <cellStyle name="Comma 14 2 2 3 2 5" xfId="17676"/>
    <cellStyle name="Comma 14 2 2 3 2 5 2" xfId="31701"/>
    <cellStyle name="Comma 14 2 2 3 2 6" xfId="23690"/>
    <cellStyle name="Comma 14 2 2 3 3" xfId="11652"/>
    <cellStyle name="Comma 14 2 2 3 3 2" xfId="19677"/>
    <cellStyle name="Comma 14 2 2 3 3 2 2" xfId="33702"/>
    <cellStyle name="Comma 14 2 2 3 3 3" xfId="25691"/>
    <cellStyle name="Comma 14 2 2 3 4" xfId="13667"/>
    <cellStyle name="Comma 14 2 2 3 4 2" xfId="21682"/>
    <cellStyle name="Comma 14 2 2 3 4 2 2" xfId="35707"/>
    <cellStyle name="Comma 14 2 2 3 4 3" xfId="27696"/>
    <cellStyle name="Comma 14 2 2 3 5" xfId="15673"/>
    <cellStyle name="Comma 14 2 2 3 5 2" xfId="29698"/>
    <cellStyle name="Comma 14 2 2 3 6" xfId="17675"/>
    <cellStyle name="Comma 14 2 2 3 6 2" xfId="31700"/>
    <cellStyle name="Comma 14 2 2 3 7" xfId="23689"/>
    <cellStyle name="Comma 14 2 2 4" xfId="895"/>
    <cellStyle name="Comma 14 2 2 4 2" xfId="896"/>
    <cellStyle name="Comma 14 2 2 4 2 2" xfId="11655"/>
    <cellStyle name="Comma 14 2 2 4 2 2 2" xfId="19680"/>
    <cellStyle name="Comma 14 2 2 4 2 2 2 2" xfId="33705"/>
    <cellStyle name="Comma 14 2 2 4 2 2 3" xfId="25694"/>
    <cellStyle name="Comma 14 2 2 4 2 3" xfId="13670"/>
    <cellStyle name="Comma 14 2 2 4 2 3 2" xfId="21685"/>
    <cellStyle name="Comma 14 2 2 4 2 3 2 2" xfId="35710"/>
    <cellStyle name="Comma 14 2 2 4 2 3 3" xfId="27699"/>
    <cellStyle name="Comma 14 2 2 4 2 4" xfId="15676"/>
    <cellStyle name="Comma 14 2 2 4 2 4 2" xfId="29701"/>
    <cellStyle name="Comma 14 2 2 4 2 5" xfId="17678"/>
    <cellStyle name="Comma 14 2 2 4 2 5 2" xfId="31703"/>
    <cellStyle name="Comma 14 2 2 4 2 6" xfId="23692"/>
    <cellStyle name="Comma 14 2 2 4 3" xfId="11654"/>
    <cellStyle name="Comma 14 2 2 4 3 2" xfId="19679"/>
    <cellStyle name="Comma 14 2 2 4 3 2 2" xfId="33704"/>
    <cellStyle name="Comma 14 2 2 4 3 3" xfId="25693"/>
    <cellStyle name="Comma 14 2 2 4 4" xfId="13669"/>
    <cellStyle name="Comma 14 2 2 4 4 2" xfId="21684"/>
    <cellStyle name="Comma 14 2 2 4 4 2 2" xfId="35709"/>
    <cellStyle name="Comma 14 2 2 4 4 3" xfId="27698"/>
    <cellStyle name="Comma 14 2 2 4 5" xfId="15675"/>
    <cellStyle name="Comma 14 2 2 4 5 2" xfId="29700"/>
    <cellStyle name="Comma 14 2 2 4 6" xfId="17677"/>
    <cellStyle name="Comma 14 2 2 4 6 2" xfId="31702"/>
    <cellStyle name="Comma 14 2 2 4 7" xfId="23691"/>
    <cellStyle name="Comma 14 2 2 5" xfId="897"/>
    <cellStyle name="Comma 14 2 2 5 2" xfId="11656"/>
    <cellStyle name="Comma 14 2 2 5 2 2" xfId="19681"/>
    <cellStyle name="Comma 14 2 2 5 2 2 2" xfId="33706"/>
    <cellStyle name="Comma 14 2 2 5 2 3" xfId="25695"/>
    <cellStyle name="Comma 14 2 2 5 3" xfId="13671"/>
    <cellStyle name="Comma 14 2 2 5 3 2" xfId="21686"/>
    <cellStyle name="Comma 14 2 2 5 3 2 2" xfId="35711"/>
    <cellStyle name="Comma 14 2 2 5 3 3" xfId="27700"/>
    <cellStyle name="Comma 14 2 2 5 4" xfId="15677"/>
    <cellStyle name="Comma 14 2 2 5 4 2" xfId="29702"/>
    <cellStyle name="Comma 14 2 2 5 5" xfId="17679"/>
    <cellStyle name="Comma 14 2 2 5 5 2" xfId="31704"/>
    <cellStyle name="Comma 14 2 2 5 6" xfId="23693"/>
    <cellStyle name="Comma 14 2 2 6" xfId="11647"/>
    <cellStyle name="Comma 14 2 2 6 2" xfId="19672"/>
    <cellStyle name="Comma 14 2 2 6 2 2" xfId="33697"/>
    <cellStyle name="Comma 14 2 2 6 3" xfId="25686"/>
    <cellStyle name="Comma 14 2 2 7" xfId="13662"/>
    <cellStyle name="Comma 14 2 2 7 2" xfId="21677"/>
    <cellStyle name="Comma 14 2 2 7 2 2" xfId="35702"/>
    <cellStyle name="Comma 14 2 2 7 3" xfId="27691"/>
    <cellStyle name="Comma 14 2 2 8" xfId="15668"/>
    <cellStyle name="Comma 14 2 2 8 2" xfId="29693"/>
    <cellStyle name="Comma 14 2 2 9" xfId="17670"/>
    <cellStyle name="Comma 14 2 2 9 2" xfId="31695"/>
    <cellStyle name="Comma 14 2 3" xfId="898"/>
    <cellStyle name="Comma 14 2 3 2" xfId="899"/>
    <cellStyle name="Comma 14 2 3 2 2" xfId="900"/>
    <cellStyle name="Comma 14 2 3 2 2 2" xfId="11659"/>
    <cellStyle name="Comma 14 2 3 2 2 2 2" xfId="19684"/>
    <cellStyle name="Comma 14 2 3 2 2 2 2 2" xfId="33709"/>
    <cellStyle name="Comma 14 2 3 2 2 2 3" xfId="25698"/>
    <cellStyle name="Comma 14 2 3 2 2 3" xfId="13674"/>
    <cellStyle name="Comma 14 2 3 2 2 3 2" xfId="21689"/>
    <cellStyle name="Comma 14 2 3 2 2 3 2 2" xfId="35714"/>
    <cellStyle name="Comma 14 2 3 2 2 3 3" xfId="27703"/>
    <cellStyle name="Comma 14 2 3 2 2 4" xfId="15680"/>
    <cellStyle name="Comma 14 2 3 2 2 4 2" xfId="29705"/>
    <cellStyle name="Comma 14 2 3 2 2 5" xfId="17682"/>
    <cellStyle name="Comma 14 2 3 2 2 5 2" xfId="31707"/>
    <cellStyle name="Comma 14 2 3 2 2 6" xfId="23696"/>
    <cellStyle name="Comma 14 2 3 2 3" xfId="11658"/>
    <cellStyle name="Comma 14 2 3 2 3 2" xfId="19683"/>
    <cellStyle name="Comma 14 2 3 2 3 2 2" xfId="33708"/>
    <cellStyle name="Comma 14 2 3 2 3 3" xfId="25697"/>
    <cellStyle name="Comma 14 2 3 2 4" xfId="13673"/>
    <cellStyle name="Comma 14 2 3 2 4 2" xfId="21688"/>
    <cellStyle name="Comma 14 2 3 2 4 2 2" xfId="35713"/>
    <cellStyle name="Comma 14 2 3 2 4 3" xfId="27702"/>
    <cellStyle name="Comma 14 2 3 2 5" xfId="15679"/>
    <cellStyle name="Comma 14 2 3 2 5 2" xfId="29704"/>
    <cellStyle name="Comma 14 2 3 2 6" xfId="17681"/>
    <cellStyle name="Comma 14 2 3 2 6 2" xfId="31706"/>
    <cellStyle name="Comma 14 2 3 2 7" xfId="23695"/>
    <cellStyle name="Comma 14 2 3 3" xfId="901"/>
    <cellStyle name="Comma 14 2 3 3 2" xfId="11660"/>
    <cellStyle name="Comma 14 2 3 3 2 2" xfId="19685"/>
    <cellStyle name="Comma 14 2 3 3 2 2 2" xfId="33710"/>
    <cellStyle name="Comma 14 2 3 3 2 3" xfId="25699"/>
    <cellStyle name="Comma 14 2 3 3 3" xfId="13675"/>
    <cellStyle name="Comma 14 2 3 3 3 2" xfId="21690"/>
    <cellStyle name="Comma 14 2 3 3 3 2 2" xfId="35715"/>
    <cellStyle name="Comma 14 2 3 3 3 3" xfId="27704"/>
    <cellStyle name="Comma 14 2 3 3 4" xfId="15681"/>
    <cellStyle name="Comma 14 2 3 3 4 2" xfId="29706"/>
    <cellStyle name="Comma 14 2 3 3 5" xfId="17683"/>
    <cellStyle name="Comma 14 2 3 3 5 2" xfId="31708"/>
    <cellStyle name="Comma 14 2 3 3 6" xfId="23697"/>
    <cellStyle name="Comma 14 2 3 4" xfId="11657"/>
    <cellStyle name="Comma 14 2 3 4 2" xfId="19682"/>
    <cellStyle name="Comma 14 2 3 4 2 2" xfId="33707"/>
    <cellStyle name="Comma 14 2 3 4 3" xfId="25696"/>
    <cellStyle name="Comma 14 2 3 5" xfId="13672"/>
    <cellStyle name="Comma 14 2 3 5 2" xfId="21687"/>
    <cellStyle name="Comma 14 2 3 5 2 2" xfId="35712"/>
    <cellStyle name="Comma 14 2 3 5 3" xfId="27701"/>
    <cellStyle name="Comma 14 2 3 6" xfId="15678"/>
    <cellStyle name="Comma 14 2 3 6 2" xfId="29703"/>
    <cellStyle name="Comma 14 2 3 7" xfId="17680"/>
    <cellStyle name="Comma 14 2 3 7 2" xfId="31705"/>
    <cellStyle name="Comma 14 2 3 8" xfId="23694"/>
    <cellStyle name="Comma 14 2 4" xfId="902"/>
    <cellStyle name="Comma 14 2 4 2" xfId="903"/>
    <cellStyle name="Comma 14 2 4 2 2" xfId="11662"/>
    <cellStyle name="Comma 14 2 4 2 2 2" xfId="19687"/>
    <cellStyle name="Comma 14 2 4 2 2 2 2" xfId="33712"/>
    <cellStyle name="Comma 14 2 4 2 2 3" xfId="25701"/>
    <cellStyle name="Comma 14 2 4 2 3" xfId="13677"/>
    <cellStyle name="Comma 14 2 4 2 3 2" xfId="21692"/>
    <cellStyle name="Comma 14 2 4 2 3 2 2" xfId="35717"/>
    <cellStyle name="Comma 14 2 4 2 3 3" xfId="27706"/>
    <cellStyle name="Comma 14 2 4 2 4" xfId="15683"/>
    <cellStyle name="Comma 14 2 4 2 4 2" xfId="29708"/>
    <cellStyle name="Comma 14 2 4 2 5" xfId="17685"/>
    <cellStyle name="Comma 14 2 4 2 5 2" xfId="31710"/>
    <cellStyle name="Comma 14 2 4 2 6" xfId="23699"/>
    <cellStyle name="Comma 14 2 4 3" xfId="11661"/>
    <cellStyle name="Comma 14 2 4 3 2" xfId="19686"/>
    <cellStyle name="Comma 14 2 4 3 2 2" xfId="33711"/>
    <cellStyle name="Comma 14 2 4 3 3" xfId="25700"/>
    <cellStyle name="Comma 14 2 4 4" xfId="13676"/>
    <cellStyle name="Comma 14 2 4 4 2" xfId="21691"/>
    <cellStyle name="Comma 14 2 4 4 2 2" xfId="35716"/>
    <cellStyle name="Comma 14 2 4 4 3" xfId="27705"/>
    <cellStyle name="Comma 14 2 4 5" xfId="15682"/>
    <cellStyle name="Comma 14 2 4 5 2" xfId="29707"/>
    <cellStyle name="Comma 14 2 4 6" xfId="17684"/>
    <cellStyle name="Comma 14 2 4 6 2" xfId="31709"/>
    <cellStyle name="Comma 14 2 4 7" xfId="23698"/>
    <cellStyle name="Comma 14 2 5" xfId="904"/>
    <cellStyle name="Comma 14 2 5 2" xfId="905"/>
    <cellStyle name="Comma 14 2 5 2 2" xfId="11664"/>
    <cellStyle name="Comma 14 2 5 2 2 2" xfId="19689"/>
    <cellStyle name="Comma 14 2 5 2 2 2 2" xfId="33714"/>
    <cellStyle name="Comma 14 2 5 2 2 3" xfId="25703"/>
    <cellStyle name="Comma 14 2 5 2 3" xfId="13679"/>
    <cellStyle name="Comma 14 2 5 2 3 2" xfId="21694"/>
    <cellStyle name="Comma 14 2 5 2 3 2 2" xfId="35719"/>
    <cellStyle name="Comma 14 2 5 2 3 3" xfId="27708"/>
    <cellStyle name="Comma 14 2 5 2 4" xfId="15685"/>
    <cellStyle name="Comma 14 2 5 2 4 2" xfId="29710"/>
    <cellStyle name="Comma 14 2 5 2 5" xfId="17687"/>
    <cellStyle name="Comma 14 2 5 2 5 2" xfId="31712"/>
    <cellStyle name="Comma 14 2 5 2 6" xfId="23701"/>
    <cellStyle name="Comma 14 2 5 3" xfId="11663"/>
    <cellStyle name="Comma 14 2 5 3 2" xfId="19688"/>
    <cellStyle name="Comma 14 2 5 3 2 2" xfId="33713"/>
    <cellStyle name="Comma 14 2 5 3 3" xfId="25702"/>
    <cellStyle name="Comma 14 2 5 4" xfId="13678"/>
    <cellStyle name="Comma 14 2 5 4 2" xfId="21693"/>
    <cellStyle name="Comma 14 2 5 4 2 2" xfId="35718"/>
    <cellStyle name="Comma 14 2 5 4 3" xfId="27707"/>
    <cellStyle name="Comma 14 2 5 5" xfId="15684"/>
    <cellStyle name="Comma 14 2 5 5 2" xfId="29709"/>
    <cellStyle name="Comma 14 2 5 6" xfId="17686"/>
    <cellStyle name="Comma 14 2 5 6 2" xfId="31711"/>
    <cellStyle name="Comma 14 2 5 7" xfId="23700"/>
    <cellStyle name="Comma 14 2 6" xfId="906"/>
    <cellStyle name="Comma 14 2 6 2" xfId="11665"/>
    <cellStyle name="Comma 14 2 6 2 2" xfId="19690"/>
    <cellStyle name="Comma 14 2 6 2 2 2" xfId="33715"/>
    <cellStyle name="Comma 14 2 6 2 3" xfId="25704"/>
    <cellStyle name="Comma 14 2 6 3" xfId="13680"/>
    <cellStyle name="Comma 14 2 6 3 2" xfId="21695"/>
    <cellStyle name="Comma 14 2 6 3 2 2" xfId="35720"/>
    <cellStyle name="Comma 14 2 6 3 3" xfId="27709"/>
    <cellStyle name="Comma 14 2 6 4" xfId="15686"/>
    <cellStyle name="Comma 14 2 6 4 2" xfId="29711"/>
    <cellStyle name="Comma 14 2 6 5" xfId="17688"/>
    <cellStyle name="Comma 14 2 6 5 2" xfId="31713"/>
    <cellStyle name="Comma 14 2 6 6" xfId="23702"/>
    <cellStyle name="Comma 14 2 7" xfId="11646"/>
    <cellStyle name="Comma 14 2 7 2" xfId="19671"/>
    <cellStyle name="Comma 14 2 7 2 2" xfId="33696"/>
    <cellStyle name="Comma 14 2 7 3" xfId="25685"/>
    <cellStyle name="Comma 14 2 8" xfId="13661"/>
    <cellStyle name="Comma 14 2 8 2" xfId="21676"/>
    <cellStyle name="Comma 14 2 8 2 2" xfId="35701"/>
    <cellStyle name="Comma 14 2 8 3" xfId="27690"/>
    <cellStyle name="Comma 14 2 9" xfId="15667"/>
    <cellStyle name="Comma 14 2 9 2" xfId="29692"/>
    <cellStyle name="Comma 14 3" xfId="907"/>
    <cellStyle name="Comma 14 3 10" xfId="23703"/>
    <cellStyle name="Comma 14 3 2" xfId="908"/>
    <cellStyle name="Comma 14 3 2 2" xfId="909"/>
    <cellStyle name="Comma 14 3 2 2 2" xfId="910"/>
    <cellStyle name="Comma 14 3 2 2 2 2" xfId="11669"/>
    <cellStyle name="Comma 14 3 2 2 2 2 2" xfId="19694"/>
    <cellStyle name="Comma 14 3 2 2 2 2 2 2" xfId="33719"/>
    <cellStyle name="Comma 14 3 2 2 2 2 3" xfId="25708"/>
    <cellStyle name="Comma 14 3 2 2 2 3" xfId="13684"/>
    <cellStyle name="Comma 14 3 2 2 2 3 2" xfId="21699"/>
    <cellStyle name="Comma 14 3 2 2 2 3 2 2" xfId="35724"/>
    <cellStyle name="Comma 14 3 2 2 2 3 3" xfId="27713"/>
    <cellStyle name="Comma 14 3 2 2 2 4" xfId="15690"/>
    <cellStyle name="Comma 14 3 2 2 2 4 2" xfId="29715"/>
    <cellStyle name="Comma 14 3 2 2 2 5" xfId="17692"/>
    <cellStyle name="Comma 14 3 2 2 2 5 2" xfId="31717"/>
    <cellStyle name="Comma 14 3 2 2 2 6" xfId="23706"/>
    <cellStyle name="Comma 14 3 2 2 3" xfId="11668"/>
    <cellStyle name="Comma 14 3 2 2 3 2" xfId="19693"/>
    <cellStyle name="Comma 14 3 2 2 3 2 2" xfId="33718"/>
    <cellStyle name="Comma 14 3 2 2 3 3" xfId="25707"/>
    <cellStyle name="Comma 14 3 2 2 4" xfId="13683"/>
    <cellStyle name="Comma 14 3 2 2 4 2" xfId="21698"/>
    <cellStyle name="Comma 14 3 2 2 4 2 2" xfId="35723"/>
    <cellStyle name="Comma 14 3 2 2 4 3" xfId="27712"/>
    <cellStyle name="Comma 14 3 2 2 5" xfId="15689"/>
    <cellStyle name="Comma 14 3 2 2 5 2" xfId="29714"/>
    <cellStyle name="Comma 14 3 2 2 6" xfId="17691"/>
    <cellStyle name="Comma 14 3 2 2 6 2" xfId="31716"/>
    <cellStyle name="Comma 14 3 2 2 7" xfId="23705"/>
    <cellStyle name="Comma 14 3 2 3" xfId="911"/>
    <cellStyle name="Comma 14 3 2 3 2" xfId="11670"/>
    <cellStyle name="Comma 14 3 2 3 2 2" xfId="19695"/>
    <cellStyle name="Comma 14 3 2 3 2 2 2" xfId="33720"/>
    <cellStyle name="Comma 14 3 2 3 2 3" xfId="25709"/>
    <cellStyle name="Comma 14 3 2 3 3" xfId="13685"/>
    <cellStyle name="Comma 14 3 2 3 3 2" xfId="21700"/>
    <cellStyle name="Comma 14 3 2 3 3 2 2" xfId="35725"/>
    <cellStyle name="Comma 14 3 2 3 3 3" xfId="27714"/>
    <cellStyle name="Comma 14 3 2 3 4" xfId="15691"/>
    <cellStyle name="Comma 14 3 2 3 4 2" xfId="29716"/>
    <cellStyle name="Comma 14 3 2 3 5" xfId="17693"/>
    <cellStyle name="Comma 14 3 2 3 5 2" xfId="31718"/>
    <cellStyle name="Comma 14 3 2 3 6" xfId="23707"/>
    <cellStyle name="Comma 14 3 2 4" xfId="11667"/>
    <cellStyle name="Comma 14 3 2 4 2" xfId="19692"/>
    <cellStyle name="Comma 14 3 2 4 2 2" xfId="33717"/>
    <cellStyle name="Comma 14 3 2 4 3" xfId="25706"/>
    <cellStyle name="Comma 14 3 2 5" xfId="13682"/>
    <cellStyle name="Comma 14 3 2 5 2" xfId="21697"/>
    <cellStyle name="Comma 14 3 2 5 2 2" xfId="35722"/>
    <cellStyle name="Comma 14 3 2 5 3" xfId="27711"/>
    <cellStyle name="Comma 14 3 2 6" xfId="15688"/>
    <cellStyle name="Comma 14 3 2 6 2" xfId="29713"/>
    <cellStyle name="Comma 14 3 2 7" xfId="17690"/>
    <cellStyle name="Comma 14 3 2 7 2" xfId="31715"/>
    <cellStyle name="Comma 14 3 2 8" xfId="23704"/>
    <cellStyle name="Comma 14 3 3" xfId="912"/>
    <cellStyle name="Comma 14 3 3 2" xfId="913"/>
    <cellStyle name="Comma 14 3 3 2 2" xfId="11672"/>
    <cellStyle name="Comma 14 3 3 2 2 2" xfId="19697"/>
    <cellStyle name="Comma 14 3 3 2 2 2 2" xfId="33722"/>
    <cellStyle name="Comma 14 3 3 2 2 3" xfId="25711"/>
    <cellStyle name="Comma 14 3 3 2 3" xfId="13687"/>
    <cellStyle name="Comma 14 3 3 2 3 2" xfId="21702"/>
    <cellStyle name="Comma 14 3 3 2 3 2 2" xfId="35727"/>
    <cellStyle name="Comma 14 3 3 2 3 3" xfId="27716"/>
    <cellStyle name="Comma 14 3 3 2 4" xfId="15693"/>
    <cellStyle name="Comma 14 3 3 2 4 2" xfId="29718"/>
    <cellStyle name="Comma 14 3 3 2 5" xfId="17695"/>
    <cellStyle name="Comma 14 3 3 2 5 2" xfId="31720"/>
    <cellStyle name="Comma 14 3 3 2 6" xfId="23709"/>
    <cellStyle name="Comma 14 3 3 3" xfId="11671"/>
    <cellStyle name="Comma 14 3 3 3 2" xfId="19696"/>
    <cellStyle name="Comma 14 3 3 3 2 2" xfId="33721"/>
    <cellStyle name="Comma 14 3 3 3 3" xfId="25710"/>
    <cellStyle name="Comma 14 3 3 4" xfId="13686"/>
    <cellStyle name="Comma 14 3 3 4 2" xfId="21701"/>
    <cellStyle name="Comma 14 3 3 4 2 2" xfId="35726"/>
    <cellStyle name="Comma 14 3 3 4 3" xfId="27715"/>
    <cellStyle name="Comma 14 3 3 5" xfId="15692"/>
    <cellStyle name="Comma 14 3 3 5 2" xfId="29717"/>
    <cellStyle name="Comma 14 3 3 6" xfId="17694"/>
    <cellStyle name="Comma 14 3 3 6 2" xfId="31719"/>
    <cellStyle name="Comma 14 3 3 7" xfId="23708"/>
    <cellStyle name="Comma 14 3 4" xfId="914"/>
    <cellStyle name="Comma 14 3 4 2" xfId="915"/>
    <cellStyle name="Comma 14 3 4 2 2" xfId="11674"/>
    <cellStyle name="Comma 14 3 4 2 2 2" xfId="19699"/>
    <cellStyle name="Comma 14 3 4 2 2 2 2" xfId="33724"/>
    <cellStyle name="Comma 14 3 4 2 2 3" xfId="25713"/>
    <cellStyle name="Comma 14 3 4 2 3" xfId="13689"/>
    <cellStyle name="Comma 14 3 4 2 3 2" xfId="21704"/>
    <cellStyle name="Comma 14 3 4 2 3 2 2" xfId="35729"/>
    <cellStyle name="Comma 14 3 4 2 3 3" xfId="27718"/>
    <cellStyle name="Comma 14 3 4 2 4" xfId="15695"/>
    <cellStyle name="Comma 14 3 4 2 4 2" xfId="29720"/>
    <cellStyle name="Comma 14 3 4 2 5" xfId="17697"/>
    <cellStyle name="Comma 14 3 4 2 5 2" xfId="31722"/>
    <cellStyle name="Comma 14 3 4 2 6" xfId="23711"/>
    <cellStyle name="Comma 14 3 4 3" xfId="11673"/>
    <cellStyle name="Comma 14 3 4 3 2" xfId="19698"/>
    <cellStyle name="Comma 14 3 4 3 2 2" xfId="33723"/>
    <cellStyle name="Comma 14 3 4 3 3" xfId="25712"/>
    <cellStyle name="Comma 14 3 4 4" xfId="13688"/>
    <cellStyle name="Comma 14 3 4 4 2" xfId="21703"/>
    <cellStyle name="Comma 14 3 4 4 2 2" xfId="35728"/>
    <cellStyle name="Comma 14 3 4 4 3" xfId="27717"/>
    <cellStyle name="Comma 14 3 4 5" xfId="15694"/>
    <cellStyle name="Comma 14 3 4 5 2" xfId="29719"/>
    <cellStyle name="Comma 14 3 4 6" xfId="17696"/>
    <cellStyle name="Comma 14 3 4 6 2" xfId="31721"/>
    <cellStyle name="Comma 14 3 4 7" xfId="23710"/>
    <cellStyle name="Comma 14 3 5" xfId="916"/>
    <cellStyle name="Comma 14 3 5 2" xfId="11675"/>
    <cellStyle name="Comma 14 3 5 2 2" xfId="19700"/>
    <cellStyle name="Comma 14 3 5 2 2 2" xfId="33725"/>
    <cellStyle name="Comma 14 3 5 2 3" xfId="25714"/>
    <cellStyle name="Comma 14 3 5 3" xfId="13690"/>
    <cellStyle name="Comma 14 3 5 3 2" xfId="21705"/>
    <cellStyle name="Comma 14 3 5 3 2 2" xfId="35730"/>
    <cellStyle name="Comma 14 3 5 3 3" xfId="27719"/>
    <cellStyle name="Comma 14 3 5 4" xfId="15696"/>
    <cellStyle name="Comma 14 3 5 4 2" xfId="29721"/>
    <cellStyle name="Comma 14 3 5 5" xfId="17698"/>
    <cellStyle name="Comma 14 3 5 5 2" xfId="31723"/>
    <cellStyle name="Comma 14 3 5 6" xfId="23712"/>
    <cellStyle name="Comma 14 3 6" xfId="11666"/>
    <cellStyle name="Comma 14 3 6 2" xfId="19691"/>
    <cellStyle name="Comma 14 3 6 2 2" xfId="33716"/>
    <cellStyle name="Comma 14 3 6 3" xfId="25705"/>
    <cellStyle name="Comma 14 3 7" xfId="13681"/>
    <cellStyle name="Comma 14 3 7 2" xfId="21696"/>
    <cellStyle name="Comma 14 3 7 2 2" xfId="35721"/>
    <cellStyle name="Comma 14 3 7 3" xfId="27710"/>
    <cellStyle name="Comma 14 3 8" xfId="15687"/>
    <cellStyle name="Comma 14 3 8 2" xfId="29712"/>
    <cellStyle name="Comma 14 3 9" xfId="17689"/>
    <cellStyle name="Comma 14 3 9 2" xfId="31714"/>
    <cellStyle name="Comma 14 4" xfId="917"/>
    <cellStyle name="Comma 14 4 10" xfId="23713"/>
    <cellStyle name="Comma 14 4 2" xfId="918"/>
    <cellStyle name="Comma 14 4 2 2" xfId="919"/>
    <cellStyle name="Comma 14 4 2 2 2" xfId="920"/>
    <cellStyle name="Comma 14 4 2 2 2 2" xfId="11679"/>
    <cellStyle name="Comma 14 4 2 2 2 2 2" xfId="19704"/>
    <cellStyle name="Comma 14 4 2 2 2 2 2 2" xfId="33729"/>
    <cellStyle name="Comma 14 4 2 2 2 2 3" xfId="25718"/>
    <cellStyle name="Comma 14 4 2 2 2 3" xfId="13694"/>
    <cellStyle name="Comma 14 4 2 2 2 3 2" xfId="21709"/>
    <cellStyle name="Comma 14 4 2 2 2 3 2 2" xfId="35734"/>
    <cellStyle name="Comma 14 4 2 2 2 3 3" xfId="27723"/>
    <cellStyle name="Comma 14 4 2 2 2 4" xfId="15700"/>
    <cellStyle name="Comma 14 4 2 2 2 4 2" xfId="29725"/>
    <cellStyle name="Comma 14 4 2 2 2 5" xfId="17702"/>
    <cellStyle name="Comma 14 4 2 2 2 5 2" xfId="31727"/>
    <cellStyle name="Comma 14 4 2 2 2 6" xfId="23716"/>
    <cellStyle name="Comma 14 4 2 2 3" xfId="11678"/>
    <cellStyle name="Comma 14 4 2 2 3 2" xfId="19703"/>
    <cellStyle name="Comma 14 4 2 2 3 2 2" xfId="33728"/>
    <cellStyle name="Comma 14 4 2 2 3 3" xfId="25717"/>
    <cellStyle name="Comma 14 4 2 2 4" xfId="13693"/>
    <cellStyle name="Comma 14 4 2 2 4 2" xfId="21708"/>
    <cellStyle name="Comma 14 4 2 2 4 2 2" xfId="35733"/>
    <cellStyle name="Comma 14 4 2 2 4 3" xfId="27722"/>
    <cellStyle name="Comma 14 4 2 2 5" xfId="15699"/>
    <cellStyle name="Comma 14 4 2 2 5 2" xfId="29724"/>
    <cellStyle name="Comma 14 4 2 2 6" xfId="17701"/>
    <cellStyle name="Comma 14 4 2 2 6 2" xfId="31726"/>
    <cellStyle name="Comma 14 4 2 2 7" xfId="23715"/>
    <cellStyle name="Comma 14 4 2 3" xfId="921"/>
    <cellStyle name="Comma 14 4 2 3 2" xfId="11680"/>
    <cellStyle name="Comma 14 4 2 3 2 2" xfId="19705"/>
    <cellStyle name="Comma 14 4 2 3 2 2 2" xfId="33730"/>
    <cellStyle name="Comma 14 4 2 3 2 3" xfId="25719"/>
    <cellStyle name="Comma 14 4 2 3 3" xfId="13695"/>
    <cellStyle name="Comma 14 4 2 3 3 2" xfId="21710"/>
    <cellStyle name="Comma 14 4 2 3 3 2 2" xfId="35735"/>
    <cellStyle name="Comma 14 4 2 3 3 3" xfId="27724"/>
    <cellStyle name="Comma 14 4 2 3 4" xfId="15701"/>
    <cellStyle name="Comma 14 4 2 3 4 2" xfId="29726"/>
    <cellStyle name="Comma 14 4 2 3 5" xfId="17703"/>
    <cellStyle name="Comma 14 4 2 3 5 2" xfId="31728"/>
    <cellStyle name="Comma 14 4 2 3 6" xfId="23717"/>
    <cellStyle name="Comma 14 4 2 4" xfId="11677"/>
    <cellStyle name="Comma 14 4 2 4 2" xfId="19702"/>
    <cellStyle name="Comma 14 4 2 4 2 2" xfId="33727"/>
    <cellStyle name="Comma 14 4 2 4 3" xfId="25716"/>
    <cellStyle name="Comma 14 4 2 5" xfId="13692"/>
    <cellStyle name="Comma 14 4 2 5 2" xfId="21707"/>
    <cellStyle name="Comma 14 4 2 5 2 2" xfId="35732"/>
    <cellStyle name="Comma 14 4 2 5 3" xfId="27721"/>
    <cellStyle name="Comma 14 4 2 6" xfId="15698"/>
    <cellStyle name="Comma 14 4 2 6 2" xfId="29723"/>
    <cellStyle name="Comma 14 4 2 7" xfId="17700"/>
    <cellStyle name="Comma 14 4 2 7 2" xfId="31725"/>
    <cellStyle name="Comma 14 4 2 8" xfId="23714"/>
    <cellStyle name="Comma 14 4 3" xfId="922"/>
    <cellStyle name="Comma 14 4 3 2" xfId="923"/>
    <cellStyle name="Comma 14 4 3 2 2" xfId="11682"/>
    <cellStyle name="Comma 14 4 3 2 2 2" xfId="19707"/>
    <cellStyle name="Comma 14 4 3 2 2 2 2" xfId="33732"/>
    <cellStyle name="Comma 14 4 3 2 2 3" xfId="25721"/>
    <cellStyle name="Comma 14 4 3 2 3" xfId="13697"/>
    <cellStyle name="Comma 14 4 3 2 3 2" xfId="21712"/>
    <cellStyle name="Comma 14 4 3 2 3 2 2" xfId="35737"/>
    <cellStyle name="Comma 14 4 3 2 3 3" xfId="27726"/>
    <cellStyle name="Comma 14 4 3 2 4" xfId="15703"/>
    <cellStyle name="Comma 14 4 3 2 4 2" xfId="29728"/>
    <cellStyle name="Comma 14 4 3 2 5" xfId="17705"/>
    <cellStyle name="Comma 14 4 3 2 5 2" xfId="31730"/>
    <cellStyle name="Comma 14 4 3 2 6" xfId="23719"/>
    <cellStyle name="Comma 14 4 3 3" xfId="11681"/>
    <cellStyle name="Comma 14 4 3 3 2" xfId="19706"/>
    <cellStyle name="Comma 14 4 3 3 2 2" xfId="33731"/>
    <cellStyle name="Comma 14 4 3 3 3" xfId="25720"/>
    <cellStyle name="Comma 14 4 3 4" xfId="13696"/>
    <cellStyle name="Comma 14 4 3 4 2" xfId="21711"/>
    <cellStyle name="Comma 14 4 3 4 2 2" xfId="35736"/>
    <cellStyle name="Comma 14 4 3 4 3" xfId="27725"/>
    <cellStyle name="Comma 14 4 3 5" xfId="15702"/>
    <cellStyle name="Comma 14 4 3 5 2" xfId="29727"/>
    <cellStyle name="Comma 14 4 3 6" xfId="17704"/>
    <cellStyle name="Comma 14 4 3 6 2" xfId="31729"/>
    <cellStyle name="Comma 14 4 3 7" xfId="23718"/>
    <cellStyle name="Comma 14 4 4" xfId="924"/>
    <cellStyle name="Comma 14 4 4 2" xfId="925"/>
    <cellStyle name="Comma 14 4 4 2 2" xfId="11684"/>
    <cellStyle name="Comma 14 4 4 2 2 2" xfId="19709"/>
    <cellStyle name="Comma 14 4 4 2 2 2 2" xfId="33734"/>
    <cellStyle name="Comma 14 4 4 2 2 3" xfId="25723"/>
    <cellStyle name="Comma 14 4 4 2 3" xfId="13699"/>
    <cellStyle name="Comma 14 4 4 2 3 2" xfId="21714"/>
    <cellStyle name="Comma 14 4 4 2 3 2 2" xfId="35739"/>
    <cellStyle name="Comma 14 4 4 2 3 3" xfId="27728"/>
    <cellStyle name="Comma 14 4 4 2 4" xfId="15705"/>
    <cellStyle name="Comma 14 4 4 2 4 2" xfId="29730"/>
    <cellStyle name="Comma 14 4 4 2 5" xfId="17707"/>
    <cellStyle name="Comma 14 4 4 2 5 2" xfId="31732"/>
    <cellStyle name="Comma 14 4 4 2 6" xfId="23721"/>
    <cellStyle name="Comma 14 4 4 3" xfId="11683"/>
    <cellStyle name="Comma 14 4 4 3 2" xfId="19708"/>
    <cellStyle name="Comma 14 4 4 3 2 2" xfId="33733"/>
    <cellStyle name="Comma 14 4 4 3 3" xfId="25722"/>
    <cellStyle name="Comma 14 4 4 4" xfId="13698"/>
    <cellStyle name="Comma 14 4 4 4 2" xfId="21713"/>
    <cellStyle name="Comma 14 4 4 4 2 2" xfId="35738"/>
    <cellStyle name="Comma 14 4 4 4 3" xfId="27727"/>
    <cellStyle name="Comma 14 4 4 5" xfId="15704"/>
    <cellStyle name="Comma 14 4 4 5 2" xfId="29729"/>
    <cellStyle name="Comma 14 4 4 6" xfId="17706"/>
    <cellStyle name="Comma 14 4 4 6 2" xfId="31731"/>
    <cellStyle name="Comma 14 4 4 7" xfId="23720"/>
    <cellStyle name="Comma 14 4 5" xfId="926"/>
    <cellStyle name="Comma 14 4 5 2" xfId="11685"/>
    <cellStyle name="Comma 14 4 5 2 2" xfId="19710"/>
    <cellStyle name="Comma 14 4 5 2 2 2" xfId="33735"/>
    <cellStyle name="Comma 14 4 5 2 3" xfId="25724"/>
    <cellStyle name="Comma 14 4 5 3" xfId="13700"/>
    <cellStyle name="Comma 14 4 5 3 2" xfId="21715"/>
    <cellStyle name="Comma 14 4 5 3 2 2" xfId="35740"/>
    <cellStyle name="Comma 14 4 5 3 3" xfId="27729"/>
    <cellStyle name="Comma 14 4 5 4" xfId="15706"/>
    <cellStyle name="Comma 14 4 5 4 2" xfId="29731"/>
    <cellStyle name="Comma 14 4 5 5" xfId="17708"/>
    <cellStyle name="Comma 14 4 5 5 2" xfId="31733"/>
    <cellStyle name="Comma 14 4 5 6" xfId="23722"/>
    <cellStyle name="Comma 14 4 6" xfId="11676"/>
    <cellStyle name="Comma 14 4 6 2" xfId="19701"/>
    <cellStyle name="Comma 14 4 6 2 2" xfId="33726"/>
    <cellStyle name="Comma 14 4 6 3" xfId="25715"/>
    <cellStyle name="Comma 14 4 7" xfId="13691"/>
    <cellStyle name="Comma 14 4 7 2" xfId="21706"/>
    <cellStyle name="Comma 14 4 7 2 2" xfId="35731"/>
    <cellStyle name="Comma 14 4 7 3" xfId="27720"/>
    <cellStyle name="Comma 14 4 8" xfId="15697"/>
    <cellStyle name="Comma 14 4 8 2" xfId="29722"/>
    <cellStyle name="Comma 14 4 9" xfId="17699"/>
    <cellStyle name="Comma 14 4 9 2" xfId="31724"/>
    <cellStyle name="Comma 14 5" xfId="927"/>
    <cellStyle name="Comma 14 5 2" xfId="928"/>
    <cellStyle name="Comma 14 5 2 2" xfId="929"/>
    <cellStyle name="Comma 14 5 2 2 2" xfId="11688"/>
    <cellStyle name="Comma 14 5 2 2 2 2" xfId="19713"/>
    <cellStyle name="Comma 14 5 2 2 2 2 2" xfId="33738"/>
    <cellStyle name="Comma 14 5 2 2 2 3" xfId="25727"/>
    <cellStyle name="Comma 14 5 2 2 3" xfId="13703"/>
    <cellStyle name="Comma 14 5 2 2 3 2" xfId="21718"/>
    <cellStyle name="Comma 14 5 2 2 3 2 2" xfId="35743"/>
    <cellStyle name="Comma 14 5 2 2 3 3" xfId="27732"/>
    <cellStyle name="Comma 14 5 2 2 4" xfId="15709"/>
    <cellStyle name="Comma 14 5 2 2 4 2" xfId="29734"/>
    <cellStyle name="Comma 14 5 2 2 5" xfId="17711"/>
    <cellStyle name="Comma 14 5 2 2 5 2" xfId="31736"/>
    <cellStyle name="Comma 14 5 2 2 6" xfId="23725"/>
    <cellStyle name="Comma 14 5 2 3" xfId="11687"/>
    <cellStyle name="Comma 14 5 2 3 2" xfId="19712"/>
    <cellStyle name="Comma 14 5 2 3 2 2" xfId="33737"/>
    <cellStyle name="Comma 14 5 2 3 3" xfId="25726"/>
    <cellStyle name="Comma 14 5 2 4" xfId="13702"/>
    <cellStyle name="Comma 14 5 2 4 2" xfId="21717"/>
    <cellStyle name="Comma 14 5 2 4 2 2" xfId="35742"/>
    <cellStyle name="Comma 14 5 2 4 3" xfId="27731"/>
    <cellStyle name="Comma 14 5 2 5" xfId="15708"/>
    <cellStyle name="Comma 14 5 2 5 2" xfId="29733"/>
    <cellStyle name="Comma 14 5 2 6" xfId="17710"/>
    <cellStyle name="Comma 14 5 2 6 2" xfId="31735"/>
    <cellStyle name="Comma 14 5 2 7" xfId="23724"/>
    <cellStyle name="Comma 14 5 3" xfId="930"/>
    <cellStyle name="Comma 14 5 3 2" xfId="11689"/>
    <cellStyle name="Comma 14 5 3 2 2" xfId="19714"/>
    <cellStyle name="Comma 14 5 3 2 2 2" xfId="33739"/>
    <cellStyle name="Comma 14 5 3 2 3" xfId="25728"/>
    <cellStyle name="Comma 14 5 3 3" xfId="13704"/>
    <cellStyle name="Comma 14 5 3 3 2" xfId="21719"/>
    <cellStyle name="Comma 14 5 3 3 2 2" xfId="35744"/>
    <cellStyle name="Comma 14 5 3 3 3" xfId="27733"/>
    <cellStyle name="Comma 14 5 3 4" xfId="15710"/>
    <cellStyle name="Comma 14 5 3 4 2" xfId="29735"/>
    <cellStyle name="Comma 14 5 3 5" xfId="17712"/>
    <cellStyle name="Comma 14 5 3 5 2" xfId="31737"/>
    <cellStyle name="Comma 14 5 3 6" xfId="23726"/>
    <cellStyle name="Comma 14 5 4" xfId="11686"/>
    <cellStyle name="Comma 14 5 4 2" xfId="19711"/>
    <cellStyle name="Comma 14 5 4 2 2" xfId="33736"/>
    <cellStyle name="Comma 14 5 4 3" xfId="25725"/>
    <cellStyle name="Comma 14 5 5" xfId="13701"/>
    <cellStyle name="Comma 14 5 5 2" xfId="21716"/>
    <cellStyle name="Comma 14 5 5 2 2" xfId="35741"/>
    <cellStyle name="Comma 14 5 5 3" xfId="27730"/>
    <cellStyle name="Comma 14 5 6" xfId="15707"/>
    <cellStyle name="Comma 14 5 6 2" xfId="29732"/>
    <cellStyle name="Comma 14 5 7" xfId="17709"/>
    <cellStyle name="Comma 14 5 7 2" xfId="31734"/>
    <cellStyle name="Comma 14 5 8" xfId="23723"/>
    <cellStyle name="Comma 14 6" xfId="931"/>
    <cellStyle name="Comma 14 6 2" xfId="932"/>
    <cellStyle name="Comma 14 6 2 2" xfId="11691"/>
    <cellStyle name="Comma 14 6 2 2 2" xfId="19716"/>
    <cellStyle name="Comma 14 6 2 2 2 2" xfId="33741"/>
    <cellStyle name="Comma 14 6 2 2 3" xfId="25730"/>
    <cellStyle name="Comma 14 6 2 3" xfId="13706"/>
    <cellStyle name="Comma 14 6 2 3 2" xfId="21721"/>
    <cellStyle name="Comma 14 6 2 3 2 2" xfId="35746"/>
    <cellStyle name="Comma 14 6 2 3 3" xfId="27735"/>
    <cellStyle name="Comma 14 6 2 4" xfId="15712"/>
    <cellStyle name="Comma 14 6 2 4 2" xfId="29737"/>
    <cellStyle name="Comma 14 6 2 5" xfId="17714"/>
    <cellStyle name="Comma 14 6 2 5 2" xfId="31739"/>
    <cellStyle name="Comma 14 6 2 6" xfId="23728"/>
    <cellStyle name="Comma 14 6 3" xfId="11690"/>
    <cellStyle name="Comma 14 6 3 2" xfId="19715"/>
    <cellStyle name="Comma 14 6 3 2 2" xfId="33740"/>
    <cellStyle name="Comma 14 6 3 3" xfId="25729"/>
    <cellStyle name="Comma 14 6 4" xfId="13705"/>
    <cellStyle name="Comma 14 6 4 2" xfId="21720"/>
    <cellStyle name="Comma 14 6 4 2 2" xfId="35745"/>
    <cellStyle name="Comma 14 6 4 3" xfId="27734"/>
    <cellStyle name="Comma 14 6 5" xfId="15711"/>
    <cellStyle name="Comma 14 6 5 2" xfId="29736"/>
    <cellStyle name="Comma 14 6 6" xfId="17713"/>
    <cellStyle name="Comma 14 6 6 2" xfId="31738"/>
    <cellStyle name="Comma 14 6 7" xfId="23727"/>
    <cellStyle name="Comma 14 7" xfId="933"/>
    <cellStyle name="Comma 14 7 2" xfId="934"/>
    <cellStyle name="Comma 14 7 2 2" xfId="11693"/>
    <cellStyle name="Comma 14 7 2 2 2" xfId="19718"/>
    <cellStyle name="Comma 14 7 2 2 2 2" xfId="33743"/>
    <cellStyle name="Comma 14 7 2 2 3" xfId="25732"/>
    <cellStyle name="Comma 14 7 2 3" xfId="13708"/>
    <cellStyle name="Comma 14 7 2 3 2" xfId="21723"/>
    <cellStyle name="Comma 14 7 2 3 2 2" xfId="35748"/>
    <cellStyle name="Comma 14 7 2 3 3" xfId="27737"/>
    <cellStyle name="Comma 14 7 2 4" xfId="15714"/>
    <cellStyle name="Comma 14 7 2 4 2" xfId="29739"/>
    <cellStyle name="Comma 14 7 2 5" xfId="17716"/>
    <cellStyle name="Comma 14 7 2 5 2" xfId="31741"/>
    <cellStyle name="Comma 14 7 2 6" xfId="23730"/>
    <cellStyle name="Comma 14 7 3" xfId="11692"/>
    <cellStyle name="Comma 14 7 3 2" xfId="19717"/>
    <cellStyle name="Comma 14 7 3 2 2" xfId="33742"/>
    <cellStyle name="Comma 14 7 3 3" xfId="25731"/>
    <cellStyle name="Comma 14 7 4" xfId="13707"/>
    <cellStyle name="Comma 14 7 4 2" xfId="21722"/>
    <cellStyle name="Comma 14 7 4 2 2" xfId="35747"/>
    <cellStyle name="Comma 14 7 4 3" xfId="27736"/>
    <cellStyle name="Comma 14 7 5" xfId="15713"/>
    <cellStyle name="Comma 14 7 5 2" xfId="29738"/>
    <cellStyle name="Comma 14 7 6" xfId="17715"/>
    <cellStyle name="Comma 14 7 6 2" xfId="31740"/>
    <cellStyle name="Comma 14 7 7" xfId="23729"/>
    <cellStyle name="Comma 14 8" xfId="935"/>
    <cellStyle name="Comma 14 8 2" xfId="11694"/>
    <cellStyle name="Comma 14 8 2 2" xfId="19719"/>
    <cellStyle name="Comma 14 8 2 2 2" xfId="33744"/>
    <cellStyle name="Comma 14 8 2 3" xfId="25733"/>
    <cellStyle name="Comma 14 8 3" xfId="13709"/>
    <cellStyle name="Comma 14 8 3 2" xfId="21724"/>
    <cellStyle name="Comma 14 8 3 2 2" xfId="35749"/>
    <cellStyle name="Comma 14 8 3 3" xfId="27738"/>
    <cellStyle name="Comma 14 8 4" xfId="15715"/>
    <cellStyle name="Comma 14 8 4 2" xfId="29740"/>
    <cellStyle name="Comma 14 8 5" xfId="17717"/>
    <cellStyle name="Comma 14 8 5 2" xfId="31742"/>
    <cellStyle name="Comma 14 8 6" xfId="23731"/>
    <cellStyle name="Comma 15" xfId="753"/>
    <cellStyle name="Comma 15 10" xfId="13659"/>
    <cellStyle name="Comma 15 10 2" xfId="21674"/>
    <cellStyle name="Comma 15 10 2 2" xfId="35699"/>
    <cellStyle name="Comma 15 10 3" xfId="27688"/>
    <cellStyle name="Comma 15 11" xfId="15665"/>
    <cellStyle name="Comma 15 11 2" xfId="29690"/>
    <cellStyle name="Comma 15 12" xfId="17667"/>
    <cellStyle name="Comma 15 12 2" xfId="31692"/>
    <cellStyle name="Comma 15 13" xfId="23681"/>
    <cellStyle name="Comma 15 2" xfId="936"/>
    <cellStyle name="Comma 15 2 10" xfId="17718"/>
    <cellStyle name="Comma 15 2 10 2" xfId="31743"/>
    <cellStyle name="Comma 15 2 11" xfId="23732"/>
    <cellStyle name="Comma 15 2 2" xfId="937"/>
    <cellStyle name="Comma 15 2 2 10" xfId="23733"/>
    <cellStyle name="Comma 15 2 2 2" xfId="938"/>
    <cellStyle name="Comma 15 2 2 2 2" xfId="939"/>
    <cellStyle name="Comma 15 2 2 2 2 2" xfId="940"/>
    <cellStyle name="Comma 15 2 2 2 2 2 2" xfId="11699"/>
    <cellStyle name="Comma 15 2 2 2 2 2 2 2" xfId="19724"/>
    <cellStyle name="Comma 15 2 2 2 2 2 2 2 2" xfId="33749"/>
    <cellStyle name="Comma 15 2 2 2 2 2 2 3" xfId="25738"/>
    <cellStyle name="Comma 15 2 2 2 2 2 3" xfId="13714"/>
    <cellStyle name="Comma 15 2 2 2 2 2 3 2" xfId="21729"/>
    <cellStyle name="Comma 15 2 2 2 2 2 3 2 2" xfId="35754"/>
    <cellStyle name="Comma 15 2 2 2 2 2 3 3" xfId="27743"/>
    <cellStyle name="Comma 15 2 2 2 2 2 4" xfId="15720"/>
    <cellStyle name="Comma 15 2 2 2 2 2 4 2" xfId="29745"/>
    <cellStyle name="Comma 15 2 2 2 2 2 5" xfId="17722"/>
    <cellStyle name="Comma 15 2 2 2 2 2 5 2" xfId="31747"/>
    <cellStyle name="Comma 15 2 2 2 2 2 6" xfId="23736"/>
    <cellStyle name="Comma 15 2 2 2 2 3" xfId="11698"/>
    <cellStyle name="Comma 15 2 2 2 2 3 2" xfId="19723"/>
    <cellStyle name="Comma 15 2 2 2 2 3 2 2" xfId="33748"/>
    <cellStyle name="Comma 15 2 2 2 2 3 3" xfId="25737"/>
    <cellStyle name="Comma 15 2 2 2 2 4" xfId="13713"/>
    <cellStyle name="Comma 15 2 2 2 2 4 2" xfId="21728"/>
    <cellStyle name="Comma 15 2 2 2 2 4 2 2" xfId="35753"/>
    <cellStyle name="Comma 15 2 2 2 2 4 3" xfId="27742"/>
    <cellStyle name="Comma 15 2 2 2 2 5" xfId="15719"/>
    <cellStyle name="Comma 15 2 2 2 2 5 2" xfId="29744"/>
    <cellStyle name="Comma 15 2 2 2 2 6" xfId="17721"/>
    <cellStyle name="Comma 15 2 2 2 2 6 2" xfId="31746"/>
    <cellStyle name="Comma 15 2 2 2 2 7" xfId="23735"/>
    <cellStyle name="Comma 15 2 2 2 3" xfId="941"/>
    <cellStyle name="Comma 15 2 2 2 3 2" xfId="11700"/>
    <cellStyle name="Comma 15 2 2 2 3 2 2" xfId="19725"/>
    <cellStyle name="Comma 15 2 2 2 3 2 2 2" xfId="33750"/>
    <cellStyle name="Comma 15 2 2 2 3 2 3" xfId="25739"/>
    <cellStyle name="Comma 15 2 2 2 3 3" xfId="13715"/>
    <cellStyle name="Comma 15 2 2 2 3 3 2" xfId="21730"/>
    <cellStyle name="Comma 15 2 2 2 3 3 2 2" xfId="35755"/>
    <cellStyle name="Comma 15 2 2 2 3 3 3" xfId="27744"/>
    <cellStyle name="Comma 15 2 2 2 3 4" xfId="15721"/>
    <cellStyle name="Comma 15 2 2 2 3 4 2" xfId="29746"/>
    <cellStyle name="Comma 15 2 2 2 3 5" xfId="17723"/>
    <cellStyle name="Comma 15 2 2 2 3 5 2" xfId="31748"/>
    <cellStyle name="Comma 15 2 2 2 3 6" xfId="23737"/>
    <cellStyle name="Comma 15 2 2 2 4" xfId="11697"/>
    <cellStyle name="Comma 15 2 2 2 4 2" xfId="19722"/>
    <cellStyle name="Comma 15 2 2 2 4 2 2" xfId="33747"/>
    <cellStyle name="Comma 15 2 2 2 4 3" xfId="25736"/>
    <cellStyle name="Comma 15 2 2 2 5" xfId="13712"/>
    <cellStyle name="Comma 15 2 2 2 5 2" xfId="21727"/>
    <cellStyle name="Comma 15 2 2 2 5 2 2" xfId="35752"/>
    <cellStyle name="Comma 15 2 2 2 5 3" xfId="27741"/>
    <cellStyle name="Comma 15 2 2 2 6" xfId="15718"/>
    <cellStyle name="Comma 15 2 2 2 6 2" xfId="29743"/>
    <cellStyle name="Comma 15 2 2 2 7" xfId="17720"/>
    <cellStyle name="Comma 15 2 2 2 7 2" xfId="31745"/>
    <cellStyle name="Comma 15 2 2 2 8" xfId="23734"/>
    <cellStyle name="Comma 15 2 2 3" xfId="942"/>
    <cellStyle name="Comma 15 2 2 3 2" xfId="943"/>
    <cellStyle name="Comma 15 2 2 3 2 2" xfId="11702"/>
    <cellStyle name="Comma 15 2 2 3 2 2 2" xfId="19727"/>
    <cellStyle name="Comma 15 2 2 3 2 2 2 2" xfId="33752"/>
    <cellStyle name="Comma 15 2 2 3 2 2 3" xfId="25741"/>
    <cellStyle name="Comma 15 2 2 3 2 3" xfId="13717"/>
    <cellStyle name="Comma 15 2 2 3 2 3 2" xfId="21732"/>
    <cellStyle name="Comma 15 2 2 3 2 3 2 2" xfId="35757"/>
    <cellStyle name="Comma 15 2 2 3 2 3 3" xfId="27746"/>
    <cellStyle name="Comma 15 2 2 3 2 4" xfId="15723"/>
    <cellStyle name="Comma 15 2 2 3 2 4 2" xfId="29748"/>
    <cellStyle name="Comma 15 2 2 3 2 5" xfId="17725"/>
    <cellStyle name="Comma 15 2 2 3 2 5 2" xfId="31750"/>
    <cellStyle name="Comma 15 2 2 3 2 6" xfId="23739"/>
    <cellStyle name="Comma 15 2 2 3 3" xfId="11701"/>
    <cellStyle name="Comma 15 2 2 3 3 2" xfId="19726"/>
    <cellStyle name="Comma 15 2 2 3 3 2 2" xfId="33751"/>
    <cellStyle name="Comma 15 2 2 3 3 3" xfId="25740"/>
    <cellStyle name="Comma 15 2 2 3 4" xfId="13716"/>
    <cellStyle name="Comma 15 2 2 3 4 2" xfId="21731"/>
    <cellStyle name="Comma 15 2 2 3 4 2 2" xfId="35756"/>
    <cellStyle name="Comma 15 2 2 3 4 3" xfId="27745"/>
    <cellStyle name="Comma 15 2 2 3 5" xfId="15722"/>
    <cellStyle name="Comma 15 2 2 3 5 2" xfId="29747"/>
    <cellStyle name="Comma 15 2 2 3 6" xfId="17724"/>
    <cellStyle name="Comma 15 2 2 3 6 2" xfId="31749"/>
    <cellStyle name="Comma 15 2 2 3 7" xfId="23738"/>
    <cellStyle name="Comma 15 2 2 4" xfId="944"/>
    <cellStyle name="Comma 15 2 2 4 2" xfId="945"/>
    <cellStyle name="Comma 15 2 2 4 2 2" xfId="11704"/>
    <cellStyle name="Comma 15 2 2 4 2 2 2" xfId="19729"/>
    <cellStyle name="Comma 15 2 2 4 2 2 2 2" xfId="33754"/>
    <cellStyle name="Comma 15 2 2 4 2 2 3" xfId="25743"/>
    <cellStyle name="Comma 15 2 2 4 2 3" xfId="13719"/>
    <cellStyle name="Comma 15 2 2 4 2 3 2" xfId="21734"/>
    <cellStyle name="Comma 15 2 2 4 2 3 2 2" xfId="35759"/>
    <cellStyle name="Comma 15 2 2 4 2 3 3" xfId="27748"/>
    <cellStyle name="Comma 15 2 2 4 2 4" xfId="15725"/>
    <cellStyle name="Comma 15 2 2 4 2 4 2" xfId="29750"/>
    <cellStyle name="Comma 15 2 2 4 2 5" xfId="17727"/>
    <cellStyle name="Comma 15 2 2 4 2 5 2" xfId="31752"/>
    <cellStyle name="Comma 15 2 2 4 2 6" xfId="23741"/>
    <cellStyle name="Comma 15 2 2 4 3" xfId="11703"/>
    <cellStyle name="Comma 15 2 2 4 3 2" xfId="19728"/>
    <cellStyle name="Comma 15 2 2 4 3 2 2" xfId="33753"/>
    <cellStyle name="Comma 15 2 2 4 3 3" xfId="25742"/>
    <cellStyle name="Comma 15 2 2 4 4" xfId="13718"/>
    <cellStyle name="Comma 15 2 2 4 4 2" xfId="21733"/>
    <cellStyle name="Comma 15 2 2 4 4 2 2" xfId="35758"/>
    <cellStyle name="Comma 15 2 2 4 4 3" xfId="27747"/>
    <cellStyle name="Comma 15 2 2 4 5" xfId="15724"/>
    <cellStyle name="Comma 15 2 2 4 5 2" xfId="29749"/>
    <cellStyle name="Comma 15 2 2 4 6" xfId="17726"/>
    <cellStyle name="Comma 15 2 2 4 6 2" xfId="31751"/>
    <cellStyle name="Comma 15 2 2 4 7" xfId="23740"/>
    <cellStyle name="Comma 15 2 2 5" xfId="946"/>
    <cellStyle name="Comma 15 2 2 5 2" xfId="11705"/>
    <cellStyle name="Comma 15 2 2 5 2 2" xfId="19730"/>
    <cellStyle name="Comma 15 2 2 5 2 2 2" xfId="33755"/>
    <cellStyle name="Comma 15 2 2 5 2 3" xfId="25744"/>
    <cellStyle name="Comma 15 2 2 5 3" xfId="13720"/>
    <cellStyle name="Comma 15 2 2 5 3 2" xfId="21735"/>
    <cellStyle name="Comma 15 2 2 5 3 2 2" xfId="35760"/>
    <cellStyle name="Comma 15 2 2 5 3 3" xfId="27749"/>
    <cellStyle name="Comma 15 2 2 5 4" xfId="15726"/>
    <cellStyle name="Comma 15 2 2 5 4 2" xfId="29751"/>
    <cellStyle name="Comma 15 2 2 5 5" xfId="17728"/>
    <cellStyle name="Comma 15 2 2 5 5 2" xfId="31753"/>
    <cellStyle name="Comma 15 2 2 5 6" xfId="23742"/>
    <cellStyle name="Comma 15 2 2 6" xfId="11696"/>
    <cellStyle name="Comma 15 2 2 6 2" xfId="19721"/>
    <cellStyle name="Comma 15 2 2 6 2 2" xfId="33746"/>
    <cellStyle name="Comma 15 2 2 6 3" xfId="25735"/>
    <cellStyle name="Comma 15 2 2 7" xfId="13711"/>
    <cellStyle name="Comma 15 2 2 7 2" xfId="21726"/>
    <cellStyle name="Comma 15 2 2 7 2 2" xfId="35751"/>
    <cellStyle name="Comma 15 2 2 7 3" xfId="27740"/>
    <cellStyle name="Comma 15 2 2 8" xfId="15717"/>
    <cellStyle name="Comma 15 2 2 8 2" xfId="29742"/>
    <cellStyle name="Comma 15 2 2 9" xfId="17719"/>
    <cellStyle name="Comma 15 2 2 9 2" xfId="31744"/>
    <cellStyle name="Comma 15 2 3" xfId="947"/>
    <cellStyle name="Comma 15 2 3 2" xfId="948"/>
    <cellStyle name="Comma 15 2 3 2 2" xfId="949"/>
    <cellStyle name="Comma 15 2 3 2 2 2" xfId="11708"/>
    <cellStyle name="Comma 15 2 3 2 2 2 2" xfId="19733"/>
    <cellStyle name="Comma 15 2 3 2 2 2 2 2" xfId="33758"/>
    <cellStyle name="Comma 15 2 3 2 2 2 3" xfId="25747"/>
    <cellStyle name="Comma 15 2 3 2 2 3" xfId="13723"/>
    <cellStyle name="Comma 15 2 3 2 2 3 2" xfId="21738"/>
    <cellStyle name="Comma 15 2 3 2 2 3 2 2" xfId="35763"/>
    <cellStyle name="Comma 15 2 3 2 2 3 3" xfId="27752"/>
    <cellStyle name="Comma 15 2 3 2 2 4" xfId="15729"/>
    <cellStyle name="Comma 15 2 3 2 2 4 2" xfId="29754"/>
    <cellStyle name="Comma 15 2 3 2 2 5" xfId="17731"/>
    <cellStyle name="Comma 15 2 3 2 2 5 2" xfId="31756"/>
    <cellStyle name="Comma 15 2 3 2 2 6" xfId="23745"/>
    <cellStyle name="Comma 15 2 3 2 3" xfId="11707"/>
    <cellStyle name="Comma 15 2 3 2 3 2" xfId="19732"/>
    <cellStyle name="Comma 15 2 3 2 3 2 2" xfId="33757"/>
    <cellStyle name="Comma 15 2 3 2 3 3" xfId="25746"/>
    <cellStyle name="Comma 15 2 3 2 4" xfId="13722"/>
    <cellStyle name="Comma 15 2 3 2 4 2" xfId="21737"/>
    <cellStyle name="Comma 15 2 3 2 4 2 2" xfId="35762"/>
    <cellStyle name="Comma 15 2 3 2 4 3" xfId="27751"/>
    <cellStyle name="Comma 15 2 3 2 5" xfId="15728"/>
    <cellStyle name="Comma 15 2 3 2 5 2" xfId="29753"/>
    <cellStyle name="Comma 15 2 3 2 6" xfId="17730"/>
    <cellStyle name="Comma 15 2 3 2 6 2" xfId="31755"/>
    <cellStyle name="Comma 15 2 3 2 7" xfId="23744"/>
    <cellStyle name="Comma 15 2 3 3" xfId="950"/>
    <cellStyle name="Comma 15 2 3 3 2" xfId="11709"/>
    <cellStyle name="Comma 15 2 3 3 2 2" xfId="19734"/>
    <cellStyle name="Comma 15 2 3 3 2 2 2" xfId="33759"/>
    <cellStyle name="Comma 15 2 3 3 2 3" xfId="25748"/>
    <cellStyle name="Comma 15 2 3 3 3" xfId="13724"/>
    <cellStyle name="Comma 15 2 3 3 3 2" xfId="21739"/>
    <cellStyle name="Comma 15 2 3 3 3 2 2" xfId="35764"/>
    <cellStyle name="Comma 15 2 3 3 3 3" xfId="27753"/>
    <cellStyle name="Comma 15 2 3 3 4" xfId="15730"/>
    <cellStyle name="Comma 15 2 3 3 4 2" xfId="29755"/>
    <cellStyle name="Comma 15 2 3 3 5" xfId="17732"/>
    <cellStyle name="Comma 15 2 3 3 5 2" xfId="31757"/>
    <cellStyle name="Comma 15 2 3 3 6" xfId="23746"/>
    <cellStyle name="Comma 15 2 3 4" xfId="11706"/>
    <cellStyle name="Comma 15 2 3 4 2" xfId="19731"/>
    <cellStyle name="Comma 15 2 3 4 2 2" xfId="33756"/>
    <cellStyle name="Comma 15 2 3 4 3" xfId="25745"/>
    <cellStyle name="Comma 15 2 3 5" xfId="13721"/>
    <cellStyle name="Comma 15 2 3 5 2" xfId="21736"/>
    <cellStyle name="Comma 15 2 3 5 2 2" xfId="35761"/>
    <cellStyle name="Comma 15 2 3 5 3" xfId="27750"/>
    <cellStyle name="Comma 15 2 3 6" xfId="15727"/>
    <cellStyle name="Comma 15 2 3 6 2" xfId="29752"/>
    <cellStyle name="Comma 15 2 3 7" xfId="17729"/>
    <cellStyle name="Comma 15 2 3 7 2" xfId="31754"/>
    <cellStyle name="Comma 15 2 3 8" xfId="23743"/>
    <cellStyle name="Comma 15 2 4" xfId="951"/>
    <cellStyle name="Comma 15 2 4 2" xfId="952"/>
    <cellStyle name="Comma 15 2 4 2 2" xfId="11711"/>
    <cellStyle name="Comma 15 2 4 2 2 2" xfId="19736"/>
    <cellStyle name="Comma 15 2 4 2 2 2 2" xfId="33761"/>
    <cellStyle name="Comma 15 2 4 2 2 3" xfId="25750"/>
    <cellStyle name="Comma 15 2 4 2 3" xfId="13726"/>
    <cellStyle name="Comma 15 2 4 2 3 2" xfId="21741"/>
    <cellStyle name="Comma 15 2 4 2 3 2 2" xfId="35766"/>
    <cellStyle name="Comma 15 2 4 2 3 3" xfId="27755"/>
    <cellStyle name="Comma 15 2 4 2 4" xfId="15732"/>
    <cellStyle name="Comma 15 2 4 2 4 2" xfId="29757"/>
    <cellStyle name="Comma 15 2 4 2 5" xfId="17734"/>
    <cellStyle name="Comma 15 2 4 2 5 2" xfId="31759"/>
    <cellStyle name="Comma 15 2 4 2 6" xfId="23748"/>
    <cellStyle name="Comma 15 2 4 3" xfId="11710"/>
    <cellStyle name="Comma 15 2 4 3 2" xfId="19735"/>
    <cellStyle name="Comma 15 2 4 3 2 2" xfId="33760"/>
    <cellStyle name="Comma 15 2 4 3 3" xfId="25749"/>
    <cellStyle name="Comma 15 2 4 4" xfId="13725"/>
    <cellStyle name="Comma 15 2 4 4 2" xfId="21740"/>
    <cellStyle name="Comma 15 2 4 4 2 2" xfId="35765"/>
    <cellStyle name="Comma 15 2 4 4 3" xfId="27754"/>
    <cellStyle name="Comma 15 2 4 5" xfId="15731"/>
    <cellStyle name="Comma 15 2 4 5 2" xfId="29756"/>
    <cellStyle name="Comma 15 2 4 6" xfId="17733"/>
    <cellStyle name="Comma 15 2 4 6 2" xfId="31758"/>
    <cellStyle name="Comma 15 2 4 7" xfId="23747"/>
    <cellStyle name="Comma 15 2 5" xfId="953"/>
    <cellStyle name="Comma 15 2 5 2" xfId="954"/>
    <cellStyle name="Comma 15 2 5 2 2" xfId="11713"/>
    <cellStyle name="Comma 15 2 5 2 2 2" xfId="19738"/>
    <cellStyle name="Comma 15 2 5 2 2 2 2" xfId="33763"/>
    <cellStyle name="Comma 15 2 5 2 2 3" xfId="25752"/>
    <cellStyle name="Comma 15 2 5 2 3" xfId="13728"/>
    <cellStyle name="Comma 15 2 5 2 3 2" xfId="21743"/>
    <cellStyle name="Comma 15 2 5 2 3 2 2" xfId="35768"/>
    <cellStyle name="Comma 15 2 5 2 3 3" xfId="27757"/>
    <cellStyle name="Comma 15 2 5 2 4" xfId="15734"/>
    <cellStyle name="Comma 15 2 5 2 4 2" xfId="29759"/>
    <cellStyle name="Comma 15 2 5 2 5" xfId="17736"/>
    <cellStyle name="Comma 15 2 5 2 5 2" xfId="31761"/>
    <cellStyle name="Comma 15 2 5 2 6" xfId="23750"/>
    <cellStyle name="Comma 15 2 5 3" xfId="11712"/>
    <cellStyle name="Comma 15 2 5 3 2" xfId="19737"/>
    <cellStyle name="Comma 15 2 5 3 2 2" xfId="33762"/>
    <cellStyle name="Comma 15 2 5 3 3" xfId="25751"/>
    <cellStyle name="Comma 15 2 5 4" xfId="13727"/>
    <cellStyle name="Comma 15 2 5 4 2" xfId="21742"/>
    <cellStyle name="Comma 15 2 5 4 2 2" xfId="35767"/>
    <cellStyle name="Comma 15 2 5 4 3" xfId="27756"/>
    <cellStyle name="Comma 15 2 5 5" xfId="15733"/>
    <cellStyle name="Comma 15 2 5 5 2" xfId="29758"/>
    <cellStyle name="Comma 15 2 5 6" xfId="17735"/>
    <cellStyle name="Comma 15 2 5 6 2" xfId="31760"/>
    <cellStyle name="Comma 15 2 5 7" xfId="23749"/>
    <cellStyle name="Comma 15 2 6" xfId="955"/>
    <cellStyle name="Comma 15 2 6 2" xfId="11714"/>
    <cellStyle name="Comma 15 2 6 2 2" xfId="19739"/>
    <cellStyle name="Comma 15 2 6 2 2 2" xfId="33764"/>
    <cellStyle name="Comma 15 2 6 2 3" xfId="25753"/>
    <cellStyle name="Comma 15 2 6 3" xfId="13729"/>
    <cellStyle name="Comma 15 2 6 3 2" xfId="21744"/>
    <cellStyle name="Comma 15 2 6 3 2 2" xfId="35769"/>
    <cellStyle name="Comma 15 2 6 3 3" xfId="27758"/>
    <cellStyle name="Comma 15 2 6 4" xfId="15735"/>
    <cellStyle name="Comma 15 2 6 4 2" xfId="29760"/>
    <cellStyle name="Comma 15 2 6 5" xfId="17737"/>
    <cellStyle name="Comma 15 2 6 5 2" xfId="31762"/>
    <cellStyle name="Comma 15 2 6 6" xfId="23751"/>
    <cellStyle name="Comma 15 2 7" xfId="11695"/>
    <cellStyle name="Comma 15 2 7 2" xfId="19720"/>
    <cellStyle name="Comma 15 2 7 2 2" xfId="33745"/>
    <cellStyle name="Comma 15 2 7 3" xfId="25734"/>
    <cellStyle name="Comma 15 2 8" xfId="13710"/>
    <cellStyle name="Comma 15 2 8 2" xfId="21725"/>
    <cellStyle name="Comma 15 2 8 2 2" xfId="35750"/>
    <cellStyle name="Comma 15 2 8 3" xfId="27739"/>
    <cellStyle name="Comma 15 2 9" xfId="15716"/>
    <cellStyle name="Comma 15 2 9 2" xfId="29741"/>
    <cellStyle name="Comma 15 3" xfId="956"/>
    <cellStyle name="Comma 15 3 10" xfId="23752"/>
    <cellStyle name="Comma 15 3 2" xfId="957"/>
    <cellStyle name="Comma 15 3 2 2" xfId="958"/>
    <cellStyle name="Comma 15 3 2 2 2" xfId="959"/>
    <cellStyle name="Comma 15 3 2 2 2 2" xfId="11718"/>
    <cellStyle name="Comma 15 3 2 2 2 2 2" xfId="19743"/>
    <cellStyle name="Comma 15 3 2 2 2 2 2 2" xfId="33768"/>
    <cellStyle name="Comma 15 3 2 2 2 2 3" xfId="25757"/>
    <cellStyle name="Comma 15 3 2 2 2 3" xfId="13733"/>
    <cellStyle name="Comma 15 3 2 2 2 3 2" xfId="21748"/>
    <cellStyle name="Comma 15 3 2 2 2 3 2 2" xfId="35773"/>
    <cellStyle name="Comma 15 3 2 2 2 3 3" xfId="27762"/>
    <cellStyle name="Comma 15 3 2 2 2 4" xfId="15739"/>
    <cellStyle name="Comma 15 3 2 2 2 4 2" xfId="29764"/>
    <cellStyle name="Comma 15 3 2 2 2 5" xfId="17741"/>
    <cellStyle name="Comma 15 3 2 2 2 5 2" xfId="31766"/>
    <cellStyle name="Comma 15 3 2 2 2 6" xfId="23755"/>
    <cellStyle name="Comma 15 3 2 2 3" xfId="11717"/>
    <cellStyle name="Comma 15 3 2 2 3 2" xfId="19742"/>
    <cellStyle name="Comma 15 3 2 2 3 2 2" xfId="33767"/>
    <cellStyle name="Comma 15 3 2 2 3 3" xfId="25756"/>
    <cellStyle name="Comma 15 3 2 2 4" xfId="13732"/>
    <cellStyle name="Comma 15 3 2 2 4 2" xfId="21747"/>
    <cellStyle name="Comma 15 3 2 2 4 2 2" xfId="35772"/>
    <cellStyle name="Comma 15 3 2 2 4 3" xfId="27761"/>
    <cellStyle name="Comma 15 3 2 2 5" xfId="15738"/>
    <cellStyle name="Comma 15 3 2 2 5 2" xfId="29763"/>
    <cellStyle name="Comma 15 3 2 2 6" xfId="17740"/>
    <cellStyle name="Comma 15 3 2 2 6 2" xfId="31765"/>
    <cellStyle name="Comma 15 3 2 2 7" xfId="23754"/>
    <cellStyle name="Comma 15 3 2 3" xfId="960"/>
    <cellStyle name="Comma 15 3 2 3 2" xfId="11719"/>
    <cellStyle name="Comma 15 3 2 3 2 2" xfId="19744"/>
    <cellStyle name="Comma 15 3 2 3 2 2 2" xfId="33769"/>
    <cellStyle name="Comma 15 3 2 3 2 3" xfId="25758"/>
    <cellStyle name="Comma 15 3 2 3 3" xfId="13734"/>
    <cellStyle name="Comma 15 3 2 3 3 2" xfId="21749"/>
    <cellStyle name="Comma 15 3 2 3 3 2 2" xfId="35774"/>
    <cellStyle name="Comma 15 3 2 3 3 3" xfId="27763"/>
    <cellStyle name="Comma 15 3 2 3 4" xfId="15740"/>
    <cellStyle name="Comma 15 3 2 3 4 2" xfId="29765"/>
    <cellStyle name="Comma 15 3 2 3 5" xfId="17742"/>
    <cellStyle name="Comma 15 3 2 3 5 2" xfId="31767"/>
    <cellStyle name="Comma 15 3 2 3 6" xfId="23756"/>
    <cellStyle name="Comma 15 3 2 4" xfId="11716"/>
    <cellStyle name="Comma 15 3 2 4 2" xfId="19741"/>
    <cellStyle name="Comma 15 3 2 4 2 2" xfId="33766"/>
    <cellStyle name="Comma 15 3 2 4 3" xfId="25755"/>
    <cellStyle name="Comma 15 3 2 5" xfId="13731"/>
    <cellStyle name="Comma 15 3 2 5 2" xfId="21746"/>
    <cellStyle name="Comma 15 3 2 5 2 2" xfId="35771"/>
    <cellStyle name="Comma 15 3 2 5 3" xfId="27760"/>
    <cellStyle name="Comma 15 3 2 6" xfId="15737"/>
    <cellStyle name="Comma 15 3 2 6 2" xfId="29762"/>
    <cellStyle name="Comma 15 3 2 7" xfId="17739"/>
    <cellStyle name="Comma 15 3 2 7 2" xfId="31764"/>
    <cellStyle name="Comma 15 3 2 8" xfId="23753"/>
    <cellStyle name="Comma 15 3 3" xfId="961"/>
    <cellStyle name="Comma 15 3 3 2" xfId="962"/>
    <cellStyle name="Comma 15 3 3 2 2" xfId="11721"/>
    <cellStyle name="Comma 15 3 3 2 2 2" xfId="19746"/>
    <cellStyle name="Comma 15 3 3 2 2 2 2" xfId="33771"/>
    <cellStyle name="Comma 15 3 3 2 2 3" xfId="25760"/>
    <cellStyle name="Comma 15 3 3 2 3" xfId="13736"/>
    <cellStyle name="Comma 15 3 3 2 3 2" xfId="21751"/>
    <cellStyle name="Comma 15 3 3 2 3 2 2" xfId="35776"/>
    <cellStyle name="Comma 15 3 3 2 3 3" xfId="27765"/>
    <cellStyle name="Comma 15 3 3 2 4" xfId="15742"/>
    <cellStyle name="Comma 15 3 3 2 4 2" xfId="29767"/>
    <cellStyle name="Comma 15 3 3 2 5" xfId="17744"/>
    <cellStyle name="Comma 15 3 3 2 5 2" xfId="31769"/>
    <cellStyle name="Comma 15 3 3 2 6" xfId="23758"/>
    <cellStyle name="Comma 15 3 3 3" xfId="11720"/>
    <cellStyle name="Comma 15 3 3 3 2" xfId="19745"/>
    <cellStyle name="Comma 15 3 3 3 2 2" xfId="33770"/>
    <cellStyle name="Comma 15 3 3 3 3" xfId="25759"/>
    <cellStyle name="Comma 15 3 3 4" xfId="13735"/>
    <cellStyle name="Comma 15 3 3 4 2" xfId="21750"/>
    <cellStyle name="Comma 15 3 3 4 2 2" xfId="35775"/>
    <cellStyle name="Comma 15 3 3 4 3" xfId="27764"/>
    <cellStyle name="Comma 15 3 3 5" xfId="15741"/>
    <cellStyle name="Comma 15 3 3 5 2" xfId="29766"/>
    <cellStyle name="Comma 15 3 3 6" xfId="17743"/>
    <cellStyle name="Comma 15 3 3 6 2" xfId="31768"/>
    <cellStyle name="Comma 15 3 3 7" xfId="23757"/>
    <cellStyle name="Comma 15 3 4" xfId="963"/>
    <cellStyle name="Comma 15 3 4 2" xfId="964"/>
    <cellStyle name="Comma 15 3 4 2 2" xfId="11723"/>
    <cellStyle name="Comma 15 3 4 2 2 2" xfId="19748"/>
    <cellStyle name="Comma 15 3 4 2 2 2 2" xfId="33773"/>
    <cellStyle name="Comma 15 3 4 2 2 3" xfId="25762"/>
    <cellStyle name="Comma 15 3 4 2 3" xfId="13738"/>
    <cellStyle name="Comma 15 3 4 2 3 2" xfId="21753"/>
    <cellStyle name="Comma 15 3 4 2 3 2 2" xfId="35778"/>
    <cellStyle name="Comma 15 3 4 2 3 3" xfId="27767"/>
    <cellStyle name="Comma 15 3 4 2 4" xfId="15744"/>
    <cellStyle name="Comma 15 3 4 2 4 2" xfId="29769"/>
    <cellStyle name="Comma 15 3 4 2 5" xfId="17746"/>
    <cellStyle name="Comma 15 3 4 2 5 2" xfId="31771"/>
    <cellStyle name="Comma 15 3 4 2 6" xfId="23760"/>
    <cellStyle name="Comma 15 3 4 3" xfId="11722"/>
    <cellStyle name="Comma 15 3 4 3 2" xfId="19747"/>
    <cellStyle name="Comma 15 3 4 3 2 2" xfId="33772"/>
    <cellStyle name="Comma 15 3 4 3 3" xfId="25761"/>
    <cellStyle name="Comma 15 3 4 4" xfId="13737"/>
    <cellStyle name="Comma 15 3 4 4 2" xfId="21752"/>
    <cellStyle name="Comma 15 3 4 4 2 2" xfId="35777"/>
    <cellStyle name="Comma 15 3 4 4 3" xfId="27766"/>
    <cellStyle name="Comma 15 3 4 5" xfId="15743"/>
    <cellStyle name="Comma 15 3 4 5 2" xfId="29768"/>
    <cellStyle name="Comma 15 3 4 6" xfId="17745"/>
    <cellStyle name="Comma 15 3 4 6 2" xfId="31770"/>
    <cellStyle name="Comma 15 3 4 7" xfId="23759"/>
    <cellStyle name="Comma 15 3 5" xfId="965"/>
    <cellStyle name="Comma 15 3 5 2" xfId="11724"/>
    <cellStyle name="Comma 15 3 5 2 2" xfId="19749"/>
    <cellStyle name="Comma 15 3 5 2 2 2" xfId="33774"/>
    <cellStyle name="Comma 15 3 5 2 3" xfId="25763"/>
    <cellStyle name="Comma 15 3 5 3" xfId="13739"/>
    <cellStyle name="Comma 15 3 5 3 2" xfId="21754"/>
    <cellStyle name="Comma 15 3 5 3 2 2" xfId="35779"/>
    <cellStyle name="Comma 15 3 5 3 3" xfId="27768"/>
    <cellStyle name="Comma 15 3 5 4" xfId="15745"/>
    <cellStyle name="Comma 15 3 5 4 2" xfId="29770"/>
    <cellStyle name="Comma 15 3 5 5" xfId="17747"/>
    <cellStyle name="Comma 15 3 5 5 2" xfId="31772"/>
    <cellStyle name="Comma 15 3 5 6" xfId="23761"/>
    <cellStyle name="Comma 15 3 6" xfId="11715"/>
    <cellStyle name="Comma 15 3 6 2" xfId="19740"/>
    <cellStyle name="Comma 15 3 6 2 2" xfId="33765"/>
    <cellStyle name="Comma 15 3 6 3" xfId="25754"/>
    <cellStyle name="Comma 15 3 7" xfId="13730"/>
    <cellStyle name="Comma 15 3 7 2" xfId="21745"/>
    <cellStyle name="Comma 15 3 7 2 2" xfId="35770"/>
    <cellStyle name="Comma 15 3 7 3" xfId="27759"/>
    <cellStyle name="Comma 15 3 8" xfId="15736"/>
    <cellStyle name="Comma 15 3 8 2" xfId="29761"/>
    <cellStyle name="Comma 15 3 9" xfId="17738"/>
    <cellStyle name="Comma 15 3 9 2" xfId="31763"/>
    <cellStyle name="Comma 15 4" xfId="966"/>
    <cellStyle name="Comma 15 4 2" xfId="967"/>
    <cellStyle name="Comma 15 4 2 2" xfId="968"/>
    <cellStyle name="Comma 15 4 2 2 2" xfId="11727"/>
    <cellStyle name="Comma 15 4 2 2 2 2" xfId="19752"/>
    <cellStyle name="Comma 15 4 2 2 2 2 2" xfId="33777"/>
    <cellStyle name="Comma 15 4 2 2 2 3" xfId="25766"/>
    <cellStyle name="Comma 15 4 2 2 3" xfId="13742"/>
    <cellStyle name="Comma 15 4 2 2 3 2" xfId="21757"/>
    <cellStyle name="Comma 15 4 2 2 3 2 2" xfId="35782"/>
    <cellStyle name="Comma 15 4 2 2 3 3" xfId="27771"/>
    <cellStyle name="Comma 15 4 2 2 4" xfId="15748"/>
    <cellStyle name="Comma 15 4 2 2 4 2" xfId="29773"/>
    <cellStyle name="Comma 15 4 2 2 5" xfId="17750"/>
    <cellStyle name="Comma 15 4 2 2 5 2" xfId="31775"/>
    <cellStyle name="Comma 15 4 2 2 6" xfId="23764"/>
    <cellStyle name="Comma 15 4 2 3" xfId="11726"/>
    <cellStyle name="Comma 15 4 2 3 2" xfId="19751"/>
    <cellStyle name="Comma 15 4 2 3 2 2" xfId="33776"/>
    <cellStyle name="Comma 15 4 2 3 3" xfId="25765"/>
    <cellStyle name="Comma 15 4 2 4" xfId="13741"/>
    <cellStyle name="Comma 15 4 2 4 2" xfId="21756"/>
    <cellStyle name="Comma 15 4 2 4 2 2" xfId="35781"/>
    <cellStyle name="Comma 15 4 2 4 3" xfId="27770"/>
    <cellStyle name="Comma 15 4 2 5" xfId="15747"/>
    <cellStyle name="Comma 15 4 2 5 2" xfId="29772"/>
    <cellStyle name="Comma 15 4 2 6" xfId="17749"/>
    <cellStyle name="Comma 15 4 2 6 2" xfId="31774"/>
    <cellStyle name="Comma 15 4 2 7" xfId="23763"/>
    <cellStyle name="Comma 15 4 3" xfId="969"/>
    <cellStyle name="Comma 15 4 3 2" xfId="11728"/>
    <cellStyle name="Comma 15 4 3 2 2" xfId="19753"/>
    <cellStyle name="Comma 15 4 3 2 2 2" xfId="33778"/>
    <cellStyle name="Comma 15 4 3 2 3" xfId="25767"/>
    <cellStyle name="Comma 15 4 3 3" xfId="13743"/>
    <cellStyle name="Comma 15 4 3 3 2" xfId="21758"/>
    <cellStyle name="Comma 15 4 3 3 2 2" xfId="35783"/>
    <cellStyle name="Comma 15 4 3 3 3" xfId="27772"/>
    <cellStyle name="Comma 15 4 3 4" xfId="15749"/>
    <cellStyle name="Comma 15 4 3 4 2" xfId="29774"/>
    <cellStyle name="Comma 15 4 3 5" xfId="17751"/>
    <cellStyle name="Comma 15 4 3 5 2" xfId="31776"/>
    <cellStyle name="Comma 15 4 3 6" xfId="23765"/>
    <cellStyle name="Comma 15 4 4" xfId="11725"/>
    <cellStyle name="Comma 15 4 4 2" xfId="19750"/>
    <cellStyle name="Comma 15 4 4 2 2" xfId="33775"/>
    <cellStyle name="Comma 15 4 4 3" xfId="25764"/>
    <cellStyle name="Comma 15 4 5" xfId="13740"/>
    <cellStyle name="Comma 15 4 5 2" xfId="21755"/>
    <cellStyle name="Comma 15 4 5 2 2" xfId="35780"/>
    <cellStyle name="Comma 15 4 5 3" xfId="27769"/>
    <cellStyle name="Comma 15 4 6" xfId="15746"/>
    <cellStyle name="Comma 15 4 6 2" xfId="29771"/>
    <cellStyle name="Comma 15 4 7" xfId="17748"/>
    <cellStyle name="Comma 15 4 7 2" xfId="31773"/>
    <cellStyle name="Comma 15 4 8" xfId="23762"/>
    <cellStyle name="Comma 15 5" xfId="970"/>
    <cellStyle name="Comma 15 5 2" xfId="971"/>
    <cellStyle name="Comma 15 5 2 2" xfId="11730"/>
    <cellStyle name="Comma 15 5 2 2 2" xfId="19755"/>
    <cellStyle name="Comma 15 5 2 2 2 2" xfId="33780"/>
    <cellStyle name="Comma 15 5 2 2 3" xfId="25769"/>
    <cellStyle name="Comma 15 5 2 3" xfId="13745"/>
    <cellStyle name="Comma 15 5 2 3 2" xfId="21760"/>
    <cellStyle name="Comma 15 5 2 3 2 2" xfId="35785"/>
    <cellStyle name="Comma 15 5 2 3 3" xfId="27774"/>
    <cellStyle name="Comma 15 5 2 4" xfId="15751"/>
    <cellStyle name="Comma 15 5 2 4 2" xfId="29776"/>
    <cellStyle name="Comma 15 5 2 5" xfId="17753"/>
    <cellStyle name="Comma 15 5 2 5 2" xfId="31778"/>
    <cellStyle name="Comma 15 5 2 6" xfId="23767"/>
    <cellStyle name="Comma 15 5 3" xfId="11729"/>
    <cellStyle name="Comma 15 5 3 2" xfId="19754"/>
    <cellStyle name="Comma 15 5 3 2 2" xfId="33779"/>
    <cellStyle name="Comma 15 5 3 3" xfId="25768"/>
    <cellStyle name="Comma 15 5 4" xfId="13744"/>
    <cellStyle name="Comma 15 5 4 2" xfId="21759"/>
    <cellStyle name="Comma 15 5 4 2 2" xfId="35784"/>
    <cellStyle name="Comma 15 5 4 3" xfId="27773"/>
    <cellStyle name="Comma 15 5 5" xfId="15750"/>
    <cellStyle name="Comma 15 5 5 2" xfId="29775"/>
    <cellStyle name="Comma 15 5 6" xfId="17752"/>
    <cellStyle name="Comma 15 5 6 2" xfId="31777"/>
    <cellStyle name="Comma 15 5 7" xfId="23766"/>
    <cellStyle name="Comma 15 6" xfId="972"/>
    <cellStyle name="Comma 15 6 2" xfId="973"/>
    <cellStyle name="Comma 15 6 2 2" xfId="11732"/>
    <cellStyle name="Comma 15 6 2 2 2" xfId="19757"/>
    <cellStyle name="Comma 15 6 2 2 2 2" xfId="33782"/>
    <cellStyle name="Comma 15 6 2 2 3" xfId="25771"/>
    <cellStyle name="Comma 15 6 2 3" xfId="13747"/>
    <cellStyle name="Comma 15 6 2 3 2" xfId="21762"/>
    <cellStyle name="Comma 15 6 2 3 2 2" xfId="35787"/>
    <cellStyle name="Comma 15 6 2 3 3" xfId="27776"/>
    <cellStyle name="Comma 15 6 2 4" xfId="15753"/>
    <cellStyle name="Comma 15 6 2 4 2" xfId="29778"/>
    <cellStyle name="Comma 15 6 2 5" xfId="17755"/>
    <cellStyle name="Comma 15 6 2 5 2" xfId="31780"/>
    <cellStyle name="Comma 15 6 2 6" xfId="23769"/>
    <cellStyle name="Comma 15 6 3" xfId="11731"/>
    <cellStyle name="Comma 15 6 3 2" xfId="19756"/>
    <cellStyle name="Comma 15 6 3 2 2" xfId="33781"/>
    <cellStyle name="Comma 15 6 3 3" xfId="25770"/>
    <cellStyle name="Comma 15 6 4" xfId="13746"/>
    <cellStyle name="Comma 15 6 4 2" xfId="21761"/>
    <cellStyle name="Comma 15 6 4 2 2" xfId="35786"/>
    <cellStyle name="Comma 15 6 4 3" xfId="27775"/>
    <cellStyle name="Comma 15 6 5" xfId="15752"/>
    <cellStyle name="Comma 15 6 5 2" xfId="29777"/>
    <cellStyle name="Comma 15 6 6" xfId="17754"/>
    <cellStyle name="Comma 15 6 6 2" xfId="31779"/>
    <cellStyle name="Comma 15 6 7" xfId="23768"/>
    <cellStyle name="Comma 15 7" xfId="974"/>
    <cellStyle name="Comma 15 7 2" xfId="11733"/>
    <cellStyle name="Comma 15 7 2 2" xfId="19758"/>
    <cellStyle name="Comma 15 7 2 2 2" xfId="33783"/>
    <cellStyle name="Comma 15 7 2 3" xfId="25772"/>
    <cellStyle name="Comma 15 7 3" xfId="13748"/>
    <cellStyle name="Comma 15 7 3 2" xfId="21763"/>
    <cellStyle name="Comma 15 7 3 2 2" xfId="35788"/>
    <cellStyle name="Comma 15 7 3 3" xfId="27777"/>
    <cellStyle name="Comma 15 7 4" xfId="15754"/>
    <cellStyle name="Comma 15 7 4 2" xfId="29779"/>
    <cellStyle name="Comma 15 7 5" xfId="17756"/>
    <cellStyle name="Comma 15 7 5 2" xfId="31781"/>
    <cellStyle name="Comma 15 7 6" xfId="23770"/>
    <cellStyle name="Comma 15 8" xfId="11280"/>
    <cellStyle name="Comma 15 8 2" xfId="13643"/>
    <cellStyle name="Comma 15 8 2 2" xfId="21665"/>
    <cellStyle name="Comma 15 8 2 2 2" xfId="35690"/>
    <cellStyle name="Comma 15 8 2 3" xfId="27679"/>
    <cellStyle name="Comma 15 8 3" xfId="15653"/>
    <cellStyle name="Comma 15 8 3 2" xfId="23668"/>
    <cellStyle name="Comma 15 8 3 2 2" xfId="37693"/>
    <cellStyle name="Comma 15 8 3 3" xfId="29682"/>
    <cellStyle name="Comma 15 8 4" xfId="17659"/>
    <cellStyle name="Comma 15 8 4 2" xfId="31684"/>
    <cellStyle name="Comma 15 8 5" xfId="19661"/>
    <cellStyle name="Comma 15 8 5 2" xfId="33686"/>
    <cellStyle name="Comma 15 8 6" xfId="25675"/>
    <cellStyle name="Comma 15 9" xfId="11644"/>
    <cellStyle name="Comma 15 9 2" xfId="19669"/>
    <cellStyle name="Comma 15 9 2 2" xfId="33694"/>
    <cellStyle name="Comma 15 9 3" xfId="25683"/>
    <cellStyle name="Comma 16" xfId="975"/>
    <cellStyle name="Comma 16 10" xfId="15755"/>
    <cellStyle name="Comma 16 10 2" xfId="29780"/>
    <cellStyle name="Comma 16 11" xfId="17757"/>
    <cellStyle name="Comma 16 11 2" xfId="31782"/>
    <cellStyle name="Comma 16 12" xfId="23771"/>
    <cellStyle name="Comma 16 2" xfId="976"/>
    <cellStyle name="Comma 16 2 10" xfId="17758"/>
    <cellStyle name="Comma 16 2 10 2" xfId="31783"/>
    <cellStyle name="Comma 16 2 11" xfId="23772"/>
    <cellStyle name="Comma 16 2 2" xfId="977"/>
    <cellStyle name="Comma 16 2 2 10" xfId="23773"/>
    <cellStyle name="Comma 16 2 2 2" xfId="978"/>
    <cellStyle name="Comma 16 2 2 2 2" xfId="979"/>
    <cellStyle name="Comma 16 2 2 2 2 2" xfId="980"/>
    <cellStyle name="Comma 16 2 2 2 2 2 2" xfId="11739"/>
    <cellStyle name="Comma 16 2 2 2 2 2 2 2" xfId="19764"/>
    <cellStyle name="Comma 16 2 2 2 2 2 2 2 2" xfId="33789"/>
    <cellStyle name="Comma 16 2 2 2 2 2 2 3" xfId="25778"/>
    <cellStyle name="Comma 16 2 2 2 2 2 3" xfId="13754"/>
    <cellStyle name="Comma 16 2 2 2 2 2 3 2" xfId="21769"/>
    <cellStyle name="Comma 16 2 2 2 2 2 3 2 2" xfId="35794"/>
    <cellStyle name="Comma 16 2 2 2 2 2 3 3" xfId="27783"/>
    <cellStyle name="Comma 16 2 2 2 2 2 4" xfId="15760"/>
    <cellStyle name="Comma 16 2 2 2 2 2 4 2" xfId="29785"/>
    <cellStyle name="Comma 16 2 2 2 2 2 5" xfId="17762"/>
    <cellStyle name="Comma 16 2 2 2 2 2 5 2" xfId="31787"/>
    <cellStyle name="Comma 16 2 2 2 2 2 6" xfId="23776"/>
    <cellStyle name="Comma 16 2 2 2 2 3" xfId="11738"/>
    <cellStyle name="Comma 16 2 2 2 2 3 2" xfId="19763"/>
    <cellStyle name="Comma 16 2 2 2 2 3 2 2" xfId="33788"/>
    <cellStyle name="Comma 16 2 2 2 2 3 3" xfId="25777"/>
    <cellStyle name="Comma 16 2 2 2 2 4" xfId="13753"/>
    <cellStyle name="Comma 16 2 2 2 2 4 2" xfId="21768"/>
    <cellStyle name="Comma 16 2 2 2 2 4 2 2" xfId="35793"/>
    <cellStyle name="Comma 16 2 2 2 2 4 3" xfId="27782"/>
    <cellStyle name="Comma 16 2 2 2 2 5" xfId="15759"/>
    <cellStyle name="Comma 16 2 2 2 2 5 2" xfId="29784"/>
    <cellStyle name="Comma 16 2 2 2 2 6" xfId="17761"/>
    <cellStyle name="Comma 16 2 2 2 2 6 2" xfId="31786"/>
    <cellStyle name="Comma 16 2 2 2 2 7" xfId="23775"/>
    <cellStyle name="Comma 16 2 2 2 3" xfId="981"/>
    <cellStyle name="Comma 16 2 2 2 3 2" xfId="11740"/>
    <cellStyle name="Comma 16 2 2 2 3 2 2" xfId="19765"/>
    <cellStyle name="Comma 16 2 2 2 3 2 2 2" xfId="33790"/>
    <cellStyle name="Comma 16 2 2 2 3 2 3" xfId="25779"/>
    <cellStyle name="Comma 16 2 2 2 3 3" xfId="13755"/>
    <cellStyle name="Comma 16 2 2 2 3 3 2" xfId="21770"/>
    <cellStyle name="Comma 16 2 2 2 3 3 2 2" xfId="35795"/>
    <cellStyle name="Comma 16 2 2 2 3 3 3" xfId="27784"/>
    <cellStyle name="Comma 16 2 2 2 3 4" xfId="15761"/>
    <cellStyle name="Comma 16 2 2 2 3 4 2" xfId="29786"/>
    <cellStyle name="Comma 16 2 2 2 3 5" xfId="17763"/>
    <cellStyle name="Comma 16 2 2 2 3 5 2" xfId="31788"/>
    <cellStyle name="Comma 16 2 2 2 3 6" xfId="23777"/>
    <cellStyle name="Comma 16 2 2 2 4" xfId="11737"/>
    <cellStyle name="Comma 16 2 2 2 4 2" xfId="19762"/>
    <cellStyle name="Comma 16 2 2 2 4 2 2" xfId="33787"/>
    <cellStyle name="Comma 16 2 2 2 4 3" xfId="25776"/>
    <cellStyle name="Comma 16 2 2 2 5" xfId="13752"/>
    <cellStyle name="Comma 16 2 2 2 5 2" xfId="21767"/>
    <cellStyle name="Comma 16 2 2 2 5 2 2" xfId="35792"/>
    <cellStyle name="Comma 16 2 2 2 5 3" xfId="27781"/>
    <cellStyle name="Comma 16 2 2 2 6" xfId="15758"/>
    <cellStyle name="Comma 16 2 2 2 6 2" xfId="29783"/>
    <cellStyle name="Comma 16 2 2 2 7" xfId="17760"/>
    <cellStyle name="Comma 16 2 2 2 7 2" xfId="31785"/>
    <cellStyle name="Comma 16 2 2 2 8" xfId="23774"/>
    <cellStyle name="Comma 16 2 2 3" xfId="982"/>
    <cellStyle name="Comma 16 2 2 3 2" xfId="983"/>
    <cellStyle name="Comma 16 2 2 3 2 2" xfId="11742"/>
    <cellStyle name="Comma 16 2 2 3 2 2 2" xfId="19767"/>
    <cellStyle name="Comma 16 2 2 3 2 2 2 2" xfId="33792"/>
    <cellStyle name="Comma 16 2 2 3 2 2 3" xfId="25781"/>
    <cellStyle name="Comma 16 2 2 3 2 3" xfId="13757"/>
    <cellStyle name="Comma 16 2 2 3 2 3 2" xfId="21772"/>
    <cellStyle name="Comma 16 2 2 3 2 3 2 2" xfId="35797"/>
    <cellStyle name="Comma 16 2 2 3 2 3 3" xfId="27786"/>
    <cellStyle name="Comma 16 2 2 3 2 4" xfId="15763"/>
    <cellStyle name="Comma 16 2 2 3 2 4 2" xfId="29788"/>
    <cellStyle name="Comma 16 2 2 3 2 5" xfId="17765"/>
    <cellStyle name="Comma 16 2 2 3 2 5 2" xfId="31790"/>
    <cellStyle name="Comma 16 2 2 3 2 6" xfId="23779"/>
    <cellStyle name="Comma 16 2 2 3 3" xfId="11741"/>
    <cellStyle name="Comma 16 2 2 3 3 2" xfId="19766"/>
    <cellStyle name="Comma 16 2 2 3 3 2 2" xfId="33791"/>
    <cellStyle name="Comma 16 2 2 3 3 3" xfId="25780"/>
    <cellStyle name="Comma 16 2 2 3 4" xfId="13756"/>
    <cellStyle name="Comma 16 2 2 3 4 2" xfId="21771"/>
    <cellStyle name="Comma 16 2 2 3 4 2 2" xfId="35796"/>
    <cellStyle name="Comma 16 2 2 3 4 3" xfId="27785"/>
    <cellStyle name="Comma 16 2 2 3 5" xfId="15762"/>
    <cellStyle name="Comma 16 2 2 3 5 2" xfId="29787"/>
    <cellStyle name="Comma 16 2 2 3 6" xfId="17764"/>
    <cellStyle name="Comma 16 2 2 3 6 2" xfId="31789"/>
    <cellStyle name="Comma 16 2 2 3 7" xfId="23778"/>
    <cellStyle name="Comma 16 2 2 4" xfId="984"/>
    <cellStyle name="Comma 16 2 2 4 2" xfId="985"/>
    <cellStyle name="Comma 16 2 2 4 2 2" xfId="11744"/>
    <cellStyle name="Comma 16 2 2 4 2 2 2" xfId="19769"/>
    <cellStyle name="Comma 16 2 2 4 2 2 2 2" xfId="33794"/>
    <cellStyle name="Comma 16 2 2 4 2 2 3" xfId="25783"/>
    <cellStyle name="Comma 16 2 2 4 2 3" xfId="13759"/>
    <cellStyle name="Comma 16 2 2 4 2 3 2" xfId="21774"/>
    <cellStyle name="Comma 16 2 2 4 2 3 2 2" xfId="35799"/>
    <cellStyle name="Comma 16 2 2 4 2 3 3" xfId="27788"/>
    <cellStyle name="Comma 16 2 2 4 2 4" xfId="15765"/>
    <cellStyle name="Comma 16 2 2 4 2 4 2" xfId="29790"/>
    <cellStyle name="Comma 16 2 2 4 2 5" xfId="17767"/>
    <cellStyle name="Comma 16 2 2 4 2 5 2" xfId="31792"/>
    <cellStyle name="Comma 16 2 2 4 2 6" xfId="23781"/>
    <cellStyle name="Comma 16 2 2 4 3" xfId="11743"/>
    <cellStyle name="Comma 16 2 2 4 3 2" xfId="19768"/>
    <cellStyle name="Comma 16 2 2 4 3 2 2" xfId="33793"/>
    <cellStyle name="Comma 16 2 2 4 3 3" xfId="25782"/>
    <cellStyle name="Comma 16 2 2 4 4" xfId="13758"/>
    <cellStyle name="Comma 16 2 2 4 4 2" xfId="21773"/>
    <cellStyle name="Comma 16 2 2 4 4 2 2" xfId="35798"/>
    <cellStyle name="Comma 16 2 2 4 4 3" xfId="27787"/>
    <cellStyle name="Comma 16 2 2 4 5" xfId="15764"/>
    <cellStyle name="Comma 16 2 2 4 5 2" xfId="29789"/>
    <cellStyle name="Comma 16 2 2 4 6" xfId="17766"/>
    <cellStyle name="Comma 16 2 2 4 6 2" xfId="31791"/>
    <cellStyle name="Comma 16 2 2 4 7" xfId="23780"/>
    <cellStyle name="Comma 16 2 2 5" xfId="986"/>
    <cellStyle name="Comma 16 2 2 5 2" xfId="11745"/>
    <cellStyle name="Comma 16 2 2 5 2 2" xfId="19770"/>
    <cellStyle name="Comma 16 2 2 5 2 2 2" xfId="33795"/>
    <cellStyle name="Comma 16 2 2 5 2 3" xfId="25784"/>
    <cellStyle name="Comma 16 2 2 5 3" xfId="13760"/>
    <cellStyle name="Comma 16 2 2 5 3 2" xfId="21775"/>
    <cellStyle name="Comma 16 2 2 5 3 2 2" xfId="35800"/>
    <cellStyle name="Comma 16 2 2 5 3 3" xfId="27789"/>
    <cellStyle name="Comma 16 2 2 5 4" xfId="15766"/>
    <cellStyle name="Comma 16 2 2 5 4 2" xfId="29791"/>
    <cellStyle name="Comma 16 2 2 5 5" xfId="17768"/>
    <cellStyle name="Comma 16 2 2 5 5 2" xfId="31793"/>
    <cellStyle name="Comma 16 2 2 5 6" xfId="23782"/>
    <cellStyle name="Comma 16 2 2 6" xfId="11736"/>
    <cellStyle name="Comma 16 2 2 6 2" xfId="19761"/>
    <cellStyle name="Comma 16 2 2 6 2 2" xfId="33786"/>
    <cellStyle name="Comma 16 2 2 6 3" xfId="25775"/>
    <cellStyle name="Comma 16 2 2 7" xfId="13751"/>
    <cellStyle name="Comma 16 2 2 7 2" xfId="21766"/>
    <cellStyle name="Comma 16 2 2 7 2 2" xfId="35791"/>
    <cellStyle name="Comma 16 2 2 7 3" xfId="27780"/>
    <cellStyle name="Comma 16 2 2 8" xfId="15757"/>
    <cellStyle name="Comma 16 2 2 8 2" xfId="29782"/>
    <cellStyle name="Comma 16 2 2 9" xfId="17759"/>
    <cellStyle name="Comma 16 2 2 9 2" xfId="31784"/>
    <cellStyle name="Comma 16 2 3" xfId="987"/>
    <cellStyle name="Comma 16 2 3 2" xfId="988"/>
    <cellStyle name="Comma 16 2 3 2 2" xfId="989"/>
    <cellStyle name="Comma 16 2 3 2 2 2" xfId="11748"/>
    <cellStyle name="Comma 16 2 3 2 2 2 2" xfId="19773"/>
    <cellStyle name="Comma 16 2 3 2 2 2 2 2" xfId="33798"/>
    <cellStyle name="Comma 16 2 3 2 2 2 3" xfId="25787"/>
    <cellStyle name="Comma 16 2 3 2 2 3" xfId="13763"/>
    <cellStyle name="Comma 16 2 3 2 2 3 2" xfId="21778"/>
    <cellStyle name="Comma 16 2 3 2 2 3 2 2" xfId="35803"/>
    <cellStyle name="Comma 16 2 3 2 2 3 3" xfId="27792"/>
    <cellStyle name="Comma 16 2 3 2 2 4" xfId="15769"/>
    <cellStyle name="Comma 16 2 3 2 2 4 2" xfId="29794"/>
    <cellStyle name="Comma 16 2 3 2 2 5" xfId="17771"/>
    <cellStyle name="Comma 16 2 3 2 2 5 2" xfId="31796"/>
    <cellStyle name="Comma 16 2 3 2 2 6" xfId="23785"/>
    <cellStyle name="Comma 16 2 3 2 3" xfId="11747"/>
    <cellStyle name="Comma 16 2 3 2 3 2" xfId="19772"/>
    <cellStyle name="Comma 16 2 3 2 3 2 2" xfId="33797"/>
    <cellStyle name="Comma 16 2 3 2 3 3" xfId="25786"/>
    <cellStyle name="Comma 16 2 3 2 4" xfId="13762"/>
    <cellStyle name="Comma 16 2 3 2 4 2" xfId="21777"/>
    <cellStyle name="Comma 16 2 3 2 4 2 2" xfId="35802"/>
    <cellStyle name="Comma 16 2 3 2 4 3" xfId="27791"/>
    <cellStyle name="Comma 16 2 3 2 5" xfId="15768"/>
    <cellStyle name="Comma 16 2 3 2 5 2" xfId="29793"/>
    <cellStyle name="Comma 16 2 3 2 6" xfId="17770"/>
    <cellStyle name="Comma 16 2 3 2 6 2" xfId="31795"/>
    <cellStyle name="Comma 16 2 3 2 7" xfId="23784"/>
    <cellStyle name="Comma 16 2 3 3" xfId="990"/>
    <cellStyle name="Comma 16 2 3 3 2" xfId="11749"/>
    <cellStyle name="Comma 16 2 3 3 2 2" xfId="19774"/>
    <cellStyle name="Comma 16 2 3 3 2 2 2" xfId="33799"/>
    <cellStyle name="Comma 16 2 3 3 2 3" xfId="25788"/>
    <cellStyle name="Comma 16 2 3 3 3" xfId="13764"/>
    <cellStyle name="Comma 16 2 3 3 3 2" xfId="21779"/>
    <cellStyle name="Comma 16 2 3 3 3 2 2" xfId="35804"/>
    <cellStyle name="Comma 16 2 3 3 3 3" xfId="27793"/>
    <cellStyle name="Comma 16 2 3 3 4" xfId="15770"/>
    <cellStyle name="Comma 16 2 3 3 4 2" xfId="29795"/>
    <cellStyle name="Comma 16 2 3 3 5" xfId="17772"/>
    <cellStyle name="Comma 16 2 3 3 5 2" xfId="31797"/>
    <cellStyle name="Comma 16 2 3 3 6" xfId="23786"/>
    <cellStyle name="Comma 16 2 3 4" xfId="11746"/>
    <cellStyle name="Comma 16 2 3 4 2" xfId="19771"/>
    <cellStyle name="Comma 16 2 3 4 2 2" xfId="33796"/>
    <cellStyle name="Comma 16 2 3 4 3" xfId="25785"/>
    <cellStyle name="Comma 16 2 3 5" xfId="13761"/>
    <cellStyle name="Comma 16 2 3 5 2" xfId="21776"/>
    <cellStyle name="Comma 16 2 3 5 2 2" xfId="35801"/>
    <cellStyle name="Comma 16 2 3 5 3" xfId="27790"/>
    <cellStyle name="Comma 16 2 3 6" xfId="15767"/>
    <cellStyle name="Comma 16 2 3 6 2" xfId="29792"/>
    <cellStyle name="Comma 16 2 3 7" xfId="17769"/>
    <cellStyle name="Comma 16 2 3 7 2" xfId="31794"/>
    <cellStyle name="Comma 16 2 3 8" xfId="23783"/>
    <cellStyle name="Comma 16 2 4" xfId="991"/>
    <cellStyle name="Comma 16 2 4 2" xfId="992"/>
    <cellStyle name="Comma 16 2 4 2 2" xfId="11751"/>
    <cellStyle name="Comma 16 2 4 2 2 2" xfId="19776"/>
    <cellStyle name="Comma 16 2 4 2 2 2 2" xfId="33801"/>
    <cellStyle name="Comma 16 2 4 2 2 3" xfId="25790"/>
    <cellStyle name="Comma 16 2 4 2 3" xfId="13766"/>
    <cellStyle name="Comma 16 2 4 2 3 2" xfId="21781"/>
    <cellStyle name="Comma 16 2 4 2 3 2 2" xfId="35806"/>
    <cellStyle name="Comma 16 2 4 2 3 3" xfId="27795"/>
    <cellStyle name="Comma 16 2 4 2 4" xfId="15772"/>
    <cellStyle name="Comma 16 2 4 2 4 2" xfId="29797"/>
    <cellStyle name="Comma 16 2 4 2 5" xfId="17774"/>
    <cellStyle name="Comma 16 2 4 2 5 2" xfId="31799"/>
    <cellStyle name="Comma 16 2 4 2 6" xfId="23788"/>
    <cellStyle name="Comma 16 2 4 3" xfId="11750"/>
    <cellStyle name="Comma 16 2 4 3 2" xfId="19775"/>
    <cellStyle name="Comma 16 2 4 3 2 2" xfId="33800"/>
    <cellStyle name="Comma 16 2 4 3 3" xfId="25789"/>
    <cellStyle name="Comma 16 2 4 4" xfId="13765"/>
    <cellStyle name="Comma 16 2 4 4 2" xfId="21780"/>
    <cellStyle name="Comma 16 2 4 4 2 2" xfId="35805"/>
    <cellStyle name="Comma 16 2 4 4 3" xfId="27794"/>
    <cellStyle name="Comma 16 2 4 5" xfId="15771"/>
    <cellStyle name="Comma 16 2 4 5 2" xfId="29796"/>
    <cellStyle name="Comma 16 2 4 6" xfId="17773"/>
    <cellStyle name="Comma 16 2 4 6 2" xfId="31798"/>
    <cellStyle name="Comma 16 2 4 7" xfId="23787"/>
    <cellStyle name="Comma 16 2 5" xfId="993"/>
    <cellStyle name="Comma 16 2 5 2" xfId="994"/>
    <cellStyle name="Comma 16 2 5 2 2" xfId="11753"/>
    <cellStyle name="Comma 16 2 5 2 2 2" xfId="19778"/>
    <cellStyle name="Comma 16 2 5 2 2 2 2" xfId="33803"/>
    <cellStyle name="Comma 16 2 5 2 2 3" xfId="25792"/>
    <cellStyle name="Comma 16 2 5 2 3" xfId="13768"/>
    <cellStyle name="Comma 16 2 5 2 3 2" xfId="21783"/>
    <cellStyle name="Comma 16 2 5 2 3 2 2" xfId="35808"/>
    <cellStyle name="Comma 16 2 5 2 3 3" xfId="27797"/>
    <cellStyle name="Comma 16 2 5 2 4" xfId="15774"/>
    <cellStyle name="Comma 16 2 5 2 4 2" xfId="29799"/>
    <cellStyle name="Comma 16 2 5 2 5" xfId="17776"/>
    <cellStyle name="Comma 16 2 5 2 5 2" xfId="31801"/>
    <cellStyle name="Comma 16 2 5 2 6" xfId="23790"/>
    <cellStyle name="Comma 16 2 5 3" xfId="11752"/>
    <cellStyle name="Comma 16 2 5 3 2" xfId="19777"/>
    <cellStyle name="Comma 16 2 5 3 2 2" xfId="33802"/>
    <cellStyle name="Comma 16 2 5 3 3" xfId="25791"/>
    <cellStyle name="Comma 16 2 5 4" xfId="13767"/>
    <cellStyle name="Comma 16 2 5 4 2" xfId="21782"/>
    <cellStyle name="Comma 16 2 5 4 2 2" xfId="35807"/>
    <cellStyle name="Comma 16 2 5 4 3" xfId="27796"/>
    <cellStyle name="Comma 16 2 5 5" xfId="15773"/>
    <cellStyle name="Comma 16 2 5 5 2" xfId="29798"/>
    <cellStyle name="Comma 16 2 5 6" xfId="17775"/>
    <cellStyle name="Comma 16 2 5 6 2" xfId="31800"/>
    <cellStyle name="Comma 16 2 5 7" xfId="23789"/>
    <cellStyle name="Comma 16 2 6" xfId="995"/>
    <cellStyle name="Comma 16 2 6 2" xfId="11754"/>
    <cellStyle name="Comma 16 2 6 2 2" xfId="19779"/>
    <cellStyle name="Comma 16 2 6 2 2 2" xfId="33804"/>
    <cellStyle name="Comma 16 2 6 2 3" xfId="25793"/>
    <cellStyle name="Comma 16 2 6 3" xfId="13769"/>
    <cellStyle name="Comma 16 2 6 3 2" xfId="21784"/>
    <cellStyle name="Comma 16 2 6 3 2 2" xfId="35809"/>
    <cellStyle name="Comma 16 2 6 3 3" xfId="27798"/>
    <cellStyle name="Comma 16 2 6 4" xfId="15775"/>
    <cellStyle name="Comma 16 2 6 4 2" xfId="29800"/>
    <cellStyle name="Comma 16 2 6 5" xfId="17777"/>
    <cellStyle name="Comma 16 2 6 5 2" xfId="31802"/>
    <cellStyle name="Comma 16 2 6 6" xfId="23791"/>
    <cellStyle name="Comma 16 2 7" xfId="11735"/>
    <cellStyle name="Comma 16 2 7 2" xfId="19760"/>
    <cellStyle name="Comma 16 2 7 2 2" xfId="33785"/>
    <cellStyle name="Comma 16 2 7 3" xfId="25774"/>
    <cellStyle name="Comma 16 2 8" xfId="13750"/>
    <cellStyle name="Comma 16 2 8 2" xfId="21765"/>
    <cellStyle name="Comma 16 2 8 2 2" xfId="35790"/>
    <cellStyle name="Comma 16 2 8 3" xfId="27779"/>
    <cellStyle name="Comma 16 2 9" xfId="15756"/>
    <cellStyle name="Comma 16 2 9 2" xfId="29781"/>
    <cellStyle name="Comma 16 3" xfId="996"/>
    <cellStyle name="Comma 16 3 10" xfId="23792"/>
    <cellStyle name="Comma 16 3 2" xfId="997"/>
    <cellStyle name="Comma 16 3 2 2" xfId="998"/>
    <cellStyle name="Comma 16 3 2 2 2" xfId="999"/>
    <cellStyle name="Comma 16 3 2 2 2 2" xfId="11758"/>
    <cellStyle name="Comma 16 3 2 2 2 2 2" xfId="19783"/>
    <cellStyle name="Comma 16 3 2 2 2 2 2 2" xfId="33808"/>
    <cellStyle name="Comma 16 3 2 2 2 2 3" xfId="25797"/>
    <cellStyle name="Comma 16 3 2 2 2 3" xfId="13773"/>
    <cellStyle name="Comma 16 3 2 2 2 3 2" xfId="21788"/>
    <cellStyle name="Comma 16 3 2 2 2 3 2 2" xfId="35813"/>
    <cellStyle name="Comma 16 3 2 2 2 3 3" xfId="27802"/>
    <cellStyle name="Comma 16 3 2 2 2 4" xfId="15779"/>
    <cellStyle name="Comma 16 3 2 2 2 4 2" xfId="29804"/>
    <cellStyle name="Comma 16 3 2 2 2 5" xfId="17781"/>
    <cellStyle name="Comma 16 3 2 2 2 5 2" xfId="31806"/>
    <cellStyle name="Comma 16 3 2 2 2 6" xfId="23795"/>
    <cellStyle name="Comma 16 3 2 2 3" xfId="11757"/>
    <cellStyle name="Comma 16 3 2 2 3 2" xfId="19782"/>
    <cellStyle name="Comma 16 3 2 2 3 2 2" xfId="33807"/>
    <cellStyle name="Comma 16 3 2 2 3 3" xfId="25796"/>
    <cellStyle name="Comma 16 3 2 2 4" xfId="13772"/>
    <cellStyle name="Comma 16 3 2 2 4 2" xfId="21787"/>
    <cellStyle name="Comma 16 3 2 2 4 2 2" xfId="35812"/>
    <cellStyle name="Comma 16 3 2 2 4 3" xfId="27801"/>
    <cellStyle name="Comma 16 3 2 2 5" xfId="15778"/>
    <cellStyle name="Comma 16 3 2 2 5 2" xfId="29803"/>
    <cellStyle name="Comma 16 3 2 2 6" xfId="17780"/>
    <cellStyle name="Comma 16 3 2 2 6 2" xfId="31805"/>
    <cellStyle name="Comma 16 3 2 2 7" xfId="23794"/>
    <cellStyle name="Comma 16 3 2 3" xfId="1000"/>
    <cellStyle name="Comma 16 3 2 3 2" xfId="11759"/>
    <cellStyle name="Comma 16 3 2 3 2 2" xfId="19784"/>
    <cellStyle name="Comma 16 3 2 3 2 2 2" xfId="33809"/>
    <cellStyle name="Comma 16 3 2 3 2 3" xfId="25798"/>
    <cellStyle name="Comma 16 3 2 3 3" xfId="13774"/>
    <cellStyle name="Comma 16 3 2 3 3 2" xfId="21789"/>
    <cellStyle name="Comma 16 3 2 3 3 2 2" xfId="35814"/>
    <cellStyle name="Comma 16 3 2 3 3 3" xfId="27803"/>
    <cellStyle name="Comma 16 3 2 3 4" xfId="15780"/>
    <cellStyle name="Comma 16 3 2 3 4 2" xfId="29805"/>
    <cellStyle name="Comma 16 3 2 3 5" xfId="17782"/>
    <cellStyle name="Comma 16 3 2 3 5 2" xfId="31807"/>
    <cellStyle name="Comma 16 3 2 3 6" xfId="23796"/>
    <cellStyle name="Comma 16 3 2 4" xfId="11756"/>
    <cellStyle name="Comma 16 3 2 4 2" xfId="19781"/>
    <cellStyle name="Comma 16 3 2 4 2 2" xfId="33806"/>
    <cellStyle name="Comma 16 3 2 4 3" xfId="25795"/>
    <cellStyle name="Comma 16 3 2 5" xfId="13771"/>
    <cellStyle name="Comma 16 3 2 5 2" xfId="21786"/>
    <cellStyle name="Comma 16 3 2 5 2 2" xfId="35811"/>
    <cellStyle name="Comma 16 3 2 5 3" xfId="27800"/>
    <cellStyle name="Comma 16 3 2 6" xfId="15777"/>
    <cellStyle name="Comma 16 3 2 6 2" xfId="29802"/>
    <cellStyle name="Comma 16 3 2 7" xfId="17779"/>
    <cellStyle name="Comma 16 3 2 7 2" xfId="31804"/>
    <cellStyle name="Comma 16 3 2 8" xfId="23793"/>
    <cellStyle name="Comma 16 3 3" xfId="1001"/>
    <cellStyle name="Comma 16 3 3 2" xfId="1002"/>
    <cellStyle name="Comma 16 3 3 2 2" xfId="11761"/>
    <cellStyle name="Comma 16 3 3 2 2 2" xfId="19786"/>
    <cellStyle name="Comma 16 3 3 2 2 2 2" xfId="33811"/>
    <cellStyle name="Comma 16 3 3 2 2 3" xfId="25800"/>
    <cellStyle name="Comma 16 3 3 2 3" xfId="13776"/>
    <cellStyle name="Comma 16 3 3 2 3 2" xfId="21791"/>
    <cellStyle name="Comma 16 3 3 2 3 2 2" xfId="35816"/>
    <cellStyle name="Comma 16 3 3 2 3 3" xfId="27805"/>
    <cellStyle name="Comma 16 3 3 2 4" xfId="15782"/>
    <cellStyle name="Comma 16 3 3 2 4 2" xfId="29807"/>
    <cellStyle name="Comma 16 3 3 2 5" xfId="17784"/>
    <cellStyle name="Comma 16 3 3 2 5 2" xfId="31809"/>
    <cellStyle name="Comma 16 3 3 2 6" xfId="23798"/>
    <cellStyle name="Comma 16 3 3 3" xfId="11760"/>
    <cellStyle name="Comma 16 3 3 3 2" xfId="19785"/>
    <cellStyle name="Comma 16 3 3 3 2 2" xfId="33810"/>
    <cellStyle name="Comma 16 3 3 3 3" xfId="25799"/>
    <cellStyle name="Comma 16 3 3 4" xfId="13775"/>
    <cellStyle name="Comma 16 3 3 4 2" xfId="21790"/>
    <cellStyle name="Comma 16 3 3 4 2 2" xfId="35815"/>
    <cellStyle name="Comma 16 3 3 4 3" xfId="27804"/>
    <cellStyle name="Comma 16 3 3 5" xfId="15781"/>
    <cellStyle name="Comma 16 3 3 5 2" xfId="29806"/>
    <cellStyle name="Comma 16 3 3 6" xfId="17783"/>
    <cellStyle name="Comma 16 3 3 6 2" xfId="31808"/>
    <cellStyle name="Comma 16 3 3 7" xfId="23797"/>
    <cellStyle name="Comma 16 3 4" xfId="1003"/>
    <cellStyle name="Comma 16 3 4 2" xfId="1004"/>
    <cellStyle name="Comma 16 3 4 2 2" xfId="11763"/>
    <cellStyle name="Comma 16 3 4 2 2 2" xfId="19788"/>
    <cellStyle name="Comma 16 3 4 2 2 2 2" xfId="33813"/>
    <cellStyle name="Comma 16 3 4 2 2 3" xfId="25802"/>
    <cellStyle name="Comma 16 3 4 2 3" xfId="13778"/>
    <cellStyle name="Comma 16 3 4 2 3 2" xfId="21793"/>
    <cellStyle name="Comma 16 3 4 2 3 2 2" xfId="35818"/>
    <cellStyle name="Comma 16 3 4 2 3 3" xfId="27807"/>
    <cellStyle name="Comma 16 3 4 2 4" xfId="15784"/>
    <cellStyle name="Comma 16 3 4 2 4 2" xfId="29809"/>
    <cellStyle name="Comma 16 3 4 2 5" xfId="17786"/>
    <cellStyle name="Comma 16 3 4 2 5 2" xfId="31811"/>
    <cellStyle name="Comma 16 3 4 2 6" xfId="23800"/>
    <cellStyle name="Comma 16 3 4 3" xfId="11762"/>
    <cellStyle name="Comma 16 3 4 3 2" xfId="19787"/>
    <cellStyle name="Comma 16 3 4 3 2 2" xfId="33812"/>
    <cellStyle name="Comma 16 3 4 3 3" xfId="25801"/>
    <cellStyle name="Comma 16 3 4 4" xfId="13777"/>
    <cellStyle name="Comma 16 3 4 4 2" xfId="21792"/>
    <cellStyle name="Comma 16 3 4 4 2 2" xfId="35817"/>
    <cellStyle name="Comma 16 3 4 4 3" xfId="27806"/>
    <cellStyle name="Comma 16 3 4 5" xfId="15783"/>
    <cellStyle name="Comma 16 3 4 5 2" xfId="29808"/>
    <cellStyle name="Comma 16 3 4 6" xfId="17785"/>
    <cellStyle name="Comma 16 3 4 6 2" xfId="31810"/>
    <cellStyle name="Comma 16 3 4 7" xfId="23799"/>
    <cellStyle name="Comma 16 3 5" xfId="1005"/>
    <cellStyle name="Comma 16 3 5 2" xfId="11764"/>
    <cellStyle name="Comma 16 3 5 2 2" xfId="19789"/>
    <cellStyle name="Comma 16 3 5 2 2 2" xfId="33814"/>
    <cellStyle name="Comma 16 3 5 2 3" xfId="25803"/>
    <cellStyle name="Comma 16 3 5 3" xfId="13779"/>
    <cellStyle name="Comma 16 3 5 3 2" xfId="21794"/>
    <cellStyle name="Comma 16 3 5 3 2 2" xfId="35819"/>
    <cellStyle name="Comma 16 3 5 3 3" xfId="27808"/>
    <cellStyle name="Comma 16 3 5 4" xfId="15785"/>
    <cellStyle name="Comma 16 3 5 4 2" xfId="29810"/>
    <cellStyle name="Comma 16 3 5 5" xfId="17787"/>
    <cellStyle name="Comma 16 3 5 5 2" xfId="31812"/>
    <cellStyle name="Comma 16 3 5 6" xfId="23801"/>
    <cellStyle name="Comma 16 3 6" xfId="11755"/>
    <cellStyle name="Comma 16 3 6 2" xfId="19780"/>
    <cellStyle name="Comma 16 3 6 2 2" xfId="33805"/>
    <cellStyle name="Comma 16 3 6 3" xfId="25794"/>
    <cellStyle name="Comma 16 3 7" xfId="13770"/>
    <cellStyle name="Comma 16 3 7 2" xfId="21785"/>
    <cellStyle name="Comma 16 3 7 2 2" xfId="35810"/>
    <cellStyle name="Comma 16 3 7 3" xfId="27799"/>
    <cellStyle name="Comma 16 3 8" xfId="15776"/>
    <cellStyle name="Comma 16 3 8 2" xfId="29801"/>
    <cellStyle name="Comma 16 3 9" xfId="17778"/>
    <cellStyle name="Comma 16 3 9 2" xfId="31803"/>
    <cellStyle name="Comma 16 4" xfId="1006"/>
    <cellStyle name="Comma 16 4 2" xfId="1007"/>
    <cellStyle name="Comma 16 4 2 2" xfId="1008"/>
    <cellStyle name="Comma 16 4 2 2 2" xfId="11767"/>
    <cellStyle name="Comma 16 4 2 2 2 2" xfId="19792"/>
    <cellStyle name="Comma 16 4 2 2 2 2 2" xfId="33817"/>
    <cellStyle name="Comma 16 4 2 2 2 3" xfId="25806"/>
    <cellStyle name="Comma 16 4 2 2 3" xfId="13782"/>
    <cellStyle name="Comma 16 4 2 2 3 2" xfId="21797"/>
    <cellStyle name="Comma 16 4 2 2 3 2 2" xfId="35822"/>
    <cellStyle name="Comma 16 4 2 2 3 3" xfId="27811"/>
    <cellStyle name="Comma 16 4 2 2 4" xfId="15788"/>
    <cellStyle name="Comma 16 4 2 2 4 2" xfId="29813"/>
    <cellStyle name="Comma 16 4 2 2 5" xfId="17790"/>
    <cellStyle name="Comma 16 4 2 2 5 2" xfId="31815"/>
    <cellStyle name="Comma 16 4 2 2 6" xfId="23804"/>
    <cellStyle name="Comma 16 4 2 3" xfId="11766"/>
    <cellStyle name="Comma 16 4 2 3 2" xfId="19791"/>
    <cellStyle name="Comma 16 4 2 3 2 2" xfId="33816"/>
    <cellStyle name="Comma 16 4 2 3 3" xfId="25805"/>
    <cellStyle name="Comma 16 4 2 4" xfId="13781"/>
    <cellStyle name="Comma 16 4 2 4 2" xfId="21796"/>
    <cellStyle name="Comma 16 4 2 4 2 2" xfId="35821"/>
    <cellStyle name="Comma 16 4 2 4 3" xfId="27810"/>
    <cellStyle name="Comma 16 4 2 5" xfId="15787"/>
    <cellStyle name="Comma 16 4 2 5 2" xfId="29812"/>
    <cellStyle name="Comma 16 4 2 6" xfId="17789"/>
    <cellStyle name="Comma 16 4 2 6 2" xfId="31814"/>
    <cellStyle name="Comma 16 4 2 7" xfId="23803"/>
    <cellStyle name="Comma 16 4 3" xfId="1009"/>
    <cellStyle name="Comma 16 4 3 2" xfId="11768"/>
    <cellStyle name="Comma 16 4 3 2 2" xfId="19793"/>
    <cellStyle name="Comma 16 4 3 2 2 2" xfId="33818"/>
    <cellStyle name="Comma 16 4 3 2 3" xfId="25807"/>
    <cellStyle name="Comma 16 4 3 3" xfId="13783"/>
    <cellStyle name="Comma 16 4 3 3 2" xfId="21798"/>
    <cellStyle name="Comma 16 4 3 3 2 2" xfId="35823"/>
    <cellStyle name="Comma 16 4 3 3 3" xfId="27812"/>
    <cellStyle name="Comma 16 4 3 4" xfId="15789"/>
    <cellStyle name="Comma 16 4 3 4 2" xfId="29814"/>
    <cellStyle name="Comma 16 4 3 5" xfId="17791"/>
    <cellStyle name="Comma 16 4 3 5 2" xfId="31816"/>
    <cellStyle name="Comma 16 4 3 6" xfId="23805"/>
    <cellStyle name="Comma 16 4 4" xfId="11765"/>
    <cellStyle name="Comma 16 4 4 2" xfId="19790"/>
    <cellStyle name="Comma 16 4 4 2 2" xfId="33815"/>
    <cellStyle name="Comma 16 4 4 3" xfId="25804"/>
    <cellStyle name="Comma 16 4 5" xfId="13780"/>
    <cellStyle name="Comma 16 4 5 2" xfId="21795"/>
    <cellStyle name="Comma 16 4 5 2 2" xfId="35820"/>
    <cellStyle name="Comma 16 4 5 3" xfId="27809"/>
    <cellStyle name="Comma 16 4 6" xfId="15786"/>
    <cellStyle name="Comma 16 4 6 2" xfId="29811"/>
    <cellStyle name="Comma 16 4 7" xfId="17788"/>
    <cellStyle name="Comma 16 4 7 2" xfId="31813"/>
    <cellStyle name="Comma 16 4 8" xfId="23802"/>
    <cellStyle name="Comma 16 5" xfId="1010"/>
    <cellStyle name="Comma 16 5 2" xfId="1011"/>
    <cellStyle name="Comma 16 5 2 2" xfId="11770"/>
    <cellStyle name="Comma 16 5 2 2 2" xfId="19795"/>
    <cellStyle name="Comma 16 5 2 2 2 2" xfId="33820"/>
    <cellStyle name="Comma 16 5 2 2 3" xfId="25809"/>
    <cellStyle name="Comma 16 5 2 3" xfId="13785"/>
    <cellStyle name="Comma 16 5 2 3 2" xfId="21800"/>
    <cellStyle name="Comma 16 5 2 3 2 2" xfId="35825"/>
    <cellStyle name="Comma 16 5 2 3 3" xfId="27814"/>
    <cellStyle name="Comma 16 5 2 4" xfId="15791"/>
    <cellStyle name="Comma 16 5 2 4 2" xfId="29816"/>
    <cellStyle name="Comma 16 5 2 5" xfId="17793"/>
    <cellStyle name="Comma 16 5 2 5 2" xfId="31818"/>
    <cellStyle name="Comma 16 5 2 6" xfId="23807"/>
    <cellStyle name="Comma 16 5 3" xfId="11769"/>
    <cellStyle name="Comma 16 5 3 2" xfId="19794"/>
    <cellStyle name="Comma 16 5 3 2 2" xfId="33819"/>
    <cellStyle name="Comma 16 5 3 3" xfId="25808"/>
    <cellStyle name="Comma 16 5 4" xfId="13784"/>
    <cellStyle name="Comma 16 5 4 2" xfId="21799"/>
    <cellStyle name="Comma 16 5 4 2 2" xfId="35824"/>
    <cellStyle name="Comma 16 5 4 3" xfId="27813"/>
    <cellStyle name="Comma 16 5 5" xfId="15790"/>
    <cellStyle name="Comma 16 5 5 2" xfId="29815"/>
    <cellStyle name="Comma 16 5 6" xfId="17792"/>
    <cellStyle name="Comma 16 5 6 2" xfId="31817"/>
    <cellStyle name="Comma 16 5 7" xfId="23806"/>
    <cellStyle name="Comma 16 6" xfId="1012"/>
    <cellStyle name="Comma 16 6 2" xfId="1013"/>
    <cellStyle name="Comma 16 6 2 2" xfId="11772"/>
    <cellStyle name="Comma 16 6 2 2 2" xfId="19797"/>
    <cellStyle name="Comma 16 6 2 2 2 2" xfId="33822"/>
    <cellStyle name="Comma 16 6 2 2 3" xfId="25811"/>
    <cellStyle name="Comma 16 6 2 3" xfId="13787"/>
    <cellStyle name="Comma 16 6 2 3 2" xfId="21802"/>
    <cellStyle name="Comma 16 6 2 3 2 2" xfId="35827"/>
    <cellStyle name="Comma 16 6 2 3 3" xfId="27816"/>
    <cellStyle name="Comma 16 6 2 4" xfId="15793"/>
    <cellStyle name="Comma 16 6 2 4 2" xfId="29818"/>
    <cellStyle name="Comma 16 6 2 5" xfId="17795"/>
    <cellStyle name="Comma 16 6 2 5 2" xfId="31820"/>
    <cellStyle name="Comma 16 6 2 6" xfId="23809"/>
    <cellStyle name="Comma 16 6 3" xfId="11771"/>
    <cellStyle name="Comma 16 6 3 2" xfId="19796"/>
    <cellStyle name="Comma 16 6 3 2 2" xfId="33821"/>
    <cellStyle name="Comma 16 6 3 3" xfId="25810"/>
    <cellStyle name="Comma 16 6 4" xfId="13786"/>
    <cellStyle name="Comma 16 6 4 2" xfId="21801"/>
    <cellStyle name="Comma 16 6 4 2 2" xfId="35826"/>
    <cellStyle name="Comma 16 6 4 3" xfId="27815"/>
    <cellStyle name="Comma 16 6 5" xfId="15792"/>
    <cellStyle name="Comma 16 6 5 2" xfId="29817"/>
    <cellStyle name="Comma 16 6 6" xfId="17794"/>
    <cellStyle name="Comma 16 6 6 2" xfId="31819"/>
    <cellStyle name="Comma 16 6 7" xfId="23808"/>
    <cellStyle name="Comma 16 7" xfId="1014"/>
    <cellStyle name="Comma 16 7 2" xfId="11773"/>
    <cellStyle name="Comma 16 7 2 2" xfId="19798"/>
    <cellStyle name="Comma 16 7 2 2 2" xfId="33823"/>
    <cellStyle name="Comma 16 7 2 3" xfId="25812"/>
    <cellStyle name="Comma 16 7 3" xfId="13788"/>
    <cellStyle name="Comma 16 7 3 2" xfId="21803"/>
    <cellStyle name="Comma 16 7 3 2 2" xfId="35828"/>
    <cellStyle name="Comma 16 7 3 3" xfId="27817"/>
    <cellStyle name="Comma 16 7 4" xfId="15794"/>
    <cellStyle name="Comma 16 7 4 2" xfId="29819"/>
    <cellStyle name="Comma 16 7 5" xfId="17796"/>
    <cellStyle name="Comma 16 7 5 2" xfId="31821"/>
    <cellStyle name="Comma 16 7 6" xfId="23810"/>
    <cellStyle name="Comma 16 8" xfId="11734"/>
    <cellStyle name="Comma 16 8 2" xfId="19759"/>
    <cellStyle name="Comma 16 8 2 2" xfId="33784"/>
    <cellStyle name="Comma 16 8 3" xfId="25773"/>
    <cellStyle name="Comma 16 9" xfId="13749"/>
    <cellStyle name="Comma 16 9 2" xfId="21764"/>
    <cellStyle name="Comma 16 9 2 2" xfId="35789"/>
    <cellStyle name="Comma 16 9 3" xfId="27778"/>
    <cellStyle name="Comma 17" xfId="1015"/>
    <cellStyle name="Comma 17 2" xfId="1016"/>
    <cellStyle name="Comma 18" xfId="1017"/>
    <cellStyle name="Comma 18 2" xfId="1018"/>
    <cellStyle name="Comma 19" xfId="1019"/>
    <cellStyle name="Comma 19 2" xfId="1020"/>
    <cellStyle name="Comma 2" xfId="402"/>
    <cellStyle name="Comma 2 2" xfId="403"/>
    <cellStyle name="Comma 2 2 2" xfId="404"/>
    <cellStyle name="Comma 2 2 2 2" xfId="1021"/>
    <cellStyle name="Comma 2 2 3" xfId="1022"/>
    <cellStyle name="Comma 2 3" xfId="405"/>
    <cellStyle name="Comma 2 3 2" xfId="1023"/>
    <cellStyle name="Comma 2 3 2 10" xfId="17797"/>
    <cellStyle name="Comma 2 3 2 10 2" xfId="31822"/>
    <cellStyle name="Comma 2 3 2 11" xfId="23811"/>
    <cellStyle name="Comma 2 3 2 2" xfId="1024"/>
    <cellStyle name="Comma 2 3 2 2 10" xfId="23812"/>
    <cellStyle name="Comma 2 3 2 2 2" xfId="1025"/>
    <cellStyle name="Comma 2 3 2 2 2 2" xfId="1026"/>
    <cellStyle name="Comma 2 3 2 2 2 2 2" xfId="1027"/>
    <cellStyle name="Comma 2 3 2 2 2 2 2 2" xfId="11778"/>
    <cellStyle name="Comma 2 3 2 2 2 2 2 2 2" xfId="19803"/>
    <cellStyle name="Comma 2 3 2 2 2 2 2 2 2 2" xfId="33828"/>
    <cellStyle name="Comma 2 3 2 2 2 2 2 2 3" xfId="25817"/>
    <cellStyle name="Comma 2 3 2 2 2 2 2 3" xfId="13793"/>
    <cellStyle name="Comma 2 3 2 2 2 2 2 3 2" xfId="21808"/>
    <cellStyle name="Comma 2 3 2 2 2 2 2 3 2 2" xfId="35833"/>
    <cellStyle name="Comma 2 3 2 2 2 2 2 3 3" xfId="27822"/>
    <cellStyle name="Comma 2 3 2 2 2 2 2 4" xfId="15799"/>
    <cellStyle name="Comma 2 3 2 2 2 2 2 4 2" xfId="29824"/>
    <cellStyle name="Comma 2 3 2 2 2 2 2 5" xfId="17801"/>
    <cellStyle name="Comma 2 3 2 2 2 2 2 5 2" xfId="31826"/>
    <cellStyle name="Comma 2 3 2 2 2 2 2 6" xfId="23815"/>
    <cellStyle name="Comma 2 3 2 2 2 2 3" xfId="11777"/>
    <cellStyle name="Comma 2 3 2 2 2 2 3 2" xfId="19802"/>
    <cellStyle name="Comma 2 3 2 2 2 2 3 2 2" xfId="33827"/>
    <cellStyle name="Comma 2 3 2 2 2 2 3 3" xfId="25816"/>
    <cellStyle name="Comma 2 3 2 2 2 2 4" xfId="13792"/>
    <cellStyle name="Comma 2 3 2 2 2 2 4 2" xfId="21807"/>
    <cellStyle name="Comma 2 3 2 2 2 2 4 2 2" xfId="35832"/>
    <cellStyle name="Comma 2 3 2 2 2 2 4 3" xfId="27821"/>
    <cellStyle name="Comma 2 3 2 2 2 2 5" xfId="15798"/>
    <cellStyle name="Comma 2 3 2 2 2 2 5 2" xfId="29823"/>
    <cellStyle name="Comma 2 3 2 2 2 2 6" xfId="17800"/>
    <cellStyle name="Comma 2 3 2 2 2 2 6 2" xfId="31825"/>
    <cellStyle name="Comma 2 3 2 2 2 2 7" xfId="23814"/>
    <cellStyle name="Comma 2 3 2 2 2 3" xfId="1028"/>
    <cellStyle name="Comma 2 3 2 2 2 3 2" xfId="11779"/>
    <cellStyle name="Comma 2 3 2 2 2 3 2 2" xfId="19804"/>
    <cellStyle name="Comma 2 3 2 2 2 3 2 2 2" xfId="33829"/>
    <cellStyle name="Comma 2 3 2 2 2 3 2 3" xfId="25818"/>
    <cellStyle name="Comma 2 3 2 2 2 3 3" xfId="13794"/>
    <cellStyle name="Comma 2 3 2 2 2 3 3 2" xfId="21809"/>
    <cellStyle name="Comma 2 3 2 2 2 3 3 2 2" xfId="35834"/>
    <cellStyle name="Comma 2 3 2 2 2 3 3 3" xfId="27823"/>
    <cellStyle name="Comma 2 3 2 2 2 3 4" xfId="15800"/>
    <cellStyle name="Comma 2 3 2 2 2 3 4 2" xfId="29825"/>
    <cellStyle name="Comma 2 3 2 2 2 3 5" xfId="17802"/>
    <cellStyle name="Comma 2 3 2 2 2 3 5 2" xfId="31827"/>
    <cellStyle name="Comma 2 3 2 2 2 3 6" xfId="23816"/>
    <cellStyle name="Comma 2 3 2 2 2 4" xfId="11776"/>
    <cellStyle name="Comma 2 3 2 2 2 4 2" xfId="19801"/>
    <cellStyle name="Comma 2 3 2 2 2 4 2 2" xfId="33826"/>
    <cellStyle name="Comma 2 3 2 2 2 4 3" xfId="25815"/>
    <cellStyle name="Comma 2 3 2 2 2 5" xfId="13791"/>
    <cellStyle name="Comma 2 3 2 2 2 5 2" xfId="21806"/>
    <cellStyle name="Comma 2 3 2 2 2 5 2 2" xfId="35831"/>
    <cellStyle name="Comma 2 3 2 2 2 5 3" xfId="27820"/>
    <cellStyle name="Comma 2 3 2 2 2 6" xfId="15797"/>
    <cellStyle name="Comma 2 3 2 2 2 6 2" xfId="29822"/>
    <cellStyle name="Comma 2 3 2 2 2 7" xfId="17799"/>
    <cellStyle name="Comma 2 3 2 2 2 7 2" xfId="31824"/>
    <cellStyle name="Comma 2 3 2 2 2 8" xfId="23813"/>
    <cellStyle name="Comma 2 3 2 2 3" xfId="1029"/>
    <cellStyle name="Comma 2 3 2 2 3 2" xfId="1030"/>
    <cellStyle name="Comma 2 3 2 2 3 2 2" xfId="11781"/>
    <cellStyle name="Comma 2 3 2 2 3 2 2 2" xfId="19806"/>
    <cellStyle name="Comma 2 3 2 2 3 2 2 2 2" xfId="33831"/>
    <cellStyle name="Comma 2 3 2 2 3 2 2 3" xfId="25820"/>
    <cellStyle name="Comma 2 3 2 2 3 2 3" xfId="13796"/>
    <cellStyle name="Comma 2 3 2 2 3 2 3 2" xfId="21811"/>
    <cellStyle name="Comma 2 3 2 2 3 2 3 2 2" xfId="35836"/>
    <cellStyle name="Comma 2 3 2 2 3 2 3 3" xfId="27825"/>
    <cellStyle name="Comma 2 3 2 2 3 2 4" xfId="15802"/>
    <cellStyle name="Comma 2 3 2 2 3 2 4 2" xfId="29827"/>
    <cellStyle name="Comma 2 3 2 2 3 2 5" xfId="17804"/>
    <cellStyle name="Comma 2 3 2 2 3 2 5 2" xfId="31829"/>
    <cellStyle name="Comma 2 3 2 2 3 2 6" xfId="23818"/>
    <cellStyle name="Comma 2 3 2 2 3 3" xfId="11780"/>
    <cellStyle name="Comma 2 3 2 2 3 3 2" xfId="19805"/>
    <cellStyle name="Comma 2 3 2 2 3 3 2 2" xfId="33830"/>
    <cellStyle name="Comma 2 3 2 2 3 3 3" xfId="25819"/>
    <cellStyle name="Comma 2 3 2 2 3 4" xfId="13795"/>
    <cellStyle name="Comma 2 3 2 2 3 4 2" xfId="21810"/>
    <cellStyle name="Comma 2 3 2 2 3 4 2 2" xfId="35835"/>
    <cellStyle name="Comma 2 3 2 2 3 4 3" xfId="27824"/>
    <cellStyle name="Comma 2 3 2 2 3 5" xfId="15801"/>
    <cellStyle name="Comma 2 3 2 2 3 5 2" xfId="29826"/>
    <cellStyle name="Comma 2 3 2 2 3 6" xfId="17803"/>
    <cellStyle name="Comma 2 3 2 2 3 6 2" xfId="31828"/>
    <cellStyle name="Comma 2 3 2 2 3 7" xfId="23817"/>
    <cellStyle name="Comma 2 3 2 2 4" xfId="1031"/>
    <cellStyle name="Comma 2 3 2 2 4 2" xfId="1032"/>
    <cellStyle name="Comma 2 3 2 2 4 2 2" xfId="11783"/>
    <cellStyle name="Comma 2 3 2 2 4 2 2 2" xfId="19808"/>
    <cellStyle name="Comma 2 3 2 2 4 2 2 2 2" xfId="33833"/>
    <cellStyle name="Comma 2 3 2 2 4 2 2 3" xfId="25822"/>
    <cellStyle name="Comma 2 3 2 2 4 2 3" xfId="13798"/>
    <cellStyle name="Comma 2 3 2 2 4 2 3 2" xfId="21813"/>
    <cellStyle name="Comma 2 3 2 2 4 2 3 2 2" xfId="35838"/>
    <cellStyle name="Comma 2 3 2 2 4 2 3 3" xfId="27827"/>
    <cellStyle name="Comma 2 3 2 2 4 2 4" xfId="15804"/>
    <cellStyle name="Comma 2 3 2 2 4 2 4 2" xfId="29829"/>
    <cellStyle name="Comma 2 3 2 2 4 2 5" xfId="17806"/>
    <cellStyle name="Comma 2 3 2 2 4 2 5 2" xfId="31831"/>
    <cellStyle name="Comma 2 3 2 2 4 2 6" xfId="23820"/>
    <cellStyle name="Comma 2 3 2 2 4 3" xfId="11782"/>
    <cellStyle name="Comma 2 3 2 2 4 3 2" xfId="19807"/>
    <cellStyle name="Comma 2 3 2 2 4 3 2 2" xfId="33832"/>
    <cellStyle name="Comma 2 3 2 2 4 3 3" xfId="25821"/>
    <cellStyle name="Comma 2 3 2 2 4 4" xfId="13797"/>
    <cellStyle name="Comma 2 3 2 2 4 4 2" xfId="21812"/>
    <cellStyle name="Comma 2 3 2 2 4 4 2 2" xfId="35837"/>
    <cellStyle name="Comma 2 3 2 2 4 4 3" xfId="27826"/>
    <cellStyle name="Comma 2 3 2 2 4 5" xfId="15803"/>
    <cellStyle name="Comma 2 3 2 2 4 5 2" xfId="29828"/>
    <cellStyle name="Comma 2 3 2 2 4 6" xfId="17805"/>
    <cellStyle name="Comma 2 3 2 2 4 6 2" xfId="31830"/>
    <cellStyle name="Comma 2 3 2 2 4 7" xfId="23819"/>
    <cellStyle name="Comma 2 3 2 2 5" xfId="1033"/>
    <cellStyle name="Comma 2 3 2 2 5 2" xfId="11784"/>
    <cellStyle name="Comma 2 3 2 2 5 2 2" xfId="19809"/>
    <cellStyle name="Comma 2 3 2 2 5 2 2 2" xfId="33834"/>
    <cellStyle name="Comma 2 3 2 2 5 2 3" xfId="25823"/>
    <cellStyle name="Comma 2 3 2 2 5 3" xfId="13799"/>
    <cellStyle name="Comma 2 3 2 2 5 3 2" xfId="21814"/>
    <cellStyle name="Comma 2 3 2 2 5 3 2 2" xfId="35839"/>
    <cellStyle name="Comma 2 3 2 2 5 3 3" xfId="27828"/>
    <cellStyle name="Comma 2 3 2 2 5 4" xfId="15805"/>
    <cellStyle name="Comma 2 3 2 2 5 4 2" xfId="29830"/>
    <cellStyle name="Comma 2 3 2 2 5 5" xfId="17807"/>
    <cellStyle name="Comma 2 3 2 2 5 5 2" xfId="31832"/>
    <cellStyle name="Comma 2 3 2 2 5 6" xfId="23821"/>
    <cellStyle name="Comma 2 3 2 2 6" xfId="11775"/>
    <cellStyle name="Comma 2 3 2 2 6 2" xfId="19800"/>
    <cellStyle name="Comma 2 3 2 2 6 2 2" xfId="33825"/>
    <cellStyle name="Comma 2 3 2 2 6 3" xfId="25814"/>
    <cellStyle name="Comma 2 3 2 2 7" xfId="13790"/>
    <cellStyle name="Comma 2 3 2 2 7 2" xfId="21805"/>
    <cellStyle name="Comma 2 3 2 2 7 2 2" xfId="35830"/>
    <cellStyle name="Comma 2 3 2 2 7 3" xfId="27819"/>
    <cellStyle name="Comma 2 3 2 2 8" xfId="15796"/>
    <cellStyle name="Comma 2 3 2 2 8 2" xfId="29821"/>
    <cellStyle name="Comma 2 3 2 2 9" xfId="17798"/>
    <cellStyle name="Comma 2 3 2 2 9 2" xfId="31823"/>
    <cellStyle name="Comma 2 3 2 3" xfId="1034"/>
    <cellStyle name="Comma 2 3 2 3 2" xfId="1035"/>
    <cellStyle name="Comma 2 3 2 3 2 2" xfId="1036"/>
    <cellStyle name="Comma 2 3 2 3 2 2 2" xfId="11787"/>
    <cellStyle name="Comma 2 3 2 3 2 2 2 2" xfId="19812"/>
    <cellStyle name="Comma 2 3 2 3 2 2 2 2 2" xfId="33837"/>
    <cellStyle name="Comma 2 3 2 3 2 2 2 3" xfId="25826"/>
    <cellStyle name="Comma 2 3 2 3 2 2 3" xfId="13802"/>
    <cellStyle name="Comma 2 3 2 3 2 2 3 2" xfId="21817"/>
    <cellStyle name="Comma 2 3 2 3 2 2 3 2 2" xfId="35842"/>
    <cellStyle name="Comma 2 3 2 3 2 2 3 3" xfId="27831"/>
    <cellStyle name="Comma 2 3 2 3 2 2 4" xfId="15808"/>
    <cellStyle name="Comma 2 3 2 3 2 2 4 2" xfId="29833"/>
    <cellStyle name="Comma 2 3 2 3 2 2 5" xfId="17810"/>
    <cellStyle name="Comma 2 3 2 3 2 2 5 2" xfId="31835"/>
    <cellStyle name="Comma 2 3 2 3 2 2 6" xfId="23824"/>
    <cellStyle name="Comma 2 3 2 3 2 3" xfId="11786"/>
    <cellStyle name="Comma 2 3 2 3 2 3 2" xfId="19811"/>
    <cellStyle name="Comma 2 3 2 3 2 3 2 2" xfId="33836"/>
    <cellStyle name="Comma 2 3 2 3 2 3 3" xfId="25825"/>
    <cellStyle name="Comma 2 3 2 3 2 4" xfId="13801"/>
    <cellStyle name="Comma 2 3 2 3 2 4 2" xfId="21816"/>
    <cellStyle name="Comma 2 3 2 3 2 4 2 2" xfId="35841"/>
    <cellStyle name="Comma 2 3 2 3 2 4 3" xfId="27830"/>
    <cellStyle name="Comma 2 3 2 3 2 5" xfId="15807"/>
    <cellStyle name="Comma 2 3 2 3 2 5 2" xfId="29832"/>
    <cellStyle name="Comma 2 3 2 3 2 6" xfId="17809"/>
    <cellStyle name="Comma 2 3 2 3 2 6 2" xfId="31834"/>
    <cellStyle name="Comma 2 3 2 3 2 7" xfId="23823"/>
    <cellStyle name="Comma 2 3 2 3 3" xfId="1037"/>
    <cellStyle name="Comma 2 3 2 3 3 2" xfId="11788"/>
    <cellStyle name="Comma 2 3 2 3 3 2 2" xfId="19813"/>
    <cellStyle name="Comma 2 3 2 3 3 2 2 2" xfId="33838"/>
    <cellStyle name="Comma 2 3 2 3 3 2 3" xfId="25827"/>
    <cellStyle name="Comma 2 3 2 3 3 3" xfId="13803"/>
    <cellStyle name="Comma 2 3 2 3 3 3 2" xfId="21818"/>
    <cellStyle name="Comma 2 3 2 3 3 3 2 2" xfId="35843"/>
    <cellStyle name="Comma 2 3 2 3 3 3 3" xfId="27832"/>
    <cellStyle name="Comma 2 3 2 3 3 4" xfId="15809"/>
    <cellStyle name="Comma 2 3 2 3 3 4 2" xfId="29834"/>
    <cellStyle name="Comma 2 3 2 3 3 5" xfId="17811"/>
    <cellStyle name="Comma 2 3 2 3 3 5 2" xfId="31836"/>
    <cellStyle name="Comma 2 3 2 3 3 6" xfId="23825"/>
    <cellStyle name="Comma 2 3 2 3 4" xfId="11785"/>
    <cellStyle name="Comma 2 3 2 3 4 2" xfId="19810"/>
    <cellStyle name="Comma 2 3 2 3 4 2 2" xfId="33835"/>
    <cellStyle name="Comma 2 3 2 3 4 3" xfId="25824"/>
    <cellStyle name="Comma 2 3 2 3 5" xfId="13800"/>
    <cellStyle name="Comma 2 3 2 3 5 2" xfId="21815"/>
    <cellStyle name="Comma 2 3 2 3 5 2 2" xfId="35840"/>
    <cellStyle name="Comma 2 3 2 3 5 3" xfId="27829"/>
    <cellStyle name="Comma 2 3 2 3 6" xfId="15806"/>
    <cellStyle name="Comma 2 3 2 3 6 2" xfId="29831"/>
    <cellStyle name="Comma 2 3 2 3 7" xfId="17808"/>
    <cellStyle name="Comma 2 3 2 3 7 2" xfId="31833"/>
    <cellStyle name="Comma 2 3 2 3 8" xfId="23822"/>
    <cellStyle name="Comma 2 3 2 4" xfId="1038"/>
    <cellStyle name="Comma 2 3 2 4 2" xfId="1039"/>
    <cellStyle name="Comma 2 3 2 4 2 2" xfId="11790"/>
    <cellStyle name="Comma 2 3 2 4 2 2 2" xfId="19815"/>
    <cellStyle name="Comma 2 3 2 4 2 2 2 2" xfId="33840"/>
    <cellStyle name="Comma 2 3 2 4 2 2 3" xfId="25829"/>
    <cellStyle name="Comma 2 3 2 4 2 3" xfId="13805"/>
    <cellStyle name="Comma 2 3 2 4 2 3 2" xfId="21820"/>
    <cellStyle name="Comma 2 3 2 4 2 3 2 2" xfId="35845"/>
    <cellStyle name="Comma 2 3 2 4 2 3 3" xfId="27834"/>
    <cellStyle name="Comma 2 3 2 4 2 4" xfId="15811"/>
    <cellStyle name="Comma 2 3 2 4 2 4 2" xfId="29836"/>
    <cellStyle name="Comma 2 3 2 4 2 5" xfId="17813"/>
    <cellStyle name="Comma 2 3 2 4 2 5 2" xfId="31838"/>
    <cellStyle name="Comma 2 3 2 4 2 6" xfId="23827"/>
    <cellStyle name="Comma 2 3 2 4 3" xfId="11789"/>
    <cellStyle name="Comma 2 3 2 4 3 2" xfId="19814"/>
    <cellStyle name="Comma 2 3 2 4 3 2 2" xfId="33839"/>
    <cellStyle name="Comma 2 3 2 4 3 3" xfId="25828"/>
    <cellStyle name="Comma 2 3 2 4 4" xfId="13804"/>
    <cellStyle name="Comma 2 3 2 4 4 2" xfId="21819"/>
    <cellStyle name="Comma 2 3 2 4 4 2 2" xfId="35844"/>
    <cellStyle name="Comma 2 3 2 4 4 3" xfId="27833"/>
    <cellStyle name="Comma 2 3 2 4 5" xfId="15810"/>
    <cellStyle name="Comma 2 3 2 4 5 2" xfId="29835"/>
    <cellStyle name="Comma 2 3 2 4 6" xfId="17812"/>
    <cellStyle name="Comma 2 3 2 4 6 2" xfId="31837"/>
    <cellStyle name="Comma 2 3 2 4 7" xfId="23826"/>
    <cellStyle name="Comma 2 3 2 5" xfId="1040"/>
    <cellStyle name="Comma 2 3 2 5 2" xfId="1041"/>
    <cellStyle name="Comma 2 3 2 5 2 2" xfId="11792"/>
    <cellStyle name="Comma 2 3 2 5 2 2 2" xfId="19817"/>
    <cellStyle name="Comma 2 3 2 5 2 2 2 2" xfId="33842"/>
    <cellStyle name="Comma 2 3 2 5 2 2 3" xfId="25831"/>
    <cellStyle name="Comma 2 3 2 5 2 3" xfId="13807"/>
    <cellStyle name="Comma 2 3 2 5 2 3 2" xfId="21822"/>
    <cellStyle name="Comma 2 3 2 5 2 3 2 2" xfId="35847"/>
    <cellStyle name="Comma 2 3 2 5 2 3 3" xfId="27836"/>
    <cellStyle name="Comma 2 3 2 5 2 4" xfId="15813"/>
    <cellStyle name="Comma 2 3 2 5 2 4 2" xfId="29838"/>
    <cellStyle name="Comma 2 3 2 5 2 5" xfId="17815"/>
    <cellStyle name="Comma 2 3 2 5 2 5 2" xfId="31840"/>
    <cellStyle name="Comma 2 3 2 5 2 6" xfId="23829"/>
    <cellStyle name="Comma 2 3 2 5 3" xfId="11791"/>
    <cellStyle name="Comma 2 3 2 5 3 2" xfId="19816"/>
    <cellStyle name="Comma 2 3 2 5 3 2 2" xfId="33841"/>
    <cellStyle name="Comma 2 3 2 5 3 3" xfId="25830"/>
    <cellStyle name="Comma 2 3 2 5 4" xfId="13806"/>
    <cellStyle name="Comma 2 3 2 5 4 2" xfId="21821"/>
    <cellStyle name="Comma 2 3 2 5 4 2 2" xfId="35846"/>
    <cellStyle name="Comma 2 3 2 5 4 3" xfId="27835"/>
    <cellStyle name="Comma 2 3 2 5 5" xfId="15812"/>
    <cellStyle name="Comma 2 3 2 5 5 2" xfId="29837"/>
    <cellStyle name="Comma 2 3 2 5 6" xfId="17814"/>
    <cellStyle name="Comma 2 3 2 5 6 2" xfId="31839"/>
    <cellStyle name="Comma 2 3 2 5 7" xfId="23828"/>
    <cellStyle name="Comma 2 3 2 6" xfId="1042"/>
    <cellStyle name="Comma 2 3 2 6 2" xfId="11793"/>
    <cellStyle name="Comma 2 3 2 6 2 2" xfId="19818"/>
    <cellStyle name="Comma 2 3 2 6 2 2 2" xfId="33843"/>
    <cellStyle name="Comma 2 3 2 6 2 3" xfId="25832"/>
    <cellStyle name="Comma 2 3 2 6 3" xfId="13808"/>
    <cellStyle name="Comma 2 3 2 6 3 2" xfId="21823"/>
    <cellStyle name="Comma 2 3 2 6 3 2 2" xfId="35848"/>
    <cellStyle name="Comma 2 3 2 6 3 3" xfId="27837"/>
    <cellStyle name="Comma 2 3 2 6 4" xfId="15814"/>
    <cellStyle name="Comma 2 3 2 6 4 2" xfId="29839"/>
    <cellStyle name="Comma 2 3 2 6 5" xfId="17816"/>
    <cellStyle name="Comma 2 3 2 6 5 2" xfId="31841"/>
    <cellStyle name="Comma 2 3 2 6 6" xfId="23830"/>
    <cellStyle name="Comma 2 3 2 7" xfId="11774"/>
    <cellStyle name="Comma 2 3 2 7 2" xfId="19799"/>
    <cellStyle name="Comma 2 3 2 7 2 2" xfId="33824"/>
    <cellStyle name="Comma 2 3 2 7 3" xfId="25813"/>
    <cellStyle name="Comma 2 3 2 8" xfId="13789"/>
    <cellStyle name="Comma 2 3 2 8 2" xfId="21804"/>
    <cellStyle name="Comma 2 3 2 8 2 2" xfId="35829"/>
    <cellStyle name="Comma 2 3 2 8 3" xfId="27818"/>
    <cellStyle name="Comma 2 3 2 9" xfId="15795"/>
    <cellStyle name="Comma 2 3 2 9 2" xfId="29820"/>
    <cellStyle name="Comma 2 3 3" xfId="1043"/>
    <cellStyle name="Comma 2 3 3 10" xfId="23831"/>
    <cellStyle name="Comma 2 3 3 2" xfId="1044"/>
    <cellStyle name="Comma 2 3 3 2 2" xfId="1045"/>
    <cellStyle name="Comma 2 3 3 2 2 2" xfId="1046"/>
    <cellStyle name="Comma 2 3 3 2 2 2 2" xfId="11797"/>
    <cellStyle name="Comma 2 3 3 2 2 2 2 2" xfId="19822"/>
    <cellStyle name="Comma 2 3 3 2 2 2 2 2 2" xfId="33847"/>
    <cellStyle name="Comma 2 3 3 2 2 2 2 3" xfId="25836"/>
    <cellStyle name="Comma 2 3 3 2 2 2 3" xfId="13812"/>
    <cellStyle name="Comma 2 3 3 2 2 2 3 2" xfId="21827"/>
    <cellStyle name="Comma 2 3 3 2 2 2 3 2 2" xfId="35852"/>
    <cellStyle name="Comma 2 3 3 2 2 2 3 3" xfId="27841"/>
    <cellStyle name="Comma 2 3 3 2 2 2 4" xfId="15818"/>
    <cellStyle name="Comma 2 3 3 2 2 2 4 2" xfId="29843"/>
    <cellStyle name="Comma 2 3 3 2 2 2 5" xfId="17820"/>
    <cellStyle name="Comma 2 3 3 2 2 2 5 2" xfId="31845"/>
    <cellStyle name="Comma 2 3 3 2 2 2 6" xfId="23834"/>
    <cellStyle name="Comma 2 3 3 2 2 3" xfId="11796"/>
    <cellStyle name="Comma 2 3 3 2 2 3 2" xfId="19821"/>
    <cellStyle name="Comma 2 3 3 2 2 3 2 2" xfId="33846"/>
    <cellStyle name="Comma 2 3 3 2 2 3 3" xfId="25835"/>
    <cellStyle name="Comma 2 3 3 2 2 4" xfId="13811"/>
    <cellStyle name="Comma 2 3 3 2 2 4 2" xfId="21826"/>
    <cellStyle name="Comma 2 3 3 2 2 4 2 2" xfId="35851"/>
    <cellStyle name="Comma 2 3 3 2 2 4 3" xfId="27840"/>
    <cellStyle name="Comma 2 3 3 2 2 5" xfId="15817"/>
    <cellStyle name="Comma 2 3 3 2 2 5 2" xfId="29842"/>
    <cellStyle name="Comma 2 3 3 2 2 6" xfId="17819"/>
    <cellStyle name="Comma 2 3 3 2 2 6 2" xfId="31844"/>
    <cellStyle name="Comma 2 3 3 2 2 7" xfId="23833"/>
    <cellStyle name="Comma 2 3 3 2 3" xfId="1047"/>
    <cellStyle name="Comma 2 3 3 2 3 2" xfId="11798"/>
    <cellStyle name="Comma 2 3 3 2 3 2 2" xfId="19823"/>
    <cellStyle name="Comma 2 3 3 2 3 2 2 2" xfId="33848"/>
    <cellStyle name="Comma 2 3 3 2 3 2 3" xfId="25837"/>
    <cellStyle name="Comma 2 3 3 2 3 3" xfId="13813"/>
    <cellStyle name="Comma 2 3 3 2 3 3 2" xfId="21828"/>
    <cellStyle name="Comma 2 3 3 2 3 3 2 2" xfId="35853"/>
    <cellStyle name="Comma 2 3 3 2 3 3 3" xfId="27842"/>
    <cellStyle name="Comma 2 3 3 2 3 4" xfId="15819"/>
    <cellStyle name="Comma 2 3 3 2 3 4 2" xfId="29844"/>
    <cellStyle name="Comma 2 3 3 2 3 5" xfId="17821"/>
    <cellStyle name="Comma 2 3 3 2 3 5 2" xfId="31846"/>
    <cellStyle name="Comma 2 3 3 2 3 6" xfId="23835"/>
    <cellStyle name="Comma 2 3 3 2 4" xfId="11795"/>
    <cellStyle name="Comma 2 3 3 2 4 2" xfId="19820"/>
    <cellStyle name="Comma 2 3 3 2 4 2 2" xfId="33845"/>
    <cellStyle name="Comma 2 3 3 2 4 3" xfId="25834"/>
    <cellStyle name="Comma 2 3 3 2 5" xfId="13810"/>
    <cellStyle name="Comma 2 3 3 2 5 2" xfId="21825"/>
    <cellStyle name="Comma 2 3 3 2 5 2 2" xfId="35850"/>
    <cellStyle name="Comma 2 3 3 2 5 3" xfId="27839"/>
    <cellStyle name="Comma 2 3 3 2 6" xfId="15816"/>
    <cellStyle name="Comma 2 3 3 2 6 2" xfId="29841"/>
    <cellStyle name="Comma 2 3 3 2 7" xfId="17818"/>
    <cellStyle name="Comma 2 3 3 2 7 2" xfId="31843"/>
    <cellStyle name="Comma 2 3 3 2 8" xfId="23832"/>
    <cellStyle name="Comma 2 3 3 3" xfId="1048"/>
    <cellStyle name="Comma 2 3 3 3 2" xfId="1049"/>
    <cellStyle name="Comma 2 3 3 3 2 2" xfId="11800"/>
    <cellStyle name="Comma 2 3 3 3 2 2 2" xfId="19825"/>
    <cellStyle name="Comma 2 3 3 3 2 2 2 2" xfId="33850"/>
    <cellStyle name="Comma 2 3 3 3 2 2 3" xfId="25839"/>
    <cellStyle name="Comma 2 3 3 3 2 3" xfId="13815"/>
    <cellStyle name="Comma 2 3 3 3 2 3 2" xfId="21830"/>
    <cellStyle name="Comma 2 3 3 3 2 3 2 2" xfId="35855"/>
    <cellStyle name="Comma 2 3 3 3 2 3 3" xfId="27844"/>
    <cellStyle name="Comma 2 3 3 3 2 4" xfId="15821"/>
    <cellStyle name="Comma 2 3 3 3 2 4 2" xfId="29846"/>
    <cellStyle name="Comma 2 3 3 3 2 5" xfId="17823"/>
    <cellStyle name="Comma 2 3 3 3 2 5 2" xfId="31848"/>
    <cellStyle name="Comma 2 3 3 3 2 6" xfId="23837"/>
    <cellStyle name="Comma 2 3 3 3 3" xfId="11799"/>
    <cellStyle name="Comma 2 3 3 3 3 2" xfId="19824"/>
    <cellStyle name="Comma 2 3 3 3 3 2 2" xfId="33849"/>
    <cellStyle name="Comma 2 3 3 3 3 3" xfId="25838"/>
    <cellStyle name="Comma 2 3 3 3 4" xfId="13814"/>
    <cellStyle name="Comma 2 3 3 3 4 2" xfId="21829"/>
    <cellStyle name="Comma 2 3 3 3 4 2 2" xfId="35854"/>
    <cellStyle name="Comma 2 3 3 3 4 3" xfId="27843"/>
    <cellStyle name="Comma 2 3 3 3 5" xfId="15820"/>
    <cellStyle name="Comma 2 3 3 3 5 2" xfId="29845"/>
    <cellStyle name="Comma 2 3 3 3 6" xfId="17822"/>
    <cellStyle name="Comma 2 3 3 3 6 2" xfId="31847"/>
    <cellStyle name="Comma 2 3 3 3 7" xfId="23836"/>
    <cellStyle name="Comma 2 3 3 4" xfId="1050"/>
    <cellStyle name="Comma 2 3 3 4 2" xfId="1051"/>
    <cellStyle name="Comma 2 3 3 4 2 2" xfId="11802"/>
    <cellStyle name="Comma 2 3 3 4 2 2 2" xfId="19827"/>
    <cellStyle name="Comma 2 3 3 4 2 2 2 2" xfId="33852"/>
    <cellStyle name="Comma 2 3 3 4 2 2 3" xfId="25841"/>
    <cellStyle name="Comma 2 3 3 4 2 3" xfId="13817"/>
    <cellStyle name="Comma 2 3 3 4 2 3 2" xfId="21832"/>
    <cellStyle name="Comma 2 3 3 4 2 3 2 2" xfId="35857"/>
    <cellStyle name="Comma 2 3 3 4 2 3 3" xfId="27846"/>
    <cellStyle name="Comma 2 3 3 4 2 4" xfId="15823"/>
    <cellStyle name="Comma 2 3 3 4 2 4 2" xfId="29848"/>
    <cellStyle name="Comma 2 3 3 4 2 5" xfId="17825"/>
    <cellStyle name="Comma 2 3 3 4 2 5 2" xfId="31850"/>
    <cellStyle name="Comma 2 3 3 4 2 6" xfId="23839"/>
    <cellStyle name="Comma 2 3 3 4 3" xfId="11801"/>
    <cellStyle name="Comma 2 3 3 4 3 2" xfId="19826"/>
    <cellStyle name="Comma 2 3 3 4 3 2 2" xfId="33851"/>
    <cellStyle name="Comma 2 3 3 4 3 3" xfId="25840"/>
    <cellStyle name="Comma 2 3 3 4 4" xfId="13816"/>
    <cellStyle name="Comma 2 3 3 4 4 2" xfId="21831"/>
    <cellStyle name="Comma 2 3 3 4 4 2 2" xfId="35856"/>
    <cellStyle name="Comma 2 3 3 4 4 3" xfId="27845"/>
    <cellStyle name="Comma 2 3 3 4 5" xfId="15822"/>
    <cellStyle name="Comma 2 3 3 4 5 2" xfId="29847"/>
    <cellStyle name="Comma 2 3 3 4 6" xfId="17824"/>
    <cellStyle name="Comma 2 3 3 4 6 2" xfId="31849"/>
    <cellStyle name="Comma 2 3 3 4 7" xfId="23838"/>
    <cellStyle name="Comma 2 3 3 5" xfId="1052"/>
    <cellStyle name="Comma 2 3 3 5 2" xfId="11803"/>
    <cellStyle name="Comma 2 3 3 5 2 2" xfId="19828"/>
    <cellStyle name="Comma 2 3 3 5 2 2 2" xfId="33853"/>
    <cellStyle name="Comma 2 3 3 5 2 3" xfId="25842"/>
    <cellStyle name="Comma 2 3 3 5 3" xfId="13818"/>
    <cellStyle name="Comma 2 3 3 5 3 2" xfId="21833"/>
    <cellStyle name="Comma 2 3 3 5 3 2 2" xfId="35858"/>
    <cellStyle name="Comma 2 3 3 5 3 3" xfId="27847"/>
    <cellStyle name="Comma 2 3 3 5 4" xfId="15824"/>
    <cellStyle name="Comma 2 3 3 5 4 2" xfId="29849"/>
    <cellStyle name="Comma 2 3 3 5 5" xfId="17826"/>
    <cellStyle name="Comma 2 3 3 5 5 2" xfId="31851"/>
    <cellStyle name="Comma 2 3 3 5 6" xfId="23840"/>
    <cellStyle name="Comma 2 3 3 6" xfId="11794"/>
    <cellStyle name="Comma 2 3 3 6 2" xfId="19819"/>
    <cellStyle name="Comma 2 3 3 6 2 2" xfId="33844"/>
    <cellStyle name="Comma 2 3 3 6 3" xfId="25833"/>
    <cellStyle name="Comma 2 3 3 7" xfId="13809"/>
    <cellStyle name="Comma 2 3 3 7 2" xfId="21824"/>
    <cellStyle name="Comma 2 3 3 7 2 2" xfId="35849"/>
    <cellStyle name="Comma 2 3 3 7 3" xfId="27838"/>
    <cellStyle name="Comma 2 3 3 8" xfId="15815"/>
    <cellStyle name="Comma 2 3 3 8 2" xfId="29840"/>
    <cellStyle name="Comma 2 3 3 9" xfId="17817"/>
    <cellStyle name="Comma 2 3 3 9 2" xfId="31842"/>
    <cellStyle name="Comma 2 3 4" xfId="1053"/>
    <cellStyle name="Comma 2 3 4 2" xfId="1054"/>
    <cellStyle name="Comma 2 3 4 2 2" xfId="1055"/>
    <cellStyle name="Comma 2 3 4 2 2 2" xfId="11806"/>
    <cellStyle name="Comma 2 3 4 2 2 2 2" xfId="19831"/>
    <cellStyle name="Comma 2 3 4 2 2 2 2 2" xfId="33856"/>
    <cellStyle name="Comma 2 3 4 2 2 2 3" xfId="25845"/>
    <cellStyle name="Comma 2 3 4 2 2 3" xfId="13821"/>
    <cellStyle name="Comma 2 3 4 2 2 3 2" xfId="21836"/>
    <cellStyle name="Comma 2 3 4 2 2 3 2 2" xfId="35861"/>
    <cellStyle name="Comma 2 3 4 2 2 3 3" xfId="27850"/>
    <cellStyle name="Comma 2 3 4 2 2 4" xfId="15827"/>
    <cellStyle name="Comma 2 3 4 2 2 4 2" xfId="29852"/>
    <cellStyle name="Comma 2 3 4 2 2 5" xfId="17829"/>
    <cellStyle name="Comma 2 3 4 2 2 5 2" xfId="31854"/>
    <cellStyle name="Comma 2 3 4 2 2 6" xfId="23843"/>
    <cellStyle name="Comma 2 3 4 2 3" xfId="11805"/>
    <cellStyle name="Comma 2 3 4 2 3 2" xfId="19830"/>
    <cellStyle name="Comma 2 3 4 2 3 2 2" xfId="33855"/>
    <cellStyle name="Comma 2 3 4 2 3 3" xfId="25844"/>
    <cellStyle name="Comma 2 3 4 2 4" xfId="13820"/>
    <cellStyle name="Comma 2 3 4 2 4 2" xfId="21835"/>
    <cellStyle name="Comma 2 3 4 2 4 2 2" xfId="35860"/>
    <cellStyle name="Comma 2 3 4 2 4 3" xfId="27849"/>
    <cellStyle name="Comma 2 3 4 2 5" xfId="15826"/>
    <cellStyle name="Comma 2 3 4 2 5 2" xfId="29851"/>
    <cellStyle name="Comma 2 3 4 2 6" xfId="17828"/>
    <cellStyle name="Comma 2 3 4 2 6 2" xfId="31853"/>
    <cellStyle name="Comma 2 3 4 2 7" xfId="23842"/>
    <cellStyle name="Comma 2 3 4 3" xfId="1056"/>
    <cellStyle name="Comma 2 3 4 3 2" xfId="11807"/>
    <cellStyle name="Comma 2 3 4 3 2 2" xfId="19832"/>
    <cellStyle name="Comma 2 3 4 3 2 2 2" xfId="33857"/>
    <cellStyle name="Comma 2 3 4 3 2 3" xfId="25846"/>
    <cellStyle name="Comma 2 3 4 3 3" xfId="13822"/>
    <cellStyle name="Comma 2 3 4 3 3 2" xfId="21837"/>
    <cellStyle name="Comma 2 3 4 3 3 2 2" xfId="35862"/>
    <cellStyle name="Comma 2 3 4 3 3 3" xfId="27851"/>
    <cellStyle name="Comma 2 3 4 3 4" xfId="15828"/>
    <cellStyle name="Comma 2 3 4 3 4 2" xfId="29853"/>
    <cellStyle name="Comma 2 3 4 3 5" xfId="17830"/>
    <cellStyle name="Comma 2 3 4 3 5 2" xfId="31855"/>
    <cellStyle name="Comma 2 3 4 3 6" xfId="23844"/>
    <cellStyle name="Comma 2 3 4 4" xfId="11804"/>
    <cellStyle name="Comma 2 3 4 4 2" xfId="19829"/>
    <cellStyle name="Comma 2 3 4 4 2 2" xfId="33854"/>
    <cellStyle name="Comma 2 3 4 4 3" xfId="25843"/>
    <cellStyle name="Comma 2 3 4 5" xfId="13819"/>
    <cellStyle name="Comma 2 3 4 5 2" xfId="21834"/>
    <cellStyle name="Comma 2 3 4 5 2 2" xfId="35859"/>
    <cellStyle name="Comma 2 3 4 5 3" xfId="27848"/>
    <cellStyle name="Comma 2 3 4 6" xfId="15825"/>
    <cellStyle name="Comma 2 3 4 6 2" xfId="29850"/>
    <cellStyle name="Comma 2 3 4 7" xfId="17827"/>
    <cellStyle name="Comma 2 3 4 7 2" xfId="31852"/>
    <cellStyle name="Comma 2 3 4 8" xfId="23841"/>
    <cellStyle name="Comma 2 3 5" xfId="1057"/>
    <cellStyle name="Comma 2 3 5 2" xfId="1058"/>
    <cellStyle name="Comma 2 3 5 2 2" xfId="11809"/>
    <cellStyle name="Comma 2 3 5 2 2 2" xfId="19834"/>
    <cellStyle name="Comma 2 3 5 2 2 2 2" xfId="33859"/>
    <cellStyle name="Comma 2 3 5 2 2 3" xfId="25848"/>
    <cellStyle name="Comma 2 3 5 2 3" xfId="13824"/>
    <cellStyle name="Comma 2 3 5 2 3 2" xfId="21839"/>
    <cellStyle name="Comma 2 3 5 2 3 2 2" xfId="35864"/>
    <cellStyle name="Comma 2 3 5 2 3 3" xfId="27853"/>
    <cellStyle name="Comma 2 3 5 2 4" xfId="15830"/>
    <cellStyle name="Comma 2 3 5 2 4 2" xfId="29855"/>
    <cellStyle name="Comma 2 3 5 2 5" xfId="17832"/>
    <cellStyle name="Comma 2 3 5 2 5 2" xfId="31857"/>
    <cellStyle name="Comma 2 3 5 2 6" xfId="23846"/>
    <cellStyle name="Comma 2 3 5 3" xfId="11808"/>
    <cellStyle name="Comma 2 3 5 3 2" xfId="19833"/>
    <cellStyle name="Comma 2 3 5 3 2 2" xfId="33858"/>
    <cellStyle name="Comma 2 3 5 3 3" xfId="25847"/>
    <cellStyle name="Comma 2 3 5 4" xfId="13823"/>
    <cellStyle name="Comma 2 3 5 4 2" xfId="21838"/>
    <cellStyle name="Comma 2 3 5 4 2 2" xfId="35863"/>
    <cellStyle name="Comma 2 3 5 4 3" xfId="27852"/>
    <cellStyle name="Comma 2 3 5 5" xfId="15829"/>
    <cellStyle name="Comma 2 3 5 5 2" xfId="29854"/>
    <cellStyle name="Comma 2 3 5 6" xfId="17831"/>
    <cellStyle name="Comma 2 3 5 6 2" xfId="31856"/>
    <cellStyle name="Comma 2 3 5 7" xfId="23845"/>
    <cellStyle name="Comma 2 3 6" xfId="1059"/>
    <cellStyle name="Comma 2 3 6 2" xfId="1060"/>
    <cellStyle name="Comma 2 3 6 2 2" xfId="11811"/>
    <cellStyle name="Comma 2 3 6 2 2 2" xfId="19836"/>
    <cellStyle name="Comma 2 3 6 2 2 2 2" xfId="33861"/>
    <cellStyle name="Comma 2 3 6 2 2 3" xfId="25850"/>
    <cellStyle name="Comma 2 3 6 2 3" xfId="13826"/>
    <cellStyle name="Comma 2 3 6 2 3 2" xfId="21841"/>
    <cellStyle name="Comma 2 3 6 2 3 2 2" xfId="35866"/>
    <cellStyle name="Comma 2 3 6 2 3 3" xfId="27855"/>
    <cellStyle name="Comma 2 3 6 2 4" xfId="15832"/>
    <cellStyle name="Comma 2 3 6 2 4 2" xfId="29857"/>
    <cellStyle name="Comma 2 3 6 2 5" xfId="17834"/>
    <cellStyle name="Comma 2 3 6 2 5 2" xfId="31859"/>
    <cellStyle name="Comma 2 3 6 2 6" xfId="23848"/>
    <cellStyle name="Comma 2 3 6 3" xfId="11810"/>
    <cellStyle name="Comma 2 3 6 3 2" xfId="19835"/>
    <cellStyle name="Comma 2 3 6 3 2 2" xfId="33860"/>
    <cellStyle name="Comma 2 3 6 3 3" xfId="25849"/>
    <cellStyle name="Comma 2 3 6 4" xfId="13825"/>
    <cellStyle name="Comma 2 3 6 4 2" xfId="21840"/>
    <cellStyle name="Comma 2 3 6 4 2 2" xfId="35865"/>
    <cellStyle name="Comma 2 3 6 4 3" xfId="27854"/>
    <cellStyle name="Comma 2 3 6 5" xfId="15831"/>
    <cellStyle name="Comma 2 3 6 5 2" xfId="29856"/>
    <cellStyle name="Comma 2 3 6 6" xfId="17833"/>
    <cellStyle name="Comma 2 3 6 6 2" xfId="31858"/>
    <cellStyle name="Comma 2 3 6 7" xfId="23847"/>
    <cellStyle name="Comma 2 3 7" xfId="1061"/>
    <cellStyle name="Comma 2 3 7 2" xfId="11812"/>
    <cellStyle name="Comma 2 3 7 2 2" xfId="19837"/>
    <cellStyle name="Comma 2 3 7 2 2 2" xfId="33862"/>
    <cellStyle name="Comma 2 3 7 2 3" xfId="25851"/>
    <cellStyle name="Comma 2 3 7 3" xfId="13827"/>
    <cellStyle name="Comma 2 3 7 3 2" xfId="21842"/>
    <cellStyle name="Comma 2 3 7 3 2 2" xfId="35867"/>
    <cellStyle name="Comma 2 3 7 3 3" xfId="27856"/>
    <cellStyle name="Comma 2 3 7 4" xfId="15833"/>
    <cellStyle name="Comma 2 3 7 4 2" xfId="29858"/>
    <cellStyle name="Comma 2 3 7 5" xfId="17835"/>
    <cellStyle name="Comma 2 3 7 5 2" xfId="31860"/>
    <cellStyle name="Comma 2 3 7 6" xfId="23849"/>
    <cellStyle name="Comma 2 4" xfId="406"/>
    <cellStyle name="Comma 2 4 2" xfId="1062"/>
    <cellStyle name="Comma 2 4 2 10" xfId="17836"/>
    <cellStyle name="Comma 2 4 2 10 2" xfId="31861"/>
    <cellStyle name="Comma 2 4 2 11" xfId="23850"/>
    <cellStyle name="Comma 2 4 2 2" xfId="1063"/>
    <cellStyle name="Comma 2 4 2 2 10" xfId="23851"/>
    <cellStyle name="Comma 2 4 2 2 2" xfId="1064"/>
    <cellStyle name="Comma 2 4 2 2 2 2" xfId="1065"/>
    <cellStyle name="Comma 2 4 2 2 2 2 2" xfId="1066"/>
    <cellStyle name="Comma 2 4 2 2 2 2 2 2" xfId="11817"/>
    <cellStyle name="Comma 2 4 2 2 2 2 2 2 2" xfId="19842"/>
    <cellStyle name="Comma 2 4 2 2 2 2 2 2 2 2" xfId="33867"/>
    <cellStyle name="Comma 2 4 2 2 2 2 2 2 3" xfId="25856"/>
    <cellStyle name="Comma 2 4 2 2 2 2 2 3" xfId="13832"/>
    <cellStyle name="Comma 2 4 2 2 2 2 2 3 2" xfId="21847"/>
    <cellStyle name="Comma 2 4 2 2 2 2 2 3 2 2" xfId="35872"/>
    <cellStyle name="Comma 2 4 2 2 2 2 2 3 3" xfId="27861"/>
    <cellStyle name="Comma 2 4 2 2 2 2 2 4" xfId="15838"/>
    <cellStyle name="Comma 2 4 2 2 2 2 2 4 2" xfId="29863"/>
    <cellStyle name="Comma 2 4 2 2 2 2 2 5" xfId="17840"/>
    <cellStyle name="Comma 2 4 2 2 2 2 2 5 2" xfId="31865"/>
    <cellStyle name="Comma 2 4 2 2 2 2 2 6" xfId="23854"/>
    <cellStyle name="Comma 2 4 2 2 2 2 3" xfId="11816"/>
    <cellStyle name="Comma 2 4 2 2 2 2 3 2" xfId="19841"/>
    <cellStyle name="Comma 2 4 2 2 2 2 3 2 2" xfId="33866"/>
    <cellStyle name="Comma 2 4 2 2 2 2 3 3" xfId="25855"/>
    <cellStyle name="Comma 2 4 2 2 2 2 4" xfId="13831"/>
    <cellStyle name="Comma 2 4 2 2 2 2 4 2" xfId="21846"/>
    <cellStyle name="Comma 2 4 2 2 2 2 4 2 2" xfId="35871"/>
    <cellStyle name="Comma 2 4 2 2 2 2 4 3" xfId="27860"/>
    <cellStyle name="Comma 2 4 2 2 2 2 5" xfId="15837"/>
    <cellStyle name="Comma 2 4 2 2 2 2 5 2" xfId="29862"/>
    <cellStyle name="Comma 2 4 2 2 2 2 6" xfId="17839"/>
    <cellStyle name="Comma 2 4 2 2 2 2 6 2" xfId="31864"/>
    <cellStyle name="Comma 2 4 2 2 2 2 7" xfId="23853"/>
    <cellStyle name="Comma 2 4 2 2 2 3" xfId="1067"/>
    <cellStyle name="Comma 2 4 2 2 2 3 2" xfId="11818"/>
    <cellStyle name="Comma 2 4 2 2 2 3 2 2" xfId="19843"/>
    <cellStyle name="Comma 2 4 2 2 2 3 2 2 2" xfId="33868"/>
    <cellStyle name="Comma 2 4 2 2 2 3 2 3" xfId="25857"/>
    <cellStyle name="Comma 2 4 2 2 2 3 3" xfId="13833"/>
    <cellStyle name="Comma 2 4 2 2 2 3 3 2" xfId="21848"/>
    <cellStyle name="Comma 2 4 2 2 2 3 3 2 2" xfId="35873"/>
    <cellStyle name="Comma 2 4 2 2 2 3 3 3" xfId="27862"/>
    <cellStyle name="Comma 2 4 2 2 2 3 4" xfId="15839"/>
    <cellStyle name="Comma 2 4 2 2 2 3 4 2" xfId="29864"/>
    <cellStyle name="Comma 2 4 2 2 2 3 5" xfId="17841"/>
    <cellStyle name="Comma 2 4 2 2 2 3 5 2" xfId="31866"/>
    <cellStyle name="Comma 2 4 2 2 2 3 6" xfId="23855"/>
    <cellStyle name="Comma 2 4 2 2 2 4" xfId="11815"/>
    <cellStyle name="Comma 2 4 2 2 2 4 2" xfId="19840"/>
    <cellStyle name="Comma 2 4 2 2 2 4 2 2" xfId="33865"/>
    <cellStyle name="Comma 2 4 2 2 2 4 3" xfId="25854"/>
    <cellStyle name="Comma 2 4 2 2 2 5" xfId="13830"/>
    <cellStyle name="Comma 2 4 2 2 2 5 2" xfId="21845"/>
    <cellStyle name="Comma 2 4 2 2 2 5 2 2" xfId="35870"/>
    <cellStyle name="Comma 2 4 2 2 2 5 3" xfId="27859"/>
    <cellStyle name="Comma 2 4 2 2 2 6" xfId="15836"/>
    <cellStyle name="Comma 2 4 2 2 2 6 2" xfId="29861"/>
    <cellStyle name="Comma 2 4 2 2 2 7" xfId="17838"/>
    <cellStyle name="Comma 2 4 2 2 2 7 2" xfId="31863"/>
    <cellStyle name="Comma 2 4 2 2 2 8" xfId="23852"/>
    <cellStyle name="Comma 2 4 2 2 3" xfId="1068"/>
    <cellStyle name="Comma 2 4 2 2 3 2" xfId="1069"/>
    <cellStyle name="Comma 2 4 2 2 3 2 2" xfId="11820"/>
    <cellStyle name="Comma 2 4 2 2 3 2 2 2" xfId="19845"/>
    <cellStyle name="Comma 2 4 2 2 3 2 2 2 2" xfId="33870"/>
    <cellStyle name="Comma 2 4 2 2 3 2 2 3" xfId="25859"/>
    <cellStyle name="Comma 2 4 2 2 3 2 3" xfId="13835"/>
    <cellStyle name="Comma 2 4 2 2 3 2 3 2" xfId="21850"/>
    <cellStyle name="Comma 2 4 2 2 3 2 3 2 2" xfId="35875"/>
    <cellStyle name="Comma 2 4 2 2 3 2 3 3" xfId="27864"/>
    <cellStyle name="Comma 2 4 2 2 3 2 4" xfId="15841"/>
    <cellStyle name="Comma 2 4 2 2 3 2 4 2" xfId="29866"/>
    <cellStyle name="Comma 2 4 2 2 3 2 5" xfId="17843"/>
    <cellStyle name="Comma 2 4 2 2 3 2 5 2" xfId="31868"/>
    <cellStyle name="Comma 2 4 2 2 3 2 6" xfId="23857"/>
    <cellStyle name="Comma 2 4 2 2 3 3" xfId="11819"/>
    <cellStyle name="Comma 2 4 2 2 3 3 2" xfId="19844"/>
    <cellStyle name="Comma 2 4 2 2 3 3 2 2" xfId="33869"/>
    <cellStyle name="Comma 2 4 2 2 3 3 3" xfId="25858"/>
    <cellStyle name="Comma 2 4 2 2 3 4" xfId="13834"/>
    <cellStyle name="Comma 2 4 2 2 3 4 2" xfId="21849"/>
    <cellStyle name="Comma 2 4 2 2 3 4 2 2" xfId="35874"/>
    <cellStyle name="Comma 2 4 2 2 3 4 3" xfId="27863"/>
    <cellStyle name="Comma 2 4 2 2 3 5" xfId="15840"/>
    <cellStyle name="Comma 2 4 2 2 3 5 2" xfId="29865"/>
    <cellStyle name="Comma 2 4 2 2 3 6" xfId="17842"/>
    <cellStyle name="Comma 2 4 2 2 3 6 2" xfId="31867"/>
    <cellStyle name="Comma 2 4 2 2 3 7" xfId="23856"/>
    <cellStyle name="Comma 2 4 2 2 4" xfId="1070"/>
    <cellStyle name="Comma 2 4 2 2 4 2" xfId="1071"/>
    <cellStyle name="Comma 2 4 2 2 4 2 2" xfId="11822"/>
    <cellStyle name="Comma 2 4 2 2 4 2 2 2" xfId="19847"/>
    <cellStyle name="Comma 2 4 2 2 4 2 2 2 2" xfId="33872"/>
    <cellStyle name="Comma 2 4 2 2 4 2 2 3" xfId="25861"/>
    <cellStyle name="Comma 2 4 2 2 4 2 3" xfId="13837"/>
    <cellStyle name="Comma 2 4 2 2 4 2 3 2" xfId="21852"/>
    <cellStyle name="Comma 2 4 2 2 4 2 3 2 2" xfId="35877"/>
    <cellStyle name="Comma 2 4 2 2 4 2 3 3" xfId="27866"/>
    <cellStyle name="Comma 2 4 2 2 4 2 4" xfId="15843"/>
    <cellStyle name="Comma 2 4 2 2 4 2 4 2" xfId="29868"/>
    <cellStyle name="Comma 2 4 2 2 4 2 5" xfId="17845"/>
    <cellStyle name="Comma 2 4 2 2 4 2 5 2" xfId="31870"/>
    <cellStyle name="Comma 2 4 2 2 4 2 6" xfId="23859"/>
    <cellStyle name="Comma 2 4 2 2 4 3" xfId="11821"/>
    <cellStyle name="Comma 2 4 2 2 4 3 2" xfId="19846"/>
    <cellStyle name="Comma 2 4 2 2 4 3 2 2" xfId="33871"/>
    <cellStyle name="Comma 2 4 2 2 4 3 3" xfId="25860"/>
    <cellStyle name="Comma 2 4 2 2 4 4" xfId="13836"/>
    <cellStyle name="Comma 2 4 2 2 4 4 2" xfId="21851"/>
    <cellStyle name="Comma 2 4 2 2 4 4 2 2" xfId="35876"/>
    <cellStyle name="Comma 2 4 2 2 4 4 3" xfId="27865"/>
    <cellStyle name="Comma 2 4 2 2 4 5" xfId="15842"/>
    <cellStyle name="Comma 2 4 2 2 4 5 2" xfId="29867"/>
    <cellStyle name="Comma 2 4 2 2 4 6" xfId="17844"/>
    <cellStyle name="Comma 2 4 2 2 4 6 2" xfId="31869"/>
    <cellStyle name="Comma 2 4 2 2 4 7" xfId="23858"/>
    <cellStyle name="Comma 2 4 2 2 5" xfId="1072"/>
    <cellStyle name="Comma 2 4 2 2 5 2" xfId="11823"/>
    <cellStyle name="Comma 2 4 2 2 5 2 2" xfId="19848"/>
    <cellStyle name="Comma 2 4 2 2 5 2 2 2" xfId="33873"/>
    <cellStyle name="Comma 2 4 2 2 5 2 3" xfId="25862"/>
    <cellStyle name="Comma 2 4 2 2 5 3" xfId="13838"/>
    <cellStyle name="Comma 2 4 2 2 5 3 2" xfId="21853"/>
    <cellStyle name="Comma 2 4 2 2 5 3 2 2" xfId="35878"/>
    <cellStyle name="Comma 2 4 2 2 5 3 3" xfId="27867"/>
    <cellStyle name="Comma 2 4 2 2 5 4" xfId="15844"/>
    <cellStyle name="Comma 2 4 2 2 5 4 2" xfId="29869"/>
    <cellStyle name="Comma 2 4 2 2 5 5" xfId="17846"/>
    <cellStyle name="Comma 2 4 2 2 5 5 2" xfId="31871"/>
    <cellStyle name="Comma 2 4 2 2 5 6" xfId="23860"/>
    <cellStyle name="Comma 2 4 2 2 6" xfId="11814"/>
    <cellStyle name="Comma 2 4 2 2 6 2" xfId="19839"/>
    <cellStyle name="Comma 2 4 2 2 6 2 2" xfId="33864"/>
    <cellStyle name="Comma 2 4 2 2 6 3" xfId="25853"/>
    <cellStyle name="Comma 2 4 2 2 7" xfId="13829"/>
    <cellStyle name="Comma 2 4 2 2 7 2" xfId="21844"/>
    <cellStyle name="Comma 2 4 2 2 7 2 2" xfId="35869"/>
    <cellStyle name="Comma 2 4 2 2 7 3" xfId="27858"/>
    <cellStyle name="Comma 2 4 2 2 8" xfId="15835"/>
    <cellStyle name="Comma 2 4 2 2 8 2" xfId="29860"/>
    <cellStyle name="Comma 2 4 2 2 9" xfId="17837"/>
    <cellStyle name="Comma 2 4 2 2 9 2" xfId="31862"/>
    <cellStyle name="Comma 2 4 2 3" xfId="1073"/>
    <cellStyle name="Comma 2 4 2 3 2" xfId="1074"/>
    <cellStyle name="Comma 2 4 2 3 2 2" xfId="1075"/>
    <cellStyle name="Comma 2 4 2 3 2 2 2" xfId="11826"/>
    <cellStyle name="Comma 2 4 2 3 2 2 2 2" xfId="19851"/>
    <cellStyle name="Comma 2 4 2 3 2 2 2 2 2" xfId="33876"/>
    <cellStyle name="Comma 2 4 2 3 2 2 2 3" xfId="25865"/>
    <cellStyle name="Comma 2 4 2 3 2 2 3" xfId="13841"/>
    <cellStyle name="Comma 2 4 2 3 2 2 3 2" xfId="21856"/>
    <cellStyle name="Comma 2 4 2 3 2 2 3 2 2" xfId="35881"/>
    <cellStyle name="Comma 2 4 2 3 2 2 3 3" xfId="27870"/>
    <cellStyle name="Comma 2 4 2 3 2 2 4" xfId="15847"/>
    <cellStyle name="Comma 2 4 2 3 2 2 4 2" xfId="29872"/>
    <cellStyle name="Comma 2 4 2 3 2 2 5" xfId="17849"/>
    <cellStyle name="Comma 2 4 2 3 2 2 5 2" xfId="31874"/>
    <cellStyle name="Comma 2 4 2 3 2 2 6" xfId="23863"/>
    <cellStyle name="Comma 2 4 2 3 2 3" xfId="11825"/>
    <cellStyle name="Comma 2 4 2 3 2 3 2" xfId="19850"/>
    <cellStyle name="Comma 2 4 2 3 2 3 2 2" xfId="33875"/>
    <cellStyle name="Comma 2 4 2 3 2 3 3" xfId="25864"/>
    <cellStyle name="Comma 2 4 2 3 2 4" xfId="13840"/>
    <cellStyle name="Comma 2 4 2 3 2 4 2" xfId="21855"/>
    <cellStyle name="Comma 2 4 2 3 2 4 2 2" xfId="35880"/>
    <cellStyle name="Comma 2 4 2 3 2 4 3" xfId="27869"/>
    <cellStyle name="Comma 2 4 2 3 2 5" xfId="15846"/>
    <cellStyle name="Comma 2 4 2 3 2 5 2" xfId="29871"/>
    <cellStyle name="Comma 2 4 2 3 2 6" xfId="17848"/>
    <cellStyle name="Comma 2 4 2 3 2 6 2" xfId="31873"/>
    <cellStyle name="Comma 2 4 2 3 2 7" xfId="23862"/>
    <cellStyle name="Comma 2 4 2 3 3" xfId="1076"/>
    <cellStyle name="Comma 2 4 2 3 3 2" xfId="11827"/>
    <cellStyle name="Comma 2 4 2 3 3 2 2" xfId="19852"/>
    <cellStyle name="Comma 2 4 2 3 3 2 2 2" xfId="33877"/>
    <cellStyle name="Comma 2 4 2 3 3 2 3" xfId="25866"/>
    <cellStyle name="Comma 2 4 2 3 3 3" xfId="13842"/>
    <cellStyle name="Comma 2 4 2 3 3 3 2" xfId="21857"/>
    <cellStyle name="Comma 2 4 2 3 3 3 2 2" xfId="35882"/>
    <cellStyle name="Comma 2 4 2 3 3 3 3" xfId="27871"/>
    <cellStyle name="Comma 2 4 2 3 3 4" xfId="15848"/>
    <cellStyle name="Comma 2 4 2 3 3 4 2" xfId="29873"/>
    <cellStyle name="Comma 2 4 2 3 3 5" xfId="17850"/>
    <cellStyle name="Comma 2 4 2 3 3 5 2" xfId="31875"/>
    <cellStyle name="Comma 2 4 2 3 3 6" xfId="23864"/>
    <cellStyle name="Comma 2 4 2 3 4" xfId="11824"/>
    <cellStyle name="Comma 2 4 2 3 4 2" xfId="19849"/>
    <cellStyle name="Comma 2 4 2 3 4 2 2" xfId="33874"/>
    <cellStyle name="Comma 2 4 2 3 4 3" xfId="25863"/>
    <cellStyle name="Comma 2 4 2 3 5" xfId="13839"/>
    <cellStyle name="Comma 2 4 2 3 5 2" xfId="21854"/>
    <cellStyle name="Comma 2 4 2 3 5 2 2" xfId="35879"/>
    <cellStyle name="Comma 2 4 2 3 5 3" xfId="27868"/>
    <cellStyle name="Comma 2 4 2 3 6" xfId="15845"/>
    <cellStyle name="Comma 2 4 2 3 6 2" xfId="29870"/>
    <cellStyle name="Comma 2 4 2 3 7" xfId="17847"/>
    <cellStyle name="Comma 2 4 2 3 7 2" xfId="31872"/>
    <cellStyle name="Comma 2 4 2 3 8" xfId="23861"/>
    <cellStyle name="Comma 2 4 2 4" xfId="1077"/>
    <cellStyle name="Comma 2 4 2 4 2" xfId="1078"/>
    <cellStyle name="Comma 2 4 2 4 2 2" xfId="11829"/>
    <cellStyle name="Comma 2 4 2 4 2 2 2" xfId="19854"/>
    <cellStyle name="Comma 2 4 2 4 2 2 2 2" xfId="33879"/>
    <cellStyle name="Comma 2 4 2 4 2 2 3" xfId="25868"/>
    <cellStyle name="Comma 2 4 2 4 2 3" xfId="13844"/>
    <cellStyle name="Comma 2 4 2 4 2 3 2" xfId="21859"/>
    <cellStyle name="Comma 2 4 2 4 2 3 2 2" xfId="35884"/>
    <cellStyle name="Comma 2 4 2 4 2 3 3" xfId="27873"/>
    <cellStyle name="Comma 2 4 2 4 2 4" xfId="15850"/>
    <cellStyle name="Comma 2 4 2 4 2 4 2" xfId="29875"/>
    <cellStyle name="Comma 2 4 2 4 2 5" xfId="17852"/>
    <cellStyle name="Comma 2 4 2 4 2 5 2" xfId="31877"/>
    <cellStyle name="Comma 2 4 2 4 2 6" xfId="23866"/>
    <cellStyle name="Comma 2 4 2 4 3" xfId="11828"/>
    <cellStyle name="Comma 2 4 2 4 3 2" xfId="19853"/>
    <cellStyle name="Comma 2 4 2 4 3 2 2" xfId="33878"/>
    <cellStyle name="Comma 2 4 2 4 3 3" xfId="25867"/>
    <cellStyle name="Comma 2 4 2 4 4" xfId="13843"/>
    <cellStyle name="Comma 2 4 2 4 4 2" xfId="21858"/>
    <cellStyle name="Comma 2 4 2 4 4 2 2" xfId="35883"/>
    <cellStyle name="Comma 2 4 2 4 4 3" xfId="27872"/>
    <cellStyle name="Comma 2 4 2 4 5" xfId="15849"/>
    <cellStyle name="Comma 2 4 2 4 5 2" xfId="29874"/>
    <cellStyle name="Comma 2 4 2 4 6" xfId="17851"/>
    <cellStyle name="Comma 2 4 2 4 6 2" xfId="31876"/>
    <cellStyle name="Comma 2 4 2 4 7" xfId="23865"/>
    <cellStyle name="Comma 2 4 2 5" xfId="1079"/>
    <cellStyle name="Comma 2 4 2 5 2" xfId="1080"/>
    <cellStyle name="Comma 2 4 2 5 2 2" xfId="11831"/>
    <cellStyle name="Comma 2 4 2 5 2 2 2" xfId="19856"/>
    <cellStyle name="Comma 2 4 2 5 2 2 2 2" xfId="33881"/>
    <cellStyle name="Comma 2 4 2 5 2 2 3" xfId="25870"/>
    <cellStyle name="Comma 2 4 2 5 2 3" xfId="13846"/>
    <cellStyle name="Comma 2 4 2 5 2 3 2" xfId="21861"/>
    <cellStyle name="Comma 2 4 2 5 2 3 2 2" xfId="35886"/>
    <cellStyle name="Comma 2 4 2 5 2 3 3" xfId="27875"/>
    <cellStyle name="Comma 2 4 2 5 2 4" xfId="15852"/>
    <cellStyle name="Comma 2 4 2 5 2 4 2" xfId="29877"/>
    <cellStyle name="Comma 2 4 2 5 2 5" xfId="17854"/>
    <cellStyle name="Comma 2 4 2 5 2 5 2" xfId="31879"/>
    <cellStyle name="Comma 2 4 2 5 2 6" xfId="23868"/>
    <cellStyle name="Comma 2 4 2 5 3" xfId="11830"/>
    <cellStyle name="Comma 2 4 2 5 3 2" xfId="19855"/>
    <cellStyle name="Comma 2 4 2 5 3 2 2" xfId="33880"/>
    <cellStyle name="Comma 2 4 2 5 3 3" xfId="25869"/>
    <cellStyle name="Comma 2 4 2 5 4" xfId="13845"/>
    <cellStyle name="Comma 2 4 2 5 4 2" xfId="21860"/>
    <cellStyle name="Comma 2 4 2 5 4 2 2" xfId="35885"/>
    <cellStyle name="Comma 2 4 2 5 4 3" xfId="27874"/>
    <cellStyle name="Comma 2 4 2 5 5" xfId="15851"/>
    <cellStyle name="Comma 2 4 2 5 5 2" xfId="29876"/>
    <cellStyle name="Comma 2 4 2 5 6" xfId="17853"/>
    <cellStyle name="Comma 2 4 2 5 6 2" xfId="31878"/>
    <cellStyle name="Comma 2 4 2 5 7" xfId="23867"/>
    <cellStyle name="Comma 2 4 2 6" xfId="1081"/>
    <cellStyle name="Comma 2 4 2 6 2" xfId="11832"/>
    <cellStyle name="Comma 2 4 2 6 2 2" xfId="19857"/>
    <cellStyle name="Comma 2 4 2 6 2 2 2" xfId="33882"/>
    <cellStyle name="Comma 2 4 2 6 2 3" xfId="25871"/>
    <cellStyle name="Comma 2 4 2 6 3" xfId="13847"/>
    <cellStyle name="Comma 2 4 2 6 3 2" xfId="21862"/>
    <cellStyle name="Comma 2 4 2 6 3 2 2" xfId="35887"/>
    <cellStyle name="Comma 2 4 2 6 3 3" xfId="27876"/>
    <cellStyle name="Comma 2 4 2 6 4" xfId="15853"/>
    <cellStyle name="Comma 2 4 2 6 4 2" xfId="29878"/>
    <cellStyle name="Comma 2 4 2 6 5" xfId="17855"/>
    <cellStyle name="Comma 2 4 2 6 5 2" xfId="31880"/>
    <cellStyle name="Comma 2 4 2 6 6" xfId="23869"/>
    <cellStyle name="Comma 2 4 2 7" xfId="11813"/>
    <cellStyle name="Comma 2 4 2 7 2" xfId="19838"/>
    <cellStyle name="Comma 2 4 2 7 2 2" xfId="33863"/>
    <cellStyle name="Comma 2 4 2 7 3" xfId="25852"/>
    <cellStyle name="Comma 2 4 2 8" xfId="13828"/>
    <cellStyle name="Comma 2 4 2 8 2" xfId="21843"/>
    <cellStyle name="Comma 2 4 2 8 2 2" xfId="35868"/>
    <cellStyle name="Comma 2 4 2 8 3" xfId="27857"/>
    <cellStyle name="Comma 2 4 2 9" xfId="15834"/>
    <cellStyle name="Comma 2 4 2 9 2" xfId="29859"/>
    <cellStyle name="Comma 2 4 3" xfId="1082"/>
    <cellStyle name="Comma 2 4 3 10" xfId="23870"/>
    <cellStyle name="Comma 2 4 3 2" xfId="1083"/>
    <cellStyle name="Comma 2 4 3 2 2" xfId="1084"/>
    <cellStyle name="Comma 2 4 3 2 2 2" xfId="1085"/>
    <cellStyle name="Comma 2 4 3 2 2 2 2" xfId="11836"/>
    <cellStyle name="Comma 2 4 3 2 2 2 2 2" xfId="19861"/>
    <cellStyle name="Comma 2 4 3 2 2 2 2 2 2" xfId="33886"/>
    <cellStyle name="Comma 2 4 3 2 2 2 2 3" xfId="25875"/>
    <cellStyle name="Comma 2 4 3 2 2 2 3" xfId="13851"/>
    <cellStyle name="Comma 2 4 3 2 2 2 3 2" xfId="21866"/>
    <cellStyle name="Comma 2 4 3 2 2 2 3 2 2" xfId="35891"/>
    <cellStyle name="Comma 2 4 3 2 2 2 3 3" xfId="27880"/>
    <cellStyle name="Comma 2 4 3 2 2 2 4" xfId="15857"/>
    <cellStyle name="Comma 2 4 3 2 2 2 4 2" xfId="29882"/>
    <cellStyle name="Comma 2 4 3 2 2 2 5" xfId="17859"/>
    <cellStyle name="Comma 2 4 3 2 2 2 5 2" xfId="31884"/>
    <cellStyle name="Comma 2 4 3 2 2 2 6" xfId="23873"/>
    <cellStyle name="Comma 2 4 3 2 2 3" xfId="11835"/>
    <cellStyle name="Comma 2 4 3 2 2 3 2" xfId="19860"/>
    <cellStyle name="Comma 2 4 3 2 2 3 2 2" xfId="33885"/>
    <cellStyle name="Comma 2 4 3 2 2 3 3" xfId="25874"/>
    <cellStyle name="Comma 2 4 3 2 2 4" xfId="13850"/>
    <cellStyle name="Comma 2 4 3 2 2 4 2" xfId="21865"/>
    <cellStyle name="Comma 2 4 3 2 2 4 2 2" xfId="35890"/>
    <cellStyle name="Comma 2 4 3 2 2 4 3" xfId="27879"/>
    <cellStyle name="Comma 2 4 3 2 2 5" xfId="15856"/>
    <cellStyle name="Comma 2 4 3 2 2 5 2" xfId="29881"/>
    <cellStyle name="Comma 2 4 3 2 2 6" xfId="17858"/>
    <cellStyle name="Comma 2 4 3 2 2 6 2" xfId="31883"/>
    <cellStyle name="Comma 2 4 3 2 2 7" xfId="23872"/>
    <cellStyle name="Comma 2 4 3 2 3" xfId="1086"/>
    <cellStyle name="Comma 2 4 3 2 3 2" xfId="11837"/>
    <cellStyle name="Comma 2 4 3 2 3 2 2" xfId="19862"/>
    <cellStyle name="Comma 2 4 3 2 3 2 2 2" xfId="33887"/>
    <cellStyle name="Comma 2 4 3 2 3 2 3" xfId="25876"/>
    <cellStyle name="Comma 2 4 3 2 3 3" xfId="13852"/>
    <cellStyle name="Comma 2 4 3 2 3 3 2" xfId="21867"/>
    <cellStyle name="Comma 2 4 3 2 3 3 2 2" xfId="35892"/>
    <cellStyle name="Comma 2 4 3 2 3 3 3" xfId="27881"/>
    <cellStyle name="Comma 2 4 3 2 3 4" xfId="15858"/>
    <cellStyle name="Comma 2 4 3 2 3 4 2" xfId="29883"/>
    <cellStyle name="Comma 2 4 3 2 3 5" xfId="17860"/>
    <cellStyle name="Comma 2 4 3 2 3 5 2" xfId="31885"/>
    <cellStyle name="Comma 2 4 3 2 3 6" xfId="23874"/>
    <cellStyle name="Comma 2 4 3 2 4" xfId="11834"/>
    <cellStyle name="Comma 2 4 3 2 4 2" xfId="19859"/>
    <cellStyle name="Comma 2 4 3 2 4 2 2" xfId="33884"/>
    <cellStyle name="Comma 2 4 3 2 4 3" xfId="25873"/>
    <cellStyle name="Comma 2 4 3 2 5" xfId="13849"/>
    <cellStyle name="Comma 2 4 3 2 5 2" xfId="21864"/>
    <cellStyle name="Comma 2 4 3 2 5 2 2" xfId="35889"/>
    <cellStyle name="Comma 2 4 3 2 5 3" xfId="27878"/>
    <cellStyle name="Comma 2 4 3 2 6" xfId="15855"/>
    <cellStyle name="Comma 2 4 3 2 6 2" xfId="29880"/>
    <cellStyle name="Comma 2 4 3 2 7" xfId="17857"/>
    <cellStyle name="Comma 2 4 3 2 7 2" xfId="31882"/>
    <cellStyle name="Comma 2 4 3 2 8" xfId="23871"/>
    <cellStyle name="Comma 2 4 3 3" xfId="1087"/>
    <cellStyle name="Comma 2 4 3 3 2" xfId="1088"/>
    <cellStyle name="Comma 2 4 3 3 2 2" xfId="11839"/>
    <cellStyle name="Comma 2 4 3 3 2 2 2" xfId="19864"/>
    <cellStyle name="Comma 2 4 3 3 2 2 2 2" xfId="33889"/>
    <cellStyle name="Comma 2 4 3 3 2 2 3" xfId="25878"/>
    <cellStyle name="Comma 2 4 3 3 2 3" xfId="13854"/>
    <cellStyle name="Comma 2 4 3 3 2 3 2" xfId="21869"/>
    <cellStyle name="Comma 2 4 3 3 2 3 2 2" xfId="35894"/>
    <cellStyle name="Comma 2 4 3 3 2 3 3" xfId="27883"/>
    <cellStyle name="Comma 2 4 3 3 2 4" xfId="15860"/>
    <cellStyle name="Comma 2 4 3 3 2 4 2" xfId="29885"/>
    <cellStyle name="Comma 2 4 3 3 2 5" xfId="17862"/>
    <cellStyle name="Comma 2 4 3 3 2 5 2" xfId="31887"/>
    <cellStyle name="Comma 2 4 3 3 2 6" xfId="23876"/>
    <cellStyle name="Comma 2 4 3 3 3" xfId="11838"/>
    <cellStyle name="Comma 2 4 3 3 3 2" xfId="19863"/>
    <cellStyle name="Comma 2 4 3 3 3 2 2" xfId="33888"/>
    <cellStyle name="Comma 2 4 3 3 3 3" xfId="25877"/>
    <cellStyle name="Comma 2 4 3 3 4" xfId="13853"/>
    <cellStyle name="Comma 2 4 3 3 4 2" xfId="21868"/>
    <cellStyle name="Comma 2 4 3 3 4 2 2" xfId="35893"/>
    <cellStyle name="Comma 2 4 3 3 4 3" xfId="27882"/>
    <cellStyle name="Comma 2 4 3 3 5" xfId="15859"/>
    <cellStyle name="Comma 2 4 3 3 5 2" xfId="29884"/>
    <cellStyle name="Comma 2 4 3 3 6" xfId="17861"/>
    <cellStyle name="Comma 2 4 3 3 6 2" xfId="31886"/>
    <cellStyle name="Comma 2 4 3 3 7" xfId="23875"/>
    <cellStyle name="Comma 2 4 3 4" xfId="1089"/>
    <cellStyle name="Comma 2 4 3 4 2" xfId="1090"/>
    <cellStyle name="Comma 2 4 3 4 2 2" xfId="11841"/>
    <cellStyle name="Comma 2 4 3 4 2 2 2" xfId="19866"/>
    <cellStyle name="Comma 2 4 3 4 2 2 2 2" xfId="33891"/>
    <cellStyle name="Comma 2 4 3 4 2 2 3" xfId="25880"/>
    <cellStyle name="Comma 2 4 3 4 2 3" xfId="13856"/>
    <cellStyle name="Comma 2 4 3 4 2 3 2" xfId="21871"/>
    <cellStyle name="Comma 2 4 3 4 2 3 2 2" xfId="35896"/>
    <cellStyle name="Comma 2 4 3 4 2 3 3" xfId="27885"/>
    <cellStyle name="Comma 2 4 3 4 2 4" xfId="15862"/>
    <cellStyle name="Comma 2 4 3 4 2 4 2" xfId="29887"/>
    <cellStyle name="Comma 2 4 3 4 2 5" xfId="17864"/>
    <cellStyle name="Comma 2 4 3 4 2 5 2" xfId="31889"/>
    <cellStyle name="Comma 2 4 3 4 2 6" xfId="23878"/>
    <cellStyle name="Comma 2 4 3 4 3" xfId="11840"/>
    <cellStyle name="Comma 2 4 3 4 3 2" xfId="19865"/>
    <cellStyle name="Comma 2 4 3 4 3 2 2" xfId="33890"/>
    <cellStyle name="Comma 2 4 3 4 3 3" xfId="25879"/>
    <cellStyle name="Comma 2 4 3 4 4" xfId="13855"/>
    <cellStyle name="Comma 2 4 3 4 4 2" xfId="21870"/>
    <cellStyle name="Comma 2 4 3 4 4 2 2" xfId="35895"/>
    <cellStyle name="Comma 2 4 3 4 4 3" xfId="27884"/>
    <cellStyle name="Comma 2 4 3 4 5" xfId="15861"/>
    <cellStyle name="Comma 2 4 3 4 5 2" xfId="29886"/>
    <cellStyle name="Comma 2 4 3 4 6" xfId="17863"/>
    <cellStyle name="Comma 2 4 3 4 6 2" xfId="31888"/>
    <cellStyle name="Comma 2 4 3 4 7" xfId="23877"/>
    <cellStyle name="Comma 2 4 3 5" xfId="1091"/>
    <cellStyle name="Comma 2 4 3 5 2" xfId="11842"/>
    <cellStyle name="Comma 2 4 3 5 2 2" xfId="19867"/>
    <cellStyle name="Comma 2 4 3 5 2 2 2" xfId="33892"/>
    <cellStyle name="Comma 2 4 3 5 2 3" xfId="25881"/>
    <cellStyle name="Comma 2 4 3 5 3" xfId="13857"/>
    <cellStyle name="Comma 2 4 3 5 3 2" xfId="21872"/>
    <cellStyle name="Comma 2 4 3 5 3 2 2" xfId="35897"/>
    <cellStyle name="Comma 2 4 3 5 3 3" xfId="27886"/>
    <cellStyle name="Comma 2 4 3 5 4" xfId="15863"/>
    <cellStyle name="Comma 2 4 3 5 4 2" xfId="29888"/>
    <cellStyle name="Comma 2 4 3 5 5" xfId="17865"/>
    <cellStyle name="Comma 2 4 3 5 5 2" xfId="31890"/>
    <cellStyle name="Comma 2 4 3 5 6" xfId="23879"/>
    <cellStyle name="Comma 2 4 3 6" xfId="11833"/>
    <cellStyle name="Comma 2 4 3 6 2" xfId="19858"/>
    <cellStyle name="Comma 2 4 3 6 2 2" xfId="33883"/>
    <cellStyle name="Comma 2 4 3 6 3" xfId="25872"/>
    <cellStyle name="Comma 2 4 3 7" xfId="13848"/>
    <cellStyle name="Comma 2 4 3 7 2" xfId="21863"/>
    <cellStyle name="Comma 2 4 3 7 2 2" xfId="35888"/>
    <cellStyle name="Comma 2 4 3 7 3" xfId="27877"/>
    <cellStyle name="Comma 2 4 3 8" xfId="15854"/>
    <cellStyle name="Comma 2 4 3 8 2" xfId="29879"/>
    <cellStyle name="Comma 2 4 3 9" xfId="17856"/>
    <cellStyle name="Comma 2 4 3 9 2" xfId="31881"/>
    <cellStyle name="Comma 2 4 4" xfId="1092"/>
    <cellStyle name="Comma 2 4 4 2" xfId="1093"/>
    <cellStyle name="Comma 2 4 4 2 2" xfId="1094"/>
    <cellStyle name="Comma 2 4 4 2 2 2" xfId="11845"/>
    <cellStyle name="Comma 2 4 4 2 2 2 2" xfId="19870"/>
    <cellStyle name="Comma 2 4 4 2 2 2 2 2" xfId="33895"/>
    <cellStyle name="Comma 2 4 4 2 2 2 3" xfId="25884"/>
    <cellStyle name="Comma 2 4 4 2 2 3" xfId="13860"/>
    <cellStyle name="Comma 2 4 4 2 2 3 2" xfId="21875"/>
    <cellStyle name="Comma 2 4 4 2 2 3 2 2" xfId="35900"/>
    <cellStyle name="Comma 2 4 4 2 2 3 3" xfId="27889"/>
    <cellStyle name="Comma 2 4 4 2 2 4" xfId="15866"/>
    <cellStyle name="Comma 2 4 4 2 2 4 2" xfId="29891"/>
    <cellStyle name="Comma 2 4 4 2 2 5" xfId="17868"/>
    <cellStyle name="Comma 2 4 4 2 2 5 2" xfId="31893"/>
    <cellStyle name="Comma 2 4 4 2 2 6" xfId="23882"/>
    <cellStyle name="Comma 2 4 4 2 3" xfId="11844"/>
    <cellStyle name="Comma 2 4 4 2 3 2" xfId="19869"/>
    <cellStyle name="Comma 2 4 4 2 3 2 2" xfId="33894"/>
    <cellStyle name="Comma 2 4 4 2 3 3" xfId="25883"/>
    <cellStyle name="Comma 2 4 4 2 4" xfId="13859"/>
    <cellStyle name="Comma 2 4 4 2 4 2" xfId="21874"/>
    <cellStyle name="Comma 2 4 4 2 4 2 2" xfId="35899"/>
    <cellStyle name="Comma 2 4 4 2 4 3" xfId="27888"/>
    <cellStyle name="Comma 2 4 4 2 5" xfId="15865"/>
    <cellStyle name="Comma 2 4 4 2 5 2" xfId="29890"/>
    <cellStyle name="Comma 2 4 4 2 6" xfId="17867"/>
    <cellStyle name="Comma 2 4 4 2 6 2" xfId="31892"/>
    <cellStyle name="Comma 2 4 4 2 7" xfId="23881"/>
    <cellStyle name="Comma 2 4 4 3" xfId="1095"/>
    <cellStyle name="Comma 2 4 4 3 2" xfId="11846"/>
    <cellStyle name="Comma 2 4 4 3 2 2" xfId="19871"/>
    <cellStyle name="Comma 2 4 4 3 2 2 2" xfId="33896"/>
    <cellStyle name="Comma 2 4 4 3 2 3" xfId="25885"/>
    <cellStyle name="Comma 2 4 4 3 3" xfId="13861"/>
    <cellStyle name="Comma 2 4 4 3 3 2" xfId="21876"/>
    <cellStyle name="Comma 2 4 4 3 3 2 2" xfId="35901"/>
    <cellStyle name="Comma 2 4 4 3 3 3" xfId="27890"/>
    <cellStyle name="Comma 2 4 4 3 4" xfId="15867"/>
    <cellStyle name="Comma 2 4 4 3 4 2" xfId="29892"/>
    <cellStyle name="Comma 2 4 4 3 5" xfId="17869"/>
    <cellStyle name="Comma 2 4 4 3 5 2" xfId="31894"/>
    <cellStyle name="Comma 2 4 4 3 6" xfId="23883"/>
    <cellStyle name="Comma 2 4 4 4" xfId="11843"/>
    <cellStyle name="Comma 2 4 4 4 2" xfId="19868"/>
    <cellStyle name="Comma 2 4 4 4 2 2" xfId="33893"/>
    <cellStyle name="Comma 2 4 4 4 3" xfId="25882"/>
    <cellStyle name="Comma 2 4 4 5" xfId="13858"/>
    <cellStyle name="Comma 2 4 4 5 2" xfId="21873"/>
    <cellStyle name="Comma 2 4 4 5 2 2" xfId="35898"/>
    <cellStyle name="Comma 2 4 4 5 3" xfId="27887"/>
    <cellStyle name="Comma 2 4 4 6" xfId="15864"/>
    <cellStyle name="Comma 2 4 4 6 2" xfId="29889"/>
    <cellStyle name="Comma 2 4 4 7" xfId="17866"/>
    <cellStyle name="Comma 2 4 4 7 2" xfId="31891"/>
    <cellStyle name="Comma 2 4 4 8" xfId="23880"/>
    <cellStyle name="Comma 2 4 5" xfId="1096"/>
    <cellStyle name="Comma 2 4 5 2" xfId="1097"/>
    <cellStyle name="Comma 2 4 5 2 2" xfId="11848"/>
    <cellStyle name="Comma 2 4 5 2 2 2" xfId="19873"/>
    <cellStyle name="Comma 2 4 5 2 2 2 2" xfId="33898"/>
    <cellStyle name="Comma 2 4 5 2 2 3" xfId="25887"/>
    <cellStyle name="Comma 2 4 5 2 3" xfId="13863"/>
    <cellStyle name="Comma 2 4 5 2 3 2" xfId="21878"/>
    <cellStyle name="Comma 2 4 5 2 3 2 2" xfId="35903"/>
    <cellStyle name="Comma 2 4 5 2 3 3" xfId="27892"/>
    <cellStyle name="Comma 2 4 5 2 4" xfId="15869"/>
    <cellStyle name="Comma 2 4 5 2 4 2" xfId="29894"/>
    <cellStyle name="Comma 2 4 5 2 5" xfId="17871"/>
    <cellStyle name="Comma 2 4 5 2 5 2" xfId="31896"/>
    <cellStyle name="Comma 2 4 5 2 6" xfId="23885"/>
    <cellStyle name="Comma 2 4 5 3" xfId="11847"/>
    <cellStyle name="Comma 2 4 5 3 2" xfId="19872"/>
    <cellStyle name="Comma 2 4 5 3 2 2" xfId="33897"/>
    <cellStyle name="Comma 2 4 5 3 3" xfId="25886"/>
    <cellStyle name="Comma 2 4 5 4" xfId="13862"/>
    <cellStyle name="Comma 2 4 5 4 2" xfId="21877"/>
    <cellStyle name="Comma 2 4 5 4 2 2" xfId="35902"/>
    <cellStyle name="Comma 2 4 5 4 3" xfId="27891"/>
    <cellStyle name="Comma 2 4 5 5" xfId="15868"/>
    <cellStyle name="Comma 2 4 5 5 2" xfId="29893"/>
    <cellStyle name="Comma 2 4 5 6" xfId="17870"/>
    <cellStyle name="Comma 2 4 5 6 2" xfId="31895"/>
    <cellStyle name="Comma 2 4 5 7" xfId="23884"/>
    <cellStyle name="Comma 2 4 6" xfId="1098"/>
    <cellStyle name="Comma 2 4 6 2" xfId="1099"/>
    <cellStyle name="Comma 2 4 6 2 2" xfId="11850"/>
    <cellStyle name="Comma 2 4 6 2 2 2" xfId="19875"/>
    <cellStyle name="Comma 2 4 6 2 2 2 2" xfId="33900"/>
    <cellStyle name="Comma 2 4 6 2 2 3" xfId="25889"/>
    <cellStyle name="Comma 2 4 6 2 3" xfId="13865"/>
    <cellStyle name="Comma 2 4 6 2 3 2" xfId="21880"/>
    <cellStyle name="Comma 2 4 6 2 3 2 2" xfId="35905"/>
    <cellStyle name="Comma 2 4 6 2 3 3" xfId="27894"/>
    <cellStyle name="Comma 2 4 6 2 4" xfId="15871"/>
    <cellStyle name="Comma 2 4 6 2 4 2" xfId="29896"/>
    <cellStyle name="Comma 2 4 6 2 5" xfId="17873"/>
    <cellStyle name="Comma 2 4 6 2 5 2" xfId="31898"/>
    <cellStyle name="Comma 2 4 6 2 6" xfId="23887"/>
    <cellStyle name="Comma 2 4 6 3" xfId="11849"/>
    <cellStyle name="Comma 2 4 6 3 2" xfId="19874"/>
    <cellStyle name="Comma 2 4 6 3 2 2" xfId="33899"/>
    <cellStyle name="Comma 2 4 6 3 3" xfId="25888"/>
    <cellStyle name="Comma 2 4 6 4" xfId="13864"/>
    <cellStyle name="Comma 2 4 6 4 2" xfId="21879"/>
    <cellStyle name="Comma 2 4 6 4 2 2" xfId="35904"/>
    <cellStyle name="Comma 2 4 6 4 3" xfId="27893"/>
    <cellStyle name="Comma 2 4 6 5" xfId="15870"/>
    <cellStyle name="Comma 2 4 6 5 2" xfId="29895"/>
    <cellStyle name="Comma 2 4 6 6" xfId="17872"/>
    <cellStyle name="Comma 2 4 6 6 2" xfId="31897"/>
    <cellStyle name="Comma 2 4 6 7" xfId="23886"/>
    <cellStyle name="Comma 2 4 7" xfId="1100"/>
    <cellStyle name="Comma 2 4 7 2" xfId="11851"/>
    <cellStyle name="Comma 2 4 7 2 2" xfId="19876"/>
    <cellStyle name="Comma 2 4 7 2 2 2" xfId="33901"/>
    <cellStyle name="Comma 2 4 7 2 3" xfId="25890"/>
    <cellStyle name="Comma 2 4 7 3" xfId="13866"/>
    <cellStyle name="Comma 2 4 7 3 2" xfId="21881"/>
    <cellStyle name="Comma 2 4 7 3 2 2" xfId="35906"/>
    <cellStyle name="Comma 2 4 7 3 3" xfId="27895"/>
    <cellStyle name="Comma 2 4 7 4" xfId="15872"/>
    <cellStyle name="Comma 2 4 7 4 2" xfId="29897"/>
    <cellStyle name="Comma 2 4 7 5" xfId="17874"/>
    <cellStyle name="Comma 2 4 7 5 2" xfId="31899"/>
    <cellStyle name="Comma 2 4 7 6" xfId="23888"/>
    <cellStyle name="Comma 2 4 8" xfId="1101"/>
    <cellStyle name="Comma 2 5" xfId="1102"/>
    <cellStyle name="Comma 2 5 10" xfId="15873"/>
    <cellStyle name="Comma 2 5 10 2" xfId="29898"/>
    <cellStyle name="Comma 2 5 11" xfId="17875"/>
    <cellStyle name="Comma 2 5 11 2" xfId="31900"/>
    <cellStyle name="Comma 2 5 12" xfId="23889"/>
    <cellStyle name="Comma 2 5 2" xfId="1103"/>
    <cellStyle name="Comma 2 5 2 10" xfId="17876"/>
    <cellStyle name="Comma 2 5 2 10 2" xfId="31901"/>
    <cellStyle name="Comma 2 5 2 11" xfId="23890"/>
    <cellStyle name="Comma 2 5 2 2" xfId="1104"/>
    <cellStyle name="Comma 2 5 2 2 10" xfId="23891"/>
    <cellStyle name="Comma 2 5 2 2 2" xfId="1105"/>
    <cellStyle name="Comma 2 5 2 2 2 2" xfId="1106"/>
    <cellStyle name="Comma 2 5 2 2 2 2 2" xfId="1107"/>
    <cellStyle name="Comma 2 5 2 2 2 2 2 2" xfId="11857"/>
    <cellStyle name="Comma 2 5 2 2 2 2 2 2 2" xfId="19882"/>
    <cellStyle name="Comma 2 5 2 2 2 2 2 2 2 2" xfId="33907"/>
    <cellStyle name="Comma 2 5 2 2 2 2 2 2 3" xfId="25896"/>
    <cellStyle name="Comma 2 5 2 2 2 2 2 3" xfId="13872"/>
    <cellStyle name="Comma 2 5 2 2 2 2 2 3 2" xfId="21887"/>
    <cellStyle name="Comma 2 5 2 2 2 2 2 3 2 2" xfId="35912"/>
    <cellStyle name="Comma 2 5 2 2 2 2 2 3 3" xfId="27901"/>
    <cellStyle name="Comma 2 5 2 2 2 2 2 4" xfId="15878"/>
    <cellStyle name="Comma 2 5 2 2 2 2 2 4 2" xfId="29903"/>
    <cellStyle name="Comma 2 5 2 2 2 2 2 5" xfId="17880"/>
    <cellStyle name="Comma 2 5 2 2 2 2 2 5 2" xfId="31905"/>
    <cellStyle name="Comma 2 5 2 2 2 2 2 6" xfId="23894"/>
    <cellStyle name="Comma 2 5 2 2 2 2 3" xfId="11856"/>
    <cellStyle name="Comma 2 5 2 2 2 2 3 2" xfId="19881"/>
    <cellStyle name="Comma 2 5 2 2 2 2 3 2 2" xfId="33906"/>
    <cellStyle name="Comma 2 5 2 2 2 2 3 3" xfId="25895"/>
    <cellStyle name="Comma 2 5 2 2 2 2 4" xfId="13871"/>
    <cellStyle name="Comma 2 5 2 2 2 2 4 2" xfId="21886"/>
    <cellStyle name="Comma 2 5 2 2 2 2 4 2 2" xfId="35911"/>
    <cellStyle name="Comma 2 5 2 2 2 2 4 3" xfId="27900"/>
    <cellStyle name="Comma 2 5 2 2 2 2 5" xfId="15877"/>
    <cellStyle name="Comma 2 5 2 2 2 2 5 2" xfId="29902"/>
    <cellStyle name="Comma 2 5 2 2 2 2 6" xfId="17879"/>
    <cellStyle name="Comma 2 5 2 2 2 2 6 2" xfId="31904"/>
    <cellStyle name="Comma 2 5 2 2 2 2 7" xfId="23893"/>
    <cellStyle name="Comma 2 5 2 2 2 3" xfId="1108"/>
    <cellStyle name="Comma 2 5 2 2 2 3 2" xfId="11858"/>
    <cellStyle name="Comma 2 5 2 2 2 3 2 2" xfId="19883"/>
    <cellStyle name="Comma 2 5 2 2 2 3 2 2 2" xfId="33908"/>
    <cellStyle name="Comma 2 5 2 2 2 3 2 3" xfId="25897"/>
    <cellStyle name="Comma 2 5 2 2 2 3 3" xfId="13873"/>
    <cellStyle name="Comma 2 5 2 2 2 3 3 2" xfId="21888"/>
    <cellStyle name="Comma 2 5 2 2 2 3 3 2 2" xfId="35913"/>
    <cellStyle name="Comma 2 5 2 2 2 3 3 3" xfId="27902"/>
    <cellStyle name="Comma 2 5 2 2 2 3 4" xfId="15879"/>
    <cellStyle name="Comma 2 5 2 2 2 3 4 2" xfId="29904"/>
    <cellStyle name="Comma 2 5 2 2 2 3 5" xfId="17881"/>
    <cellStyle name="Comma 2 5 2 2 2 3 5 2" xfId="31906"/>
    <cellStyle name="Comma 2 5 2 2 2 3 6" xfId="23895"/>
    <cellStyle name="Comma 2 5 2 2 2 4" xfId="11855"/>
    <cellStyle name="Comma 2 5 2 2 2 4 2" xfId="19880"/>
    <cellStyle name="Comma 2 5 2 2 2 4 2 2" xfId="33905"/>
    <cellStyle name="Comma 2 5 2 2 2 4 3" xfId="25894"/>
    <cellStyle name="Comma 2 5 2 2 2 5" xfId="13870"/>
    <cellStyle name="Comma 2 5 2 2 2 5 2" xfId="21885"/>
    <cellStyle name="Comma 2 5 2 2 2 5 2 2" xfId="35910"/>
    <cellStyle name="Comma 2 5 2 2 2 5 3" xfId="27899"/>
    <cellStyle name="Comma 2 5 2 2 2 6" xfId="15876"/>
    <cellStyle name="Comma 2 5 2 2 2 6 2" xfId="29901"/>
    <cellStyle name="Comma 2 5 2 2 2 7" xfId="17878"/>
    <cellStyle name="Comma 2 5 2 2 2 7 2" xfId="31903"/>
    <cellStyle name="Comma 2 5 2 2 2 8" xfId="23892"/>
    <cellStyle name="Comma 2 5 2 2 3" xfId="1109"/>
    <cellStyle name="Comma 2 5 2 2 3 2" xfId="1110"/>
    <cellStyle name="Comma 2 5 2 2 3 2 2" xfId="11860"/>
    <cellStyle name="Comma 2 5 2 2 3 2 2 2" xfId="19885"/>
    <cellStyle name="Comma 2 5 2 2 3 2 2 2 2" xfId="33910"/>
    <cellStyle name="Comma 2 5 2 2 3 2 2 3" xfId="25899"/>
    <cellStyle name="Comma 2 5 2 2 3 2 3" xfId="13875"/>
    <cellStyle name="Comma 2 5 2 2 3 2 3 2" xfId="21890"/>
    <cellStyle name="Comma 2 5 2 2 3 2 3 2 2" xfId="35915"/>
    <cellStyle name="Comma 2 5 2 2 3 2 3 3" xfId="27904"/>
    <cellStyle name="Comma 2 5 2 2 3 2 4" xfId="15881"/>
    <cellStyle name="Comma 2 5 2 2 3 2 4 2" xfId="29906"/>
    <cellStyle name="Comma 2 5 2 2 3 2 5" xfId="17883"/>
    <cellStyle name="Comma 2 5 2 2 3 2 5 2" xfId="31908"/>
    <cellStyle name="Comma 2 5 2 2 3 2 6" xfId="23897"/>
    <cellStyle name="Comma 2 5 2 2 3 3" xfId="11859"/>
    <cellStyle name="Comma 2 5 2 2 3 3 2" xfId="19884"/>
    <cellStyle name="Comma 2 5 2 2 3 3 2 2" xfId="33909"/>
    <cellStyle name="Comma 2 5 2 2 3 3 3" xfId="25898"/>
    <cellStyle name="Comma 2 5 2 2 3 4" xfId="13874"/>
    <cellStyle name="Comma 2 5 2 2 3 4 2" xfId="21889"/>
    <cellStyle name="Comma 2 5 2 2 3 4 2 2" xfId="35914"/>
    <cellStyle name="Comma 2 5 2 2 3 4 3" xfId="27903"/>
    <cellStyle name="Comma 2 5 2 2 3 5" xfId="15880"/>
    <cellStyle name="Comma 2 5 2 2 3 5 2" xfId="29905"/>
    <cellStyle name="Comma 2 5 2 2 3 6" xfId="17882"/>
    <cellStyle name="Comma 2 5 2 2 3 6 2" xfId="31907"/>
    <cellStyle name="Comma 2 5 2 2 3 7" xfId="23896"/>
    <cellStyle name="Comma 2 5 2 2 4" xfId="1111"/>
    <cellStyle name="Comma 2 5 2 2 4 2" xfId="1112"/>
    <cellStyle name="Comma 2 5 2 2 4 2 2" xfId="11862"/>
    <cellStyle name="Comma 2 5 2 2 4 2 2 2" xfId="19887"/>
    <cellStyle name="Comma 2 5 2 2 4 2 2 2 2" xfId="33912"/>
    <cellStyle name="Comma 2 5 2 2 4 2 2 3" xfId="25901"/>
    <cellStyle name="Comma 2 5 2 2 4 2 3" xfId="13877"/>
    <cellStyle name="Comma 2 5 2 2 4 2 3 2" xfId="21892"/>
    <cellStyle name="Comma 2 5 2 2 4 2 3 2 2" xfId="35917"/>
    <cellStyle name="Comma 2 5 2 2 4 2 3 3" xfId="27906"/>
    <cellStyle name="Comma 2 5 2 2 4 2 4" xfId="15883"/>
    <cellStyle name="Comma 2 5 2 2 4 2 4 2" xfId="29908"/>
    <cellStyle name="Comma 2 5 2 2 4 2 5" xfId="17885"/>
    <cellStyle name="Comma 2 5 2 2 4 2 5 2" xfId="31910"/>
    <cellStyle name="Comma 2 5 2 2 4 2 6" xfId="23899"/>
    <cellStyle name="Comma 2 5 2 2 4 3" xfId="11861"/>
    <cellStyle name="Comma 2 5 2 2 4 3 2" xfId="19886"/>
    <cellStyle name="Comma 2 5 2 2 4 3 2 2" xfId="33911"/>
    <cellStyle name="Comma 2 5 2 2 4 3 3" xfId="25900"/>
    <cellStyle name="Comma 2 5 2 2 4 4" xfId="13876"/>
    <cellStyle name="Comma 2 5 2 2 4 4 2" xfId="21891"/>
    <cellStyle name="Comma 2 5 2 2 4 4 2 2" xfId="35916"/>
    <cellStyle name="Comma 2 5 2 2 4 4 3" xfId="27905"/>
    <cellStyle name="Comma 2 5 2 2 4 5" xfId="15882"/>
    <cellStyle name="Comma 2 5 2 2 4 5 2" xfId="29907"/>
    <cellStyle name="Comma 2 5 2 2 4 6" xfId="17884"/>
    <cellStyle name="Comma 2 5 2 2 4 6 2" xfId="31909"/>
    <cellStyle name="Comma 2 5 2 2 4 7" xfId="23898"/>
    <cellStyle name="Comma 2 5 2 2 5" xfId="1113"/>
    <cellStyle name="Comma 2 5 2 2 5 2" xfId="11863"/>
    <cellStyle name="Comma 2 5 2 2 5 2 2" xfId="19888"/>
    <cellStyle name="Comma 2 5 2 2 5 2 2 2" xfId="33913"/>
    <cellStyle name="Comma 2 5 2 2 5 2 3" xfId="25902"/>
    <cellStyle name="Comma 2 5 2 2 5 3" xfId="13878"/>
    <cellStyle name="Comma 2 5 2 2 5 3 2" xfId="21893"/>
    <cellStyle name="Comma 2 5 2 2 5 3 2 2" xfId="35918"/>
    <cellStyle name="Comma 2 5 2 2 5 3 3" xfId="27907"/>
    <cellStyle name="Comma 2 5 2 2 5 4" xfId="15884"/>
    <cellStyle name="Comma 2 5 2 2 5 4 2" xfId="29909"/>
    <cellStyle name="Comma 2 5 2 2 5 5" xfId="17886"/>
    <cellStyle name="Comma 2 5 2 2 5 5 2" xfId="31911"/>
    <cellStyle name="Comma 2 5 2 2 5 6" xfId="23900"/>
    <cellStyle name="Comma 2 5 2 2 6" xfId="11854"/>
    <cellStyle name="Comma 2 5 2 2 6 2" xfId="19879"/>
    <cellStyle name="Comma 2 5 2 2 6 2 2" xfId="33904"/>
    <cellStyle name="Comma 2 5 2 2 6 3" xfId="25893"/>
    <cellStyle name="Comma 2 5 2 2 7" xfId="13869"/>
    <cellStyle name="Comma 2 5 2 2 7 2" xfId="21884"/>
    <cellStyle name="Comma 2 5 2 2 7 2 2" xfId="35909"/>
    <cellStyle name="Comma 2 5 2 2 7 3" xfId="27898"/>
    <cellStyle name="Comma 2 5 2 2 8" xfId="15875"/>
    <cellStyle name="Comma 2 5 2 2 8 2" xfId="29900"/>
    <cellStyle name="Comma 2 5 2 2 9" xfId="17877"/>
    <cellStyle name="Comma 2 5 2 2 9 2" xfId="31902"/>
    <cellStyle name="Comma 2 5 2 3" xfId="1114"/>
    <cellStyle name="Comma 2 5 2 3 2" xfId="1115"/>
    <cellStyle name="Comma 2 5 2 3 2 2" xfId="1116"/>
    <cellStyle name="Comma 2 5 2 3 2 2 2" xfId="11866"/>
    <cellStyle name="Comma 2 5 2 3 2 2 2 2" xfId="19891"/>
    <cellStyle name="Comma 2 5 2 3 2 2 2 2 2" xfId="33916"/>
    <cellStyle name="Comma 2 5 2 3 2 2 2 3" xfId="25905"/>
    <cellStyle name="Comma 2 5 2 3 2 2 3" xfId="13881"/>
    <cellStyle name="Comma 2 5 2 3 2 2 3 2" xfId="21896"/>
    <cellStyle name="Comma 2 5 2 3 2 2 3 2 2" xfId="35921"/>
    <cellStyle name="Comma 2 5 2 3 2 2 3 3" xfId="27910"/>
    <cellStyle name="Comma 2 5 2 3 2 2 4" xfId="15887"/>
    <cellStyle name="Comma 2 5 2 3 2 2 4 2" xfId="29912"/>
    <cellStyle name="Comma 2 5 2 3 2 2 5" xfId="17889"/>
    <cellStyle name="Comma 2 5 2 3 2 2 5 2" xfId="31914"/>
    <cellStyle name="Comma 2 5 2 3 2 2 6" xfId="23903"/>
    <cellStyle name="Comma 2 5 2 3 2 3" xfId="11865"/>
    <cellStyle name="Comma 2 5 2 3 2 3 2" xfId="19890"/>
    <cellStyle name="Comma 2 5 2 3 2 3 2 2" xfId="33915"/>
    <cellStyle name="Comma 2 5 2 3 2 3 3" xfId="25904"/>
    <cellStyle name="Comma 2 5 2 3 2 4" xfId="13880"/>
    <cellStyle name="Comma 2 5 2 3 2 4 2" xfId="21895"/>
    <cellStyle name="Comma 2 5 2 3 2 4 2 2" xfId="35920"/>
    <cellStyle name="Comma 2 5 2 3 2 4 3" xfId="27909"/>
    <cellStyle name="Comma 2 5 2 3 2 5" xfId="15886"/>
    <cellStyle name="Comma 2 5 2 3 2 5 2" xfId="29911"/>
    <cellStyle name="Comma 2 5 2 3 2 6" xfId="17888"/>
    <cellStyle name="Comma 2 5 2 3 2 6 2" xfId="31913"/>
    <cellStyle name="Comma 2 5 2 3 2 7" xfId="23902"/>
    <cellStyle name="Comma 2 5 2 3 3" xfId="1117"/>
    <cellStyle name="Comma 2 5 2 3 3 2" xfId="11867"/>
    <cellStyle name="Comma 2 5 2 3 3 2 2" xfId="19892"/>
    <cellStyle name="Comma 2 5 2 3 3 2 2 2" xfId="33917"/>
    <cellStyle name="Comma 2 5 2 3 3 2 3" xfId="25906"/>
    <cellStyle name="Comma 2 5 2 3 3 3" xfId="13882"/>
    <cellStyle name="Comma 2 5 2 3 3 3 2" xfId="21897"/>
    <cellStyle name="Comma 2 5 2 3 3 3 2 2" xfId="35922"/>
    <cellStyle name="Comma 2 5 2 3 3 3 3" xfId="27911"/>
    <cellStyle name="Comma 2 5 2 3 3 4" xfId="15888"/>
    <cellStyle name="Comma 2 5 2 3 3 4 2" xfId="29913"/>
    <cellStyle name="Comma 2 5 2 3 3 5" xfId="17890"/>
    <cellStyle name="Comma 2 5 2 3 3 5 2" xfId="31915"/>
    <cellStyle name="Comma 2 5 2 3 3 6" xfId="23904"/>
    <cellStyle name="Comma 2 5 2 3 4" xfId="11864"/>
    <cellStyle name="Comma 2 5 2 3 4 2" xfId="19889"/>
    <cellStyle name="Comma 2 5 2 3 4 2 2" xfId="33914"/>
    <cellStyle name="Comma 2 5 2 3 4 3" xfId="25903"/>
    <cellStyle name="Comma 2 5 2 3 5" xfId="13879"/>
    <cellStyle name="Comma 2 5 2 3 5 2" xfId="21894"/>
    <cellStyle name="Comma 2 5 2 3 5 2 2" xfId="35919"/>
    <cellStyle name="Comma 2 5 2 3 5 3" xfId="27908"/>
    <cellStyle name="Comma 2 5 2 3 6" xfId="15885"/>
    <cellStyle name="Comma 2 5 2 3 6 2" xfId="29910"/>
    <cellStyle name="Comma 2 5 2 3 7" xfId="17887"/>
    <cellStyle name="Comma 2 5 2 3 7 2" xfId="31912"/>
    <cellStyle name="Comma 2 5 2 3 8" xfId="23901"/>
    <cellStyle name="Comma 2 5 2 4" xfId="1118"/>
    <cellStyle name="Comma 2 5 2 4 2" xfId="1119"/>
    <cellStyle name="Comma 2 5 2 4 2 2" xfId="11869"/>
    <cellStyle name="Comma 2 5 2 4 2 2 2" xfId="19894"/>
    <cellStyle name="Comma 2 5 2 4 2 2 2 2" xfId="33919"/>
    <cellStyle name="Comma 2 5 2 4 2 2 3" xfId="25908"/>
    <cellStyle name="Comma 2 5 2 4 2 3" xfId="13884"/>
    <cellStyle name="Comma 2 5 2 4 2 3 2" xfId="21899"/>
    <cellStyle name="Comma 2 5 2 4 2 3 2 2" xfId="35924"/>
    <cellStyle name="Comma 2 5 2 4 2 3 3" xfId="27913"/>
    <cellStyle name="Comma 2 5 2 4 2 4" xfId="15890"/>
    <cellStyle name="Comma 2 5 2 4 2 4 2" xfId="29915"/>
    <cellStyle name="Comma 2 5 2 4 2 5" xfId="17892"/>
    <cellStyle name="Comma 2 5 2 4 2 5 2" xfId="31917"/>
    <cellStyle name="Comma 2 5 2 4 2 6" xfId="23906"/>
    <cellStyle name="Comma 2 5 2 4 3" xfId="11868"/>
    <cellStyle name="Comma 2 5 2 4 3 2" xfId="19893"/>
    <cellStyle name="Comma 2 5 2 4 3 2 2" xfId="33918"/>
    <cellStyle name="Comma 2 5 2 4 3 3" xfId="25907"/>
    <cellStyle name="Comma 2 5 2 4 4" xfId="13883"/>
    <cellStyle name="Comma 2 5 2 4 4 2" xfId="21898"/>
    <cellStyle name="Comma 2 5 2 4 4 2 2" xfId="35923"/>
    <cellStyle name="Comma 2 5 2 4 4 3" xfId="27912"/>
    <cellStyle name="Comma 2 5 2 4 5" xfId="15889"/>
    <cellStyle name="Comma 2 5 2 4 5 2" xfId="29914"/>
    <cellStyle name="Comma 2 5 2 4 6" xfId="17891"/>
    <cellStyle name="Comma 2 5 2 4 6 2" xfId="31916"/>
    <cellStyle name="Comma 2 5 2 4 7" xfId="23905"/>
    <cellStyle name="Comma 2 5 2 5" xfId="1120"/>
    <cellStyle name="Comma 2 5 2 5 2" xfId="1121"/>
    <cellStyle name="Comma 2 5 2 5 2 2" xfId="11871"/>
    <cellStyle name="Comma 2 5 2 5 2 2 2" xfId="19896"/>
    <cellStyle name="Comma 2 5 2 5 2 2 2 2" xfId="33921"/>
    <cellStyle name="Comma 2 5 2 5 2 2 3" xfId="25910"/>
    <cellStyle name="Comma 2 5 2 5 2 3" xfId="13886"/>
    <cellStyle name="Comma 2 5 2 5 2 3 2" xfId="21901"/>
    <cellStyle name="Comma 2 5 2 5 2 3 2 2" xfId="35926"/>
    <cellStyle name="Comma 2 5 2 5 2 3 3" xfId="27915"/>
    <cellStyle name="Comma 2 5 2 5 2 4" xfId="15892"/>
    <cellStyle name="Comma 2 5 2 5 2 4 2" xfId="29917"/>
    <cellStyle name="Comma 2 5 2 5 2 5" xfId="17894"/>
    <cellStyle name="Comma 2 5 2 5 2 5 2" xfId="31919"/>
    <cellStyle name="Comma 2 5 2 5 2 6" xfId="23908"/>
    <cellStyle name="Comma 2 5 2 5 3" xfId="11870"/>
    <cellStyle name="Comma 2 5 2 5 3 2" xfId="19895"/>
    <cellStyle name="Comma 2 5 2 5 3 2 2" xfId="33920"/>
    <cellStyle name="Comma 2 5 2 5 3 3" xfId="25909"/>
    <cellStyle name="Comma 2 5 2 5 4" xfId="13885"/>
    <cellStyle name="Comma 2 5 2 5 4 2" xfId="21900"/>
    <cellStyle name="Comma 2 5 2 5 4 2 2" xfId="35925"/>
    <cellStyle name="Comma 2 5 2 5 4 3" xfId="27914"/>
    <cellStyle name="Comma 2 5 2 5 5" xfId="15891"/>
    <cellStyle name="Comma 2 5 2 5 5 2" xfId="29916"/>
    <cellStyle name="Comma 2 5 2 5 6" xfId="17893"/>
    <cellStyle name="Comma 2 5 2 5 6 2" xfId="31918"/>
    <cellStyle name="Comma 2 5 2 5 7" xfId="23907"/>
    <cellStyle name="Comma 2 5 2 6" xfId="1122"/>
    <cellStyle name="Comma 2 5 2 6 2" xfId="11872"/>
    <cellStyle name="Comma 2 5 2 6 2 2" xfId="19897"/>
    <cellStyle name="Comma 2 5 2 6 2 2 2" xfId="33922"/>
    <cellStyle name="Comma 2 5 2 6 2 3" xfId="25911"/>
    <cellStyle name="Comma 2 5 2 6 3" xfId="13887"/>
    <cellStyle name="Comma 2 5 2 6 3 2" xfId="21902"/>
    <cellStyle name="Comma 2 5 2 6 3 2 2" xfId="35927"/>
    <cellStyle name="Comma 2 5 2 6 3 3" xfId="27916"/>
    <cellStyle name="Comma 2 5 2 6 4" xfId="15893"/>
    <cellStyle name="Comma 2 5 2 6 4 2" xfId="29918"/>
    <cellStyle name="Comma 2 5 2 6 5" xfId="17895"/>
    <cellStyle name="Comma 2 5 2 6 5 2" xfId="31920"/>
    <cellStyle name="Comma 2 5 2 6 6" xfId="23909"/>
    <cellStyle name="Comma 2 5 2 7" xfId="11853"/>
    <cellStyle name="Comma 2 5 2 7 2" xfId="19878"/>
    <cellStyle name="Comma 2 5 2 7 2 2" xfId="33903"/>
    <cellStyle name="Comma 2 5 2 7 3" xfId="25892"/>
    <cellStyle name="Comma 2 5 2 8" xfId="13868"/>
    <cellStyle name="Comma 2 5 2 8 2" xfId="21883"/>
    <cellStyle name="Comma 2 5 2 8 2 2" xfId="35908"/>
    <cellStyle name="Comma 2 5 2 8 3" xfId="27897"/>
    <cellStyle name="Comma 2 5 2 9" xfId="15874"/>
    <cellStyle name="Comma 2 5 2 9 2" xfId="29899"/>
    <cellStyle name="Comma 2 5 3" xfId="1123"/>
    <cellStyle name="Comma 2 5 3 10" xfId="23910"/>
    <cellStyle name="Comma 2 5 3 2" xfId="1124"/>
    <cellStyle name="Comma 2 5 3 2 2" xfId="1125"/>
    <cellStyle name="Comma 2 5 3 2 2 2" xfId="1126"/>
    <cellStyle name="Comma 2 5 3 2 2 2 2" xfId="11876"/>
    <cellStyle name="Comma 2 5 3 2 2 2 2 2" xfId="19901"/>
    <cellStyle name="Comma 2 5 3 2 2 2 2 2 2" xfId="33926"/>
    <cellStyle name="Comma 2 5 3 2 2 2 2 3" xfId="25915"/>
    <cellStyle name="Comma 2 5 3 2 2 2 3" xfId="13891"/>
    <cellStyle name="Comma 2 5 3 2 2 2 3 2" xfId="21906"/>
    <cellStyle name="Comma 2 5 3 2 2 2 3 2 2" xfId="35931"/>
    <cellStyle name="Comma 2 5 3 2 2 2 3 3" xfId="27920"/>
    <cellStyle name="Comma 2 5 3 2 2 2 4" xfId="15897"/>
    <cellStyle name="Comma 2 5 3 2 2 2 4 2" xfId="29922"/>
    <cellStyle name="Comma 2 5 3 2 2 2 5" xfId="17899"/>
    <cellStyle name="Comma 2 5 3 2 2 2 5 2" xfId="31924"/>
    <cellStyle name="Comma 2 5 3 2 2 2 6" xfId="23913"/>
    <cellStyle name="Comma 2 5 3 2 2 3" xfId="11875"/>
    <cellStyle name="Comma 2 5 3 2 2 3 2" xfId="19900"/>
    <cellStyle name="Comma 2 5 3 2 2 3 2 2" xfId="33925"/>
    <cellStyle name="Comma 2 5 3 2 2 3 3" xfId="25914"/>
    <cellStyle name="Comma 2 5 3 2 2 4" xfId="13890"/>
    <cellStyle name="Comma 2 5 3 2 2 4 2" xfId="21905"/>
    <cellStyle name="Comma 2 5 3 2 2 4 2 2" xfId="35930"/>
    <cellStyle name="Comma 2 5 3 2 2 4 3" xfId="27919"/>
    <cellStyle name="Comma 2 5 3 2 2 5" xfId="15896"/>
    <cellStyle name="Comma 2 5 3 2 2 5 2" xfId="29921"/>
    <cellStyle name="Comma 2 5 3 2 2 6" xfId="17898"/>
    <cellStyle name="Comma 2 5 3 2 2 6 2" xfId="31923"/>
    <cellStyle name="Comma 2 5 3 2 2 7" xfId="23912"/>
    <cellStyle name="Comma 2 5 3 2 3" xfId="1127"/>
    <cellStyle name="Comma 2 5 3 2 3 2" xfId="11877"/>
    <cellStyle name="Comma 2 5 3 2 3 2 2" xfId="19902"/>
    <cellStyle name="Comma 2 5 3 2 3 2 2 2" xfId="33927"/>
    <cellStyle name="Comma 2 5 3 2 3 2 3" xfId="25916"/>
    <cellStyle name="Comma 2 5 3 2 3 3" xfId="13892"/>
    <cellStyle name="Comma 2 5 3 2 3 3 2" xfId="21907"/>
    <cellStyle name="Comma 2 5 3 2 3 3 2 2" xfId="35932"/>
    <cellStyle name="Comma 2 5 3 2 3 3 3" xfId="27921"/>
    <cellStyle name="Comma 2 5 3 2 3 4" xfId="15898"/>
    <cellStyle name="Comma 2 5 3 2 3 4 2" xfId="29923"/>
    <cellStyle name="Comma 2 5 3 2 3 5" xfId="17900"/>
    <cellStyle name="Comma 2 5 3 2 3 5 2" xfId="31925"/>
    <cellStyle name="Comma 2 5 3 2 3 6" xfId="23914"/>
    <cellStyle name="Comma 2 5 3 2 4" xfId="11874"/>
    <cellStyle name="Comma 2 5 3 2 4 2" xfId="19899"/>
    <cellStyle name="Comma 2 5 3 2 4 2 2" xfId="33924"/>
    <cellStyle name="Comma 2 5 3 2 4 3" xfId="25913"/>
    <cellStyle name="Comma 2 5 3 2 5" xfId="13889"/>
    <cellStyle name="Comma 2 5 3 2 5 2" xfId="21904"/>
    <cellStyle name="Comma 2 5 3 2 5 2 2" xfId="35929"/>
    <cellStyle name="Comma 2 5 3 2 5 3" xfId="27918"/>
    <cellStyle name="Comma 2 5 3 2 6" xfId="15895"/>
    <cellStyle name="Comma 2 5 3 2 6 2" xfId="29920"/>
    <cellStyle name="Comma 2 5 3 2 7" xfId="17897"/>
    <cellStyle name="Comma 2 5 3 2 7 2" xfId="31922"/>
    <cellStyle name="Comma 2 5 3 2 8" xfId="23911"/>
    <cellStyle name="Comma 2 5 3 3" xfId="1128"/>
    <cellStyle name="Comma 2 5 3 3 2" xfId="1129"/>
    <cellStyle name="Comma 2 5 3 3 2 2" xfId="11879"/>
    <cellStyle name="Comma 2 5 3 3 2 2 2" xfId="19904"/>
    <cellStyle name="Comma 2 5 3 3 2 2 2 2" xfId="33929"/>
    <cellStyle name="Comma 2 5 3 3 2 2 3" xfId="25918"/>
    <cellStyle name="Comma 2 5 3 3 2 3" xfId="13894"/>
    <cellStyle name="Comma 2 5 3 3 2 3 2" xfId="21909"/>
    <cellStyle name="Comma 2 5 3 3 2 3 2 2" xfId="35934"/>
    <cellStyle name="Comma 2 5 3 3 2 3 3" xfId="27923"/>
    <cellStyle name="Comma 2 5 3 3 2 4" xfId="15900"/>
    <cellStyle name="Comma 2 5 3 3 2 4 2" xfId="29925"/>
    <cellStyle name="Comma 2 5 3 3 2 5" xfId="17902"/>
    <cellStyle name="Comma 2 5 3 3 2 5 2" xfId="31927"/>
    <cellStyle name="Comma 2 5 3 3 2 6" xfId="23916"/>
    <cellStyle name="Comma 2 5 3 3 3" xfId="11878"/>
    <cellStyle name="Comma 2 5 3 3 3 2" xfId="19903"/>
    <cellStyle name="Comma 2 5 3 3 3 2 2" xfId="33928"/>
    <cellStyle name="Comma 2 5 3 3 3 3" xfId="25917"/>
    <cellStyle name="Comma 2 5 3 3 4" xfId="13893"/>
    <cellStyle name="Comma 2 5 3 3 4 2" xfId="21908"/>
    <cellStyle name="Comma 2 5 3 3 4 2 2" xfId="35933"/>
    <cellStyle name="Comma 2 5 3 3 4 3" xfId="27922"/>
    <cellStyle name="Comma 2 5 3 3 5" xfId="15899"/>
    <cellStyle name="Comma 2 5 3 3 5 2" xfId="29924"/>
    <cellStyle name="Comma 2 5 3 3 6" xfId="17901"/>
    <cellStyle name="Comma 2 5 3 3 6 2" xfId="31926"/>
    <cellStyle name="Comma 2 5 3 3 7" xfId="23915"/>
    <cellStyle name="Comma 2 5 3 4" xfId="1130"/>
    <cellStyle name="Comma 2 5 3 4 2" xfId="1131"/>
    <cellStyle name="Comma 2 5 3 4 2 2" xfId="11881"/>
    <cellStyle name="Comma 2 5 3 4 2 2 2" xfId="19906"/>
    <cellStyle name="Comma 2 5 3 4 2 2 2 2" xfId="33931"/>
    <cellStyle name="Comma 2 5 3 4 2 2 3" xfId="25920"/>
    <cellStyle name="Comma 2 5 3 4 2 3" xfId="13896"/>
    <cellStyle name="Comma 2 5 3 4 2 3 2" xfId="21911"/>
    <cellStyle name="Comma 2 5 3 4 2 3 2 2" xfId="35936"/>
    <cellStyle name="Comma 2 5 3 4 2 3 3" xfId="27925"/>
    <cellStyle name="Comma 2 5 3 4 2 4" xfId="15902"/>
    <cellStyle name="Comma 2 5 3 4 2 4 2" xfId="29927"/>
    <cellStyle name="Comma 2 5 3 4 2 5" xfId="17904"/>
    <cellStyle name="Comma 2 5 3 4 2 5 2" xfId="31929"/>
    <cellStyle name="Comma 2 5 3 4 2 6" xfId="23918"/>
    <cellStyle name="Comma 2 5 3 4 3" xfId="11880"/>
    <cellStyle name="Comma 2 5 3 4 3 2" xfId="19905"/>
    <cellStyle name="Comma 2 5 3 4 3 2 2" xfId="33930"/>
    <cellStyle name="Comma 2 5 3 4 3 3" xfId="25919"/>
    <cellStyle name="Comma 2 5 3 4 4" xfId="13895"/>
    <cellStyle name="Comma 2 5 3 4 4 2" xfId="21910"/>
    <cellStyle name="Comma 2 5 3 4 4 2 2" xfId="35935"/>
    <cellStyle name="Comma 2 5 3 4 4 3" xfId="27924"/>
    <cellStyle name="Comma 2 5 3 4 5" xfId="15901"/>
    <cellStyle name="Comma 2 5 3 4 5 2" xfId="29926"/>
    <cellStyle name="Comma 2 5 3 4 6" xfId="17903"/>
    <cellStyle name="Comma 2 5 3 4 6 2" xfId="31928"/>
    <cellStyle name="Comma 2 5 3 4 7" xfId="23917"/>
    <cellStyle name="Comma 2 5 3 5" xfId="1132"/>
    <cellStyle name="Comma 2 5 3 5 2" xfId="11882"/>
    <cellStyle name="Comma 2 5 3 5 2 2" xfId="19907"/>
    <cellStyle name="Comma 2 5 3 5 2 2 2" xfId="33932"/>
    <cellStyle name="Comma 2 5 3 5 2 3" xfId="25921"/>
    <cellStyle name="Comma 2 5 3 5 3" xfId="13897"/>
    <cellStyle name="Comma 2 5 3 5 3 2" xfId="21912"/>
    <cellStyle name="Comma 2 5 3 5 3 2 2" xfId="35937"/>
    <cellStyle name="Comma 2 5 3 5 3 3" xfId="27926"/>
    <cellStyle name="Comma 2 5 3 5 4" xfId="15903"/>
    <cellStyle name="Comma 2 5 3 5 4 2" xfId="29928"/>
    <cellStyle name="Comma 2 5 3 5 5" xfId="17905"/>
    <cellStyle name="Comma 2 5 3 5 5 2" xfId="31930"/>
    <cellStyle name="Comma 2 5 3 5 6" xfId="23919"/>
    <cellStyle name="Comma 2 5 3 6" xfId="11873"/>
    <cellStyle name="Comma 2 5 3 6 2" xfId="19898"/>
    <cellStyle name="Comma 2 5 3 6 2 2" xfId="33923"/>
    <cellStyle name="Comma 2 5 3 6 3" xfId="25912"/>
    <cellStyle name="Comma 2 5 3 7" xfId="13888"/>
    <cellStyle name="Comma 2 5 3 7 2" xfId="21903"/>
    <cellStyle name="Comma 2 5 3 7 2 2" xfId="35928"/>
    <cellStyle name="Comma 2 5 3 7 3" xfId="27917"/>
    <cellStyle name="Comma 2 5 3 8" xfId="15894"/>
    <cellStyle name="Comma 2 5 3 8 2" xfId="29919"/>
    <cellStyle name="Comma 2 5 3 9" xfId="17896"/>
    <cellStyle name="Comma 2 5 3 9 2" xfId="31921"/>
    <cellStyle name="Comma 2 5 4" xfId="1133"/>
    <cellStyle name="Comma 2 5 4 2" xfId="1134"/>
    <cellStyle name="Comma 2 5 4 2 2" xfId="1135"/>
    <cellStyle name="Comma 2 5 4 2 2 2" xfId="11885"/>
    <cellStyle name="Comma 2 5 4 2 2 2 2" xfId="19910"/>
    <cellStyle name="Comma 2 5 4 2 2 2 2 2" xfId="33935"/>
    <cellStyle name="Comma 2 5 4 2 2 2 3" xfId="25924"/>
    <cellStyle name="Comma 2 5 4 2 2 3" xfId="13900"/>
    <cellStyle name="Comma 2 5 4 2 2 3 2" xfId="21915"/>
    <cellStyle name="Comma 2 5 4 2 2 3 2 2" xfId="35940"/>
    <cellStyle name="Comma 2 5 4 2 2 3 3" xfId="27929"/>
    <cellStyle name="Comma 2 5 4 2 2 4" xfId="15906"/>
    <cellStyle name="Comma 2 5 4 2 2 4 2" xfId="29931"/>
    <cellStyle name="Comma 2 5 4 2 2 5" xfId="17908"/>
    <cellStyle name="Comma 2 5 4 2 2 5 2" xfId="31933"/>
    <cellStyle name="Comma 2 5 4 2 2 6" xfId="23922"/>
    <cellStyle name="Comma 2 5 4 2 3" xfId="11884"/>
    <cellStyle name="Comma 2 5 4 2 3 2" xfId="19909"/>
    <cellStyle name="Comma 2 5 4 2 3 2 2" xfId="33934"/>
    <cellStyle name="Comma 2 5 4 2 3 3" xfId="25923"/>
    <cellStyle name="Comma 2 5 4 2 4" xfId="13899"/>
    <cellStyle name="Comma 2 5 4 2 4 2" xfId="21914"/>
    <cellStyle name="Comma 2 5 4 2 4 2 2" xfId="35939"/>
    <cellStyle name="Comma 2 5 4 2 4 3" xfId="27928"/>
    <cellStyle name="Comma 2 5 4 2 5" xfId="15905"/>
    <cellStyle name="Comma 2 5 4 2 5 2" xfId="29930"/>
    <cellStyle name="Comma 2 5 4 2 6" xfId="17907"/>
    <cellStyle name="Comma 2 5 4 2 6 2" xfId="31932"/>
    <cellStyle name="Comma 2 5 4 2 7" xfId="23921"/>
    <cellStyle name="Comma 2 5 4 3" xfId="1136"/>
    <cellStyle name="Comma 2 5 4 3 2" xfId="11886"/>
    <cellStyle name="Comma 2 5 4 3 2 2" xfId="19911"/>
    <cellStyle name="Comma 2 5 4 3 2 2 2" xfId="33936"/>
    <cellStyle name="Comma 2 5 4 3 2 3" xfId="25925"/>
    <cellStyle name="Comma 2 5 4 3 3" xfId="13901"/>
    <cellStyle name="Comma 2 5 4 3 3 2" xfId="21916"/>
    <cellStyle name="Comma 2 5 4 3 3 2 2" xfId="35941"/>
    <cellStyle name="Comma 2 5 4 3 3 3" xfId="27930"/>
    <cellStyle name="Comma 2 5 4 3 4" xfId="15907"/>
    <cellStyle name="Comma 2 5 4 3 4 2" xfId="29932"/>
    <cellStyle name="Comma 2 5 4 3 5" xfId="17909"/>
    <cellStyle name="Comma 2 5 4 3 5 2" xfId="31934"/>
    <cellStyle name="Comma 2 5 4 3 6" xfId="23923"/>
    <cellStyle name="Comma 2 5 4 4" xfId="11883"/>
    <cellStyle name="Comma 2 5 4 4 2" xfId="19908"/>
    <cellStyle name="Comma 2 5 4 4 2 2" xfId="33933"/>
    <cellStyle name="Comma 2 5 4 4 3" xfId="25922"/>
    <cellStyle name="Comma 2 5 4 5" xfId="13898"/>
    <cellStyle name="Comma 2 5 4 5 2" xfId="21913"/>
    <cellStyle name="Comma 2 5 4 5 2 2" xfId="35938"/>
    <cellStyle name="Comma 2 5 4 5 3" xfId="27927"/>
    <cellStyle name="Comma 2 5 4 6" xfId="15904"/>
    <cellStyle name="Comma 2 5 4 6 2" xfId="29929"/>
    <cellStyle name="Comma 2 5 4 7" xfId="17906"/>
    <cellStyle name="Comma 2 5 4 7 2" xfId="31931"/>
    <cellStyle name="Comma 2 5 4 8" xfId="23920"/>
    <cellStyle name="Comma 2 5 5" xfId="1137"/>
    <cellStyle name="Comma 2 5 5 2" xfId="1138"/>
    <cellStyle name="Comma 2 5 5 2 2" xfId="11888"/>
    <cellStyle name="Comma 2 5 5 2 2 2" xfId="19913"/>
    <cellStyle name="Comma 2 5 5 2 2 2 2" xfId="33938"/>
    <cellStyle name="Comma 2 5 5 2 2 3" xfId="25927"/>
    <cellStyle name="Comma 2 5 5 2 3" xfId="13903"/>
    <cellStyle name="Comma 2 5 5 2 3 2" xfId="21918"/>
    <cellStyle name="Comma 2 5 5 2 3 2 2" xfId="35943"/>
    <cellStyle name="Comma 2 5 5 2 3 3" xfId="27932"/>
    <cellStyle name="Comma 2 5 5 2 4" xfId="15909"/>
    <cellStyle name="Comma 2 5 5 2 4 2" xfId="29934"/>
    <cellStyle name="Comma 2 5 5 2 5" xfId="17911"/>
    <cellStyle name="Comma 2 5 5 2 5 2" xfId="31936"/>
    <cellStyle name="Comma 2 5 5 2 6" xfId="23925"/>
    <cellStyle name="Comma 2 5 5 3" xfId="11887"/>
    <cellStyle name="Comma 2 5 5 3 2" xfId="19912"/>
    <cellStyle name="Comma 2 5 5 3 2 2" xfId="33937"/>
    <cellStyle name="Comma 2 5 5 3 3" xfId="25926"/>
    <cellStyle name="Comma 2 5 5 4" xfId="13902"/>
    <cellStyle name="Comma 2 5 5 4 2" xfId="21917"/>
    <cellStyle name="Comma 2 5 5 4 2 2" xfId="35942"/>
    <cellStyle name="Comma 2 5 5 4 3" xfId="27931"/>
    <cellStyle name="Comma 2 5 5 5" xfId="15908"/>
    <cellStyle name="Comma 2 5 5 5 2" xfId="29933"/>
    <cellStyle name="Comma 2 5 5 6" xfId="17910"/>
    <cellStyle name="Comma 2 5 5 6 2" xfId="31935"/>
    <cellStyle name="Comma 2 5 5 7" xfId="23924"/>
    <cellStyle name="Comma 2 5 6" xfId="1139"/>
    <cellStyle name="Comma 2 5 6 2" xfId="1140"/>
    <cellStyle name="Comma 2 5 6 2 2" xfId="11890"/>
    <cellStyle name="Comma 2 5 6 2 2 2" xfId="19915"/>
    <cellStyle name="Comma 2 5 6 2 2 2 2" xfId="33940"/>
    <cellStyle name="Comma 2 5 6 2 2 3" xfId="25929"/>
    <cellStyle name="Comma 2 5 6 2 3" xfId="13905"/>
    <cellStyle name="Comma 2 5 6 2 3 2" xfId="21920"/>
    <cellStyle name="Comma 2 5 6 2 3 2 2" xfId="35945"/>
    <cellStyle name="Comma 2 5 6 2 3 3" xfId="27934"/>
    <cellStyle name="Comma 2 5 6 2 4" xfId="15911"/>
    <cellStyle name="Comma 2 5 6 2 4 2" xfId="29936"/>
    <cellStyle name="Comma 2 5 6 2 5" xfId="17913"/>
    <cellStyle name="Comma 2 5 6 2 5 2" xfId="31938"/>
    <cellStyle name="Comma 2 5 6 2 6" xfId="23927"/>
    <cellStyle name="Comma 2 5 6 3" xfId="11889"/>
    <cellStyle name="Comma 2 5 6 3 2" xfId="19914"/>
    <cellStyle name="Comma 2 5 6 3 2 2" xfId="33939"/>
    <cellStyle name="Comma 2 5 6 3 3" xfId="25928"/>
    <cellStyle name="Comma 2 5 6 4" xfId="13904"/>
    <cellStyle name="Comma 2 5 6 4 2" xfId="21919"/>
    <cellStyle name="Comma 2 5 6 4 2 2" xfId="35944"/>
    <cellStyle name="Comma 2 5 6 4 3" xfId="27933"/>
    <cellStyle name="Comma 2 5 6 5" xfId="15910"/>
    <cellStyle name="Comma 2 5 6 5 2" xfId="29935"/>
    <cellStyle name="Comma 2 5 6 6" xfId="17912"/>
    <cellStyle name="Comma 2 5 6 6 2" xfId="31937"/>
    <cellStyle name="Comma 2 5 6 7" xfId="23926"/>
    <cellStyle name="Comma 2 5 7" xfId="1141"/>
    <cellStyle name="Comma 2 5 7 2" xfId="11891"/>
    <cellStyle name="Comma 2 5 7 2 2" xfId="19916"/>
    <cellStyle name="Comma 2 5 7 2 2 2" xfId="33941"/>
    <cellStyle name="Comma 2 5 7 2 3" xfId="25930"/>
    <cellStyle name="Comma 2 5 7 3" xfId="13906"/>
    <cellStyle name="Comma 2 5 7 3 2" xfId="21921"/>
    <cellStyle name="Comma 2 5 7 3 2 2" xfId="35946"/>
    <cellStyle name="Comma 2 5 7 3 3" xfId="27935"/>
    <cellStyle name="Comma 2 5 7 4" xfId="15912"/>
    <cellStyle name="Comma 2 5 7 4 2" xfId="29937"/>
    <cellStyle name="Comma 2 5 7 5" xfId="17914"/>
    <cellStyle name="Comma 2 5 7 5 2" xfId="31939"/>
    <cellStyle name="Comma 2 5 7 6" xfId="23928"/>
    <cellStyle name="Comma 2 5 8" xfId="11852"/>
    <cellStyle name="Comma 2 5 8 2" xfId="19877"/>
    <cellStyle name="Comma 2 5 8 2 2" xfId="33902"/>
    <cellStyle name="Comma 2 5 8 3" xfId="25891"/>
    <cellStyle name="Comma 2 5 9" xfId="13867"/>
    <cellStyle name="Comma 2 5 9 2" xfId="21882"/>
    <cellStyle name="Comma 2 5 9 2 2" xfId="35907"/>
    <cellStyle name="Comma 2 5 9 3" xfId="27896"/>
    <cellStyle name="Comma 2 6" xfId="1142"/>
    <cellStyle name="Comma 2 6 10" xfId="15913"/>
    <cellStyle name="Comma 2 6 10 2" xfId="29938"/>
    <cellStyle name="Comma 2 6 11" xfId="17915"/>
    <cellStyle name="Comma 2 6 11 2" xfId="31940"/>
    <cellStyle name="Comma 2 6 12" xfId="23929"/>
    <cellStyle name="Comma 2 6 2" xfId="1143"/>
    <cellStyle name="Comma 2 6 2 10" xfId="17916"/>
    <cellStyle name="Comma 2 6 2 10 2" xfId="31941"/>
    <cellStyle name="Comma 2 6 2 11" xfId="23930"/>
    <cellStyle name="Comma 2 6 2 2" xfId="1144"/>
    <cellStyle name="Comma 2 6 2 2 10" xfId="23931"/>
    <cellStyle name="Comma 2 6 2 2 2" xfId="1145"/>
    <cellStyle name="Comma 2 6 2 2 2 2" xfId="1146"/>
    <cellStyle name="Comma 2 6 2 2 2 2 2" xfId="1147"/>
    <cellStyle name="Comma 2 6 2 2 2 2 2 2" xfId="11897"/>
    <cellStyle name="Comma 2 6 2 2 2 2 2 2 2" xfId="19922"/>
    <cellStyle name="Comma 2 6 2 2 2 2 2 2 2 2" xfId="33947"/>
    <cellStyle name="Comma 2 6 2 2 2 2 2 2 3" xfId="25936"/>
    <cellStyle name="Comma 2 6 2 2 2 2 2 3" xfId="13912"/>
    <cellStyle name="Comma 2 6 2 2 2 2 2 3 2" xfId="21927"/>
    <cellStyle name="Comma 2 6 2 2 2 2 2 3 2 2" xfId="35952"/>
    <cellStyle name="Comma 2 6 2 2 2 2 2 3 3" xfId="27941"/>
    <cellStyle name="Comma 2 6 2 2 2 2 2 4" xfId="15918"/>
    <cellStyle name="Comma 2 6 2 2 2 2 2 4 2" xfId="29943"/>
    <cellStyle name="Comma 2 6 2 2 2 2 2 5" xfId="17920"/>
    <cellStyle name="Comma 2 6 2 2 2 2 2 5 2" xfId="31945"/>
    <cellStyle name="Comma 2 6 2 2 2 2 2 6" xfId="23934"/>
    <cellStyle name="Comma 2 6 2 2 2 2 3" xfId="11896"/>
    <cellStyle name="Comma 2 6 2 2 2 2 3 2" xfId="19921"/>
    <cellStyle name="Comma 2 6 2 2 2 2 3 2 2" xfId="33946"/>
    <cellStyle name="Comma 2 6 2 2 2 2 3 3" xfId="25935"/>
    <cellStyle name="Comma 2 6 2 2 2 2 4" xfId="13911"/>
    <cellStyle name="Comma 2 6 2 2 2 2 4 2" xfId="21926"/>
    <cellStyle name="Comma 2 6 2 2 2 2 4 2 2" xfId="35951"/>
    <cellStyle name="Comma 2 6 2 2 2 2 4 3" xfId="27940"/>
    <cellStyle name="Comma 2 6 2 2 2 2 5" xfId="15917"/>
    <cellStyle name="Comma 2 6 2 2 2 2 5 2" xfId="29942"/>
    <cellStyle name="Comma 2 6 2 2 2 2 6" xfId="17919"/>
    <cellStyle name="Comma 2 6 2 2 2 2 6 2" xfId="31944"/>
    <cellStyle name="Comma 2 6 2 2 2 2 7" xfId="23933"/>
    <cellStyle name="Comma 2 6 2 2 2 3" xfId="1148"/>
    <cellStyle name="Comma 2 6 2 2 2 3 2" xfId="11898"/>
    <cellStyle name="Comma 2 6 2 2 2 3 2 2" xfId="19923"/>
    <cellStyle name="Comma 2 6 2 2 2 3 2 2 2" xfId="33948"/>
    <cellStyle name="Comma 2 6 2 2 2 3 2 3" xfId="25937"/>
    <cellStyle name="Comma 2 6 2 2 2 3 3" xfId="13913"/>
    <cellStyle name="Comma 2 6 2 2 2 3 3 2" xfId="21928"/>
    <cellStyle name="Comma 2 6 2 2 2 3 3 2 2" xfId="35953"/>
    <cellStyle name="Comma 2 6 2 2 2 3 3 3" xfId="27942"/>
    <cellStyle name="Comma 2 6 2 2 2 3 4" xfId="15919"/>
    <cellStyle name="Comma 2 6 2 2 2 3 4 2" xfId="29944"/>
    <cellStyle name="Comma 2 6 2 2 2 3 5" xfId="17921"/>
    <cellStyle name="Comma 2 6 2 2 2 3 5 2" xfId="31946"/>
    <cellStyle name="Comma 2 6 2 2 2 3 6" xfId="23935"/>
    <cellStyle name="Comma 2 6 2 2 2 4" xfId="11895"/>
    <cellStyle name="Comma 2 6 2 2 2 4 2" xfId="19920"/>
    <cellStyle name="Comma 2 6 2 2 2 4 2 2" xfId="33945"/>
    <cellStyle name="Comma 2 6 2 2 2 4 3" xfId="25934"/>
    <cellStyle name="Comma 2 6 2 2 2 5" xfId="13910"/>
    <cellStyle name="Comma 2 6 2 2 2 5 2" xfId="21925"/>
    <cellStyle name="Comma 2 6 2 2 2 5 2 2" xfId="35950"/>
    <cellStyle name="Comma 2 6 2 2 2 5 3" xfId="27939"/>
    <cellStyle name="Comma 2 6 2 2 2 6" xfId="15916"/>
    <cellStyle name="Comma 2 6 2 2 2 6 2" xfId="29941"/>
    <cellStyle name="Comma 2 6 2 2 2 7" xfId="17918"/>
    <cellStyle name="Comma 2 6 2 2 2 7 2" xfId="31943"/>
    <cellStyle name="Comma 2 6 2 2 2 8" xfId="23932"/>
    <cellStyle name="Comma 2 6 2 2 3" xfId="1149"/>
    <cellStyle name="Comma 2 6 2 2 3 2" xfId="1150"/>
    <cellStyle name="Comma 2 6 2 2 3 2 2" xfId="11900"/>
    <cellStyle name="Comma 2 6 2 2 3 2 2 2" xfId="19925"/>
    <cellStyle name="Comma 2 6 2 2 3 2 2 2 2" xfId="33950"/>
    <cellStyle name="Comma 2 6 2 2 3 2 2 3" xfId="25939"/>
    <cellStyle name="Comma 2 6 2 2 3 2 3" xfId="13915"/>
    <cellStyle name="Comma 2 6 2 2 3 2 3 2" xfId="21930"/>
    <cellStyle name="Comma 2 6 2 2 3 2 3 2 2" xfId="35955"/>
    <cellStyle name="Comma 2 6 2 2 3 2 3 3" xfId="27944"/>
    <cellStyle name="Comma 2 6 2 2 3 2 4" xfId="15921"/>
    <cellStyle name="Comma 2 6 2 2 3 2 4 2" xfId="29946"/>
    <cellStyle name="Comma 2 6 2 2 3 2 5" xfId="17923"/>
    <cellStyle name="Comma 2 6 2 2 3 2 5 2" xfId="31948"/>
    <cellStyle name="Comma 2 6 2 2 3 2 6" xfId="23937"/>
    <cellStyle name="Comma 2 6 2 2 3 3" xfId="11899"/>
    <cellStyle name="Comma 2 6 2 2 3 3 2" xfId="19924"/>
    <cellStyle name="Comma 2 6 2 2 3 3 2 2" xfId="33949"/>
    <cellStyle name="Comma 2 6 2 2 3 3 3" xfId="25938"/>
    <cellStyle name="Comma 2 6 2 2 3 4" xfId="13914"/>
    <cellStyle name="Comma 2 6 2 2 3 4 2" xfId="21929"/>
    <cellStyle name="Comma 2 6 2 2 3 4 2 2" xfId="35954"/>
    <cellStyle name="Comma 2 6 2 2 3 4 3" xfId="27943"/>
    <cellStyle name="Comma 2 6 2 2 3 5" xfId="15920"/>
    <cellStyle name="Comma 2 6 2 2 3 5 2" xfId="29945"/>
    <cellStyle name="Comma 2 6 2 2 3 6" xfId="17922"/>
    <cellStyle name="Comma 2 6 2 2 3 6 2" xfId="31947"/>
    <cellStyle name="Comma 2 6 2 2 3 7" xfId="23936"/>
    <cellStyle name="Comma 2 6 2 2 4" xfId="1151"/>
    <cellStyle name="Comma 2 6 2 2 4 2" xfId="1152"/>
    <cellStyle name="Comma 2 6 2 2 4 2 2" xfId="11902"/>
    <cellStyle name="Comma 2 6 2 2 4 2 2 2" xfId="19927"/>
    <cellStyle name="Comma 2 6 2 2 4 2 2 2 2" xfId="33952"/>
    <cellStyle name="Comma 2 6 2 2 4 2 2 3" xfId="25941"/>
    <cellStyle name="Comma 2 6 2 2 4 2 3" xfId="13917"/>
    <cellStyle name="Comma 2 6 2 2 4 2 3 2" xfId="21932"/>
    <cellStyle name="Comma 2 6 2 2 4 2 3 2 2" xfId="35957"/>
    <cellStyle name="Comma 2 6 2 2 4 2 3 3" xfId="27946"/>
    <cellStyle name="Comma 2 6 2 2 4 2 4" xfId="15923"/>
    <cellStyle name="Comma 2 6 2 2 4 2 4 2" xfId="29948"/>
    <cellStyle name="Comma 2 6 2 2 4 2 5" xfId="17925"/>
    <cellStyle name="Comma 2 6 2 2 4 2 5 2" xfId="31950"/>
    <cellStyle name="Comma 2 6 2 2 4 2 6" xfId="23939"/>
    <cellStyle name="Comma 2 6 2 2 4 3" xfId="11901"/>
    <cellStyle name="Comma 2 6 2 2 4 3 2" xfId="19926"/>
    <cellStyle name="Comma 2 6 2 2 4 3 2 2" xfId="33951"/>
    <cellStyle name="Comma 2 6 2 2 4 3 3" xfId="25940"/>
    <cellStyle name="Comma 2 6 2 2 4 4" xfId="13916"/>
    <cellStyle name="Comma 2 6 2 2 4 4 2" xfId="21931"/>
    <cellStyle name="Comma 2 6 2 2 4 4 2 2" xfId="35956"/>
    <cellStyle name="Comma 2 6 2 2 4 4 3" xfId="27945"/>
    <cellStyle name="Comma 2 6 2 2 4 5" xfId="15922"/>
    <cellStyle name="Comma 2 6 2 2 4 5 2" xfId="29947"/>
    <cellStyle name="Comma 2 6 2 2 4 6" xfId="17924"/>
    <cellStyle name="Comma 2 6 2 2 4 6 2" xfId="31949"/>
    <cellStyle name="Comma 2 6 2 2 4 7" xfId="23938"/>
    <cellStyle name="Comma 2 6 2 2 5" xfId="1153"/>
    <cellStyle name="Comma 2 6 2 2 5 2" xfId="11903"/>
    <cellStyle name="Comma 2 6 2 2 5 2 2" xfId="19928"/>
    <cellStyle name="Comma 2 6 2 2 5 2 2 2" xfId="33953"/>
    <cellStyle name="Comma 2 6 2 2 5 2 3" xfId="25942"/>
    <cellStyle name="Comma 2 6 2 2 5 3" xfId="13918"/>
    <cellStyle name="Comma 2 6 2 2 5 3 2" xfId="21933"/>
    <cellStyle name="Comma 2 6 2 2 5 3 2 2" xfId="35958"/>
    <cellStyle name="Comma 2 6 2 2 5 3 3" xfId="27947"/>
    <cellStyle name="Comma 2 6 2 2 5 4" xfId="15924"/>
    <cellStyle name="Comma 2 6 2 2 5 4 2" xfId="29949"/>
    <cellStyle name="Comma 2 6 2 2 5 5" xfId="17926"/>
    <cellStyle name="Comma 2 6 2 2 5 5 2" xfId="31951"/>
    <cellStyle name="Comma 2 6 2 2 5 6" xfId="23940"/>
    <cellStyle name="Comma 2 6 2 2 6" xfId="11894"/>
    <cellStyle name="Comma 2 6 2 2 6 2" xfId="19919"/>
    <cellStyle name="Comma 2 6 2 2 6 2 2" xfId="33944"/>
    <cellStyle name="Comma 2 6 2 2 6 3" xfId="25933"/>
    <cellStyle name="Comma 2 6 2 2 7" xfId="13909"/>
    <cellStyle name="Comma 2 6 2 2 7 2" xfId="21924"/>
    <cellStyle name="Comma 2 6 2 2 7 2 2" xfId="35949"/>
    <cellStyle name="Comma 2 6 2 2 7 3" xfId="27938"/>
    <cellStyle name="Comma 2 6 2 2 8" xfId="15915"/>
    <cellStyle name="Comma 2 6 2 2 8 2" xfId="29940"/>
    <cellStyle name="Comma 2 6 2 2 9" xfId="17917"/>
    <cellStyle name="Comma 2 6 2 2 9 2" xfId="31942"/>
    <cellStyle name="Comma 2 6 2 3" xfId="1154"/>
    <cellStyle name="Comma 2 6 2 3 2" xfId="1155"/>
    <cellStyle name="Comma 2 6 2 3 2 2" xfId="1156"/>
    <cellStyle name="Comma 2 6 2 3 2 2 2" xfId="11906"/>
    <cellStyle name="Comma 2 6 2 3 2 2 2 2" xfId="19931"/>
    <cellStyle name="Comma 2 6 2 3 2 2 2 2 2" xfId="33956"/>
    <cellStyle name="Comma 2 6 2 3 2 2 2 3" xfId="25945"/>
    <cellStyle name="Comma 2 6 2 3 2 2 3" xfId="13921"/>
    <cellStyle name="Comma 2 6 2 3 2 2 3 2" xfId="21936"/>
    <cellStyle name="Comma 2 6 2 3 2 2 3 2 2" xfId="35961"/>
    <cellStyle name="Comma 2 6 2 3 2 2 3 3" xfId="27950"/>
    <cellStyle name="Comma 2 6 2 3 2 2 4" xfId="15927"/>
    <cellStyle name="Comma 2 6 2 3 2 2 4 2" xfId="29952"/>
    <cellStyle name="Comma 2 6 2 3 2 2 5" xfId="17929"/>
    <cellStyle name="Comma 2 6 2 3 2 2 5 2" xfId="31954"/>
    <cellStyle name="Comma 2 6 2 3 2 2 6" xfId="23943"/>
    <cellStyle name="Comma 2 6 2 3 2 3" xfId="11905"/>
    <cellStyle name="Comma 2 6 2 3 2 3 2" xfId="19930"/>
    <cellStyle name="Comma 2 6 2 3 2 3 2 2" xfId="33955"/>
    <cellStyle name="Comma 2 6 2 3 2 3 3" xfId="25944"/>
    <cellStyle name="Comma 2 6 2 3 2 4" xfId="13920"/>
    <cellStyle name="Comma 2 6 2 3 2 4 2" xfId="21935"/>
    <cellStyle name="Comma 2 6 2 3 2 4 2 2" xfId="35960"/>
    <cellStyle name="Comma 2 6 2 3 2 4 3" xfId="27949"/>
    <cellStyle name="Comma 2 6 2 3 2 5" xfId="15926"/>
    <cellStyle name="Comma 2 6 2 3 2 5 2" xfId="29951"/>
    <cellStyle name="Comma 2 6 2 3 2 6" xfId="17928"/>
    <cellStyle name="Comma 2 6 2 3 2 6 2" xfId="31953"/>
    <cellStyle name="Comma 2 6 2 3 2 7" xfId="23942"/>
    <cellStyle name="Comma 2 6 2 3 3" xfId="1157"/>
    <cellStyle name="Comma 2 6 2 3 3 2" xfId="11907"/>
    <cellStyle name="Comma 2 6 2 3 3 2 2" xfId="19932"/>
    <cellStyle name="Comma 2 6 2 3 3 2 2 2" xfId="33957"/>
    <cellStyle name="Comma 2 6 2 3 3 2 3" xfId="25946"/>
    <cellStyle name="Comma 2 6 2 3 3 3" xfId="13922"/>
    <cellStyle name="Comma 2 6 2 3 3 3 2" xfId="21937"/>
    <cellStyle name="Comma 2 6 2 3 3 3 2 2" xfId="35962"/>
    <cellStyle name="Comma 2 6 2 3 3 3 3" xfId="27951"/>
    <cellStyle name="Comma 2 6 2 3 3 4" xfId="15928"/>
    <cellStyle name="Comma 2 6 2 3 3 4 2" xfId="29953"/>
    <cellStyle name="Comma 2 6 2 3 3 5" xfId="17930"/>
    <cellStyle name="Comma 2 6 2 3 3 5 2" xfId="31955"/>
    <cellStyle name="Comma 2 6 2 3 3 6" xfId="23944"/>
    <cellStyle name="Comma 2 6 2 3 4" xfId="11904"/>
    <cellStyle name="Comma 2 6 2 3 4 2" xfId="19929"/>
    <cellStyle name="Comma 2 6 2 3 4 2 2" xfId="33954"/>
    <cellStyle name="Comma 2 6 2 3 4 3" xfId="25943"/>
    <cellStyle name="Comma 2 6 2 3 5" xfId="13919"/>
    <cellStyle name="Comma 2 6 2 3 5 2" xfId="21934"/>
    <cellStyle name="Comma 2 6 2 3 5 2 2" xfId="35959"/>
    <cellStyle name="Comma 2 6 2 3 5 3" xfId="27948"/>
    <cellStyle name="Comma 2 6 2 3 6" xfId="15925"/>
    <cellStyle name="Comma 2 6 2 3 6 2" xfId="29950"/>
    <cellStyle name="Comma 2 6 2 3 7" xfId="17927"/>
    <cellStyle name="Comma 2 6 2 3 7 2" xfId="31952"/>
    <cellStyle name="Comma 2 6 2 3 8" xfId="23941"/>
    <cellStyle name="Comma 2 6 2 4" xfId="1158"/>
    <cellStyle name="Comma 2 6 2 4 2" xfId="1159"/>
    <cellStyle name="Comma 2 6 2 4 2 2" xfId="11909"/>
    <cellStyle name="Comma 2 6 2 4 2 2 2" xfId="19934"/>
    <cellStyle name="Comma 2 6 2 4 2 2 2 2" xfId="33959"/>
    <cellStyle name="Comma 2 6 2 4 2 2 3" xfId="25948"/>
    <cellStyle name="Comma 2 6 2 4 2 3" xfId="13924"/>
    <cellStyle name="Comma 2 6 2 4 2 3 2" xfId="21939"/>
    <cellStyle name="Comma 2 6 2 4 2 3 2 2" xfId="35964"/>
    <cellStyle name="Comma 2 6 2 4 2 3 3" xfId="27953"/>
    <cellStyle name="Comma 2 6 2 4 2 4" xfId="15930"/>
    <cellStyle name="Comma 2 6 2 4 2 4 2" xfId="29955"/>
    <cellStyle name="Comma 2 6 2 4 2 5" xfId="17932"/>
    <cellStyle name="Comma 2 6 2 4 2 5 2" xfId="31957"/>
    <cellStyle name="Comma 2 6 2 4 2 6" xfId="23946"/>
    <cellStyle name="Comma 2 6 2 4 3" xfId="11908"/>
    <cellStyle name="Comma 2 6 2 4 3 2" xfId="19933"/>
    <cellStyle name="Comma 2 6 2 4 3 2 2" xfId="33958"/>
    <cellStyle name="Comma 2 6 2 4 3 3" xfId="25947"/>
    <cellStyle name="Comma 2 6 2 4 4" xfId="13923"/>
    <cellStyle name="Comma 2 6 2 4 4 2" xfId="21938"/>
    <cellStyle name="Comma 2 6 2 4 4 2 2" xfId="35963"/>
    <cellStyle name="Comma 2 6 2 4 4 3" xfId="27952"/>
    <cellStyle name="Comma 2 6 2 4 5" xfId="15929"/>
    <cellStyle name="Comma 2 6 2 4 5 2" xfId="29954"/>
    <cellStyle name="Comma 2 6 2 4 6" xfId="17931"/>
    <cellStyle name="Comma 2 6 2 4 6 2" xfId="31956"/>
    <cellStyle name="Comma 2 6 2 4 7" xfId="23945"/>
    <cellStyle name="Comma 2 6 2 5" xfId="1160"/>
    <cellStyle name="Comma 2 6 2 5 2" xfId="1161"/>
    <cellStyle name="Comma 2 6 2 5 2 2" xfId="11911"/>
    <cellStyle name="Comma 2 6 2 5 2 2 2" xfId="19936"/>
    <cellStyle name="Comma 2 6 2 5 2 2 2 2" xfId="33961"/>
    <cellStyle name="Comma 2 6 2 5 2 2 3" xfId="25950"/>
    <cellStyle name="Comma 2 6 2 5 2 3" xfId="13926"/>
    <cellStyle name="Comma 2 6 2 5 2 3 2" xfId="21941"/>
    <cellStyle name="Comma 2 6 2 5 2 3 2 2" xfId="35966"/>
    <cellStyle name="Comma 2 6 2 5 2 3 3" xfId="27955"/>
    <cellStyle name="Comma 2 6 2 5 2 4" xfId="15932"/>
    <cellStyle name="Comma 2 6 2 5 2 4 2" xfId="29957"/>
    <cellStyle name="Comma 2 6 2 5 2 5" xfId="17934"/>
    <cellStyle name="Comma 2 6 2 5 2 5 2" xfId="31959"/>
    <cellStyle name="Comma 2 6 2 5 2 6" xfId="23948"/>
    <cellStyle name="Comma 2 6 2 5 3" xfId="11910"/>
    <cellStyle name="Comma 2 6 2 5 3 2" xfId="19935"/>
    <cellStyle name="Comma 2 6 2 5 3 2 2" xfId="33960"/>
    <cellStyle name="Comma 2 6 2 5 3 3" xfId="25949"/>
    <cellStyle name="Comma 2 6 2 5 4" xfId="13925"/>
    <cellStyle name="Comma 2 6 2 5 4 2" xfId="21940"/>
    <cellStyle name="Comma 2 6 2 5 4 2 2" xfId="35965"/>
    <cellStyle name="Comma 2 6 2 5 4 3" xfId="27954"/>
    <cellStyle name="Comma 2 6 2 5 5" xfId="15931"/>
    <cellStyle name="Comma 2 6 2 5 5 2" xfId="29956"/>
    <cellStyle name="Comma 2 6 2 5 6" xfId="17933"/>
    <cellStyle name="Comma 2 6 2 5 6 2" xfId="31958"/>
    <cellStyle name="Comma 2 6 2 5 7" xfId="23947"/>
    <cellStyle name="Comma 2 6 2 6" xfId="1162"/>
    <cellStyle name="Comma 2 6 2 6 2" xfId="11912"/>
    <cellStyle name="Comma 2 6 2 6 2 2" xfId="19937"/>
    <cellStyle name="Comma 2 6 2 6 2 2 2" xfId="33962"/>
    <cellStyle name="Comma 2 6 2 6 2 3" xfId="25951"/>
    <cellStyle name="Comma 2 6 2 6 3" xfId="13927"/>
    <cellStyle name="Comma 2 6 2 6 3 2" xfId="21942"/>
    <cellStyle name="Comma 2 6 2 6 3 2 2" xfId="35967"/>
    <cellStyle name="Comma 2 6 2 6 3 3" xfId="27956"/>
    <cellStyle name="Comma 2 6 2 6 4" xfId="15933"/>
    <cellStyle name="Comma 2 6 2 6 4 2" xfId="29958"/>
    <cellStyle name="Comma 2 6 2 6 5" xfId="17935"/>
    <cellStyle name="Comma 2 6 2 6 5 2" xfId="31960"/>
    <cellStyle name="Comma 2 6 2 6 6" xfId="23949"/>
    <cellStyle name="Comma 2 6 2 7" xfId="11893"/>
    <cellStyle name="Comma 2 6 2 7 2" xfId="19918"/>
    <cellStyle name="Comma 2 6 2 7 2 2" xfId="33943"/>
    <cellStyle name="Comma 2 6 2 7 3" xfId="25932"/>
    <cellStyle name="Comma 2 6 2 8" xfId="13908"/>
    <cellStyle name="Comma 2 6 2 8 2" xfId="21923"/>
    <cellStyle name="Comma 2 6 2 8 2 2" xfId="35948"/>
    <cellStyle name="Comma 2 6 2 8 3" xfId="27937"/>
    <cellStyle name="Comma 2 6 2 9" xfId="15914"/>
    <cellStyle name="Comma 2 6 2 9 2" xfId="29939"/>
    <cellStyle name="Comma 2 6 3" xfId="1163"/>
    <cellStyle name="Comma 2 6 3 10" xfId="23950"/>
    <cellStyle name="Comma 2 6 3 2" xfId="1164"/>
    <cellStyle name="Comma 2 6 3 2 2" xfId="1165"/>
    <cellStyle name="Comma 2 6 3 2 2 2" xfId="1166"/>
    <cellStyle name="Comma 2 6 3 2 2 2 2" xfId="11916"/>
    <cellStyle name="Comma 2 6 3 2 2 2 2 2" xfId="19941"/>
    <cellStyle name="Comma 2 6 3 2 2 2 2 2 2" xfId="33966"/>
    <cellStyle name="Comma 2 6 3 2 2 2 2 3" xfId="25955"/>
    <cellStyle name="Comma 2 6 3 2 2 2 3" xfId="13931"/>
    <cellStyle name="Comma 2 6 3 2 2 2 3 2" xfId="21946"/>
    <cellStyle name="Comma 2 6 3 2 2 2 3 2 2" xfId="35971"/>
    <cellStyle name="Comma 2 6 3 2 2 2 3 3" xfId="27960"/>
    <cellStyle name="Comma 2 6 3 2 2 2 4" xfId="15937"/>
    <cellStyle name="Comma 2 6 3 2 2 2 4 2" xfId="29962"/>
    <cellStyle name="Comma 2 6 3 2 2 2 5" xfId="17939"/>
    <cellStyle name="Comma 2 6 3 2 2 2 5 2" xfId="31964"/>
    <cellStyle name="Comma 2 6 3 2 2 2 6" xfId="23953"/>
    <cellStyle name="Comma 2 6 3 2 2 3" xfId="11915"/>
    <cellStyle name="Comma 2 6 3 2 2 3 2" xfId="19940"/>
    <cellStyle name="Comma 2 6 3 2 2 3 2 2" xfId="33965"/>
    <cellStyle name="Comma 2 6 3 2 2 3 3" xfId="25954"/>
    <cellStyle name="Comma 2 6 3 2 2 4" xfId="13930"/>
    <cellStyle name="Comma 2 6 3 2 2 4 2" xfId="21945"/>
    <cellStyle name="Comma 2 6 3 2 2 4 2 2" xfId="35970"/>
    <cellStyle name="Comma 2 6 3 2 2 4 3" xfId="27959"/>
    <cellStyle name="Comma 2 6 3 2 2 5" xfId="15936"/>
    <cellStyle name="Comma 2 6 3 2 2 5 2" xfId="29961"/>
    <cellStyle name="Comma 2 6 3 2 2 6" xfId="17938"/>
    <cellStyle name="Comma 2 6 3 2 2 6 2" xfId="31963"/>
    <cellStyle name="Comma 2 6 3 2 2 7" xfId="23952"/>
    <cellStyle name="Comma 2 6 3 2 3" xfId="1167"/>
    <cellStyle name="Comma 2 6 3 2 3 2" xfId="11917"/>
    <cellStyle name="Comma 2 6 3 2 3 2 2" xfId="19942"/>
    <cellStyle name="Comma 2 6 3 2 3 2 2 2" xfId="33967"/>
    <cellStyle name="Comma 2 6 3 2 3 2 3" xfId="25956"/>
    <cellStyle name="Comma 2 6 3 2 3 3" xfId="13932"/>
    <cellStyle name="Comma 2 6 3 2 3 3 2" xfId="21947"/>
    <cellStyle name="Comma 2 6 3 2 3 3 2 2" xfId="35972"/>
    <cellStyle name="Comma 2 6 3 2 3 3 3" xfId="27961"/>
    <cellStyle name="Comma 2 6 3 2 3 4" xfId="15938"/>
    <cellStyle name="Comma 2 6 3 2 3 4 2" xfId="29963"/>
    <cellStyle name="Comma 2 6 3 2 3 5" xfId="17940"/>
    <cellStyle name="Comma 2 6 3 2 3 5 2" xfId="31965"/>
    <cellStyle name="Comma 2 6 3 2 3 6" xfId="23954"/>
    <cellStyle name="Comma 2 6 3 2 4" xfId="11914"/>
    <cellStyle name="Comma 2 6 3 2 4 2" xfId="19939"/>
    <cellStyle name="Comma 2 6 3 2 4 2 2" xfId="33964"/>
    <cellStyle name="Comma 2 6 3 2 4 3" xfId="25953"/>
    <cellStyle name="Comma 2 6 3 2 5" xfId="13929"/>
    <cellStyle name="Comma 2 6 3 2 5 2" xfId="21944"/>
    <cellStyle name="Comma 2 6 3 2 5 2 2" xfId="35969"/>
    <cellStyle name="Comma 2 6 3 2 5 3" xfId="27958"/>
    <cellStyle name="Comma 2 6 3 2 6" xfId="15935"/>
    <cellStyle name="Comma 2 6 3 2 6 2" xfId="29960"/>
    <cellStyle name="Comma 2 6 3 2 7" xfId="17937"/>
    <cellStyle name="Comma 2 6 3 2 7 2" xfId="31962"/>
    <cellStyle name="Comma 2 6 3 2 8" xfId="23951"/>
    <cellStyle name="Comma 2 6 3 3" xfId="1168"/>
    <cellStyle name="Comma 2 6 3 3 2" xfId="1169"/>
    <cellStyle name="Comma 2 6 3 3 2 2" xfId="11919"/>
    <cellStyle name="Comma 2 6 3 3 2 2 2" xfId="19944"/>
    <cellStyle name="Comma 2 6 3 3 2 2 2 2" xfId="33969"/>
    <cellStyle name="Comma 2 6 3 3 2 2 3" xfId="25958"/>
    <cellStyle name="Comma 2 6 3 3 2 3" xfId="13934"/>
    <cellStyle name="Comma 2 6 3 3 2 3 2" xfId="21949"/>
    <cellStyle name="Comma 2 6 3 3 2 3 2 2" xfId="35974"/>
    <cellStyle name="Comma 2 6 3 3 2 3 3" xfId="27963"/>
    <cellStyle name="Comma 2 6 3 3 2 4" xfId="15940"/>
    <cellStyle name="Comma 2 6 3 3 2 4 2" xfId="29965"/>
    <cellStyle name="Comma 2 6 3 3 2 5" xfId="17942"/>
    <cellStyle name="Comma 2 6 3 3 2 5 2" xfId="31967"/>
    <cellStyle name="Comma 2 6 3 3 2 6" xfId="23956"/>
    <cellStyle name="Comma 2 6 3 3 3" xfId="11918"/>
    <cellStyle name="Comma 2 6 3 3 3 2" xfId="19943"/>
    <cellStyle name="Comma 2 6 3 3 3 2 2" xfId="33968"/>
    <cellStyle name="Comma 2 6 3 3 3 3" xfId="25957"/>
    <cellStyle name="Comma 2 6 3 3 4" xfId="13933"/>
    <cellStyle name="Comma 2 6 3 3 4 2" xfId="21948"/>
    <cellStyle name="Comma 2 6 3 3 4 2 2" xfId="35973"/>
    <cellStyle name="Comma 2 6 3 3 4 3" xfId="27962"/>
    <cellStyle name="Comma 2 6 3 3 5" xfId="15939"/>
    <cellStyle name="Comma 2 6 3 3 5 2" xfId="29964"/>
    <cellStyle name="Comma 2 6 3 3 6" xfId="17941"/>
    <cellStyle name="Comma 2 6 3 3 6 2" xfId="31966"/>
    <cellStyle name="Comma 2 6 3 3 7" xfId="23955"/>
    <cellStyle name="Comma 2 6 3 4" xfId="1170"/>
    <cellStyle name="Comma 2 6 3 4 2" xfId="1171"/>
    <cellStyle name="Comma 2 6 3 4 2 2" xfId="11921"/>
    <cellStyle name="Comma 2 6 3 4 2 2 2" xfId="19946"/>
    <cellStyle name="Comma 2 6 3 4 2 2 2 2" xfId="33971"/>
    <cellStyle name="Comma 2 6 3 4 2 2 3" xfId="25960"/>
    <cellStyle name="Comma 2 6 3 4 2 3" xfId="13936"/>
    <cellStyle name="Comma 2 6 3 4 2 3 2" xfId="21951"/>
    <cellStyle name="Comma 2 6 3 4 2 3 2 2" xfId="35976"/>
    <cellStyle name="Comma 2 6 3 4 2 3 3" xfId="27965"/>
    <cellStyle name="Comma 2 6 3 4 2 4" xfId="15942"/>
    <cellStyle name="Comma 2 6 3 4 2 4 2" xfId="29967"/>
    <cellStyle name="Comma 2 6 3 4 2 5" xfId="17944"/>
    <cellStyle name="Comma 2 6 3 4 2 5 2" xfId="31969"/>
    <cellStyle name="Comma 2 6 3 4 2 6" xfId="23958"/>
    <cellStyle name="Comma 2 6 3 4 3" xfId="11920"/>
    <cellStyle name="Comma 2 6 3 4 3 2" xfId="19945"/>
    <cellStyle name="Comma 2 6 3 4 3 2 2" xfId="33970"/>
    <cellStyle name="Comma 2 6 3 4 3 3" xfId="25959"/>
    <cellStyle name="Comma 2 6 3 4 4" xfId="13935"/>
    <cellStyle name="Comma 2 6 3 4 4 2" xfId="21950"/>
    <cellStyle name="Comma 2 6 3 4 4 2 2" xfId="35975"/>
    <cellStyle name="Comma 2 6 3 4 4 3" xfId="27964"/>
    <cellStyle name="Comma 2 6 3 4 5" xfId="15941"/>
    <cellStyle name="Comma 2 6 3 4 5 2" xfId="29966"/>
    <cellStyle name="Comma 2 6 3 4 6" xfId="17943"/>
    <cellStyle name="Comma 2 6 3 4 6 2" xfId="31968"/>
    <cellStyle name="Comma 2 6 3 4 7" xfId="23957"/>
    <cellStyle name="Comma 2 6 3 5" xfId="1172"/>
    <cellStyle name="Comma 2 6 3 5 2" xfId="11922"/>
    <cellStyle name="Comma 2 6 3 5 2 2" xfId="19947"/>
    <cellStyle name="Comma 2 6 3 5 2 2 2" xfId="33972"/>
    <cellStyle name="Comma 2 6 3 5 2 3" xfId="25961"/>
    <cellStyle name="Comma 2 6 3 5 3" xfId="13937"/>
    <cellStyle name="Comma 2 6 3 5 3 2" xfId="21952"/>
    <cellStyle name="Comma 2 6 3 5 3 2 2" xfId="35977"/>
    <cellStyle name="Comma 2 6 3 5 3 3" xfId="27966"/>
    <cellStyle name="Comma 2 6 3 5 4" xfId="15943"/>
    <cellStyle name="Comma 2 6 3 5 4 2" xfId="29968"/>
    <cellStyle name="Comma 2 6 3 5 5" xfId="17945"/>
    <cellStyle name="Comma 2 6 3 5 5 2" xfId="31970"/>
    <cellStyle name="Comma 2 6 3 5 6" xfId="23959"/>
    <cellStyle name="Comma 2 6 3 6" xfId="11913"/>
    <cellStyle name="Comma 2 6 3 6 2" xfId="19938"/>
    <cellStyle name="Comma 2 6 3 6 2 2" xfId="33963"/>
    <cellStyle name="Comma 2 6 3 6 3" xfId="25952"/>
    <cellStyle name="Comma 2 6 3 7" xfId="13928"/>
    <cellStyle name="Comma 2 6 3 7 2" xfId="21943"/>
    <cellStyle name="Comma 2 6 3 7 2 2" xfId="35968"/>
    <cellStyle name="Comma 2 6 3 7 3" xfId="27957"/>
    <cellStyle name="Comma 2 6 3 8" xfId="15934"/>
    <cellStyle name="Comma 2 6 3 8 2" xfId="29959"/>
    <cellStyle name="Comma 2 6 3 9" xfId="17936"/>
    <cellStyle name="Comma 2 6 3 9 2" xfId="31961"/>
    <cellStyle name="Comma 2 6 4" xfId="1173"/>
    <cellStyle name="Comma 2 6 4 2" xfId="1174"/>
    <cellStyle name="Comma 2 6 4 2 2" xfId="1175"/>
    <cellStyle name="Comma 2 6 4 2 2 2" xfId="11925"/>
    <cellStyle name="Comma 2 6 4 2 2 2 2" xfId="19950"/>
    <cellStyle name="Comma 2 6 4 2 2 2 2 2" xfId="33975"/>
    <cellStyle name="Comma 2 6 4 2 2 2 3" xfId="25964"/>
    <cellStyle name="Comma 2 6 4 2 2 3" xfId="13940"/>
    <cellStyle name="Comma 2 6 4 2 2 3 2" xfId="21955"/>
    <cellStyle name="Comma 2 6 4 2 2 3 2 2" xfId="35980"/>
    <cellStyle name="Comma 2 6 4 2 2 3 3" xfId="27969"/>
    <cellStyle name="Comma 2 6 4 2 2 4" xfId="15946"/>
    <cellStyle name="Comma 2 6 4 2 2 4 2" xfId="29971"/>
    <cellStyle name="Comma 2 6 4 2 2 5" xfId="17948"/>
    <cellStyle name="Comma 2 6 4 2 2 5 2" xfId="31973"/>
    <cellStyle name="Comma 2 6 4 2 2 6" xfId="23962"/>
    <cellStyle name="Comma 2 6 4 2 3" xfId="11924"/>
    <cellStyle name="Comma 2 6 4 2 3 2" xfId="19949"/>
    <cellStyle name="Comma 2 6 4 2 3 2 2" xfId="33974"/>
    <cellStyle name="Comma 2 6 4 2 3 3" xfId="25963"/>
    <cellStyle name="Comma 2 6 4 2 4" xfId="13939"/>
    <cellStyle name="Comma 2 6 4 2 4 2" xfId="21954"/>
    <cellStyle name="Comma 2 6 4 2 4 2 2" xfId="35979"/>
    <cellStyle name="Comma 2 6 4 2 4 3" xfId="27968"/>
    <cellStyle name="Comma 2 6 4 2 5" xfId="15945"/>
    <cellStyle name="Comma 2 6 4 2 5 2" xfId="29970"/>
    <cellStyle name="Comma 2 6 4 2 6" xfId="17947"/>
    <cellStyle name="Comma 2 6 4 2 6 2" xfId="31972"/>
    <cellStyle name="Comma 2 6 4 2 7" xfId="23961"/>
    <cellStyle name="Comma 2 6 4 3" xfId="1176"/>
    <cellStyle name="Comma 2 6 4 3 2" xfId="11926"/>
    <cellStyle name="Comma 2 6 4 3 2 2" xfId="19951"/>
    <cellStyle name="Comma 2 6 4 3 2 2 2" xfId="33976"/>
    <cellStyle name="Comma 2 6 4 3 2 3" xfId="25965"/>
    <cellStyle name="Comma 2 6 4 3 3" xfId="13941"/>
    <cellStyle name="Comma 2 6 4 3 3 2" xfId="21956"/>
    <cellStyle name="Comma 2 6 4 3 3 2 2" xfId="35981"/>
    <cellStyle name="Comma 2 6 4 3 3 3" xfId="27970"/>
    <cellStyle name="Comma 2 6 4 3 4" xfId="15947"/>
    <cellStyle name="Comma 2 6 4 3 4 2" xfId="29972"/>
    <cellStyle name="Comma 2 6 4 3 5" xfId="17949"/>
    <cellStyle name="Comma 2 6 4 3 5 2" xfId="31974"/>
    <cellStyle name="Comma 2 6 4 3 6" xfId="23963"/>
    <cellStyle name="Comma 2 6 4 4" xfId="11923"/>
    <cellStyle name="Comma 2 6 4 4 2" xfId="19948"/>
    <cellStyle name="Comma 2 6 4 4 2 2" xfId="33973"/>
    <cellStyle name="Comma 2 6 4 4 3" xfId="25962"/>
    <cellStyle name="Comma 2 6 4 5" xfId="13938"/>
    <cellStyle name="Comma 2 6 4 5 2" xfId="21953"/>
    <cellStyle name="Comma 2 6 4 5 2 2" xfId="35978"/>
    <cellStyle name="Comma 2 6 4 5 3" xfId="27967"/>
    <cellStyle name="Comma 2 6 4 6" xfId="15944"/>
    <cellStyle name="Comma 2 6 4 6 2" xfId="29969"/>
    <cellStyle name="Comma 2 6 4 7" xfId="17946"/>
    <cellStyle name="Comma 2 6 4 7 2" xfId="31971"/>
    <cellStyle name="Comma 2 6 4 8" xfId="23960"/>
    <cellStyle name="Comma 2 6 5" xfId="1177"/>
    <cellStyle name="Comma 2 6 5 2" xfId="1178"/>
    <cellStyle name="Comma 2 6 5 2 2" xfId="11928"/>
    <cellStyle name="Comma 2 6 5 2 2 2" xfId="19953"/>
    <cellStyle name="Comma 2 6 5 2 2 2 2" xfId="33978"/>
    <cellStyle name="Comma 2 6 5 2 2 3" xfId="25967"/>
    <cellStyle name="Comma 2 6 5 2 3" xfId="13943"/>
    <cellStyle name="Comma 2 6 5 2 3 2" xfId="21958"/>
    <cellStyle name="Comma 2 6 5 2 3 2 2" xfId="35983"/>
    <cellStyle name="Comma 2 6 5 2 3 3" xfId="27972"/>
    <cellStyle name="Comma 2 6 5 2 4" xfId="15949"/>
    <cellStyle name="Comma 2 6 5 2 4 2" xfId="29974"/>
    <cellStyle name="Comma 2 6 5 2 5" xfId="17951"/>
    <cellStyle name="Comma 2 6 5 2 5 2" xfId="31976"/>
    <cellStyle name="Comma 2 6 5 2 6" xfId="23965"/>
    <cellStyle name="Comma 2 6 5 3" xfId="11927"/>
    <cellStyle name="Comma 2 6 5 3 2" xfId="19952"/>
    <cellStyle name="Comma 2 6 5 3 2 2" xfId="33977"/>
    <cellStyle name="Comma 2 6 5 3 3" xfId="25966"/>
    <cellStyle name="Comma 2 6 5 4" xfId="13942"/>
    <cellStyle name="Comma 2 6 5 4 2" xfId="21957"/>
    <cellStyle name="Comma 2 6 5 4 2 2" xfId="35982"/>
    <cellStyle name="Comma 2 6 5 4 3" xfId="27971"/>
    <cellStyle name="Comma 2 6 5 5" xfId="15948"/>
    <cellStyle name="Comma 2 6 5 5 2" xfId="29973"/>
    <cellStyle name="Comma 2 6 5 6" xfId="17950"/>
    <cellStyle name="Comma 2 6 5 6 2" xfId="31975"/>
    <cellStyle name="Comma 2 6 5 7" xfId="23964"/>
    <cellStyle name="Comma 2 6 6" xfId="1179"/>
    <cellStyle name="Comma 2 6 6 2" xfId="1180"/>
    <cellStyle name="Comma 2 6 6 2 2" xfId="11930"/>
    <cellStyle name="Comma 2 6 6 2 2 2" xfId="19955"/>
    <cellStyle name="Comma 2 6 6 2 2 2 2" xfId="33980"/>
    <cellStyle name="Comma 2 6 6 2 2 3" xfId="25969"/>
    <cellStyle name="Comma 2 6 6 2 3" xfId="13945"/>
    <cellStyle name="Comma 2 6 6 2 3 2" xfId="21960"/>
    <cellStyle name="Comma 2 6 6 2 3 2 2" xfId="35985"/>
    <cellStyle name="Comma 2 6 6 2 3 3" xfId="27974"/>
    <cellStyle name="Comma 2 6 6 2 4" xfId="15951"/>
    <cellStyle name="Comma 2 6 6 2 4 2" xfId="29976"/>
    <cellStyle name="Comma 2 6 6 2 5" xfId="17953"/>
    <cellStyle name="Comma 2 6 6 2 5 2" xfId="31978"/>
    <cellStyle name="Comma 2 6 6 2 6" xfId="23967"/>
    <cellStyle name="Comma 2 6 6 3" xfId="11929"/>
    <cellStyle name="Comma 2 6 6 3 2" xfId="19954"/>
    <cellStyle name="Comma 2 6 6 3 2 2" xfId="33979"/>
    <cellStyle name="Comma 2 6 6 3 3" xfId="25968"/>
    <cellStyle name="Comma 2 6 6 4" xfId="13944"/>
    <cellStyle name="Comma 2 6 6 4 2" xfId="21959"/>
    <cellStyle name="Comma 2 6 6 4 2 2" xfId="35984"/>
    <cellStyle name="Comma 2 6 6 4 3" xfId="27973"/>
    <cellStyle name="Comma 2 6 6 5" xfId="15950"/>
    <cellStyle name="Comma 2 6 6 5 2" xfId="29975"/>
    <cellStyle name="Comma 2 6 6 6" xfId="17952"/>
    <cellStyle name="Comma 2 6 6 6 2" xfId="31977"/>
    <cellStyle name="Comma 2 6 6 7" xfId="23966"/>
    <cellStyle name="Comma 2 6 7" xfId="1181"/>
    <cellStyle name="Comma 2 6 7 2" xfId="11931"/>
    <cellStyle name="Comma 2 6 7 2 2" xfId="19956"/>
    <cellStyle name="Comma 2 6 7 2 2 2" xfId="33981"/>
    <cellStyle name="Comma 2 6 7 2 3" xfId="25970"/>
    <cellStyle name="Comma 2 6 7 3" xfId="13946"/>
    <cellStyle name="Comma 2 6 7 3 2" xfId="21961"/>
    <cellStyle name="Comma 2 6 7 3 2 2" xfId="35986"/>
    <cellStyle name="Comma 2 6 7 3 3" xfId="27975"/>
    <cellStyle name="Comma 2 6 7 4" xfId="15952"/>
    <cellStyle name="Comma 2 6 7 4 2" xfId="29977"/>
    <cellStyle name="Comma 2 6 7 5" xfId="17954"/>
    <cellStyle name="Comma 2 6 7 5 2" xfId="31979"/>
    <cellStyle name="Comma 2 6 7 6" xfId="23968"/>
    <cellStyle name="Comma 2 6 8" xfId="11892"/>
    <cellStyle name="Comma 2 6 8 2" xfId="19917"/>
    <cellStyle name="Comma 2 6 8 2 2" xfId="33942"/>
    <cellStyle name="Comma 2 6 8 3" xfId="25931"/>
    <cellStyle name="Comma 2 6 9" xfId="13907"/>
    <cellStyle name="Comma 2 6 9 2" xfId="21922"/>
    <cellStyle name="Comma 2 6 9 2 2" xfId="35947"/>
    <cellStyle name="Comma 2 6 9 3" xfId="27936"/>
    <cellStyle name="Comma 2 7" xfId="1182"/>
    <cellStyle name="Comma 2 7 2" xfId="11932"/>
    <cellStyle name="Comma 2 7 2 2" xfId="19957"/>
    <cellStyle name="Comma 2 7 2 2 2" xfId="33982"/>
    <cellStyle name="Comma 2 7 2 3" xfId="25971"/>
    <cellStyle name="Comma 2 7 3" xfId="13947"/>
    <cellStyle name="Comma 2 7 3 2" xfId="21962"/>
    <cellStyle name="Comma 2 7 3 2 2" xfId="35987"/>
    <cellStyle name="Comma 2 7 3 3" xfId="27976"/>
    <cellStyle name="Comma 2 7 4" xfId="15953"/>
    <cellStyle name="Comma 2 7 4 2" xfId="29978"/>
    <cellStyle name="Comma 2 7 5" xfId="17955"/>
    <cellStyle name="Comma 2 7 5 2" xfId="31980"/>
    <cellStyle name="Comma 2 7 6" xfId="23969"/>
    <cellStyle name="Comma 2 8" xfId="37711"/>
    <cellStyle name="Comma 20" xfId="1183"/>
    <cellStyle name="Comma 20 2" xfId="1184"/>
    <cellStyle name="Comma 21" xfId="1185"/>
    <cellStyle name="Comma 21 2" xfId="1186"/>
    <cellStyle name="Comma 22" xfId="1187"/>
    <cellStyle name="Comma 23" xfId="1188"/>
    <cellStyle name="Comma 24" xfId="1189"/>
    <cellStyle name="Comma 25" xfId="1190"/>
    <cellStyle name="Comma 26" xfId="11281"/>
    <cellStyle name="Comma 26 2" xfId="13644"/>
    <cellStyle name="Comma 26 3" xfId="15654"/>
    <cellStyle name="Comma 26 3 2" xfId="23669"/>
    <cellStyle name="Comma 27" xfId="11300"/>
    <cellStyle name="Comma 27 2" xfId="13646"/>
    <cellStyle name="Comma 27 3" xfId="15656"/>
    <cellStyle name="Comma 27 3 2" xfId="23671"/>
    <cellStyle name="Comma 28" xfId="37701"/>
    <cellStyle name="Comma 3" xfId="407"/>
    <cellStyle name="Comma 3 2" xfId="408"/>
    <cellStyle name="Comma 3 3" xfId="409"/>
    <cellStyle name="Comma 3 4" xfId="410"/>
    <cellStyle name="Comma 4" xfId="411"/>
    <cellStyle name="Comma 4 2" xfId="412"/>
    <cellStyle name="Comma 4 2 2" xfId="413"/>
    <cellStyle name="Comma 4 3" xfId="414"/>
    <cellStyle name="Comma 5" xfId="415"/>
    <cellStyle name="Comma 5 10" xfId="1191"/>
    <cellStyle name="Comma 5 10 2" xfId="11933"/>
    <cellStyle name="Comma 5 10 2 2" xfId="19958"/>
    <cellStyle name="Comma 5 10 2 2 2" xfId="33983"/>
    <cellStyle name="Comma 5 10 2 3" xfId="25972"/>
    <cellStyle name="Comma 5 10 3" xfId="13948"/>
    <cellStyle name="Comma 5 10 3 2" xfId="21963"/>
    <cellStyle name="Comma 5 10 3 2 2" xfId="35988"/>
    <cellStyle name="Comma 5 10 3 3" xfId="27977"/>
    <cellStyle name="Comma 5 10 4" xfId="15954"/>
    <cellStyle name="Comma 5 10 4 2" xfId="29979"/>
    <cellStyle name="Comma 5 10 5" xfId="17956"/>
    <cellStyle name="Comma 5 10 5 2" xfId="31981"/>
    <cellStyle name="Comma 5 10 6" xfId="23970"/>
    <cellStyle name="Comma 5 11" xfId="11615"/>
    <cellStyle name="Comma 5 2" xfId="416"/>
    <cellStyle name="Comma 5 2 2" xfId="417"/>
    <cellStyle name="Comma 5 2 2 2" xfId="11617"/>
    <cellStyle name="Comma 5 2 3" xfId="11616"/>
    <cellStyle name="Comma 5 3" xfId="418"/>
    <cellStyle name="Comma 5 4" xfId="1192"/>
    <cellStyle name="Comma 5 4 10" xfId="15955"/>
    <cellStyle name="Comma 5 4 10 2" xfId="29980"/>
    <cellStyle name="Comma 5 4 11" xfId="17957"/>
    <cellStyle name="Comma 5 4 11 2" xfId="31982"/>
    <cellStyle name="Comma 5 4 12" xfId="23971"/>
    <cellStyle name="Comma 5 4 2" xfId="1193"/>
    <cellStyle name="Comma 5 4 2 10" xfId="17958"/>
    <cellStyle name="Comma 5 4 2 10 2" xfId="31983"/>
    <cellStyle name="Comma 5 4 2 11" xfId="23972"/>
    <cellStyle name="Comma 5 4 2 2" xfId="1194"/>
    <cellStyle name="Comma 5 4 2 2 10" xfId="23973"/>
    <cellStyle name="Comma 5 4 2 2 2" xfId="1195"/>
    <cellStyle name="Comma 5 4 2 2 2 2" xfId="1196"/>
    <cellStyle name="Comma 5 4 2 2 2 2 2" xfId="1197"/>
    <cellStyle name="Comma 5 4 2 2 2 2 2 2" xfId="11939"/>
    <cellStyle name="Comma 5 4 2 2 2 2 2 2 2" xfId="19964"/>
    <cellStyle name="Comma 5 4 2 2 2 2 2 2 2 2" xfId="33989"/>
    <cellStyle name="Comma 5 4 2 2 2 2 2 2 3" xfId="25978"/>
    <cellStyle name="Comma 5 4 2 2 2 2 2 3" xfId="13954"/>
    <cellStyle name="Comma 5 4 2 2 2 2 2 3 2" xfId="21969"/>
    <cellStyle name="Comma 5 4 2 2 2 2 2 3 2 2" xfId="35994"/>
    <cellStyle name="Comma 5 4 2 2 2 2 2 3 3" xfId="27983"/>
    <cellStyle name="Comma 5 4 2 2 2 2 2 4" xfId="15960"/>
    <cellStyle name="Comma 5 4 2 2 2 2 2 4 2" xfId="29985"/>
    <cellStyle name="Comma 5 4 2 2 2 2 2 5" xfId="17962"/>
    <cellStyle name="Comma 5 4 2 2 2 2 2 5 2" xfId="31987"/>
    <cellStyle name="Comma 5 4 2 2 2 2 2 6" xfId="23976"/>
    <cellStyle name="Comma 5 4 2 2 2 2 3" xfId="11938"/>
    <cellStyle name="Comma 5 4 2 2 2 2 3 2" xfId="19963"/>
    <cellStyle name="Comma 5 4 2 2 2 2 3 2 2" xfId="33988"/>
    <cellStyle name="Comma 5 4 2 2 2 2 3 3" xfId="25977"/>
    <cellStyle name="Comma 5 4 2 2 2 2 4" xfId="13953"/>
    <cellStyle name="Comma 5 4 2 2 2 2 4 2" xfId="21968"/>
    <cellStyle name="Comma 5 4 2 2 2 2 4 2 2" xfId="35993"/>
    <cellStyle name="Comma 5 4 2 2 2 2 4 3" xfId="27982"/>
    <cellStyle name="Comma 5 4 2 2 2 2 5" xfId="15959"/>
    <cellStyle name="Comma 5 4 2 2 2 2 5 2" xfId="29984"/>
    <cellStyle name="Comma 5 4 2 2 2 2 6" xfId="17961"/>
    <cellStyle name="Comma 5 4 2 2 2 2 6 2" xfId="31986"/>
    <cellStyle name="Comma 5 4 2 2 2 2 7" xfId="23975"/>
    <cellStyle name="Comma 5 4 2 2 2 3" xfId="1198"/>
    <cellStyle name="Comma 5 4 2 2 2 3 2" xfId="11940"/>
    <cellStyle name="Comma 5 4 2 2 2 3 2 2" xfId="19965"/>
    <cellStyle name="Comma 5 4 2 2 2 3 2 2 2" xfId="33990"/>
    <cellStyle name="Comma 5 4 2 2 2 3 2 3" xfId="25979"/>
    <cellStyle name="Comma 5 4 2 2 2 3 3" xfId="13955"/>
    <cellStyle name="Comma 5 4 2 2 2 3 3 2" xfId="21970"/>
    <cellStyle name="Comma 5 4 2 2 2 3 3 2 2" xfId="35995"/>
    <cellStyle name="Comma 5 4 2 2 2 3 3 3" xfId="27984"/>
    <cellStyle name="Comma 5 4 2 2 2 3 4" xfId="15961"/>
    <cellStyle name="Comma 5 4 2 2 2 3 4 2" xfId="29986"/>
    <cellStyle name="Comma 5 4 2 2 2 3 5" xfId="17963"/>
    <cellStyle name="Comma 5 4 2 2 2 3 5 2" xfId="31988"/>
    <cellStyle name="Comma 5 4 2 2 2 3 6" xfId="23977"/>
    <cellStyle name="Comma 5 4 2 2 2 4" xfId="11937"/>
    <cellStyle name="Comma 5 4 2 2 2 4 2" xfId="19962"/>
    <cellStyle name="Comma 5 4 2 2 2 4 2 2" xfId="33987"/>
    <cellStyle name="Comma 5 4 2 2 2 4 3" xfId="25976"/>
    <cellStyle name="Comma 5 4 2 2 2 5" xfId="13952"/>
    <cellStyle name="Comma 5 4 2 2 2 5 2" xfId="21967"/>
    <cellStyle name="Comma 5 4 2 2 2 5 2 2" xfId="35992"/>
    <cellStyle name="Comma 5 4 2 2 2 5 3" xfId="27981"/>
    <cellStyle name="Comma 5 4 2 2 2 6" xfId="15958"/>
    <cellStyle name="Comma 5 4 2 2 2 6 2" xfId="29983"/>
    <cellStyle name="Comma 5 4 2 2 2 7" xfId="17960"/>
    <cellStyle name="Comma 5 4 2 2 2 7 2" xfId="31985"/>
    <cellStyle name="Comma 5 4 2 2 2 8" xfId="23974"/>
    <cellStyle name="Comma 5 4 2 2 3" xfId="1199"/>
    <cellStyle name="Comma 5 4 2 2 3 2" xfId="1200"/>
    <cellStyle name="Comma 5 4 2 2 3 2 2" xfId="11942"/>
    <cellStyle name="Comma 5 4 2 2 3 2 2 2" xfId="19967"/>
    <cellStyle name="Comma 5 4 2 2 3 2 2 2 2" xfId="33992"/>
    <cellStyle name="Comma 5 4 2 2 3 2 2 3" xfId="25981"/>
    <cellStyle name="Comma 5 4 2 2 3 2 3" xfId="13957"/>
    <cellStyle name="Comma 5 4 2 2 3 2 3 2" xfId="21972"/>
    <cellStyle name="Comma 5 4 2 2 3 2 3 2 2" xfId="35997"/>
    <cellStyle name="Comma 5 4 2 2 3 2 3 3" xfId="27986"/>
    <cellStyle name="Comma 5 4 2 2 3 2 4" xfId="15963"/>
    <cellStyle name="Comma 5 4 2 2 3 2 4 2" xfId="29988"/>
    <cellStyle name="Comma 5 4 2 2 3 2 5" xfId="17965"/>
    <cellStyle name="Comma 5 4 2 2 3 2 5 2" xfId="31990"/>
    <cellStyle name="Comma 5 4 2 2 3 2 6" xfId="23979"/>
    <cellStyle name="Comma 5 4 2 2 3 3" xfId="11941"/>
    <cellStyle name="Comma 5 4 2 2 3 3 2" xfId="19966"/>
    <cellStyle name="Comma 5 4 2 2 3 3 2 2" xfId="33991"/>
    <cellStyle name="Comma 5 4 2 2 3 3 3" xfId="25980"/>
    <cellStyle name="Comma 5 4 2 2 3 4" xfId="13956"/>
    <cellStyle name="Comma 5 4 2 2 3 4 2" xfId="21971"/>
    <cellStyle name="Comma 5 4 2 2 3 4 2 2" xfId="35996"/>
    <cellStyle name="Comma 5 4 2 2 3 4 3" xfId="27985"/>
    <cellStyle name="Comma 5 4 2 2 3 5" xfId="15962"/>
    <cellStyle name="Comma 5 4 2 2 3 5 2" xfId="29987"/>
    <cellStyle name="Comma 5 4 2 2 3 6" xfId="17964"/>
    <cellStyle name="Comma 5 4 2 2 3 6 2" xfId="31989"/>
    <cellStyle name="Comma 5 4 2 2 3 7" xfId="23978"/>
    <cellStyle name="Comma 5 4 2 2 4" xfId="1201"/>
    <cellStyle name="Comma 5 4 2 2 4 2" xfId="1202"/>
    <cellStyle name="Comma 5 4 2 2 4 2 2" xfId="11944"/>
    <cellStyle name="Comma 5 4 2 2 4 2 2 2" xfId="19969"/>
    <cellStyle name="Comma 5 4 2 2 4 2 2 2 2" xfId="33994"/>
    <cellStyle name="Comma 5 4 2 2 4 2 2 3" xfId="25983"/>
    <cellStyle name="Comma 5 4 2 2 4 2 3" xfId="13959"/>
    <cellStyle name="Comma 5 4 2 2 4 2 3 2" xfId="21974"/>
    <cellStyle name="Comma 5 4 2 2 4 2 3 2 2" xfId="35999"/>
    <cellStyle name="Comma 5 4 2 2 4 2 3 3" xfId="27988"/>
    <cellStyle name="Comma 5 4 2 2 4 2 4" xfId="15965"/>
    <cellStyle name="Comma 5 4 2 2 4 2 4 2" xfId="29990"/>
    <cellStyle name="Comma 5 4 2 2 4 2 5" xfId="17967"/>
    <cellStyle name="Comma 5 4 2 2 4 2 5 2" xfId="31992"/>
    <cellStyle name="Comma 5 4 2 2 4 2 6" xfId="23981"/>
    <cellStyle name="Comma 5 4 2 2 4 3" xfId="11943"/>
    <cellStyle name="Comma 5 4 2 2 4 3 2" xfId="19968"/>
    <cellStyle name="Comma 5 4 2 2 4 3 2 2" xfId="33993"/>
    <cellStyle name="Comma 5 4 2 2 4 3 3" xfId="25982"/>
    <cellStyle name="Comma 5 4 2 2 4 4" xfId="13958"/>
    <cellStyle name="Comma 5 4 2 2 4 4 2" xfId="21973"/>
    <cellStyle name="Comma 5 4 2 2 4 4 2 2" xfId="35998"/>
    <cellStyle name="Comma 5 4 2 2 4 4 3" xfId="27987"/>
    <cellStyle name="Comma 5 4 2 2 4 5" xfId="15964"/>
    <cellStyle name="Comma 5 4 2 2 4 5 2" xfId="29989"/>
    <cellStyle name="Comma 5 4 2 2 4 6" xfId="17966"/>
    <cellStyle name="Comma 5 4 2 2 4 6 2" xfId="31991"/>
    <cellStyle name="Comma 5 4 2 2 4 7" xfId="23980"/>
    <cellStyle name="Comma 5 4 2 2 5" xfId="1203"/>
    <cellStyle name="Comma 5 4 2 2 5 2" xfId="11945"/>
    <cellStyle name="Comma 5 4 2 2 5 2 2" xfId="19970"/>
    <cellStyle name="Comma 5 4 2 2 5 2 2 2" xfId="33995"/>
    <cellStyle name="Comma 5 4 2 2 5 2 3" xfId="25984"/>
    <cellStyle name="Comma 5 4 2 2 5 3" xfId="13960"/>
    <cellStyle name="Comma 5 4 2 2 5 3 2" xfId="21975"/>
    <cellStyle name="Comma 5 4 2 2 5 3 2 2" xfId="36000"/>
    <cellStyle name="Comma 5 4 2 2 5 3 3" xfId="27989"/>
    <cellStyle name="Comma 5 4 2 2 5 4" xfId="15966"/>
    <cellStyle name="Comma 5 4 2 2 5 4 2" xfId="29991"/>
    <cellStyle name="Comma 5 4 2 2 5 5" xfId="17968"/>
    <cellStyle name="Comma 5 4 2 2 5 5 2" xfId="31993"/>
    <cellStyle name="Comma 5 4 2 2 5 6" xfId="23982"/>
    <cellStyle name="Comma 5 4 2 2 6" xfId="11936"/>
    <cellStyle name="Comma 5 4 2 2 6 2" xfId="19961"/>
    <cellStyle name="Comma 5 4 2 2 6 2 2" xfId="33986"/>
    <cellStyle name="Comma 5 4 2 2 6 3" xfId="25975"/>
    <cellStyle name="Comma 5 4 2 2 7" xfId="13951"/>
    <cellStyle name="Comma 5 4 2 2 7 2" xfId="21966"/>
    <cellStyle name="Comma 5 4 2 2 7 2 2" xfId="35991"/>
    <cellStyle name="Comma 5 4 2 2 7 3" xfId="27980"/>
    <cellStyle name="Comma 5 4 2 2 8" xfId="15957"/>
    <cellStyle name="Comma 5 4 2 2 8 2" xfId="29982"/>
    <cellStyle name="Comma 5 4 2 2 9" xfId="17959"/>
    <cellStyle name="Comma 5 4 2 2 9 2" xfId="31984"/>
    <cellStyle name="Comma 5 4 2 3" xfId="1204"/>
    <cellStyle name="Comma 5 4 2 3 2" xfId="1205"/>
    <cellStyle name="Comma 5 4 2 3 2 2" xfId="1206"/>
    <cellStyle name="Comma 5 4 2 3 2 2 2" xfId="11948"/>
    <cellStyle name="Comma 5 4 2 3 2 2 2 2" xfId="19973"/>
    <cellStyle name="Comma 5 4 2 3 2 2 2 2 2" xfId="33998"/>
    <cellStyle name="Comma 5 4 2 3 2 2 2 3" xfId="25987"/>
    <cellStyle name="Comma 5 4 2 3 2 2 3" xfId="13963"/>
    <cellStyle name="Comma 5 4 2 3 2 2 3 2" xfId="21978"/>
    <cellStyle name="Comma 5 4 2 3 2 2 3 2 2" xfId="36003"/>
    <cellStyle name="Comma 5 4 2 3 2 2 3 3" xfId="27992"/>
    <cellStyle name="Comma 5 4 2 3 2 2 4" xfId="15969"/>
    <cellStyle name="Comma 5 4 2 3 2 2 4 2" xfId="29994"/>
    <cellStyle name="Comma 5 4 2 3 2 2 5" xfId="17971"/>
    <cellStyle name="Comma 5 4 2 3 2 2 5 2" xfId="31996"/>
    <cellStyle name="Comma 5 4 2 3 2 2 6" xfId="23985"/>
    <cellStyle name="Comma 5 4 2 3 2 3" xfId="11947"/>
    <cellStyle name="Comma 5 4 2 3 2 3 2" xfId="19972"/>
    <cellStyle name="Comma 5 4 2 3 2 3 2 2" xfId="33997"/>
    <cellStyle name="Comma 5 4 2 3 2 3 3" xfId="25986"/>
    <cellStyle name="Comma 5 4 2 3 2 4" xfId="13962"/>
    <cellStyle name="Comma 5 4 2 3 2 4 2" xfId="21977"/>
    <cellStyle name="Comma 5 4 2 3 2 4 2 2" xfId="36002"/>
    <cellStyle name="Comma 5 4 2 3 2 4 3" xfId="27991"/>
    <cellStyle name="Comma 5 4 2 3 2 5" xfId="15968"/>
    <cellStyle name="Comma 5 4 2 3 2 5 2" xfId="29993"/>
    <cellStyle name="Comma 5 4 2 3 2 6" xfId="17970"/>
    <cellStyle name="Comma 5 4 2 3 2 6 2" xfId="31995"/>
    <cellStyle name="Comma 5 4 2 3 2 7" xfId="23984"/>
    <cellStyle name="Comma 5 4 2 3 3" xfId="1207"/>
    <cellStyle name="Comma 5 4 2 3 3 2" xfId="11949"/>
    <cellStyle name="Comma 5 4 2 3 3 2 2" xfId="19974"/>
    <cellStyle name="Comma 5 4 2 3 3 2 2 2" xfId="33999"/>
    <cellStyle name="Comma 5 4 2 3 3 2 3" xfId="25988"/>
    <cellStyle name="Comma 5 4 2 3 3 3" xfId="13964"/>
    <cellStyle name="Comma 5 4 2 3 3 3 2" xfId="21979"/>
    <cellStyle name="Comma 5 4 2 3 3 3 2 2" xfId="36004"/>
    <cellStyle name="Comma 5 4 2 3 3 3 3" xfId="27993"/>
    <cellStyle name="Comma 5 4 2 3 3 4" xfId="15970"/>
    <cellStyle name="Comma 5 4 2 3 3 4 2" xfId="29995"/>
    <cellStyle name="Comma 5 4 2 3 3 5" xfId="17972"/>
    <cellStyle name="Comma 5 4 2 3 3 5 2" xfId="31997"/>
    <cellStyle name="Comma 5 4 2 3 3 6" xfId="23986"/>
    <cellStyle name="Comma 5 4 2 3 4" xfId="11946"/>
    <cellStyle name="Comma 5 4 2 3 4 2" xfId="19971"/>
    <cellStyle name="Comma 5 4 2 3 4 2 2" xfId="33996"/>
    <cellStyle name="Comma 5 4 2 3 4 3" xfId="25985"/>
    <cellStyle name="Comma 5 4 2 3 5" xfId="13961"/>
    <cellStyle name="Comma 5 4 2 3 5 2" xfId="21976"/>
    <cellStyle name="Comma 5 4 2 3 5 2 2" xfId="36001"/>
    <cellStyle name="Comma 5 4 2 3 5 3" xfId="27990"/>
    <cellStyle name="Comma 5 4 2 3 6" xfId="15967"/>
    <cellStyle name="Comma 5 4 2 3 6 2" xfId="29992"/>
    <cellStyle name="Comma 5 4 2 3 7" xfId="17969"/>
    <cellStyle name="Comma 5 4 2 3 7 2" xfId="31994"/>
    <cellStyle name="Comma 5 4 2 3 8" xfId="23983"/>
    <cellStyle name="Comma 5 4 2 4" xfId="1208"/>
    <cellStyle name="Comma 5 4 2 4 2" xfId="1209"/>
    <cellStyle name="Comma 5 4 2 4 2 2" xfId="11951"/>
    <cellStyle name="Comma 5 4 2 4 2 2 2" xfId="19976"/>
    <cellStyle name="Comma 5 4 2 4 2 2 2 2" xfId="34001"/>
    <cellStyle name="Comma 5 4 2 4 2 2 3" xfId="25990"/>
    <cellStyle name="Comma 5 4 2 4 2 3" xfId="13966"/>
    <cellStyle name="Comma 5 4 2 4 2 3 2" xfId="21981"/>
    <cellStyle name="Comma 5 4 2 4 2 3 2 2" xfId="36006"/>
    <cellStyle name="Comma 5 4 2 4 2 3 3" xfId="27995"/>
    <cellStyle name="Comma 5 4 2 4 2 4" xfId="15972"/>
    <cellStyle name="Comma 5 4 2 4 2 4 2" xfId="29997"/>
    <cellStyle name="Comma 5 4 2 4 2 5" xfId="17974"/>
    <cellStyle name="Comma 5 4 2 4 2 5 2" xfId="31999"/>
    <cellStyle name="Comma 5 4 2 4 2 6" xfId="23988"/>
    <cellStyle name="Comma 5 4 2 4 3" xfId="11950"/>
    <cellStyle name="Comma 5 4 2 4 3 2" xfId="19975"/>
    <cellStyle name="Comma 5 4 2 4 3 2 2" xfId="34000"/>
    <cellStyle name="Comma 5 4 2 4 3 3" xfId="25989"/>
    <cellStyle name="Comma 5 4 2 4 4" xfId="13965"/>
    <cellStyle name="Comma 5 4 2 4 4 2" xfId="21980"/>
    <cellStyle name="Comma 5 4 2 4 4 2 2" xfId="36005"/>
    <cellStyle name="Comma 5 4 2 4 4 3" xfId="27994"/>
    <cellStyle name="Comma 5 4 2 4 5" xfId="15971"/>
    <cellStyle name="Comma 5 4 2 4 5 2" xfId="29996"/>
    <cellStyle name="Comma 5 4 2 4 6" xfId="17973"/>
    <cellStyle name="Comma 5 4 2 4 6 2" xfId="31998"/>
    <cellStyle name="Comma 5 4 2 4 7" xfId="23987"/>
    <cellStyle name="Comma 5 4 2 5" xfId="1210"/>
    <cellStyle name="Comma 5 4 2 5 2" xfId="1211"/>
    <cellStyle name="Comma 5 4 2 5 2 2" xfId="11953"/>
    <cellStyle name="Comma 5 4 2 5 2 2 2" xfId="19978"/>
    <cellStyle name="Comma 5 4 2 5 2 2 2 2" xfId="34003"/>
    <cellStyle name="Comma 5 4 2 5 2 2 3" xfId="25992"/>
    <cellStyle name="Comma 5 4 2 5 2 3" xfId="13968"/>
    <cellStyle name="Comma 5 4 2 5 2 3 2" xfId="21983"/>
    <cellStyle name="Comma 5 4 2 5 2 3 2 2" xfId="36008"/>
    <cellStyle name="Comma 5 4 2 5 2 3 3" xfId="27997"/>
    <cellStyle name="Comma 5 4 2 5 2 4" xfId="15974"/>
    <cellStyle name="Comma 5 4 2 5 2 4 2" xfId="29999"/>
    <cellStyle name="Comma 5 4 2 5 2 5" xfId="17976"/>
    <cellStyle name="Comma 5 4 2 5 2 5 2" xfId="32001"/>
    <cellStyle name="Comma 5 4 2 5 2 6" xfId="23990"/>
    <cellStyle name="Comma 5 4 2 5 3" xfId="11952"/>
    <cellStyle name="Comma 5 4 2 5 3 2" xfId="19977"/>
    <cellStyle name="Comma 5 4 2 5 3 2 2" xfId="34002"/>
    <cellStyle name="Comma 5 4 2 5 3 3" xfId="25991"/>
    <cellStyle name="Comma 5 4 2 5 4" xfId="13967"/>
    <cellStyle name="Comma 5 4 2 5 4 2" xfId="21982"/>
    <cellStyle name="Comma 5 4 2 5 4 2 2" xfId="36007"/>
    <cellStyle name="Comma 5 4 2 5 4 3" xfId="27996"/>
    <cellStyle name="Comma 5 4 2 5 5" xfId="15973"/>
    <cellStyle name="Comma 5 4 2 5 5 2" xfId="29998"/>
    <cellStyle name="Comma 5 4 2 5 6" xfId="17975"/>
    <cellStyle name="Comma 5 4 2 5 6 2" xfId="32000"/>
    <cellStyle name="Comma 5 4 2 5 7" xfId="23989"/>
    <cellStyle name="Comma 5 4 2 6" xfId="1212"/>
    <cellStyle name="Comma 5 4 2 6 2" xfId="11954"/>
    <cellStyle name="Comma 5 4 2 6 2 2" xfId="19979"/>
    <cellStyle name="Comma 5 4 2 6 2 2 2" xfId="34004"/>
    <cellStyle name="Comma 5 4 2 6 2 3" xfId="25993"/>
    <cellStyle name="Comma 5 4 2 6 3" xfId="13969"/>
    <cellStyle name="Comma 5 4 2 6 3 2" xfId="21984"/>
    <cellStyle name="Comma 5 4 2 6 3 2 2" xfId="36009"/>
    <cellStyle name="Comma 5 4 2 6 3 3" xfId="27998"/>
    <cellStyle name="Comma 5 4 2 6 4" xfId="15975"/>
    <cellStyle name="Comma 5 4 2 6 4 2" xfId="30000"/>
    <cellStyle name="Comma 5 4 2 6 5" xfId="17977"/>
    <cellStyle name="Comma 5 4 2 6 5 2" xfId="32002"/>
    <cellStyle name="Comma 5 4 2 6 6" xfId="23991"/>
    <cellStyle name="Comma 5 4 2 7" xfId="11935"/>
    <cellStyle name="Comma 5 4 2 7 2" xfId="19960"/>
    <cellStyle name="Comma 5 4 2 7 2 2" xfId="33985"/>
    <cellStyle name="Comma 5 4 2 7 3" xfId="25974"/>
    <cellStyle name="Comma 5 4 2 8" xfId="13950"/>
    <cellStyle name="Comma 5 4 2 8 2" xfId="21965"/>
    <cellStyle name="Comma 5 4 2 8 2 2" xfId="35990"/>
    <cellStyle name="Comma 5 4 2 8 3" xfId="27979"/>
    <cellStyle name="Comma 5 4 2 9" xfId="15956"/>
    <cellStyle name="Comma 5 4 2 9 2" xfId="29981"/>
    <cellStyle name="Comma 5 4 3" xfId="1213"/>
    <cellStyle name="Comma 5 4 3 10" xfId="23992"/>
    <cellStyle name="Comma 5 4 3 2" xfId="1214"/>
    <cellStyle name="Comma 5 4 3 2 2" xfId="1215"/>
    <cellStyle name="Comma 5 4 3 2 2 2" xfId="1216"/>
    <cellStyle name="Comma 5 4 3 2 2 2 2" xfId="11958"/>
    <cellStyle name="Comma 5 4 3 2 2 2 2 2" xfId="19983"/>
    <cellStyle name="Comma 5 4 3 2 2 2 2 2 2" xfId="34008"/>
    <cellStyle name="Comma 5 4 3 2 2 2 2 3" xfId="25997"/>
    <cellStyle name="Comma 5 4 3 2 2 2 3" xfId="13973"/>
    <cellStyle name="Comma 5 4 3 2 2 2 3 2" xfId="21988"/>
    <cellStyle name="Comma 5 4 3 2 2 2 3 2 2" xfId="36013"/>
    <cellStyle name="Comma 5 4 3 2 2 2 3 3" xfId="28002"/>
    <cellStyle name="Comma 5 4 3 2 2 2 4" xfId="15979"/>
    <cellStyle name="Comma 5 4 3 2 2 2 4 2" xfId="30004"/>
    <cellStyle name="Comma 5 4 3 2 2 2 5" xfId="17981"/>
    <cellStyle name="Comma 5 4 3 2 2 2 5 2" xfId="32006"/>
    <cellStyle name="Comma 5 4 3 2 2 2 6" xfId="23995"/>
    <cellStyle name="Comma 5 4 3 2 2 3" xfId="11957"/>
    <cellStyle name="Comma 5 4 3 2 2 3 2" xfId="19982"/>
    <cellStyle name="Comma 5 4 3 2 2 3 2 2" xfId="34007"/>
    <cellStyle name="Comma 5 4 3 2 2 3 3" xfId="25996"/>
    <cellStyle name="Comma 5 4 3 2 2 4" xfId="13972"/>
    <cellStyle name="Comma 5 4 3 2 2 4 2" xfId="21987"/>
    <cellStyle name="Comma 5 4 3 2 2 4 2 2" xfId="36012"/>
    <cellStyle name="Comma 5 4 3 2 2 4 3" xfId="28001"/>
    <cellStyle name="Comma 5 4 3 2 2 5" xfId="15978"/>
    <cellStyle name="Comma 5 4 3 2 2 5 2" xfId="30003"/>
    <cellStyle name="Comma 5 4 3 2 2 6" xfId="17980"/>
    <cellStyle name="Comma 5 4 3 2 2 6 2" xfId="32005"/>
    <cellStyle name="Comma 5 4 3 2 2 7" xfId="23994"/>
    <cellStyle name="Comma 5 4 3 2 3" xfId="1217"/>
    <cellStyle name="Comma 5 4 3 2 3 2" xfId="11959"/>
    <cellStyle name="Comma 5 4 3 2 3 2 2" xfId="19984"/>
    <cellStyle name="Comma 5 4 3 2 3 2 2 2" xfId="34009"/>
    <cellStyle name="Comma 5 4 3 2 3 2 3" xfId="25998"/>
    <cellStyle name="Comma 5 4 3 2 3 3" xfId="13974"/>
    <cellStyle name="Comma 5 4 3 2 3 3 2" xfId="21989"/>
    <cellStyle name="Comma 5 4 3 2 3 3 2 2" xfId="36014"/>
    <cellStyle name="Comma 5 4 3 2 3 3 3" xfId="28003"/>
    <cellStyle name="Comma 5 4 3 2 3 4" xfId="15980"/>
    <cellStyle name="Comma 5 4 3 2 3 4 2" xfId="30005"/>
    <cellStyle name="Comma 5 4 3 2 3 5" xfId="17982"/>
    <cellStyle name="Comma 5 4 3 2 3 5 2" xfId="32007"/>
    <cellStyle name="Comma 5 4 3 2 3 6" xfId="23996"/>
    <cellStyle name="Comma 5 4 3 2 4" xfId="11956"/>
    <cellStyle name="Comma 5 4 3 2 4 2" xfId="19981"/>
    <cellStyle name="Comma 5 4 3 2 4 2 2" xfId="34006"/>
    <cellStyle name="Comma 5 4 3 2 4 3" xfId="25995"/>
    <cellStyle name="Comma 5 4 3 2 5" xfId="13971"/>
    <cellStyle name="Comma 5 4 3 2 5 2" xfId="21986"/>
    <cellStyle name="Comma 5 4 3 2 5 2 2" xfId="36011"/>
    <cellStyle name="Comma 5 4 3 2 5 3" xfId="28000"/>
    <cellStyle name="Comma 5 4 3 2 6" xfId="15977"/>
    <cellStyle name="Comma 5 4 3 2 6 2" xfId="30002"/>
    <cellStyle name="Comma 5 4 3 2 7" xfId="17979"/>
    <cellStyle name="Comma 5 4 3 2 7 2" xfId="32004"/>
    <cellStyle name="Comma 5 4 3 2 8" xfId="23993"/>
    <cellStyle name="Comma 5 4 3 3" xfId="1218"/>
    <cellStyle name="Comma 5 4 3 3 2" xfId="1219"/>
    <cellStyle name="Comma 5 4 3 3 2 2" xfId="11961"/>
    <cellStyle name="Comma 5 4 3 3 2 2 2" xfId="19986"/>
    <cellStyle name="Comma 5 4 3 3 2 2 2 2" xfId="34011"/>
    <cellStyle name="Comma 5 4 3 3 2 2 3" xfId="26000"/>
    <cellStyle name="Comma 5 4 3 3 2 3" xfId="13976"/>
    <cellStyle name="Comma 5 4 3 3 2 3 2" xfId="21991"/>
    <cellStyle name="Comma 5 4 3 3 2 3 2 2" xfId="36016"/>
    <cellStyle name="Comma 5 4 3 3 2 3 3" xfId="28005"/>
    <cellStyle name="Comma 5 4 3 3 2 4" xfId="15982"/>
    <cellStyle name="Comma 5 4 3 3 2 4 2" xfId="30007"/>
    <cellStyle name="Comma 5 4 3 3 2 5" xfId="17984"/>
    <cellStyle name="Comma 5 4 3 3 2 5 2" xfId="32009"/>
    <cellStyle name="Comma 5 4 3 3 2 6" xfId="23998"/>
    <cellStyle name="Comma 5 4 3 3 3" xfId="11960"/>
    <cellStyle name="Comma 5 4 3 3 3 2" xfId="19985"/>
    <cellStyle name="Comma 5 4 3 3 3 2 2" xfId="34010"/>
    <cellStyle name="Comma 5 4 3 3 3 3" xfId="25999"/>
    <cellStyle name="Comma 5 4 3 3 4" xfId="13975"/>
    <cellStyle name="Comma 5 4 3 3 4 2" xfId="21990"/>
    <cellStyle name="Comma 5 4 3 3 4 2 2" xfId="36015"/>
    <cellStyle name="Comma 5 4 3 3 4 3" xfId="28004"/>
    <cellStyle name="Comma 5 4 3 3 5" xfId="15981"/>
    <cellStyle name="Comma 5 4 3 3 5 2" xfId="30006"/>
    <cellStyle name="Comma 5 4 3 3 6" xfId="17983"/>
    <cellStyle name="Comma 5 4 3 3 6 2" xfId="32008"/>
    <cellStyle name="Comma 5 4 3 3 7" xfId="23997"/>
    <cellStyle name="Comma 5 4 3 4" xfId="1220"/>
    <cellStyle name="Comma 5 4 3 4 2" xfId="1221"/>
    <cellStyle name="Comma 5 4 3 4 2 2" xfId="11963"/>
    <cellStyle name="Comma 5 4 3 4 2 2 2" xfId="19988"/>
    <cellStyle name="Comma 5 4 3 4 2 2 2 2" xfId="34013"/>
    <cellStyle name="Comma 5 4 3 4 2 2 3" xfId="26002"/>
    <cellStyle name="Comma 5 4 3 4 2 3" xfId="13978"/>
    <cellStyle name="Comma 5 4 3 4 2 3 2" xfId="21993"/>
    <cellStyle name="Comma 5 4 3 4 2 3 2 2" xfId="36018"/>
    <cellStyle name="Comma 5 4 3 4 2 3 3" xfId="28007"/>
    <cellStyle name="Comma 5 4 3 4 2 4" xfId="15984"/>
    <cellStyle name="Comma 5 4 3 4 2 4 2" xfId="30009"/>
    <cellStyle name="Comma 5 4 3 4 2 5" xfId="17986"/>
    <cellStyle name="Comma 5 4 3 4 2 5 2" xfId="32011"/>
    <cellStyle name="Comma 5 4 3 4 2 6" xfId="24000"/>
    <cellStyle name="Comma 5 4 3 4 3" xfId="11962"/>
    <cellStyle name="Comma 5 4 3 4 3 2" xfId="19987"/>
    <cellStyle name="Comma 5 4 3 4 3 2 2" xfId="34012"/>
    <cellStyle name="Comma 5 4 3 4 3 3" xfId="26001"/>
    <cellStyle name="Comma 5 4 3 4 4" xfId="13977"/>
    <cellStyle name="Comma 5 4 3 4 4 2" xfId="21992"/>
    <cellStyle name="Comma 5 4 3 4 4 2 2" xfId="36017"/>
    <cellStyle name="Comma 5 4 3 4 4 3" xfId="28006"/>
    <cellStyle name="Comma 5 4 3 4 5" xfId="15983"/>
    <cellStyle name="Comma 5 4 3 4 5 2" xfId="30008"/>
    <cellStyle name="Comma 5 4 3 4 6" xfId="17985"/>
    <cellStyle name="Comma 5 4 3 4 6 2" xfId="32010"/>
    <cellStyle name="Comma 5 4 3 4 7" xfId="23999"/>
    <cellStyle name="Comma 5 4 3 5" xfId="1222"/>
    <cellStyle name="Comma 5 4 3 5 2" xfId="11964"/>
    <cellStyle name="Comma 5 4 3 5 2 2" xfId="19989"/>
    <cellStyle name="Comma 5 4 3 5 2 2 2" xfId="34014"/>
    <cellStyle name="Comma 5 4 3 5 2 3" xfId="26003"/>
    <cellStyle name="Comma 5 4 3 5 3" xfId="13979"/>
    <cellStyle name="Comma 5 4 3 5 3 2" xfId="21994"/>
    <cellStyle name="Comma 5 4 3 5 3 2 2" xfId="36019"/>
    <cellStyle name="Comma 5 4 3 5 3 3" xfId="28008"/>
    <cellStyle name="Comma 5 4 3 5 4" xfId="15985"/>
    <cellStyle name="Comma 5 4 3 5 4 2" xfId="30010"/>
    <cellStyle name="Comma 5 4 3 5 5" xfId="17987"/>
    <cellStyle name="Comma 5 4 3 5 5 2" xfId="32012"/>
    <cellStyle name="Comma 5 4 3 5 6" xfId="24001"/>
    <cellStyle name="Comma 5 4 3 6" xfId="11955"/>
    <cellStyle name="Comma 5 4 3 6 2" xfId="19980"/>
    <cellStyle name="Comma 5 4 3 6 2 2" xfId="34005"/>
    <cellStyle name="Comma 5 4 3 6 3" xfId="25994"/>
    <cellStyle name="Comma 5 4 3 7" xfId="13970"/>
    <cellStyle name="Comma 5 4 3 7 2" xfId="21985"/>
    <cellStyle name="Comma 5 4 3 7 2 2" xfId="36010"/>
    <cellStyle name="Comma 5 4 3 7 3" xfId="27999"/>
    <cellStyle name="Comma 5 4 3 8" xfId="15976"/>
    <cellStyle name="Comma 5 4 3 8 2" xfId="30001"/>
    <cellStyle name="Comma 5 4 3 9" xfId="17978"/>
    <cellStyle name="Comma 5 4 3 9 2" xfId="32003"/>
    <cellStyle name="Comma 5 4 4" xfId="1223"/>
    <cellStyle name="Comma 5 4 4 2" xfId="1224"/>
    <cellStyle name="Comma 5 4 4 2 2" xfId="1225"/>
    <cellStyle name="Comma 5 4 4 2 2 2" xfId="11967"/>
    <cellStyle name="Comma 5 4 4 2 2 2 2" xfId="19992"/>
    <cellStyle name="Comma 5 4 4 2 2 2 2 2" xfId="34017"/>
    <cellStyle name="Comma 5 4 4 2 2 2 3" xfId="26006"/>
    <cellStyle name="Comma 5 4 4 2 2 3" xfId="13982"/>
    <cellStyle name="Comma 5 4 4 2 2 3 2" xfId="21997"/>
    <cellStyle name="Comma 5 4 4 2 2 3 2 2" xfId="36022"/>
    <cellStyle name="Comma 5 4 4 2 2 3 3" xfId="28011"/>
    <cellStyle name="Comma 5 4 4 2 2 4" xfId="15988"/>
    <cellStyle name="Comma 5 4 4 2 2 4 2" xfId="30013"/>
    <cellStyle name="Comma 5 4 4 2 2 5" xfId="17990"/>
    <cellStyle name="Comma 5 4 4 2 2 5 2" xfId="32015"/>
    <cellStyle name="Comma 5 4 4 2 2 6" xfId="24004"/>
    <cellStyle name="Comma 5 4 4 2 3" xfId="11966"/>
    <cellStyle name="Comma 5 4 4 2 3 2" xfId="19991"/>
    <cellStyle name="Comma 5 4 4 2 3 2 2" xfId="34016"/>
    <cellStyle name="Comma 5 4 4 2 3 3" xfId="26005"/>
    <cellStyle name="Comma 5 4 4 2 4" xfId="13981"/>
    <cellStyle name="Comma 5 4 4 2 4 2" xfId="21996"/>
    <cellStyle name="Comma 5 4 4 2 4 2 2" xfId="36021"/>
    <cellStyle name="Comma 5 4 4 2 4 3" xfId="28010"/>
    <cellStyle name="Comma 5 4 4 2 5" xfId="15987"/>
    <cellStyle name="Comma 5 4 4 2 5 2" xfId="30012"/>
    <cellStyle name="Comma 5 4 4 2 6" xfId="17989"/>
    <cellStyle name="Comma 5 4 4 2 6 2" xfId="32014"/>
    <cellStyle name="Comma 5 4 4 2 7" xfId="24003"/>
    <cellStyle name="Comma 5 4 4 3" xfId="1226"/>
    <cellStyle name="Comma 5 4 4 3 2" xfId="11968"/>
    <cellStyle name="Comma 5 4 4 3 2 2" xfId="19993"/>
    <cellStyle name="Comma 5 4 4 3 2 2 2" xfId="34018"/>
    <cellStyle name="Comma 5 4 4 3 2 3" xfId="26007"/>
    <cellStyle name="Comma 5 4 4 3 3" xfId="13983"/>
    <cellStyle name="Comma 5 4 4 3 3 2" xfId="21998"/>
    <cellStyle name="Comma 5 4 4 3 3 2 2" xfId="36023"/>
    <cellStyle name="Comma 5 4 4 3 3 3" xfId="28012"/>
    <cellStyle name="Comma 5 4 4 3 4" xfId="15989"/>
    <cellStyle name="Comma 5 4 4 3 4 2" xfId="30014"/>
    <cellStyle name="Comma 5 4 4 3 5" xfId="17991"/>
    <cellStyle name="Comma 5 4 4 3 5 2" xfId="32016"/>
    <cellStyle name="Comma 5 4 4 3 6" xfId="24005"/>
    <cellStyle name="Comma 5 4 4 4" xfId="11965"/>
    <cellStyle name="Comma 5 4 4 4 2" xfId="19990"/>
    <cellStyle name="Comma 5 4 4 4 2 2" xfId="34015"/>
    <cellStyle name="Comma 5 4 4 4 3" xfId="26004"/>
    <cellStyle name="Comma 5 4 4 5" xfId="13980"/>
    <cellStyle name="Comma 5 4 4 5 2" xfId="21995"/>
    <cellStyle name="Comma 5 4 4 5 2 2" xfId="36020"/>
    <cellStyle name="Comma 5 4 4 5 3" xfId="28009"/>
    <cellStyle name="Comma 5 4 4 6" xfId="15986"/>
    <cellStyle name="Comma 5 4 4 6 2" xfId="30011"/>
    <cellStyle name="Comma 5 4 4 7" xfId="17988"/>
    <cellStyle name="Comma 5 4 4 7 2" xfId="32013"/>
    <cellStyle name="Comma 5 4 4 8" xfId="24002"/>
    <cellStyle name="Comma 5 4 5" xfId="1227"/>
    <cellStyle name="Comma 5 4 5 2" xfId="1228"/>
    <cellStyle name="Comma 5 4 5 2 2" xfId="11970"/>
    <cellStyle name="Comma 5 4 5 2 2 2" xfId="19995"/>
    <cellStyle name="Comma 5 4 5 2 2 2 2" xfId="34020"/>
    <cellStyle name="Comma 5 4 5 2 2 3" xfId="26009"/>
    <cellStyle name="Comma 5 4 5 2 3" xfId="13985"/>
    <cellStyle name="Comma 5 4 5 2 3 2" xfId="22000"/>
    <cellStyle name="Comma 5 4 5 2 3 2 2" xfId="36025"/>
    <cellStyle name="Comma 5 4 5 2 3 3" xfId="28014"/>
    <cellStyle name="Comma 5 4 5 2 4" xfId="15991"/>
    <cellStyle name="Comma 5 4 5 2 4 2" xfId="30016"/>
    <cellStyle name="Comma 5 4 5 2 5" xfId="17993"/>
    <cellStyle name="Comma 5 4 5 2 5 2" xfId="32018"/>
    <cellStyle name="Comma 5 4 5 2 6" xfId="24007"/>
    <cellStyle name="Comma 5 4 5 3" xfId="11969"/>
    <cellStyle name="Comma 5 4 5 3 2" xfId="19994"/>
    <cellStyle name="Comma 5 4 5 3 2 2" xfId="34019"/>
    <cellStyle name="Comma 5 4 5 3 3" xfId="26008"/>
    <cellStyle name="Comma 5 4 5 4" xfId="13984"/>
    <cellStyle name="Comma 5 4 5 4 2" xfId="21999"/>
    <cellStyle name="Comma 5 4 5 4 2 2" xfId="36024"/>
    <cellStyle name="Comma 5 4 5 4 3" xfId="28013"/>
    <cellStyle name="Comma 5 4 5 5" xfId="15990"/>
    <cellStyle name="Comma 5 4 5 5 2" xfId="30015"/>
    <cellStyle name="Comma 5 4 5 6" xfId="17992"/>
    <cellStyle name="Comma 5 4 5 6 2" xfId="32017"/>
    <cellStyle name="Comma 5 4 5 7" xfId="24006"/>
    <cellStyle name="Comma 5 4 6" xfId="1229"/>
    <cellStyle name="Comma 5 4 6 2" xfId="1230"/>
    <cellStyle name="Comma 5 4 6 2 2" xfId="11972"/>
    <cellStyle name="Comma 5 4 6 2 2 2" xfId="19997"/>
    <cellStyle name="Comma 5 4 6 2 2 2 2" xfId="34022"/>
    <cellStyle name="Comma 5 4 6 2 2 3" xfId="26011"/>
    <cellStyle name="Comma 5 4 6 2 3" xfId="13987"/>
    <cellStyle name="Comma 5 4 6 2 3 2" xfId="22002"/>
    <cellStyle name="Comma 5 4 6 2 3 2 2" xfId="36027"/>
    <cellStyle name="Comma 5 4 6 2 3 3" xfId="28016"/>
    <cellStyle name="Comma 5 4 6 2 4" xfId="15993"/>
    <cellStyle name="Comma 5 4 6 2 4 2" xfId="30018"/>
    <cellStyle name="Comma 5 4 6 2 5" xfId="17995"/>
    <cellStyle name="Comma 5 4 6 2 5 2" xfId="32020"/>
    <cellStyle name="Comma 5 4 6 2 6" xfId="24009"/>
    <cellStyle name="Comma 5 4 6 3" xfId="11971"/>
    <cellStyle name="Comma 5 4 6 3 2" xfId="19996"/>
    <cellStyle name="Comma 5 4 6 3 2 2" xfId="34021"/>
    <cellStyle name="Comma 5 4 6 3 3" xfId="26010"/>
    <cellStyle name="Comma 5 4 6 4" xfId="13986"/>
    <cellStyle name="Comma 5 4 6 4 2" xfId="22001"/>
    <cellStyle name="Comma 5 4 6 4 2 2" xfId="36026"/>
    <cellStyle name="Comma 5 4 6 4 3" xfId="28015"/>
    <cellStyle name="Comma 5 4 6 5" xfId="15992"/>
    <cellStyle name="Comma 5 4 6 5 2" xfId="30017"/>
    <cellStyle name="Comma 5 4 6 6" xfId="17994"/>
    <cellStyle name="Comma 5 4 6 6 2" xfId="32019"/>
    <cellStyle name="Comma 5 4 6 7" xfId="24008"/>
    <cellStyle name="Comma 5 4 7" xfId="1231"/>
    <cellStyle name="Comma 5 4 7 2" xfId="11973"/>
    <cellStyle name="Comma 5 4 7 2 2" xfId="19998"/>
    <cellStyle name="Comma 5 4 7 2 2 2" xfId="34023"/>
    <cellStyle name="Comma 5 4 7 2 3" xfId="26012"/>
    <cellStyle name="Comma 5 4 7 3" xfId="13988"/>
    <cellStyle name="Comma 5 4 7 3 2" xfId="22003"/>
    <cellStyle name="Comma 5 4 7 3 2 2" xfId="36028"/>
    <cellStyle name="Comma 5 4 7 3 3" xfId="28017"/>
    <cellStyle name="Comma 5 4 7 4" xfId="15994"/>
    <cellStyle name="Comma 5 4 7 4 2" xfId="30019"/>
    <cellStyle name="Comma 5 4 7 5" xfId="17996"/>
    <cellStyle name="Comma 5 4 7 5 2" xfId="32021"/>
    <cellStyle name="Comma 5 4 7 6" xfId="24010"/>
    <cellStyle name="Comma 5 4 8" xfId="11934"/>
    <cellStyle name="Comma 5 4 8 2" xfId="19959"/>
    <cellStyle name="Comma 5 4 8 2 2" xfId="33984"/>
    <cellStyle name="Comma 5 4 8 3" xfId="25973"/>
    <cellStyle name="Comma 5 4 9" xfId="13949"/>
    <cellStyle name="Comma 5 4 9 2" xfId="21964"/>
    <cellStyle name="Comma 5 4 9 2 2" xfId="35989"/>
    <cellStyle name="Comma 5 4 9 3" xfId="27978"/>
    <cellStyle name="Comma 5 5" xfId="1232"/>
    <cellStyle name="Comma 5 5 10" xfId="17997"/>
    <cellStyle name="Comma 5 5 10 2" xfId="32022"/>
    <cellStyle name="Comma 5 5 11" xfId="24011"/>
    <cellStyle name="Comma 5 5 2" xfId="1233"/>
    <cellStyle name="Comma 5 5 2 10" xfId="24012"/>
    <cellStyle name="Comma 5 5 2 2" xfId="1234"/>
    <cellStyle name="Comma 5 5 2 2 2" xfId="1235"/>
    <cellStyle name="Comma 5 5 2 2 2 2" xfId="1236"/>
    <cellStyle name="Comma 5 5 2 2 2 2 2" xfId="11978"/>
    <cellStyle name="Comma 5 5 2 2 2 2 2 2" xfId="20003"/>
    <cellStyle name="Comma 5 5 2 2 2 2 2 2 2" xfId="34028"/>
    <cellStyle name="Comma 5 5 2 2 2 2 2 3" xfId="26017"/>
    <cellStyle name="Comma 5 5 2 2 2 2 3" xfId="13993"/>
    <cellStyle name="Comma 5 5 2 2 2 2 3 2" xfId="22008"/>
    <cellStyle name="Comma 5 5 2 2 2 2 3 2 2" xfId="36033"/>
    <cellStyle name="Comma 5 5 2 2 2 2 3 3" xfId="28022"/>
    <cellStyle name="Comma 5 5 2 2 2 2 4" xfId="15999"/>
    <cellStyle name="Comma 5 5 2 2 2 2 4 2" xfId="30024"/>
    <cellStyle name="Comma 5 5 2 2 2 2 5" xfId="18001"/>
    <cellStyle name="Comma 5 5 2 2 2 2 5 2" xfId="32026"/>
    <cellStyle name="Comma 5 5 2 2 2 2 6" xfId="24015"/>
    <cellStyle name="Comma 5 5 2 2 2 3" xfId="11977"/>
    <cellStyle name="Comma 5 5 2 2 2 3 2" xfId="20002"/>
    <cellStyle name="Comma 5 5 2 2 2 3 2 2" xfId="34027"/>
    <cellStyle name="Comma 5 5 2 2 2 3 3" xfId="26016"/>
    <cellStyle name="Comma 5 5 2 2 2 4" xfId="13992"/>
    <cellStyle name="Comma 5 5 2 2 2 4 2" xfId="22007"/>
    <cellStyle name="Comma 5 5 2 2 2 4 2 2" xfId="36032"/>
    <cellStyle name="Comma 5 5 2 2 2 4 3" xfId="28021"/>
    <cellStyle name="Comma 5 5 2 2 2 5" xfId="15998"/>
    <cellStyle name="Comma 5 5 2 2 2 5 2" xfId="30023"/>
    <cellStyle name="Comma 5 5 2 2 2 6" xfId="18000"/>
    <cellStyle name="Comma 5 5 2 2 2 6 2" xfId="32025"/>
    <cellStyle name="Comma 5 5 2 2 2 7" xfId="24014"/>
    <cellStyle name="Comma 5 5 2 2 3" xfId="1237"/>
    <cellStyle name="Comma 5 5 2 2 3 2" xfId="11979"/>
    <cellStyle name="Comma 5 5 2 2 3 2 2" xfId="20004"/>
    <cellStyle name="Comma 5 5 2 2 3 2 2 2" xfId="34029"/>
    <cellStyle name="Comma 5 5 2 2 3 2 3" xfId="26018"/>
    <cellStyle name="Comma 5 5 2 2 3 3" xfId="13994"/>
    <cellStyle name="Comma 5 5 2 2 3 3 2" xfId="22009"/>
    <cellStyle name="Comma 5 5 2 2 3 3 2 2" xfId="36034"/>
    <cellStyle name="Comma 5 5 2 2 3 3 3" xfId="28023"/>
    <cellStyle name="Comma 5 5 2 2 3 4" xfId="16000"/>
    <cellStyle name="Comma 5 5 2 2 3 4 2" xfId="30025"/>
    <cellStyle name="Comma 5 5 2 2 3 5" xfId="18002"/>
    <cellStyle name="Comma 5 5 2 2 3 5 2" xfId="32027"/>
    <cellStyle name="Comma 5 5 2 2 3 6" xfId="24016"/>
    <cellStyle name="Comma 5 5 2 2 4" xfId="11976"/>
    <cellStyle name="Comma 5 5 2 2 4 2" xfId="20001"/>
    <cellStyle name="Comma 5 5 2 2 4 2 2" xfId="34026"/>
    <cellStyle name="Comma 5 5 2 2 4 3" xfId="26015"/>
    <cellStyle name="Comma 5 5 2 2 5" xfId="13991"/>
    <cellStyle name="Comma 5 5 2 2 5 2" xfId="22006"/>
    <cellStyle name="Comma 5 5 2 2 5 2 2" xfId="36031"/>
    <cellStyle name="Comma 5 5 2 2 5 3" xfId="28020"/>
    <cellStyle name="Comma 5 5 2 2 6" xfId="15997"/>
    <cellStyle name="Comma 5 5 2 2 6 2" xfId="30022"/>
    <cellStyle name="Comma 5 5 2 2 7" xfId="17999"/>
    <cellStyle name="Comma 5 5 2 2 7 2" xfId="32024"/>
    <cellStyle name="Comma 5 5 2 2 8" xfId="24013"/>
    <cellStyle name="Comma 5 5 2 3" xfId="1238"/>
    <cellStyle name="Comma 5 5 2 3 2" xfId="1239"/>
    <cellStyle name="Comma 5 5 2 3 2 2" xfId="11981"/>
    <cellStyle name="Comma 5 5 2 3 2 2 2" xfId="20006"/>
    <cellStyle name="Comma 5 5 2 3 2 2 2 2" xfId="34031"/>
    <cellStyle name="Comma 5 5 2 3 2 2 3" xfId="26020"/>
    <cellStyle name="Comma 5 5 2 3 2 3" xfId="13996"/>
    <cellStyle name="Comma 5 5 2 3 2 3 2" xfId="22011"/>
    <cellStyle name="Comma 5 5 2 3 2 3 2 2" xfId="36036"/>
    <cellStyle name="Comma 5 5 2 3 2 3 3" xfId="28025"/>
    <cellStyle name="Comma 5 5 2 3 2 4" xfId="16002"/>
    <cellStyle name="Comma 5 5 2 3 2 4 2" xfId="30027"/>
    <cellStyle name="Comma 5 5 2 3 2 5" xfId="18004"/>
    <cellStyle name="Comma 5 5 2 3 2 5 2" xfId="32029"/>
    <cellStyle name="Comma 5 5 2 3 2 6" xfId="24018"/>
    <cellStyle name="Comma 5 5 2 3 3" xfId="11980"/>
    <cellStyle name="Comma 5 5 2 3 3 2" xfId="20005"/>
    <cellStyle name="Comma 5 5 2 3 3 2 2" xfId="34030"/>
    <cellStyle name="Comma 5 5 2 3 3 3" xfId="26019"/>
    <cellStyle name="Comma 5 5 2 3 4" xfId="13995"/>
    <cellStyle name="Comma 5 5 2 3 4 2" xfId="22010"/>
    <cellStyle name="Comma 5 5 2 3 4 2 2" xfId="36035"/>
    <cellStyle name="Comma 5 5 2 3 4 3" xfId="28024"/>
    <cellStyle name="Comma 5 5 2 3 5" xfId="16001"/>
    <cellStyle name="Comma 5 5 2 3 5 2" xfId="30026"/>
    <cellStyle name="Comma 5 5 2 3 6" xfId="18003"/>
    <cellStyle name="Comma 5 5 2 3 6 2" xfId="32028"/>
    <cellStyle name="Comma 5 5 2 3 7" xfId="24017"/>
    <cellStyle name="Comma 5 5 2 4" xfId="1240"/>
    <cellStyle name="Comma 5 5 2 4 2" xfId="1241"/>
    <cellStyle name="Comma 5 5 2 4 2 2" xfId="11983"/>
    <cellStyle name="Comma 5 5 2 4 2 2 2" xfId="20008"/>
    <cellStyle name="Comma 5 5 2 4 2 2 2 2" xfId="34033"/>
    <cellStyle name="Comma 5 5 2 4 2 2 3" xfId="26022"/>
    <cellStyle name="Comma 5 5 2 4 2 3" xfId="13998"/>
    <cellStyle name="Comma 5 5 2 4 2 3 2" xfId="22013"/>
    <cellStyle name="Comma 5 5 2 4 2 3 2 2" xfId="36038"/>
    <cellStyle name="Comma 5 5 2 4 2 3 3" xfId="28027"/>
    <cellStyle name="Comma 5 5 2 4 2 4" xfId="16004"/>
    <cellStyle name="Comma 5 5 2 4 2 4 2" xfId="30029"/>
    <cellStyle name="Comma 5 5 2 4 2 5" xfId="18006"/>
    <cellStyle name="Comma 5 5 2 4 2 5 2" xfId="32031"/>
    <cellStyle name="Comma 5 5 2 4 2 6" xfId="24020"/>
    <cellStyle name="Comma 5 5 2 4 3" xfId="11982"/>
    <cellStyle name="Comma 5 5 2 4 3 2" xfId="20007"/>
    <cellStyle name="Comma 5 5 2 4 3 2 2" xfId="34032"/>
    <cellStyle name="Comma 5 5 2 4 3 3" xfId="26021"/>
    <cellStyle name="Comma 5 5 2 4 4" xfId="13997"/>
    <cellStyle name="Comma 5 5 2 4 4 2" xfId="22012"/>
    <cellStyle name="Comma 5 5 2 4 4 2 2" xfId="36037"/>
    <cellStyle name="Comma 5 5 2 4 4 3" xfId="28026"/>
    <cellStyle name="Comma 5 5 2 4 5" xfId="16003"/>
    <cellStyle name="Comma 5 5 2 4 5 2" xfId="30028"/>
    <cellStyle name="Comma 5 5 2 4 6" xfId="18005"/>
    <cellStyle name="Comma 5 5 2 4 6 2" xfId="32030"/>
    <cellStyle name="Comma 5 5 2 4 7" xfId="24019"/>
    <cellStyle name="Comma 5 5 2 5" xfId="1242"/>
    <cellStyle name="Comma 5 5 2 5 2" xfId="11984"/>
    <cellStyle name="Comma 5 5 2 5 2 2" xfId="20009"/>
    <cellStyle name="Comma 5 5 2 5 2 2 2" xfId="34034"/>
    <cellStyle name="Comma 5 5 2 5 2 3" xfId="26023"/>
    <cellStyle name="Comma 5 5 2 5 3" xfId="13999"/>
    <cellStyle name="Comma 5 5 2 5 3 2" xfId="22014"/>
    <cellStyle name="Comma 5 5 2 5 3 2 2" xfId="36039"/>
    <cellStyle name="Comma 5 5 2 5 3 3" xfId="28028"/>
    <cellStyle name="Comma 5 5 2 5 4" xfId="16005"/>
    <cellStyle name="Comma 5 5 2 5 4 2" xfId="30030"/>
    <cellStyle name="Comma 5 5 2 5 5" xfId="18007"/>
    <cellStyle name="Comma 5 5 2 5 5 2" xfId="32032"/>
    <cellStyle name="Comma 5 5 2 5 6" xfId="24021"/>
    <cellStyle name="Comma 5 5 2 6" xfId="11975"/>
    <cellStyle name="Comma 5 5 2 6 2" xfId="20000"/>
    <cellStyle name="Comma 5 5 2 6 2 2" xfId="34025"/>
    <cellStyle name="Comma 5 5 2 6 3" xfId="26014"/>
    <cellStyle name="Comma 5 5 2 7" xfId="13990"/>
    <cellStyle name="Comma 5 5 2 7 2" xfId="22005"/>
    <cellStyle name="Comma 5 5 2 7 2 2" xfId="36030"/>
    <cellStyle name="Comma 5 5 2 7 3" xfId="28019"/>
    <cellStyle name="Comma 5 5 2 8" xfId="15996"/>
    <cellStyle name="Comma 5 5 2 8 2" xfId="30021"/>
    <cellStyle name="Comma 5 5 2 9" xfId="17998"/>
    <cellStyle name="Comma 5 5 2 9 2" xfId="32023"/>
    <cellStyle name="Comma 5 5 3" xfId="1243"/>
    <cellStyle name="Comma 5 5 3 2" xfId="1244"/>
    <cellStyle name="Comma 5 5 3 2 2" xfId="1245"/>
    <cellStyle name="Comma 5 5 3 2 2 2" xfId="11987"/>
    <cellStyle name="Comma 5 5 3 2 2 2 2" xfId="20012"/>
    <cellStyle name="Comma 5 5 3 2 2 2 2 2" xfId="34037"/>
    <cellStyle name="Comma 5 5 3 2 2 2 3" xfId="26026"/>
    <cellStyle name="Comma 5 5 3 2 2 3" xfId="14002"/>
    <cellStyle name="Comma 5 5 3 2 2 3 2" xfId="22017"/>
    <cellStyle name="Comma 5 5 3 2 2 3 2 2" xfId="36042"/>
    <cellStyle name="Comma 5 5 3 2 2 3 3" xfId="28031"/>
    <cellStyle name="Comma 5 5 3 2 2 4" xfId="16008"/>
    <cellStyle name="Comma 5 5 3 2 2 4 2" xfId="30033"/>
    <cellStyle name="Comma 5 5 3 2 2 5" xfId="18010"/>
    <cellStyle name="Comma 5 5 3 2 2 5 2" xfId="32035"/>
    <cellStyle name="Comma 5 5 3 2 2 6" xfId="24024"/>
    <cellStyle name="Comma 5 5 3 2 3" xfId="11986"/>
    <cellStyle name="Comma 5 5 3 2 3 2" xfId="20011"/>
    <cellStyle name="Comma 5 5 3 2 3 2 2" xfId="34036"/>
    <cellStyle name="Comma 5 5 3 2 3 3" xfId="26025"/>
    <cellStyle name="Comma 5 5 3 2 4" xfId="14001"/>
    <cellStyle name="Comma 5 5 3 2 4 2" xfId="22016"/>
    <cellStyle name="Comma 5 5 3 2 4 2 2" xfId="36041"/>
    <cellStyle name="Comma 5 5 3 2 4 3" xfId="28030"/>
    <cellStyle name="Comma 5 5 3 2 5" xfId="16007"/>
    <cellStyle name="Comma 5 5 3 2 5 2" xfId="30032"/>
    <cellStyle name="Comma 5 5 3 2 6" xfId="18009"/>
    <cellStyle name="Comma 5 5 3 2 6 2" xfId="32034"/>
    <cellStyle name="Comma 5 5 3 2 7" xfId="24023"/>
    <cellStyle name="Comma 5 5 3 3" xfId="1246"/>
    <cellStyle name="Comma 5 5 3 3 2" xfId="11988"/>
    <cellStyle name="Comma 5 5 3 3 2 2" xfId="20013"/>
    <cellStyle name="Comma 5 5 3 3 2 2 2" xfId="34038"/>
    <cellStyle name="Comma 5 5 3 3 2 3" xfId="26027"/>
    <cellStyle name="Comma 5 5 3 3 3" xfId="14003"/>
    <cellStyle name="Comma 5 5 3 3 3 2" xfId="22018"/>
    <cellStyle name="Comma 5 5 3 3 3 2 2" xfId="36043"/>
    <cellStyle name="Comma 5 5 3 3 3 3" xfId="28032"/>
    <cellStyle name="Comma 5 5 3 3 4" xfId="16009"/>
    <cellStyle name="Comma 5 5 3 3 4 2" xfId="30034"/>
    <cellStyle name="Comma 5 5 3 3 5" xfId="18011"/>
    <cellStyle name="Comma 5 5 3 3 5 2" xfId="32036"/>
    <cellStyle name="Comma 5 5 3 3 6" xfId="24025"/>
    <cellStyle name="Comma 5 5 3 4" xfId="11985"/>
    <cellStyle name="Comma 5 5 3 4 2" xfId="20010"/>
    <cellStyle name="Comma 5 5 3 4 2 2" xfId="34035"/>
    <cellStyle name="Comma 5 5 3 4 3" xfId="26024"/>
    <cellStyle name="Comma 5 5 3 5" xfId="14000"/>
    <cellStyle name="Comma 5 5 3 5 2" xfId="22015"/>
    <cellStyle name="Comma 5 5 3 5 2 2" xfId="36040"/>
    <cellStyle name="Comma 5 5 3 5 3" xfId="28029"/>
    <cellStyle name="Comma 5 5 3 6" xfId="16006"/>
    <cellStyle name="Comma 5 5 3 6 2" xfId="30031"/>
    <cellStyle name="Comma 5 5 3 7" xfId="18008"/>
    <cellStyle name="Comma 5 5 3 7 2" xfId="32033"/>
    <cellStyle name="Comma 5 5 3 8" xfId="24022"/>
    <cellStyle name="Comma 5 5 4" xfId="1247"/>
    <cellStyle name="Comma 5 5 4 2" xfId="1248"/>
    <cellStyle name="Comma 5 5 4 2 2" xfId="11990"/>
    <cellStyle name="Comma 5 5 4 2 2 2" xfId="20015"/>
    <cellStyle name="Comma 5 5 4 2 2 2 2" xfId="34040"/>
    <cellStyle name="Comma 5 5 4 2 2 3" xfId="26029"/>
    <cellStyle name="Comma 5 5 4 2 3" xfId="14005"/>
    <cellStyle name="Comma 5 5 4 2 3 2" xfId="22020"/>
    <cellStyle name="Comma 5 5 4 2 3 2 2" xfId="36045"/>
    <cellStyle name="Comma 5 5 4 2 3 3" xfId="28034"/>
    <cellStyle name="Comma 5 5 4 2 4" xfId="16011"/>
    <cellStyle name="Comma 5 5 4 2 4 2" xfId="30036"/>
    <cellStyle name="Comma 5 5 4 2 5" xfId="18013"/>
    <cellStyle name="Comma 5 5 4 2 5 2" xfId="32038"/>
    <cellStyle name="Comma 5 5 4 2 6" xfId="24027"/>
    <cellStyle name="Comma 5 5 4 3" xfId="11989"/>
    <cellStyle name="Comma 5 5 4 3 2" xfId="20014"/>
    <cellStyle name="Comma 5 5 4 3 2 2" xfId="34039"/>
    <cellStyle name="Comma 5 5 4 3 3" xfId="26028"/>
    <cellStyle name="Comma 5 5 4 4" xfId="14004"/>
    <cellStyle name="Comma 5 5 4 4 2" xfId="22019"/>
    <cellStyle name="Comma 5 5 4 4 2 2" xfId="36044"/>
    <cellStyle name="Comma 5 5 4 4 3" xfId="28033"/>
    <cellStyle name="Comma 5 5 4 5" xfId="16010"/>
    <cellStyle name="Comma 5 5 4 5 2" xfId="30035"/>
    <cellStyle name="Comma 5 5 4 6" xfId="18012"/>
    <cellStyle name="Comma 5 5 4 6 2" xfId="32037"/>
    <cellStyle name="Comma 5 5 4 7" xfId="24026"/>
    <cellStyle name="Comma 5 5 5" xfId="1249"/>
    <cellStyle name="Comma 5 5 5 2" xfId="1250"/>
    <cellStyle name="Comma 5 5 5 2 2" xfId="11992"/>
    <cellStyle name="Comma 5 5 5 2 2 2" xfId="20017"/>
    <cellStyle name="Comma 5 5 5 2 2 2 2" xfId="34042"/>
    <cellStyle name="Comma 5 5 5 2 2 3" xfId="26031"/>
    <cellStyle name="Comma 5 5 5 2 3" xfId="14007"/>
    <cellStyle name="Comma 5 5 5 2 3 2" xfId="22022"/>
    <cellStyle name="Comma 5 5 5 2 3 2 2" xfId="36047"/>
    <cellStyle name="Comma 5 5 5 2 3 3" xfId="28036"/>
    <cellStyle name="Comma 5 5 5 2 4" xfId="16013"/>
    <cellStyle name="Comma 5 5 5 2 4 2" xfId="30038"/>
    <cellStyle name="Comma 5 5 5 2 5" xfId="18015"/>
    <cellStyle name="Comma 5 5 5 2 5 2" xfId="32040"/>
    <cellStyle name="Comma 5 5 5 2 6" xfId="24029"/>
    <cellStyle name="Comma 5 5 5 3" xfId="11991"/>
    <cellStyle name="Comma 5 5 5 3 2" xfId="20016"/>
    <cellStyle name="Comma 5 5 5 3 2 2" xfId="34041"/>
    <cellStyle name="Comma 5 5 5 3 3" xfId="26030"/>
    <cellStyle name="Comma 5 5 5 4" xfId="14006"/>
    <cellStyle name="Comma 5 5 5 4 2" xfId="22021"/>
    <cellStyle name="Comma 5 5 5 4 2 2" xfId="36046"/>
    <cellStyle name="Comma 5 5 5 4 3" xfId="28035"/>
    <cellStyle name="Comma 5 5 5 5" xfId="16012"/>
    <cellStyle name="Comma 5 5 5 5 2" xfId="30037"/>
    <cellStyle name="Comma 5 5 5 6" xfId="18014"/>
    <cellStyle name="Comma 5 5 5 6 2" xfId="32039"/>
    <cellStyle name="Comma 5 5 5 7" xfId="24028"/>
    <cellStyle name="Comma 5 5 6" xfId="1251"/>
    <cellStyle name="Comma 5 5 6 2" xfId="11993"/>
    <cellStyle name="Comma 5 5 6 2 2" xfId="20018"/>
    <cellStyle name="Comma 5 5 6 2 2 2" xfId="34043"/>
    <cellStyle name="Comma 5 5 6 2 3" xfId="26032"/>
    <cellStyle name="Comma 5 5 6 3" xfId="14008"/>
    <cellStyle name="Comma 5 5 6 3 2" xfId="22023"/>
    <cellStyle name="Comma 5 5 6 3 2 2" xfId="36048"/>
    <cellStyle name="Comma 5 5 6 3 3" xfId="28037"/>
    <cellStyle name="Comma 5 5 6 4" xfId="16014"/>
    <cellStyle name="Comma 5 5 6 4 2" xfId="30039"/>
    <cellStyle name="Comma 5 5 6 5" xfId="18016"/>
    <cellStyle name="Comma 5 5 6 5 2" xfId="32041"/>
    <cellStyle name="Comma 5 5 6 6" xfId="24030"/>
    <cellStyle name="Comma 5 5 7" xfId="11974"/>
    <cellStyle name="Comma 5 5 7 2" xfId="19999"/>
    <cellStyle name="Comma 5 5 7 2 2" xfId="34024"/>
    <cellStyle name="Comma 5 5 7 3" xfId="26013"/>
    <cellStyle name="Comma 5 5 8" xfId="13989"/>
    <cellStyle name="Comma 5 5 8 2" xfId="22004"/>
    <cellStyle name="Comma 5 5 8 2 2" xfId="36029"/>
    <cellStyle name="Comma 5 5 8 3" xfId="28018"/>
    <cellStyle name="Comma 5 5 9" xfId="15995"/>
    <cellStyle name="Comma 5 5 9 2" xfId="30020"/>
    <cellStyle name="Comma 5 6" xfId="1252"/>
    <cellStyle name="Comma 5 6 10" xfId="24031"/>
    <cellStyle name="Comma 5 6 2" xfId="1253"/>
    <cellStyle name="Comma 5 6 2 2" xfId="1254"/>
    <cellStyle name="Comma 5 6 2 2 2" xfId="1255"/>
    <cellStyle name="Comma 5 6 2 2 2 2" xfId="11997"/>
    <cellStyle name="Comma 5 6 2 2 2 2 2" xfId="20022"/>
    <cellStyle name="Comma 5 6 2 2 2 2 2 2" xfId="34047"/>
    <cellStyle name="Comma 5 6 2 2 2 2 3" xfId="26036"/>
    <cellStyle name="Comma 5 6 2 2 2 3" xfId="14012"/>
    <cellStyle name="Comma 5 6 2 2 2 3 2" xfId="22027"/>
    <cellStyle name="Comma 5 6 2 2 2 3 2 2" xfId="36052"/>
    <cellStyle name="Comma 5 6 2 2 2 3 3" xfId="28041"/>
    <cellStyle name="Comma 5 6 2 2 2 4" xfId="16018"/>
    <cellStyle name="Comma 5 6 2 2 2 4 2" xfId="30043"/>
    <cellStyle name="Comma 5 6 2 2 2 5" xfId="18020"/>
    <cellStyle name="Comma 5 6 2 2 2 5 2" xfId="32045"/>
    <cellStyle name="Comma 5 6 2 2 2 6" xfId="24034"/>
    <cellStyle name="Comma 5 6 2 2 3" xfId="11996"/>
    <cellStyle name="Comma 5 6 2 2 3 2" xfId="20021"/>
    <cellStyle name="Comma 5 6 2 2 3 2 2" xfId="34046"/>
    <cellStyle name="Comma 5 6 2 2 3 3" xfId="26035"/>
    <cellStyle name="Comma 5 6 2 2 4" xfId="14011"/>
    <cellStyle name="Comma 5 6 2 2 4 2" xfId="22026"/>
    <cellStyle name="Comma 5 6 2 2 4 2 2" xfId="36051"/>
    <cellStyle name="Comma 5 6 2 2 4 3" xfId="28040"/>
    <cellStyle name="Comma 5 6 2 2 5" xfId="16017"/>
    <cellStyle name="Comma 5 6 2 2 5 2" xfId="30042"/>
    <cellStyle name="Comma 5 6 2 2 6" xfId="18019"/>
    <cellStyle name="Comma 5 6 2 2 6 2" xfId="32044"/>
    <cellStyle name="Comma 5 6 2 2 7" xfId="24033"/>
    <cellStyle name="Comma 5 6 2 3" xfId="1256"/>
    <cellStyle name="Comma 5 6 2 3 2" xfId="11998"/>
    <cellStyle name="Comma 5 6 2 3 2 2" xfId="20023"/>
    <cellStyle name="Comma 5 6 2 3 2 2 2" xfId="34048"/>
    <cellStyle name="Comma 5 6 2 3 2 3" xfId="26037"/>
    <cellStyle name="Comma 5 6 2 3 3" xfId="14013"/>
    <cellStyle name="Comma 5 6 2 3 3 2" xfId="22028"/>
    <cellStyle name="Comma 5 6 2 3 3 2 2" xfId="36053"/>
    <cellStyle name="Comma 5 6 2 3 3 3" xfId="28042"/>
    <cellStyle name="Comma 5 6 2 3 4" xfId="16019"/>
    <cellStyle name="Comma 5 6 2 3 4 2" xfId="30044"/>
    <cellStyle name="Comma 5 6 2 3 5" xfId="18021"/>
    <cellStyle name="Comma 5 6 2 3 5 2" xfId="32046"/>
    <cellStyle name="Comma 5 6 2 3 6" xfId="24035"/>
    <cellStyle name="Comma 5 6 2 4" xfId="11995"/>
    <cellStyle name="Comma 5 6 2 4 2" xfId="20020"/>
    <cellStyle name="Comma 5 6 2 4 2 2" xfId="34045"/>
    <cellStyle name="Comma 5 6 2 4 3" xfId="26034"/>
    <cellStyle name="Comma 5 6 2 5" xfId="14010"/>
    <cellStyle name="Comma 5 6 2 5 2" xfId="22025"/>
    <cellStyle name="Comma 5 6 2 5 2 2" xfId="36050"/>
    <cellStyle name="Comma 5 6 2 5 3" xfId="28039"/>
    <cellStyle name="Comma 5 6 2 6" xfId="16016"/>
    <cellStyle name="Comma 5 6 2 6 2" xfId="30041"/>
    <cellStyle name="Comma 5 6 2 7" xfId="18018"/>
    <cellStyle name="Comma 5 6 2 7 2" xfId="32043"/>
    <cellStyle name="Comma 5 6 2 8" xfId="24032"/>
    <cellStyle name="Comma 5 6 3" xfId="1257"/>
    <cellStyle name="Comma 5 6 3 2" xfId="1258"/>
    <cellStyle name="Comma 5 6 3 2 2" xfId="12000"/>
    <cellStyle name="Comma 5 6 3 2 2 2" xfId="20025"/>
    <cellStyle name="Comma 5 6 3 2 2 2 2" xfId="34050"/>
    <cellStyle name="Comma 5 6 3 2 2 3" xfId="26039"/>
    <cellStyle name="Comma 5 6 3 2 3" xfId="14015"/>
    <cellStyle name="Comma 5 6 3 2 3 2" xfId="22030"/>
    <cellStyle name="Comma 5 6 3 2 3 2 2" xfId="36055"/>
    <cellStyle name="Comma 5 6 3 2 3 3" xfId="28044"/>
    <cellStyle name="Comma 5 6 3 2 4" xfId="16021"/>
    <cellStyle name="Comma 5 6 3 2 4 2" xfId="30046"/>
    <cellStyle name="Comma 5 6 3 2 5" xfId="18023"/>
    <cellStyle name="Comma 5 6 3 2 5 2" xfId="32048"/>
    <cellStyle name="Comma 5 6 3 2 6" xfId="24037"/>
    <cellStyle name="Comma 5 6 3 3" xfId="11999"/>
    <cellStyle name="Comma 5 6 3 3 2" xfId="20024"/>
    <cellStyle name="Comma 5 6 3 3 2 2" xfId="34049"/>
    <cellStyle name="Comma 5 6 3 3 3" xfId="26038"/>
    <cellStyle name="Comma 5 6 3 4" xfId="14014"/>
    <cellStyle name="Comma 5 6 3 4 2" xfId="22029"/>
    <cellStyle name="Comma 5 6 3 4 2 2" xfId="36054"/>
    <cellStyle name="Comma 5 6 3 4 3" xfId="28043"/>
    <cellStyle name="Comma 5 6 3 5" xfId="16020"/>
    <cellStyle name="Comma 5 6 3 5 2" xfId="30045"/>
    <cellStyle name="Comma 5 6 3 6" xfId="18022"/>
    <cellStyle name="Comma 5 6 3 6 2" xfId="32047"/>
    <cellStyle name="Comma 5 6 3 7" xfId="24036"/>
    <cellStyle name="Comma 5 6 4" xfId="1259"/>
    <cellStyle name="Comma 5 6 4 2" xfId="1260"/>
    <cellStyle name="Comma 5 6 4 2 2" xfId="12002"/>
    <cellStyle name="Comma 5 6 4 2 2 2" xfId="20027"/>
    <cellStyle name="Comma 5 6 4 2 2 2 2" xfId="34052"/>
    <cellStyle name="Comma 5 6 4 2 2 3" xfId="26041"/>
    <cellStyle name="Comma 5 6 4 2 3" xfId="14017"/>
    <cellStyle name="Comma 5 6 4 2 3 2" xfId="22032"/>
    <cellStyle name="Comma 5 6 4 2 3 2 2" xfId="36057"/>
    <cellStyle name="Comma 5 6 4 2 3 3" xfId="28046"/>
    <cellStyle name="Comma 5 6 4 2 4" xfId="16023"/>
    <cellStyle name="Comma 5 6 4 2 4 2" xfId="30048"/>
    <cellStyle name="Comma 5 6 4 2 5" xfId="18025"/>
    <cellStyle name="Comma 5 6 4 2 5 2" xfId="32050"/>
    <cellStyle name="Comma 5 6 4 2 6" xfId="24039"/>
    <cellStyle name="Comma 5 6 4 3" xfId="12001"/>
    <cellStyle name="Comma 5 6 4 3 2" xfId="20026"/>
    <cellStyle name="Comma 5 6 4 3 2 2" xfId="34051"/>
    <cellStyle name="Comma 5 6 4 3 3" xfId="26040"/>
    <cellStyle name="Comma 5 6 4 4" xfId="14016"/>
    <cellStyle name="Comma 5 6 4 4 2" xfId="22031"/>
    <cellStyle name="Comma 5 6 4 4 2 2" xfId="36056"/>
    <cellStyle name="Comma 5 6 4 4 3" xfId="28045"/>
    <cellStyle name="Comma 5 6 4 5" xfId="16022"/>
    <cellStyle name="Comma 5 6 4 5 2" xfId="30047"/>
    <cellStyle name="Comma 5 6 4 6" xfId="18024"/>
    <cellStyle name="Comma 5 6 4 6 2" xfId="32049"/>
    <cellStyle name="Comma 5 6 4 7" xfId="24038"/>
    <cellStyle name="Comma 5 6 5" xfId="1261"/>
    <cellStyle name="Comma 5 6 5 2" xfId="12003"/>
    <cellStyle name="Comma 5 6 5 2 2" xfId="20028"/>
    <cellStyle name="Comma 5 6 5 2 2 2" xfId="34053"/>
    <cellStyle name="Comma 5 6 5 2 3" xfId="26042"/>
    <cellStyle name="Comma 5 6 5 3" xfId="14018"/>
    <cellStyle name="Comma 5 6 5 3 2" xfId="22033"/>
    <cellStyle name="Comma 5 6 5 3 2 2" xfId="36058"/>
    <cellStyle name="Comma 5 6 5 3 3" xfId="28047"/>
    <cellStyle name="Comma 5 6 5 4" xfId="16024"/>
    <cellStyle name="Comma 5 6 5 4 2" xfId="30049"/>
    <cellStyle name="Comma 5 6 5 5" xfId="18026"/>
    <cellStyle name="Comma 5 6 5 5 2" xfId="32051"/>
    <cellStyle name="Comma 5 6 5 6" xfId="24040"/>
    <cellStyle name="Comma 5 6 6" xfId="11994"/>
    <cellStyle name="Comma 5 6 6 2" xfId="20019"/>
    <cellStyle name="Comma 5 6 6 2 2" xfId="34044"/>
    <cellStyle name="Comma 5 6 6 3" xfId="26033"/>
    <cellStyle name="Comma 5 6 7" xfId="14009"/>
    <cellStyle name="Comma 5 6 7 2" xfId="22024"/>
    <cellStyle name="Comma 5 6 7 2 2" xfId="36049"/>
    <cellStyle name="Comma 5 6 7 3" xfId="28038"/>
    <cellStyle name="Comma 5 6 8" xfId="16015"/>
    <cellStyle name="Comma 5 6 8 2" xfId="30040"/>
    <cellStyle name="Comma 5 6 9" xfId="18017"/>
    <cellStyle name="Comma 5 6 9 2" xfId="32042"/>
    <cellStyle name="Comma 5 7" xfId="1262"/>
    <cellStyle name="Comma 5 7 2" xfId="1263"/>
    <cellStyle name="Comma 5 7 2 2" xfId="1264"/>
    <cellStyle name="Comma 5 7 2 2 2" xfId="12006"/>
    <cellStyle name="Comma 5 7 2 2 2 2" xfId="20031"/>
    <cellStyle name="Comma 5 7 2 2 2 2 2" xfId="34056"/>
    <cellStyle name="Comma 5 7 2 2 2 3" xfId="26045"/>
    <cellStyle name="Comma 5 7 2 2 3" xfId="14021"/>
    <cellStyle name="Comma 5 7 2 2 3 2" xfId="22036"/>
    <cellStyle name="Comma 5 7 2 2 3 2 2" xfId="36061"/>
    <cellStyle name="Comma 5 7 2 2 3 3" xfId="28050"/>
    <cellStyle name="Comma 5 7 2 2 4" xfId="16027"/>
    <cellStyle name="Comma 5 7 2 2 4 2" xfId="30052"/>
    <cellStyle name="Comma 5 7 2 2 5" xfId="18029"/>
    <cellStyle name="Comma 5 7 2 2 5 2" xfId="32054"/>
    <cellStyle name="Comma 5 7 2 2 6" xfId="24043"/>
    <cellStyle name="Comma 5 7 2 3" xfId="12005"/>
    <cellStyle name="Comma 5 7 2 3 2" xfId="20030"/>
    <cellStyle name="Comma 5 7 2 3 2 2" xfId="34055"/>
    <cellStyle name="Comma 5 7 2 3 3" xfId="26044"/>
    <cellStyle name="Comma 5 7 2 4" xfId="14020"/>
    <cellStyle name="Comma 5 7 2 4 2" xfId="22035"/>
    <cellStyle name="Comma 5 7 2 4 2 2" xfId="36060"/>
    <cellStyle name="Comma 5 7 2 4 3" xfId="28049"/>
    <cellStyle name="Comma 5 7 2 5" xfId="16026"/>
    <cellStyle name="Comma 5 7 2 5 2" xfId="30051"/>
    <cellStyle name="Comma 5 7 2 6" xfId="18028"/>
    <cellStyle name="Comma 5 7 2 6 2" xfId="32053"/>
    <cellStyle name="Comma 5 7 2 7" xfId="24042"/>
    <cellStyle name="Comma 5 7 3" xfId="1265"/>
    <cellStyle name="Comma 5 7 3 2" xfId="12007"/>
    <cellStyle name="Comma 5 7 3 2 2" xfId="20032"/>
    <cellStyle name="Comma 5 7 3 2 2 2" xfId="34057"/>
    <cellStyle name="Comma 5 7 3 2 3" xfId="26046"/>
    <cellStyle name="Comma 5 7 3 3" xfId="14022"/>
    <cellStyle name="Comma 5 7 3 3 2" xfId="22037"/>
    <cellStyle name="Comma 5 7 3 3 2 2" xfId="36062"/>
    <cellStyle name="Comma 5 7 3 3 3" xfId="28051"/>
    <cellStyle name="Comma 5 7 3 4" xfId="16028"/>
    <cellStyle name="Comma 5 7 3 4 2" xfId="30053"/>
    <cellStyle name="Comma 5 7 3 5" xfId="18030"/>
    <cellStyle name="Comma 5 7 3 5 2" xfId="32055"/>
    <cellStyle name="Comma 5 7 3 6" xfId="24044"/>
    <cellStyle name="Comma 5 7 4" xfId="12004"/>
    <cellStyle name="Comma 5 7 4 2" xfId="20029"/>
    <cellStyle name="Comma 5 7 4 2 2" xfId="34054"/>
    <cellStyle name="Comma 5 7 4 3" xfId="26043"/>
    <cellStyle name="Comma 5 7 5" xfId="14019"/>
    <cellStyle name="Comma 5 7 5 2" xfId="22034"/>
    <cellStyle name="Comma 5 7 5 2 2" xfId="36059"/>
    <cellStyle name="Comma 5 7 5 3" xfId="28048"/>
    <cellStyle name="Comma 5 7 6" xfId="16025"/>
    <cellStyle name="Comma 5 7 6 2" xfId="30050"/>
    <cellStyle name="Comma 5 7 7" xfId="18027"/>
    <cellStyle name="Comma 5 7 7 2" xfId="32052"/>
    <cellStyle name="Comma 5 7 8" xfId="24041"/>
    <cellStyle name="Comma 5 8" xfId="1266"/>
    <cellStyle name="Comma 5 8 2" xfId="1267"/>
    <cellStyle name="Comma 5 8 2 2" xfId="12009"/>
    <cellStyle name="Comma 5 8 2 2 2" xfId="20034"/>
    <cellStyle name="Comma 5 8 2 2 2 2" xfId="34059"/>
    <cellStyle name="Comma 5 8 2 2 3" xfId="26048"/>
    <cellStyle name="Comma 5 8 2 3" xfId="14024"/>
    <cellStyle name="Comma 5 8 2 3 2" xfId="22039"/>
    <cellStyle name="Comma 5 8 2 3 2 2" xfId="36064"/>
    <cellStyle name="Comma 5 8 2 3 3" xfId="28053"/>
    <cellStyle name="Comma 5 8 2 4" xfId="16030"/>
    <cellStyle name="Comma 5 8 2 4 2" xfId="30055"/>
    <cellStyle name="Comma 5 8 2 5" xfId="18032"/>
    <cellStyle name="Comma 5 8 2 5 2" xfId="32057"/>
    <cellStyle name="Comma 5 8 2 6" xfId="24046"/>
    <cellStyle name="Comma 5 8 3" xfId="12008"/>
    <cellStyle name="Comma 5 8 3 2" xfId="20033"/>
    <cellStyle name="Comma 5 8 3 2 2" xfId="34058"/>
    <cellStyle name="Comma 5 8 3 3" xfId="26047"/>
    <cellStyle name="Comma 5 8 4" xfId="14023"/>
    <cellStyle name="Comma 5 8 4 2" xfId="22038"/>
    <cellStyle name="Comma 5 8 4 2 2" xfId="36063"/>
    <cellStyle name="Comma 5 8 4 3" xfId="28052"/>
    <cellStyle name="Comma 5 8 5" xfId="16029"/>
    <cellStyle name="Comma 5 8 5 2" xfId="30054"/>
    <cellStyle name="Comma 5 8 6" xfId="18031"/>
    <cellStyle name="Comma 5 8 6 2" xfId="32056"/>
    <cellStyle name="Comma 5 8 7" xfId="24045"/>
    <cellStyle name="Comma 5 9" xfId="1268"/>
    <cellStyle name="Comma 5 9 2" xfId="1269"/>
    <cellStyle name="Comma 5 9 2 2" xfId="12011"/>
    <cellStyle name="Comma 5 9 2 2 2" xfId="20036"/>
    <cellStyle name="Comma 5 9 2 2 2 2" xfId="34061"/>
    <cellStyle name="Comma 5 9 2 2 3" xfId="26050"/>
    <cellStyle name="Comma 5 9 2 3" xfId="14026"/>
    <cellStyle name="Comma 5 9 2 3 2" xfId="22041"/>
    <cellStyle name="Comma 5 9 2 3 2 2" xfId="36066"/>
    <cellStyle name="Comma 5 9 2 3 3" xfId="28055"/>
    <cellStyle name="Comma 5 9 2 4" xfId="16032"/>
    <cellStyle name="Comma 5 9 2 4 2" xfId="30057"/>
    <cellStyle name="Comma 5 9 2 5" xfId="18034"/>
    <cellStyle name="Comma 5 9 2 5 2" xfId="32059"/>
    <cellStyle name="Comma 5 9 2 6" xfId="24048"/>
    <cellStyle name="Comma 5 9 3" xfId="12010"/>
    <cellStyle name="Comma 5 9 3 2" xfId="20035"/>
    <cellStyle name="Comma 5 9 3 2 2" xfId="34060"/>
    <cellStyle name="Comma 5 9 3 3" xfId="26049"/>
    <cellStyle name="Comma 5 9 4" xfId="14025"/>
    <cellStyle name="Comma 5 9 4 2" xfId="22040"/>
    <cellStyle name="Comma 5 9 4 2 2" xfId="36065"/>
    <cellStyle name="Comma 5 9 4 3" xfId="28054"/>
    <cellStyle name="Comma 5 9 5" xfId="16031"/>
    <cellStyle name="Comma 5 9 5 2" xfId="30056"/>
    <cellStyle name="Comma 5 9 6" xfId="18033"/>
    <cellStyle name="Comma 5 9 6 2" xfId="32058"/>
    <cellStyle name="Comma 5 9 7" xfId="24047"/>
    <cellStyle name="Comma 6" xfId="419"/>
    <cellStyle name="Comma 6 10" xfId="1270"/>
    <cellStyle name="Comma 6 10 2" xfId="12012"/>
    <cellStyle name="Comma 6 10 2 2" xfId="20037"/>
    <cellStyle name="Comma 6 10 2 2 2" xfId="34062"/>
    <cellStyle name="Comma 6 10 2 3" xfId="26051"/>
    <cellStyle name="Comma 6 10 3" xfId="14027"/>
    <cellStyle name="Comma 6 10 3 2" xfId="22042"/>
    <cellStyle name="Comma 6 10 3 2 2" xfId="36067"/>
    <cellStyle name="Comma 6 10 3 3" xfId="28056"/>
    <cellStyle name="Comma 6 10 4" xfId="16033"/>
    <cellStyle name="Comma 6 10 4 2" xfId="30058"/>
    <cellStyle name="Comma 6 10 5" xfId="18035"/>
    <cellStyle name="Comma 6 10 5 2" xfId="32060"/>
    <cellStyle name="Comma 6 10 6" xfId="24049"/>
    <cellStyle name="Comma 6 11" xfId="11618"/>
    <cellStyle name="Comma 6 2" xfId="420"/>
    <cellStyle name="Comma 6 2 10" xfId="1271"/>
    <cellStyle name="Comma 6 2 10 2" xfId="12013"/>
    <cellStyle name="Comma 6 2 10 2 2" xfId="20038"/>
    <cellStyle name="Comma 6 2 10 2 2 2" xfId="34063"/>
    <cellStyle name="Comma 6 2 10 2 3" xfId="26052"/>
    <cellStyle name="Comma 6 2 10 3" xfId="14028"/>
    <cellStyle name="Comma 6 2 10 3 2" xfId="22043"/>
    <cellStyle name="Comma 6 2 10 3 2 2" xfId="36068"/>
    <cellStyle name="Comma 6 2 10 3 3" xfId="28057"/>
    <cellStyle name="Comma 6 2 10 4" xfId="16034"/>
    <cellStyle name="Comma 6 2 10 4 2" xfId="30059"/>
    <cellStyle name="Comma 6 2 10 5" xfId="18036"/>
    <cellStyle name="Comma 6 2 10 5 2" xfId="32061"/>
    <cellStyle name="Comma 6 2 10 6" xfId="24050"/>
    <cellStyle name="Comma 6 2 11" xfId="11619"/>
    <cellStyle name="Comma 6 2 2" xfId="421"/>
    <cellStyle name="Comma 6 2 2 2" xfId="11620"/>
    <cellStyle name="Comma 6 2 3" xfId="1272"/>
    <cellStyle name="Comma 6 2 3 10" xfId="16035"/>
    <cellStyle name="Comma 6 2 3 10 2" xfId="30060"/>
    <cellStyle name="Comma 6 2 3 11" xfId="18037"/>
    <cellStyle name="Comma 6 2 3 11 2" xfId="32062"/>
    <cellStyle name="Comma 6 2 3 12" xfId="24051"/>
    <cellStyle name="Comma 6 2 3 2" xfId="1273"/>
    <cellStyle name="Comma 6 2 3 2 10" xfId="18038"/>
    <cellStyle name="Comma 6 2 3 2 10 2" xfId="32063"/>
    <cellStyle name="Comma 6 2 3 2 11" xfId="24052"/>
    <cellStyle name="Comma 6 2 3 2 2" xfId="1274"/>
    <cellStyle name="Comma 6 2 3 2 2 10" xfId="24053"/>
    <cellStyle name="Comma 6 2 3 2 2 2" xfId="1275"/>
    <cellStyle name="Comma 6 2 3 2 2 2 2" xfId="1276"/>
    <cellStyle name="Comma 6 2 3 2 2 2 2 2" xfId="1277"/>
    <cellStyle name="Comma 6 2 3 2 2 2 2 2 2" xfId="12019"/>
    <cellStyle name="Comma 6 2 3 2 2 2 2 2 2 2" xfId="20044"/>
    <cellStyle name="Comma 6 2 3 2 2 2 2 2 2 2 2" xfId="34069"/>
    <cellStyle name="Comma 6 2 3 2 2 2 2 2 2 3" xfId="26058"/>
    <cellStyle name="Comma 6 2 3 2 2 2 2 2 3" xfId="14034"/>
    <cellStyle name="Comma 6 2 3 2 2 2 2 2 3 2" xfId="22049"/>
    <cellStyle name="Comma 6 2 3 2 2 2 2 2 3 2 2" xfId="36074"/>
    <cellStyle name="Comma 6 2 3 2 2 2 2 2 3 3" xfId="28063"/>
    <cellStyle name="Comma 6 2 3 2 2 2 2 2 4" xfId="16040"/>
    <cellStyle name="Comma 6 2 3 2 2 2 2 2 4 2" xfId="30065"/>
    <cellStyle name="Comma 6 2 3 2 2 2 2 2 5" xfId="18042"/>
    <cellStyle name="Comma 6 2 3 2 2 2 2 2 5 2" xfId="32067"/>
    <cellStyle name="Comma 6 2 3 2 2 2 2 2 6" xfId="24056"/>
    <cellStyle name="Comma 6 2 3 2 2 2 2 3" xfId="12018"/>
    <cellStyle name="Comma 6 2 3 2 2 2 2 3 2" xfId="20043"/>
    <cellStyle name="Comma 6 2 3 2 2 2 2 3 2 2" xfId="34068"/>
    <cellStyle name="Comma 6 2 3 2 2 2 2 3 3" xfId="26057"/>
    <cellStyle name="Comma 6 2 3 2 2 2 2 4" xfId="14033"/>
    <cellStyle name="Comma 6 2 3 2 2 2 2 4 2" xfId="22048"/>
    <cellStyle name="Comma 6 2 3 2 2 2 2 4 2 2" xfId="36073"/>
    <cellStyle name="Comma 6 2 3 2 2 2 2 4 3" xfId="28062"/>
    <cellStyle name="Comma 6 2 3 2 2 2 2 5" xfId="16039"/>
    <cellStyle name="Comma 6 2 3 2 2 2 2 5 2" xfId="30064"/>
    <cellStyle name="Comma 6 2 3 2 2 2 2 6" xfId="18041"/>
    <cellStyle name="Comma 6 2 3 2 2 2 2 6 2" xfId="32066"/>
    <cellStyle name="Comma 6 2 3 2 2 2 2 7" xfId="24055"/>
    <cellStyle name="Comma 6 2 3 2 2 2 3" xfId="1278"/>
    <cellStyle name="Comma 6 2 3 2 2 2 3 2" xfId="12020"/>
    <cellStyle name="Comma 6 2 3 2 2 2 3 2 2" xfId="20045"/>
    <cellStyle name="Comma 6 2 3 2 2 2 3 2 2 2" xfId="34070"/>
    <cellStyle name="Comma 6 2 3 2 2 2 3 2 3" xfId="26059"/>
    <cellStyle name="Comma 6 2 3 2 2 2 3 3" xfId="14035"/>
    <cellStyle name="Comma 6 2 3 2 2 2 3 3 2" xfId="22050"/>
    <cellStyle name="Comma 6 2 3 2 2 2 3 3 2 2" xfId="36075"/>
    <cellStyle name="Comma 6 2 3 2 2 2 3 3 3" xfId="28064"/>
    <cellStyle name="Comma 6 2 3 2 2 2 3 4" xfId="16041"/>
    <cellStyle name="Comma 6 2 3 2 2 2 3 4 2" xfId="30066"/>
    <cellStyle name="Comma 6 2 3 2 2 2 3 5" xfId="18043"/>
    <cellStyle name="Comma 6 2 3 2 2 2 3 5 2" xfId="32068"/>
    <cellStyle name="Comma 6 2 3 2 2 2 3 6" xfId="24057"/>
    <cellStyle name="Comma 6 2 3 2 2 2 4" xfId="12017"/>
    <cellStyle name="Comma 6 2 3 2 2 2 4 2" xfId="20042"/>
    <cellStyle name="Comma 6 2 3 2 2 2 4 2 2" xfId="34067"/>
    <cellStyle name="Comma 6 2 3 2 2 2 4 3" xfId="26056"/>
    <cellStyle name="Comma 6 2 3 2 2 2 5" xfId="14032"/>
    <cellStyle name="Comma 6 2 3 2 2 2 5 2" xfId="22047"/>
    <cellStyle name="Comma 6 2 3 2 2 2 5 2 2" xfId="36072"/>
    <cellStyle name="Comma 6 2 3 2 2 2 5 3" xfId="28061"/>
    <cellStyle name="Comma 6 2 3 2 2 2 6" xfId="16038"/>
    <cellStyle name="Comma 6 2 3 2 2 2 6 2" xfId="30063"/>
    <cellStyle name="Comma 6 2 3 2 2 2 7" xfId="18040"/>
    <cellStyle name="Comma 6 2 3 2 2 2 7 2" xfId="32065"/>
    <cellStyle name="Comma 6 2 3 2 2 2 8" xfId="24054"/>
    <cellStyle name="Comma 6 2 3 2 2 3" xfId="1279"/>
    <cellStyle name="Comma 6 2 3 2 2 3 2" xfId="1280"/>
    <cellStyle name="Comma 6 2 3 2 2 3 2 2" xfId="12022"/>
    <cellStyle name="Comma 6 2 3 2 2 3 2 2 2" xfId="20047"/>
    <cellStyle name="Comma 6 2 3 2 2 3 2 2 2 2" xfId="34072"/>
    <cellStyle name="Comma 6 2 3 2 2 3 2 2 3" xfId="26061"/>
    <cellStyle name="Comma 6 2 3 2 2 3 2 3" xfId="14037"/>
    <cellStyle name="Comma 6 2 3 2 2 3 2 3 2" xfId="22052"/>
    <cellStyle name="Comma 6 2 3 2 2 3 2 3 2 2" xfId="36077"/>
    <cellStyle name="Comma 6 2 3 2 2 3 2 3 3" xfId="28066"/>
    <cellStyle name="Comma 6 2 3 2 2 3 2 4" xfId="16043"/>
    <cellStyle name="Comma 6 2 3 2 2 3 2 4 2" xfId="30068"/>
    <cellStyle name="Comma 6 2 3 2 2 3 2 5" xfId="18045"/>
    <cellStyle name="Comma 6 2 3 2 2 3 2 5 2" xfId="32070"/>
    <cellStyle name="Comma 6 2 3 2 2 3 2 6" xfId="24059"/>
    <cellStyle name="Comma 6 2 3 2 2 3 3" xfId="12021"/>
    <cellStyle name="Comma 6 2 3 2 2 3 3 2" xfId="20046"/>
    <cellStyle name="Comma 6 2 3 2 2 3 3 2 2" xfId="34071"/>
    <cellStyle name="Comma 6 2 3 2 2 3 3 3" xfId="26060"/>
    <cellStyle name="Comma 6 2 3 2 2 3 4" xfId="14036"/>
    <cellStyle name="Comma 6 2 3 2 2 3 4 2" xfId="22051"/>
    <cellStyle name="Comma 6 2 3 2 2 3 4 2 2" xfId="36076"/>
    <cellStyle name="Comma 6 2 3 2 2 3 4 3" xfId="28065"/>
    <cellStyle name="Comma 6 2 3 2 2 3 5" xfId="16042"/>
    <cellStyle name="Comma 6 2 3 2 2 3 5 2" xfId="30067"/>
    <cellStyle name="Comma 6 2 3 2 2 3 6" xfId="18044"/>
    <cellStyle name="Comma 6 2 3 2 2 3 6 2" xfId="32069"/>
    <cellStyle name="Comma 6 2 3 2 2 3 7" xfId="24058"/>
    <cellStyle name="Comma 6 2 3 2 2 4" xfId="1281"/>
    <cellStyle name="Comma 6 2 3 2 2 4 2" xfId="1282"/>
    <cellStyle name="Comma 6 2 3 2 2 4 2 2" xfId="12024"/>
    <cellStyle name="Comma 6 2 3 2 2 4 2 2 2" xfId="20049"/>
    <cellStyle name="Comma 6 2 3 2 2 4 2 2 2 2" xfId="34074"/>
    <cellStyle name="Comma 6 2 3 2 2 4 2 2 3" xfId="26063"/>
    <cellStyle name="Comma 6 2 3 2 2 4 2 3" xfId="14039"/>
    <cellStyle name="Comma 6 2 3 2 2 4 2 3 2" xfId="22054"/>
    <cellStyle name="Comma 6 2 3 2 2 4 2 3 2 2" xfId="36079"/>
    <cellStyle name="Comma 6 2 3 2 2 4 2 3 3" xfId="28068"/>
    <cellStyle name="Comma 6 2 3 2 2 4 2 4" xfId="16045"/>
    <cellStyle name="Comma 6 2 3 2 2 4 2 4 2" xfId="30070"/>
    <cellStyle name="Comma 6 2 3 2 2 4 2 5" xfId="18047"/>
    <cellStyle name="Comma 6 2 3 2 2 4 2 5 2" xfId="32072"/>
    <cellStyle name="Comma 6 2 3 2 2 4 2 6" xfId="24061"/>
    <cellStyle name="Comma 6 2 3 2 2 4 3" xfId="12023"/>
    <cellStyle name="Comma 6 2 3 2 2 4 3 2" xfId="20048"/>
    <cellStyle name="Comma 6 2 3 2 2 4 3 2 2" xfId="34073"/>
    <cellStyle name="Comma 6 2 3 2 2 4 3 3" xfId="26062"/>
    <cellStyle name="Comma 6 2 3 2 2 4 4" xfId="14038"/>
    <cellStyle name="Comma 6 2 3 2 2 4 4 2" xfId="22053"/>
    <cellStyle name="Comma 6 2 3 2 2 4 4 2 2" xfId="36078"/>
    <cellStyle name="Comma 6 2 3 2 2 4 4 3" xfId="28067"/>
    <cellStyle name="Comma 6 2 3 2 2 4 5" xfId="16044"/>
    <cellStyle name="Comma 6 2 3 2 2 4 5 2" xfId="30069"/>
    <cellStyle name="Comma 6 2 3 2 2 4 6" xfId="18046"/>
    <cellStyle name="Comma 6 2 3 2 2 4 6 2" xfId="32071"/>
    <cellStyle name="Comma 6 2 3 2 2 4 7" xfId="24060"/>
    <cellStyle name="Comma 6 2 3 2 2 5" xfId="1283"/>
    <cellStyle name="Comma 6 2 3 2 2 5 2" xfId="12025"/>
    <cellStyle name="Comma 6 2 3 2 2 5 2 2" xfId="20050"/>
    <cellStyle name="Comma 6 2 3 2 2 5 2 2 2" xfId="34075"/>
    <cellStyle name="Comma 6 2 3 2 2 5 2 3" xfId="26064"/>
    <cellStyle name="Comma 6 2 3 2 2 5 3" xfId="14040"/>
    <cellStyle name="Comma 6 2 3 2 2 5 3 2" xfId="22055"/>
    <cellStyle name="Comma 6 2 3 2 2 5 3 2 2" xfId="36080"/>
    <cellStyle name="Comma 6 2 3 2 2 5 3 3" xfId="28069"/>
    <cellStyle name="Comma 6 2 3 2 2 5 4" xfId="16046"/>
    <cellStyle name="Comma 6 2 3 2 2 5 4 2" xfId="30071"/>
    <cellStyle name="Comma 6 2 3 2 2 5 5" xfId="18048"/>
    <cellStyle name="Comma 6 2 3 2 2 5 5 2" xfId="32073"/>
    <cellStyle name="Comma 6 2 3 2 2 5 6" xfId="24062"/>
    <cellStyle name="Comma 6 2 3 2 2 6" xfId="12016"/>
    <cellStyle name="Comma 6 2 3 2 2 6 2" xfId="20041"/>
    <cellStyle name="Comma 6 2 3 2 2 6 2 2" xfId="34066"/>
    <cellStyle name="Comma 6 2 3 2 2 6 3" xfId="26055"/>
    <cellStyle name="Comma 6 2 3 2 2 7" xfId="14031"/>
    <cellStyle name="Comma 6 2 3 2 2 7 2" xfId="22046"/>
    <cellStyle name="Comma 6 2 3 2 2 7 2 2" xfId="36071"/>
    <cellStyle name="Comma 6 2 3 2 2 7 3" xfId="28060"/>
    <cellStyle name="Comma 6 2 3 2 2 8" xfId="16037"/>
    <cellStyle name="Comma 6 2 3 2 2 8 2" xfId="30062"/>
    <cellStyle name="Comma 6 2 3 2 2 9" xfId="18039"/>
    <cellStyle name="Comma 6 2 3 2 2 9 2" xfId="32064"/>
    <cellStyle name="Comma 6 2 3 2 3" xfId="1284"/>
    <cellStyle name="Comma 6 2 3 2 3 2" xfId="1285"/>
    <cellStyle name="Comma 6 2 3 2 3 2 2" xfId="1286"/>
    <cellStyle name="Comma 6 2 3 2 3 2 2 2" xfId="12028"/>
    <cellStyle name="Comma 6 2 3 2 3 2 2 2 2" xfId="20053"/>
    <cellStyle name="Comma 6 2 3 2 3 2 2 2 2 2" xfId="34078"/>
    <cellStyle name="Comma 6 2 3 2 3 2 2 2 3" xfId="26067"/>
    <cellStyle name="Comma 6 2 3 2 3 2 2 3" xfId="14043"/>
    <cellStyle name="Comma 6 2 3 2 3 2 2 3 2" xfId="22058"/>
    <cellStyle name="Comma 6 2 3 2 3 2 2 3 2 2" xfId="36083"/>
    <cellStyle name="Comma 6 2 3 2 3 2 2 3 3" xfId="28072"/>
    <cellStyle name="Comma 6 2 3 2 3 2 2 4" xfId="16049"/>
    <cellStyle name="Comma 6 2 3 2 3 2 2 4 2" xfId="30074"/>
    <cellStyle name="Comma 6 2 3 2 3 2 2 5" xfId="18051"/>
    <cellStyle name="Comma 6 2 3 2 3 2 2 5 2" xfId="32076"/>
    <cellStyle name="Comma 6 2 3 2 3 2 2 6" xfId="24065"/>
    <cellStyle name="Comma 6 2 3 2 3 2 3" xfId="12027"/>
    <cellStyle name="Comma 6 2 3 2 3 2 3 2" xfId="20052"/>
    <cellStyle name="Comma 6 2 3 2 3 2 3 2 2" xfId="34077"/>
    <cellStyle name="Comma 6 2 3 2 3 2 3 3" xfId="26066"/>
    <cellStyle name="Comma 6 2 3 2 3 2 4" xfId="14042"/>
    <cellStyle name="Comma 6 2 3 2 3 2 4 2" xfId="22057"/>
    <cellStyle name="Comma 6 2 3 2 3 2 4 2 2" xfId="36082"/>
    <cellStyle name="Comma 6 2 3 2 3 2 4 3" xfId="28071"/>
    <cellStyle name="Comma 6 2 3 2 3 2 5" xfId="16048"/>
    <cellStyle name="Comma 6 2 3 2 3 2 5 2" xfId="30073"/>
    <cellStyle name="Comma 6 2 3 2 3 2 6" xfId="18050"/>
    <cellStyle name="Comma 6 2 3 2 3 2 6 2" xfId="32075"/>
    <cellStyle name="Comma 6 2 3 2 3 2 7" xfId="24064"/>
    <cellStyle name="Comma 6 2 3 2 3 3" xfId="1287"/>
    <cellStyle name="Comma 6 2 3 2 3 3 2" xfId="12029"/>
    <cellStyle name="Comma 6 2 3 2 3 3 2 2" xfId="20054"/>
    <cellStyle name="Comma 6 2 3 2 3 3 2 2 2" xfId="34079"/>
    <cellStyle name="Comma 6 2 3 2 3 3 2 3" xfId="26068"/>
    <cellStyle name="Comma 6 2 3 2 3 3 3" xfId="14044"/>
    <cellStyle name="Comma 6 2 3 2 3 3 3 2" xfId="22059"/>
    <cellStyle name="Comma 6 2 3 2 3 3 3 2 2" xfId="36084"/>
    <cellStyle name="Comma 6 2 3 2 3 3 3 3" xfId="28073"/>
    <cellStyle name="Comma 6 2 3 2 3 3 4" xfId="16050"/>
    <cellStyle name="Comma 6 2 3 2 3 3 4 2" xfId="30075"/>
    <cellStyle name="Comma 6 2 3 2 3 3 5" xfId="18052"/>
    <cellStyle name="Comma 6 2 3 2 3 3 5 2" xfId="32077"/>
    <cellStyle name="Comma 6 2 3 2 3 3 6" xfId="24066"/>
    <cellStyle name="Comma 6 2 3 2 3 4" xfId="12026"/>
    <cellStyle name="Comma 6 2 3 2 3 4 2" xfId="20051"/>
    <cellStyle name="Comma 6 2 3 2 3 4 2 2" xfId="34076"/>
    <cellStyle name="Comma 6 2 3 2 3 4 3" xfId="26065"/>
    <cellStyle name="Comma 6 2 3 2 3 5" xfId="14041"/>
    <cellStyle name="Comma 6 2 3 2 3 5 2" xfId="22056"/>
    <cellStyle name="Comma 6 2 3 2 3 5 2 2" xfId="36081"/>
    <cellStyle name="Comma 6 2 3 2 3 5 3" xfId="28070"/>
    <cellStyle name="Comma 6 2 3 2 3 6" xfId="16047"/>
    <cellStyle name="Comma 6 2 3 2 3 6 2" xfId="30072"/>
    <cellStyle name="Comma 6 2 3 2 3 7" xfId="18049"/>
    <cellStyle name="Comma 6 2 3 2 3 7 2" xfId="32074"/>
    <cellStyle name="Comma 6 2 3 2 3 8" xfId="24063"/>
    <cellStyle name="Comma 6 2 3 2 4" xfId="1288"/>
    <cellStyle name="Comma 6 2 3 2 4 2" xfId="1289"/>
    <cellStyle name="Comma 6 2 3 2 4 2 2" xfId="12031"/>
    <cellStyle name="Comma 6 2 3 2 4 2 2 2" xfId="20056"/>
    <cellStyle name="Comma 6 2 3 2 4 2 2 2 2" xfId="34081"/>
    <cellStyle name="Comma 6 2 3 2 4 2 2 3" xfId="26070"/>
    <cellStyle name="Comma 6 2 3 2 4 2 3" xfId="14046"/>
    <cellStyle name="Comma 6 2 3 2 4 2 3 2" xfId="22061"/>
    <cellStyle name="Comma 6 2 3 2 4 2 3 2 2" xfId="36086"/>
    <cellStyle name="Comma 6 2 3 2 4 2 3 3" xfId="28075"/>
    <cellStyle name="Comma 6 2 3 2 4 2 4" xfId="16052"/>
    <cellStyle name="Comma 6 2 3 2 4 2 4 2" xfId="30077"/>
    <cellStyle name="Comma 6 2 3 2 4 2 5" xfId="18054"/>
    <cellStyle name="Comma 6 2 3 2 4 2 5 2" xfId="32079"/>
    <cellStyle name="Comma 6 2 3 2 4 2 6" xfId="24068"/>
    <cellStyle name="Comma 6 2 3 2 4 3" xfId="12030"/>
    <cellStyle name="Comma 6 2 3 2 4 3 2" xfId="20055"/>
    <cellStyle name="Comma 6 2 3 2 4 3 2 2" xfId="34080"/>
    <cellStyle name="Comma 6 2 3 2 4 3 3" xfId="26069"/>
    <cellStyle name="Comma 6 2 3 2 4 4" xfId="14045"/>
    <cellStyle name="Comma 6 2 3 2 4 4 2" xfId="22060"/>
    <cellStyle name="Comma 6 2 3 2 4 4 2 2" xfId="36085"/>
    <cellStyle name="Comma 6 2 3 2 4 4 3" xfId="28074"/>
    <cellStyle name="Comma 6 2 3 2 4 5" xfId="16051"/>
    <cellStyle name="Comma 6 2 3 2 4 5 2" xfId="30076"/>
    <cellStyle name="Comma 6 2 3 2 4 6" xfId="18053"/>
    <cellStyle name="Comma 6 2 3 2 4 6 2" xfId="32078"/>
    <cellStyle name="Comma 6 2 3 2 4 7" xfId="24067"/>
    <cellStyle name="Comma 6 2 3 2 5" xfId="1290"/>
    <cellStyle name="Comma 6 2 3 2 5 2" xfId="1291"/>
    <cellStyle name="Comma 6 2 3 2 5 2 2" xfId="12033"/>
    <cellStyle name="Comma 6 2 3 2 5 2 2 2" xfId="20058"/>
    <cellStyle name="Comma 6 2 3 2 5 2 2 2 2" xfId="34083"/>
    <cellStyle name="Comma 6 2 3 2 5 2 2 3" xfId="26072"/>
    <cellStyle name="Comma 6 2 3 2 5 2 3" xfId="14048"/>
    <cellStyle name="Comma 6 2 3 2 5 2 3 2" xfId="22063"/>
    <cellStyle name="Comma 6 2 3 2 5 2 3 2 2" xfId="36088"/>
    <cellStyle name="Comma 6 2 3 2 5 2 3 3" xfId="28077"/>
    <cellStyle name="Comma 6 2 3 2 5 2 4" xfId="16054"/>
    <cellStyle name="Comma 6 2 3 2 5 2 4 2" xfId="30079"/>
    <cellStyle name="Comma 6 2 3 2 5 2 5" xfId="18056"/>
    <cellStyle name="Comma 6 2 3 2 5 2 5 2" xfId="32081"/>
    <cellStyle name="Comma 6 2 3 2 5 2 6" xfId="24070"/>
    <cellStyle name="Comma 6 2 3 2 5 3" xfId="12032"/>
    <cellStyle name="Comma 6 2 3 2 5 3 2" xfId="20057"/>
    <cellStyle name="Comma 6 2 3 2 5 3 2 2" xfId="34082"/>
    <cellStyle name="Comma 6 2 3 2 5 3 3" xfId="26071"/>
    <cellStyle name="Comma 6 2 3 2 5 4" xfId="14047"/>
    <cellStyle name="Comma 6 2 3 2 5 4 2" xfId="22062"/>
    <cellStyle name="Comma 6 2 3 2 5 4 2 2" xfId="36087"/>
    <cellStyle name="Comma 6 2 3 2 5 4 3" xfId="28076"/>
    <cellStyle name="Comma 6 2 3 2 5 5" xfId="16053"/>
    <cellStyle name="Comma 6 2 3 2 5 5 2" xfId="30078"/>
    <cellStyle name="Comma 6 2 3 2 5 6" xfId="18055"/>
    <cellStyle name="Comma 6 2 3 2 5 6 2" xfId="32080"/>
    <cellStyle name="Comma 6 2 3 2 5 7" xfId="24069"/>
    <cellStyle name="Comma 6 2 3 2 6" xfId="1292"/>
    <cellStyle name="Comma 6 2 3 2 6 2" xfId="12034"/>
    <cellStyle name="Comma 6 2 3 2 6 2 2" xfId="20059"/>
    <cellStyle name="Comma 6 2 3 2 6 2 2 2" xfId="34084"/>
    <cellStyle name="Comma 6 2 3 2 6 2 3" xfId="26073"/>
    <cellStyle name="Comma 6 2 3 2 6 3" xfId="14049"/>
    <cellStyle name="Comma 6 2 3 2 6 3 2" xfId="22064"/>
    <cellStyle name="Comma 6 2 3 2 6 3 2 2" xfId="36089"/>
    <cellStyle name="Comma 6 2 3 2 6 3 3" xfId="28078"/>
    <cellStyle name="Comma 6 2 3 2 6 4" xfId="16055"/>
    <cellStyle name="Comma 6 2 3 2 6 4 2" xfId="30080"/>
    <cellStyle name="Comma 6 2 3 2 6 5" xfId="18057"/>
    <cellStyle name="Comma 6 2 3 2 6 5 2" xfId="32082"/>
    <cellStyle name="Comma 6 2 3 2 6 6" xfId="24071"/>
    <cellStyle name="Comma 6 2 3 2 7" xfId="12015"/>
    <cellStyle name="Comma 6 2 3 2 7 2" xfId="20040"/>
    <cellStyle name="Comma 6 2 3 2 7 2 2" xfId="34065"/>
    <cellStyle name="Comma 6 2 3 2 7 3" xfId="26054"/>
    <cellStyle name="Comma 6 2 3 2 8" xfId="14030"/>
    <cellStyle name="Comma 6 2 3 2 8 2" xfId="22045"/>
    <cellStyle name="Comma 6 2 3 2 8 2 2" xfId="36070"/>
    <cellStyle name="Comma 6 2 3 2 8 3" xfId="28059"/>
    <cellStyle name="Comma 6 2 3 2 9" xfId="16036"/>
    <cellStyle name="Comma 6 2 3 2 9 2" xfId="30061"/>
    <cellStyle name="Comma 6 2 3 3" xfId="1293"/>
    <cellStyle name="Comma 6 2 3 3 10" xfId="24072"/>
    <cellStyle name="Comma 6 2 3 3 2" xfId="1294"/>
    <cellStyle name="Comma 6 2 3 3 2 2" xfId="1295"/>
    <cellStyle name="Comma 6 2 3 3 2 2 2" xfId="1296"/>
    <cellStyle name="Comma 6 2 3 3 2 2 2 2" xfId="12038"/>
    <cellStyle name="Comma 6 2 3 3 2 2 2 2 2" xfId="20063"/>
    <cellStyle name="Comma 6 2 3 3 2 2 2 2 2 2" xfId="34088"/>
    <cellStyle name="Comma 6 2 3 3 2 2 2 2 3" xfId="26077"/>
    <cellStyle name="Comma 6 2 3 3 2 2 2 3" xfId="14053"/>
    <cellStyle name="Comma 6 2 3 3 2 2 2 3 2" xfId="22068"/>
    <cellStyle name="Comma 6 2 3 3 2 2 2 3 2 2" xfId="36093"/>
    <cellStyle name="Comma 6 2 3 3 2 2 2 3 3" xfId="28082"/>
    <cellStyle name="Comma 6 2 3 3 2 2 2 4" xfId="16059"/>
    <cellStyle name="Comma 6 2 3 3 2 2 2 4 2" xfId="30084"/>
    <cellStyle name="Comma 6 2 3 3 2 2 2 5" xfId="18061"/>
    <cellStyle name="Comma 6 2 3 3 2 2 2 5 2" xfId="32086"/>
    <cellStyle name="Comma 6 2 3 3 2 2 2 6" xfId="24075"/>
    <cellStyle name="Comma 6 2 3 3 2 2 3" xfId="12037"/>
    <cellStyle name="Comma 6 2 3 3 2 2 3 2" xfId="20062"/>
    <cellStyle name="Comma 6 2 3 3 2 2 3 2 2" xfId="34087"/>
    <cellStyle name="Comma 6 2 3 3 2 2 3 3" xfId="26076"/>
    <cellStyle name="Comma 6 2 3 3 2 2 4" xfId="14052"/>
    <cellStyle name="Comma 6 2 3 3 2 2 4 2" xfId="22067"/>
    <cellStyle name="Comma 6 2 3 3 2 2 4 2 2" xfId="36092"/>
    <cellStyle name="Comma 6 2 3 3 2 2 4 3" xfId="28081"/>
    <cellStyle name="Comma 6 2 3 3 2 2 5" xfId="16058"/>
    <cellStyle name="Comma 6 2 3 3 2 2 5 2" xfId="30083"/>
    <cellStyle name="Comma 6 2 3 3 2 2 6" xfId="18060"/>
    <cellStyle name="Comma 6 2 3 3 2 2 6 2" xfId="32085"/>
    <cellStyle name="Comma 6 2 3 3 2 2 7" xfId="24074"/>
    <cellStyle name="Comma 6 2 3 3 2 3" xfId="1297"/>
    <cellStyle name="Comma 6 2 3 3 2 3 2" xfId="12039"/>
    <cellStyle name="Comma 6 2 3 3 2 3 2 2" xfId="20064"/>
    <cellStyle name="Comma 6 2 3 3 2 3 2 2 2" xfId="34089"/>
    <cellStyle name="Comma 6 2 3 3 2 3 2 3" xfId="26078"/>
    <cellStyle name="Comma 6 2 3 3 2 3 3" xfId="14054"/>
    <cellStyle name="Comma 6 2 3 3 2 3 3 2" xfId="22069"/>
    <cellStyle name="Comma 6 2 3 3 2 3 3 2 2" xfId="36094"/>
    <cellStyle name="Comma 6 2 3 3 2 3 3 3" xfId="28083"/>
    <cellStyle name="Comma 6 2 3 3 2 3 4" xfId="16060"/>
    <cellStyle name="Comma 6 2 3 3 2 3 4 2" xfId="30085"/>
    <cellStyle name="Comma 6 2 3 3 2 3 5" xfId="18062"/>
    <cellStyle name="Comma 6 2 3 3 2 3 5 2" xfId="32087"/>
    <cellStyle name="Comma 6 2 3 3 2 3 6" xfId="24076"/>
    <cellStyle name="Comma 6 2 3 3 2 4" xfId="12036"/>
    <cellStyle name="Comma 6 2 3 3 2 4 2" xfId="20061"/>
    <cellStyle name="Comma 6 2 3 3 2 4 2 2" xfId="34086"/>
    <cellStyle name="Comma 6 2 3 3 2 4 3" xfId="26075"/>
    <cellStyle name="Comma 6 2 3 3 2 5" xfId="14051"/>
    <cellStyle name="Comma 6 2 3 3 2 5 2" xfId="22066"/>
    <cellStyle name="Comma 6 2 3 3 2 5 2 2" xfId="36091"/>
    <cellStyle name="Comma 6 2 3 3 2 5 3" xfId="28080"/>
    <cellStyle name="Comma 6 2 3 3 2 6" xfId="16057"/>
    <cellStyle name="Comma 6 2 3 3 2 6 2" xfId="30082"/>
    <cellStyle name="Comma 6 2 3 3 2 7" xfId="18059"/>
    <cellStyle name="Comma 6 2 3 3 2 7 2" xfId="32084"/>
    <cellStyle name="Comma 6 2 3 3 2 8" xfId="24073"/>
    <cellStyle name="Comma 6 2 3 3 3" xfId="1298"/>
    <cellStyle name="Comma 6 2 3 3 3 2" xfId="1299"/>
    <cellStyle name="Comma 6 2 3 3 3 2 2" xfId="12041"/>
    <cellStyle name="Comma 6 2 3 3 3 2 2 2" xfId="20066"/>
    <cellStyle name="Comma 6 2 3 3 3 2 2 2 2" xfId="34091"/>
    <cellStyle name="Comma 6 2 3 3 3 2 2 3" xfId="26080"/>
    <cellStyle name="Comma 6 2 3 3 3 2 3" xfId="14056"/>
    <cellStyle name="Comma 6 2 3 3 3 2 3 2" xfId="22071"/>
    <cellStyle name="Comma 6 2 3 3 3 2 3 2 2" xfId="36096"/>
    <cellStyle name="Comma 6 2 3 3 3 2 3 3" xfId="28085"/>
    <cellStyle name="Comma 6 2 3 3 3 2 4" xfId="16062"/>
    <cellStyle name="Comma 6 2 3 3 3 2 4 2" xfId="30087"/>
    <cellStyle name="Comma 6 2 3 3 3 2 5" xfId="18064"/>
    <cellStyle name="Comma 6 2 3 3 3 2 5 2" xfId="32089"/>
    <cellStyle name="Comma 6 2 3 3 3 2 6" xfId="24078"/>
    <cellStyle name="Comma 6 2 3 3 3 3" xfId="12040"/>
    <cellStyle name="Comma 6 2 3 3 3 3 2" xfId="20065"/>
    <cellStyle name="Comma 6 2 3 3 3 3 2 2" xfId="34090"/>
    <cellStyle name="Comma 6 2 3 3 3 3 3" xfId="26079"/>
    <cellStyle name="Comma 6 2 3 3 3 4" xfId="14055"/>
    <cellStyle name="Comma 6 2 3 3 3 4 2" xfId="22070"/>
    <cellStyle name="Comma 6 2 3 3 3 4 2 2" xfId="36095"/>
    <cellStyle name="Comma 6 2 3 3 3 4 3" xfId="28084"/>
    <cellStyle name="Comma 6 2 3 3 3 5" xfId="16061"/>
    <cellStyle name="Comma 6 2 3 3 3 5 2" xfId="30086"/>
    <cellStyle name="Comma 6 2 3 3 3 6" xfId="18063"/>
    <cellStyle name="Comma 6 2 3 3 3 6 2" xfId="32088"/>
    <cellStyle name="Comma 6 2 3 3 3 7" xfId="24077"/>
    <cellStyle name="Comma 6 2 3 3 4" xfId="1300"/>
    <cellStyle name="Comma 6 2 3 3 4 2" xfId="1301"/>
    <cellStyle name="Comma 6 2 3 3 4 2 2" xfId="12043"/>
    <cellStyle name="Comma 6 2 3 3 4 2 2 2" xfId="20068"/>
    <cellStyle name="Comma 6 2 3 3 4 2 2 2 2" xfId="34093"/>
    <cellStyle name="Comma 6 2 3 3 4 2 2 3" xfId="26082"/>
    <cellStyle name="Comma 6 2 3 3 4 2 3" xfId="14058"/>
    <cellStyle name="Comma 6 2 3 3 4 2 3 2" xfId="22073"/>
    <cellStyle name="Comma 6 2 3 3 4 2 3 2 2" xfId="36098"/>
    <cellStyle name="Comma 6 2 3 3 4 2 3 3" xfId="28087"/>
    <cellStyle name="Comma 6 2 3 3 4 2 4" xfId="16064"/>
    <cellStyle name="Comma 6 2 3 3 4 2 4 2" xfId="30089"/>
    <cellStyle name="Comma 6 2 3 3 4 2 5" xfId="18066"/>
    <cellStyle name="Comma 6 2 3 3 4 2 5 2" xfId="32091"/>
    <cellStyle name="Comma 6 2 3 3 4 2 6" xfId="24080"/>
    <cellStyle name="Comma 6 2 3 3 4 3" xfId="12042"/>
    <cellStyle name="Comma 6 2 3 3 4 3 2" xfId="20067"/>
    <cellStyle name="Comma 6 2 3 3 4 3 2 2" xfId="34092"/>
    <cellStyle name="Comma 6 2 3 3 4 3 3" xfId="26081"/>
    <cellStyle name="Comma 6 2 3 3 4 4" xfId="14057"/>
    <cellStyle name="Comma 6 2 3 3 4 4 2" xfId="22072"/>
    <cellStyle name="Comma 6 2 3 3 4 4 2 2" xfId="36097"/>
    <cellStyle name="Comma 6 2 3 3 4 4 3" xfId="28086"/>
    <cellStyle name="Comma 6 2 3 3 4 5" xfId="16063"/>
    <cellStyle name="Comma 6 2 3 3 4 5 2" xfId="30088"/>
    <cellStyle name="Comma 6 2 3 3 4 6" xfId="18065"/>
    <cellStyle name="Comma 6 2 3 3 4 6 2" xfId="32090"/>
    <cellStyle name="Comma 6 2 3 3 4 7" xfId="24079"/>
    <cellStyle name="Comma 6 2 3 3 5" xfId="1302"/>
    <cellStyle name="Comma 6 2 3 3 5 2" xfId="12044"/>
    <cellStyle name="Comma 6 2 3 3 5 2 2" xfId="20069"/>
    <cellStyle name="Comma 6 2 3 3 5 2 2 2" xfId="34094"/>
    <cellStyle name="Comma 6 2 3 3 5 2 3" xfId="26083"/>
    <cellStyle name="Comma 6 2 3 3 5 3" xfId="14059"/>
    <cellStyle name="Comma 6 2 3 3 5 3 2" xfId="22074"/>
    <cellStyle name="Comma 6 2 3 3 5 3 2 2" xfId="36099"/>
    <cellStyle name="Comma 6 2 3 3 5 3 3" xfId="28088"/>
    <cellStyle name="Comma 6 2 3 3 5 4" xfId="16065"/>
    <cellStyle name="Comma 6 2 3 3 5 4 2" xfId="30090"/>
    <cellStyle name="Comma 6 2 3 3 5 5" xfId="18067"/>
    <cellStyle name="Comma 6 2 3 3 5 5 2" xfId="32092"/>
    <cellStyle name="Comma 6 2 3 3 5 6" xfId="24081"/>
    <cellStyle name="Comma 6 2 3 3 6" xfId="12035"/>
    <cellStyle name="Comma 6 2 3 3 6 2" xfId="20060"/>
    <cellStyle name="Comma 6 2 3 3 6 2 2" xfId="34085"/>
    <cellStyle name="Comma 6 2 3 3 6 3" xfId="26074"/>
    <cellStyle name="Comma 6 2 3 3 7" xfId="14050"/>
    <cellStyle name="Comma 6 2 3 3 7 2" xfId="22065"/>
    <cellStyle name="Comma 6 2 3 3 7 2 2" xfId="36090"/>
    <cellStyle name="Comma 6 2 3 3 7 3" xfId="28079"/>
    <cellStyle name="Comma 6 2 3 3 8" xfId="16056"/>
    <cellStyle name="Comma 6 2 3 3 8 2" xfId="30081"/>
    <cellStyle name="Comma 6 2 3 3 9" xfId="18058"/>
    <cellStyle name="Comma 6 2 3 3 9 2" xfId="32083"/>
    <cellStyle name="Comma 6 2 3 4" xfId="1303"/>
    <cellStyle name="Comma 6 2 3 4 2" xfId="1304"/>
    <cellStyle name="Comma 6 2 3 4 2 2" xfId="1305"/>
    <cellStyle name="Comma 6 2 3 4 2 2 2" xfId="12047"/>
    <cellStyle name="Comma 6 2 3 4 2 2 2 2" xfId="20072"/>
    <cellStyle name="Comma 6 2 3 4 2 2 2 2 2" xfId="34097"/>
    <cellStyle name="Comma 6 2 3 4 2 2 2 3" xfId="26086"/>
    <cellStyle name="Comma 6 2 3 4 2 2 3" xfId="14062"/>
    <cellStyle name="Comma 6 2 3 4 2 2 3 2" xfId="22077"/>
    <cellStyle name="Comma 6 2 3 4 2 2 3 2 2" xfId="36102"/>
    <cellStyle name="Comma 6 2 3 4 2 2 3 3" xfId="28091"/>
    <cellStyle name="Comma 6 2 3 4 2 2 4" xfId="16068"/>
    <cellStyle name="Comma 6 2 3 4 2 2 4 2" xfId="30093"/>
    <cellStyle name="Comma 6 2 3 4 2 2 5" xfId="18070"/>
    <cellStyle name="Comma 6 2 3 4 2 2 5 2" xfId="32095"/>
    <cellStyle name="Comma 6 2 3 4 2 2 6" xfId="24084"/>
    <cellStyle name="Comma 6 2 3 4 2 3" xfId="12046"/>
    <cellStyle name="Comma 6 2 3 4 2 3 2" xfId="20071"/>
    <cellStyle name="Comma 6 2 3 4 2 3 2 2" xfId="34096"/>
    <cellStyle name="Comma 6 2 3 4 2 3 3" xfId="26085"/>
    <cellStyle name="Comma 6 2 3 4 2 4" xfId="14061"/>
    <cellStyle name="Comma 6 2 3 4 2 4 2" xfId="22076"/>
    <cellStyle name="Comma 6 2 3 4 2 4 2 2" xfId="36101"/>
    <cellStyle name="Comma 6 2 3 4 2 4 3" xfId="28090"/>
    <cellStyle name="Comma 6 2 3 4 2 5" xfId="16067"/>
    <cellStyle name="Comma 6 2 3 4 2 5 2" xfId="30092"/>
    <cellStyle name="Comma 6 2 3 4 2 6" xfId="18069"/>
    <cellStyle name="Comma 6 2 3 4 2 6 2" xfId="32094"/>
    <cellStyle name="Comma 6 2 3 4 2 7" xfId="24083"/>
    <cellStyle name="Comma 6 2 3 4 3" xfId="1306"/>
    <cellStyle name="Comma 6 2 3 4 3 2" xfId="12048"/>
    <cellStyle name="Comma 6 2 3 4 3 2 2" xfId="20073"/>
    <cellStyle name="Comma 6 2 3 4 3 2 2 2" xfId="34098"/>
    <cellStyle name="Comma 6 2 3 4 3 2 3" xfId="26087"/>
    <cellStyle name="Comma 6 2 3 4 3 3" xfId="14063"/>
    <cellStyle name="Comma 6 2 3 4 3 3 2" xfId="22078"/>
    <cellStyle name="Comma 6 2 3 4 3 3 2 2" xfId="36103"/>
    <cellStyle name="Comma 6 2 3 4 3 3 3" xfId="28092"/>
    <cellStyle name="Comma 6 2 3 4 3 4" xfId="16069"/>
    <cellStyle name="Comma 6 2 3 4 3 4 2" xfId="30094"/>
    <cellStyle name="Comma 6 2 3 4 3 5" xfId="18071"/>
    <cellStyle name="Comma 6 2 3 4 3 5 2" xfId="32096"/>
    <cellStyle name="Comma 6 2 3 4 3 6" xfId="24085"/>
    <cellStyle name="Comma 6 2 3 4 4" xfId="12045"/>
    <cellStyle name="Comma 6 2 3 4 4 2" xfId="20070"/>
    <cellStyle name="Comma 6 2 3 4 4 2 2" xfId="34095"/>
    <cellStyle name="Comma 6 2 3 4 4 3" xfId="26084"/>
    <cellStyle name="Comma 6 2 3 4 5" xfId="14060"/>
    <cellStyle name="Comma 6 2 3 4 5 2" xfId="22075"/>
    <cellStyle name="Comma 6 2 3 4 5 2 2" xfId="36100"/>
    <cellStyle name="Comma 6 2 3 4 5 3" xfId="28089"/>
    <cellStyle name="Comma 6 2 3 4 6" xfId="16066"/>
    <cellStyle name="Comma 6 2 3 4 6 2" xfId="30091"/>
    <cellStyle name="Comma 6 2 3 4 7" xfId="18068"/>
    <cellStyle name="Comma 6 2 3 4 7 2" xfId="32093"/>
    <cellStyle name="Comma 6 2 3 4 8" xfId="24082"/>
    <cellStyle name="Comma 6 2 3 5" xfId="1307"/>
    <cellStyle name="Comma 6 2 3 5 2" xfId="1308"/>
    <cellStyle name="Comma 6 2 3 5 2 2" xfId="12050"/>
    <cellStyle name="Comma 6 2 3 5 2 2 2" xfId="20075"/>
    <cellStyle name="Comma 6 2 3 5 2 2 2 2" xfId="34100"/>
    <cellStyle name="Comma 6 2 3 5 2 2 3" xfId="26089"/>
    <cellStyle name="Comma 6 2 3 5 2 3" xfId="14065"/>
    <cellStyle name="Comma 6 2 3 5 2 3 2" xfId="22080"/>
    <cellStyle name="Comma 6 2 3 5 2 3 2 2" xfId="36105"/>
    <cellStyle name="Comma 6 2 3 5 2 3 3" xfId="28094"/>
    <cellStyle name="Comma 6 2 3 5 2 4" xfId="16071"/>
    <cellStyle name="Comma 6 2 3 5 2 4 2" xfId="30096"/>
    <cellStyle name="Comma 6 2 3 5 2 5" xfId="18073"/>
    <cellStyle name="Comma 6 2 3 5 2 5 2" xfId="32098"/>
    <cellStyle name="Comma 6 2 3 5 2 6" xfId="24087"/>
    <cellStyle name="Comma 6 2 3 5 3" xfId="12049"/>
    <cellStyle name="Comma 6 2 3 5 3 2" xfId="20074"/>
    <cellStyle name="Comma 6 2 3 5 3 2 2" xfId="34099"/>
    <cellStyle name="Comma 6 2 3 5 3 3" xfId="26088"/>
    <cellStyle name="Comma 6 2 3 5 4" xfId="14064"/>
    <cellStyle name="Comma 6 2 3 5 4 2" xfId="22079"/>
    <cellStyle name="Comma 6 2 3 5 4 2 2" xfId="36104"/>
    <cellStyle name="Comma 6 2 3 5 4 3" xfId="28093"/>
    <cellStyle name="Comma 6 2 3 5 5" xfId="16070"/>
    <cellStyle name="Comma 6 2 3 5 5 2" xfId="30095"/>
    <cellStyle name="Comma 6 2 3 5 6" xfId="18072"/>
    <cellStyle name="Comma 6 2 3 5 6 2" xfId="32097"/>
    <cellStyle name="Comma 6 2 3 5 7" xfId="24086"/>
    <cellStyle name="Comma 6 2 3 6" xfId="1309"/>
    <cellStyle name="Comma 6 2 3 6 2" xfId="1310"/>
    <cellStyle name="Comma 6 2 3 6 2 2" xfId="12052"/>
    <cellStyle name="Comma 6 2 3 6 2 2 2" xfId="20077"/>
    <cellStyle name="Comma 6 2 3 6 2 2 2 2" xfId="34102"/>
    <cellStyle name="Comma 6 2 3 6 2 2 3" xfId="26091"/>
    <cellStyle name="Comma 6 2 3 6 2 3" xfId="14067"/>
    <cellStyle name="Comma 6 2 3 6 2 3 2" xfId="22082"/>
    <cellStyle name="Comma 6 2 3 6 2 3 2 2" xfId="36107"/>
    <cellStyle name="Comma 6 2 3 6 2 3 3" xfId="28096"/>
    <cellStyle name="Comma 6 2 3 6 2 4" xfId="16073"/>
    <cellStyle name="Comma 6 2 3 6 2 4 2" xfId="30098"/>
    <cellStyle name="Comma 6 2 3 6 2 5" xfId="18075"/>
    <cellStyle name="Comma 6 2 3 6 2 5 2" xfId="32100"/>
    <cellStyle name="Comma 6 2 3 6 2 6" xfId="24089"/>
    <cellStyle name="Comma 6 2 3 6 3" xfId="12051"/>
    <cellStyle name="Comma 6 2 3 6 3 2" xfId="20076"/>
    <cellStyle name="Comma 6 2 3 6 3 2 2" xfId="34101"/>
    <cellStyle name="Comma 6 2 3 6 3 3" xfId="26090"/>
    <cellStyle name="Comma 6 2 3 6 4" xfId="14066"/>
    <cellStyle name="Comma 6 2 3 6 4 2" xfId="22081"/>
    <cellStyle name="Comma 6 2 3 6 4 2 2" xfId="36106"/>
    <cellStyle name="Comma 6 2 3 6 4 3" xfId="28095"/>
    <cellStyle name="Comma 6 2 3 6 5" xfId="16072"/>
    <cellStyle name="Comma 6 2 3 6 5 2" xfId="30097"/>
    <cellStyle name="Comma 6 2 3 6 6" xfId="18074"/>
    <cellStyle name="Comma 6 2 3 6 6 2" xfId="32099"/>
    <cellStyle name="Comma 6 2 3 6 7" xfId="24088"/>
    <cellStyle name="Comma 6 2 3 7" xfId="1311"/>
    <cellStyle name="Comma 6 2 3 7 2" xfId="12053"/>
    <cellStyle name="Comma 6 2 3 7 2 2" xfId="20078"/>
    <cellStyle name="Comma 6 2 3 7 2 2 2" xfId="34103"/>
    <cellStyle name="Comma 6 2 3 7 2 3" xfId="26092"/>
    <cellStyle name="Comma 6 2 3 7 3" xfId="14068"/>
    <cellStyle name="Comma 6 2 3 7 3 2" xfId="22083"/>
    <cellStyle name="Comma 6 2 3 7 3 2 2" xfId="36108"/>
    <cellStyle name="Comma 6 2 3 7 3 3" xfId="28097"/>
    <cellStyle name="Comma 6 2 3 7 4" xfId="16074"/>
    <cellStyle name="Comma 6 2 3 7 4 2" xfId="30099"/>
    <cellStyle name="Comma 6 2 3 7 5" xfId="18076"/>
    <cellStyle name="Comma 6 2 3 7 5 2" xfId="32101"/>
    <cellStyle name="Comma 6 2 3 7 6" xfId="24090"/>
    <cellStyle name="Comma 6 2 3 8" xfId="12014"/>
    <cellStyle name="Comma 6 2 3 8 2" xfId="20039"/>
    <cellStyle name="Comma 6 2 3 8 2 2" xfId="34064"/>
    <cellStyle name="Comma 6 2 3 8 3" xfId="26053"/>
    <cellStyle name="Comma 6 2 3 9" xfId="14029"/>
    <cellStyle name="Comma 6 2 3 9 2" xfId="22044"/>
    <cellStyle name="Comma 6 2 3 9 2 2" xfId="36069"/>
    <cellStyle name="Comma 6 2 3 9 3" xfId="28058"/>
    <cellStyle name="Comma 6 2 4" xfId="1312"/>
    <cellStyle name="Comma 6 2 4 10" xfId="18077"/>
    <cellStyle name="Comma 6 2 4 10 2" xfId="32102"/>
    <cellStyle name="Comma 6 2 4 11" xfId="24091"/>
    <cellStyle name="Comma 6 2 4 2" xfId="1313"/>
    <cellStyle name="Comma 6 2 4 2 10" xfId="24092"/>
    <cellStyle name="Comma 6 2 4 2 2" xfId="1314"/>
    <cellStyle name="Comma 6 2 4 2 2 2" xfId="1315"/>
    <cellStyle name="Comma 6 2 4 2 2 2 2" xfId="1316"/>
    <cellStyle name="Comma 6 2 4 2 2 2 2 2" xfId="12058"/>
    <cellStyle name="Comma 6 2 4 2 2 2 2 2 2" xfId="20083"/>
    <cellStyle name="Comma 6 2 4 2 2 2 2 2 2 2" xfId="34108"/>
    <cellStyle name="Comma 6 2 4 2 2 2 2 2 3" xfId="26097"/>
    <cellStyle name="Comma 6 2 4 2 2 2 2 3" xfId="14073"/>
    <cellStyle name="Comma 6 2 4 2 2 2 2 3 2" xfId="22088"/>
    <cellStyle name="Comma 6 2 4 2 2 2 2 3 2 2" xfId="36113"/>
    <cellStyle name="Comma 6 2 4 2 2 2 2 3 3" xfId="28102"/>
    <cellStyle name="Comma 6 2 4 2 2 2 2 4" xfId="16079"/>
    <cellStyle name="Comma 6 2 4 2 2 2 2 4 2" xfId="30104"/>
    <cellStyle name="Comma 6 2 4 2 2 2 2 5" xfId="18081"/>
    <cellStyle name="Comma 6 2 4 2 2 2 2 5 2" xfId="32106"/>
    <cellStyle name="Comma 6 2 4 2 2 2 2 6" xfId="24095"/>
    <cellStyle name="Comma 6 2 4 2 2 2 3" xfId="12057"/>
    <cellStyle name="Comma 6 2 4 2 2 2 3 2" xfId="20082"/>
    <cellStyle name="Comma 6 2 4 2 2 2 3 2 2" xfId="34107"/>
    <cellStyle name="Comma 6 2 4 2 2 2 3 3" xfId="26096"/>
    <cellStyle name="Comma 6 2 4 2 2 2 4" xfId="14072"/>
    <cellStyle name="Comma 6 2 4 2 2 2 4 2" xfId="22087"/>
    <cellStyle name="Comma 6 2 4 2 2 2 4 2 2" xfId="36112"/>
    <cellStyle name="Comma 6 2 4 2 2 2 4 3" xfId="28101"/>
    <cellStyle name="Comma 6 2 4 2 2 2 5" xfId="16078"/>
    <cellStyle name="Comma 6 2 4 2 2 2 5 2" xfId="30103"/>
    <cellStyle name="Comma 6 2 4 2 2 2 6" xfId="18080"/>
    <cellStyle name="Comma 6 2 4 2 2 2 6 2" xfId="32105"/>
    <cellStyle name="Comma 6 2 4 2 2 2 7" xfId="24094"/>
    <cellStyle name="Comma 6 2 4 2 2 3" xfId="1317"/>
    <cellStyle name="Comma 6 2 4 2 2 3 2" xfId="12059"/>
    <cellStyle name="Comma 6 2 4 2 2 3 2 2" xfId="20084"/>
    <cellStyle name="Comma 6 2 4 2 2 3 2 2 2" xfId="34109"/>
    <cellStyle name="Comma 6 2 4 2 2 3 2 3" xfId="26098"/>
    <cellStyle name="Comma 6 2 4 2 2 3 3" xfId="14074"/>
    <cellStyle name="Comma 6 2 4 2 2 3 3 2" xfId="22089"/>
    <cellStyle name="Comma 6 2 4 2 2 3 3 2 2" xfId="36114"/>
    <cellStyle name="Comma 6 2 4 2 2 3 3 3" xfId="28103"/>
    <cellStyle name="Comma 6 2 4 2 2 3 4" xfId="16080"/>
    <cellStyle name="Comma 6 2 4 2 2 3 4 2" xfId="30105"/>
    <cellStyle name="Comma 6 2 4 2 2 3 5" xfId="18082"/>
    <cellStyle name="Comma 6 2 4 2 2 3 5 2" xfId="32107"/>
    <cellStyle name="Comma 6 2 4 2 2 3 6" xfId="24096"/>
    <cellStyle name="Comma 6 2 4 2 2 4" xfId="12056"/>
    <cellStyle name="Comma 6 2 4 2 2 4 2" xfId="20081"/>
    <cellStyle name="Comma 6 2 4 2 2 4 2 2" xfId="34106"/>
    <cellStyle name="Comma 6 2 4 2 2 4 3" xfId="26095"/>
    <cellStyle name="Comma 6 2 4 2 2 5" xfId="14071"/>
    <cellStyle name="Comma 6 2 4 2 2 5 2" xfId="22086"/>
    <cellStyle name="Comma 6 2 4 2 2 5 2 2" xfId="36111"/>
    <cellStyle name="Comma 6 2 4 2 2 5 3" xfId="28100"/>
    <cellStyle name="Comma 6 2 4 2 2 6" xfId="16077"/>
    <cellStyle name="Comma 6 2 4 2 2 6 2" xfId="30102"/>
    <cellStyle name="Comma 6 2 4 2 2 7" xfId="18079"/>
    <cellStyle name="Comma 6 2 4 2 2 7 2" xfId="32104"/>
    <cellStyle name="Comma 6 2 4 2 2 8" xfId="24093"/>
    <cellStyle name="Comma 6 2 4 2 3" xfId="1318"/>
    <cellStyle name="Comma 6 2 4 2 3 2" xfId="1319"/>
    <cellStyle name="Comma 6 2 4 2 3 2 2" xfId="12061"/>
    <cellStyle name="Comma 6 2 4 2 3 2 2 2" xfId="20086"/>
    <cellStyle name="Comma 6 2 4 2 3 2 2 2 2" xfId="34111"/>
    <cellStyle name="Comma 6 2 4 2 3 2 2 3" xfId="26100"/>
    <cellStyle name="Comma 6 2 4 2 3 2 3" xfId="14076"/>
    <cellStyle name="Comma 6 2 4 2 3 2 3 2" xfId="22091"/>
    <cellStyle name="Comma 6 2 4 2 3 2 3 2 2" xfId="36116"/>
    <cellStyle name="Comma 6 2 4 2 3 2 3 3" xfId="28105"/>
    <cellStyle name="Comma 6 2 4 2 3 2 4" xfId="16082"/>
    <cellStyle name="Comma 6 2 4 2 3 2 4 2" xfId="30107"/>
    <cellStyle name="Comma 6 2 4 2 3 2 5" xfId="18084"/>
    <cellStyle name="Comma 6 2 4 2 3 2 5 2" xfId="32109"/>
    <cellStyle name="Comma 6 2 4 2 3 2 6" xfId="24098"/>
    <cellStyle name="Comma 6 2 4 2 3 3" xfId="12060"/>
    <cellStyle name="Comma 6 2 4 2 3 3 2" xfId="20085"/>
    <cellStyle name="Comma 6 2 4 2 3 3 2 2" xfId="34110"/>
    <cellStyle name="Comma 6 2 4 2 3 3 3" xfId="26099"/>
    <cellStyle name="Comma 6 2 4 2 3 4" xfId="14075"/>
    <cellStyle name="Comma 6 2 4 2 3 4 2" xfId="22090"/>
    <cellStyle name="Comma 6 2 4 2 3 4 2 2" xfId="36115"/>
    <cellStyle name="Comma 6 2 4 2 3 4 3" xfId="28104"/>
    <cellStyle name="Comma 6 2 4 2 3 5" xfId="16081"/>
    <cellStyle name="Comma 6 2 4 2 3 5 2" xfId="30106"/>
    <cellStyle name="Comma 6 2 4 2 3 6" xfId="18083"/>
    <cellStyle name="Comma 6 2 4 2 3 6 2" xfId="32108"/>
    <cellStyle name="Comma 6 2 4 2 3 7" xfId="24097"/>
    <cellStyle name="Comma 6 2 4 2 4" xfId="1320"/>
    <cellStyle name="Comma 6 2 4 2 4 2" xfId="1321"/>
    <cellStyle name="Comma 6 2 4 2 4 2 2" xfId="12063"/>
    <cellStyle name="Comma 6 2 4 2 4 2 2 2" xfId="20088"/>
    <cellStyle name="Comma 6 2 4 2 4 2 2 2 2" xfId="34113"/>
    <cellStyle name="Comma 6 2 4 2 4 2 2 3" xfId="26102"/>
    <cellStyle name="Comma 6 2 4 2 4 2 3" xfId="14078"/>
    <cellStyle name="Comma 6 2 4 2 4 2 3 2" xfId="22093"/>
    <cellStyle name="Comma 6 2 4 2 4 2 3 2 2" xfId="36118"/>
    <cellStyle name="Comma 6 2 4 2 4 2 3 3" xfId="28107"/>
    <cellStyle name="Comma 6 2 4 2 4 2 4" xfId="16084"/>
    <cellStyle name="Comma 6 2 4 2 4 2 4 2" xfId="30109"/>
    <cellStyle name="Comma 6 2 4 2 4 2 5" xfId="18086"/>
    <cellStyle name="Comma 6 2 4 2 4 2 5 2" xfId="32111"/>
    <cellStyle name="Comma 6 2 4 2 4 2 6" xfId="24100"/>
    <cellStyle name="Comma 6 2 4 2 4 3" xfId="12062"/>
    <cellStyle name="Comma 6 2 4 2 4 3 2" xfId="20087"/>
    <cellStyle name="Comma 6 2 4 2 4 3 2 2" xfId="34112"/>
    <cellStyle name="Comma 6 2 4 2 4 3 3" xfId="26101"/>
    <cellStyle name="Comma 6 2 4 2 4 4" xfId="14077"/>
    <cellStyle name="Comma 6 2 4 2 4 4 2" xfId="22092"/>
    <cellStyle name="Comma 6 2 4 2 4 4 2 2" xfId="36117"/>
    <cellStyle name="Comma 6 2 4 2 4 4 3" xfId="28106"/>
    <cellStyle name="Comma 6 2 4 2 4 5" xfId="16083"/>
    <cellStyle name="Comma 6 2 4 2 4 5 2" xfId="30108"/>
    <cellStyle name="Comma 6 2 4 2 4 6" xfId="18085"/>
    <cellStyle name="Comma 6 2 4 2 4 6 2" xfId="32110"/>
    <cellStyle name="Comma 6 2 4 2 4 7" xfId="24099"/>
    <cellStyle name="Comma 6 2 4 2 5" xfId="1322"/>
    <cellStyle name="Comma 6 2 4 2 5 2" xfId="12064"/>
    <cellStyle name="Comma 6 2 4 2 5 2 2" xfId="20089"/>
    <cellStyle name="Comma 6 2 4 2 5 2 2 2" xfId="34114"/>
    <cellStyle name="Comma 6 2 4 2 5 2 3" xfId="26103"/>
    <cellStyle name="Comma 6 2 4 2 5 3" xfId="14079"/>
    <cellStyle name="Comma 6 2 4 2 5 3 2" xfId="22094"/>
    <cellStyle name="Comma 6 2 4 2 5 3 2 2" xfId="36119"/>
    <cellStyle name="Comma 6 2 4 2 5 3 3" xfId="28108"/>
    <cellStyle name="Comma 6 2 4 2 5 4" xfId="16085"/>
    <cellStyle name="Comma 6 2 4 2 5 4 2" xfId="30110"/>
    <cellStyle name="Comma 6 2 4 2 5 5" xfId="18087"/>
    <cellStyle name="Comma 6 2 4 2 5 5 2" xfId="32112"/>
    <cellStyle name="Comma 6 2 4 2 5 6" xfId="24101"/>
    <cellStyle name="Comma 6 2 4 2 6" xfId="12055"/>
    <cellStyle name="Comma 6 2 4 2 6 2" xfId="20080"/>
    <cellStyle name="Comma 6 2 4 2 6 2 2" xfId="34105"/>
    <cellStyle name="Comma 6 2 4 2 6 3" xfId="26094"/>
    <cellStyle name="Comma 6 2 4 2 7" xfId="14070"/>
    <cellStyle name="Comma 6 2 4 2 7 2" xfId="22085"/>
    <cellStyle name="Comma 6 2 4 2 7 2 2" xfId="36110"/>
    <cellStyle name="Comma 6 2 4 2 7 3" xfId="28099"/>
    <cellStyle name="Comma 6 2 4 2 8" xfId="16076"/>
    <cellStyle name="Comma 6 2 4 2 8 2" xfId="30101"/>
    <cellStyle name="Comma 6 2 4 2 9" xfId="18078"/>
    <cellStyle name="Comma 6 2 4 2 9 2" xfId="32103"/>
    <cellStyle name="Comma 6 2 4 3" xfId="1323"/>
    <cellStyle name="Comma 6 2 4 3 2" xfId="1324"/>
    <cellStyle name="Comma 6 2 4 3 2 2" xfId="1325"/>
    <cellStyle name="Comma 6 2 4 3 2 2 2" xfId="12067"/>
    <cellStyle name="Comma 6 2 4 3 2 2 2 2" xfId="20092"/>
    <cellStyle name="Comma 6 2 4 3 2 2 2 2 2" xfId="34117"/>
    <cellStyle name="Comma 6 2 4 3 2 2 2 3" xfId="26106"/>
    <cellStyle name="Comma 6 2 4 3 2 2 3" xfId="14082"/>
    <cellStyle name="Comma 6 2 4 3 2 2 3 2" xfId="22097"/>
    <cellStyle name="Comma 6 2 4 3 2 2 3 2 2" xfId="36122"/>
    <cellStyle name="Comma 6 2 4 3 2 2 3 3" xfId="28111"/>
    <cellStyle name="Comma 6 2 4 3 2 2 4" xfId="16088"/>
    <cellStyle name="Comma 6 2 4 3 2 2 4 2" xfId="30113"/>
    <cellStyle name="Comma 6 2 4 3 2 2 5" xfId="18090"/>
    <cellStyle name="Comma 6 2 4 3 2 2 5 2" xfId="32115"/>
    <cellStyle name="Comma 6 2 4 3 2 2 6" xfId="24104"/>
    <cellStyle name="Comma 6 2 4 3 2 3" xfId="12066"/>
    <cellStyle name="Comma 6 2 4 3 2 3 2" xfId="20091"/>
    <cellStyle name="Comma 6 2 4 3 2 3 2 2" xfId="34116"/>
    <cellStyle name="Comma 6 2 4 3 2 3 3" xfId="26105"/>
    <cellStyle name="Comma 6 2 4 3 2 4" xfId="14081"/>
    <cellStyle name="Comma 6 2 4 3 2 4 2" xfId="22096"/>
    <cellStyle name="Comma 6 2 4 3 2 4 2 2" xfId="36121"/>
    <cellStyle name="Comma 6 2 4 3 2 4 3" xfId="28110"/>
    <cellStyle name="Comma 6 2 4 3 2 5" xfId="16087"/>
    <cellStyle name="Comma 6 2 4 3 2 5 2" xfId="30112"/>
    <cellStyle name="Comma 6 2 4 3 2 6" xfId="18089"/>
    <cellStyle name="Comma 6 2 4 3 2 6 2" xfId="32114"/>
    <cellStyle name="Comma 6 2 4 3 2 7" xfId="24103"/>
    <cellStyle name="Comma 6 2 4 3 3" xfId="1326"/>
    <cellStyle name="Comma 6 2 4 3 3 2" xfId="12068"/>
    <cellStyle name="Comma 6 2 4 3 3 2 2" xfId="20093"/>
    <cellStyle name="Comma 6 2 4 3 3 2 2 2" xfId="34118"/>
    <cellStyle name="Comma 6 2 4 3 3 2 3" xfId="26107"/>
    <cellStyle name="Comma 6 2 4 3 3 3" xfId="14083"/>
    <cellStyle name="Comma 6 2 4 3 3 3 2" xfId="22098"/>
    <cellStyle name="Comma 6 2 4 3 3 3 2 2" xfId="36123"/>
    <cellStyle name="Comma 6 2 4 3 3 3 3" xfId="28112"/>
    <cellStyle name="Comma 6 2 4 3 3 4" xfId="16089"/>
    <cellStyle name="Comma 6 2 4 3 3 4 2" xfId="30114"/>
    <cellStyle name="Comma 6 2 4 3 3 5" xfId="18091"/>
    <cellStyle name="Comma 6 2 4 3 3 5 2" xfId="32116"/>
    <cellStyle name="Comma 6 2 4 3 3 6" xfId="24105"/>
    <cellStyle name="Comma 6 2 4 3 4" xfId="12065"/>
    <cellStyle name="Comma 6 2 4 3 4 2" xfId="20090"/>
    <cellStyle name="Comma 6 2 4 3 4 2 2" xfId="34115"/>
    <cellStyle name="Comma 6 2 4 3 4 3" xfId="26104"/>
    <cellStyle name="Comma 6 2 4 3 5" xfId="14080"/>
    <cellStyle name="Comma 6 2 4 3 5 2" xfId="22095"/>
    <cellStyle name="Comma 6 2 4 3 5 2 2" xfId="36120"/>
    <cellStyle name="Comma 6 2 4 3 5 3" xfId="28109"/>
    <cellStyle name="Comma 6 2 4 3 6" xfId="16086"/>
    <cellStyle name="Comma 6 2 4 3 6 2" xfId="30111"/>
    <cellStyle name="Comma 6 2 4 3 7" xfId="18088"/>
    <cellStyle name="Comma 6 2 4 3 7 2" xfId="32113"/>
    <cellStyle name="Comma 6 2 4 3 8" xfId="24102"/>
    <cellStyle name="Comma 6 2 4 4" xfId="1327"/>
    <cellStyle name="Comma 6 2 4 4 2" xfId="1328"/>
    <cellStyle name="Comma 6 2 4 4 2 2" xfId="12070"/>
    <cellStyle name="Comma 6 2 4 4 2 2 2" xfId="20095"/>
    <cellStyle name="Comma 6 2 4 4 2 2 2 2" xfId="34120"/>
    <cellStyle name="Comma 6 2 4 4 2 2 3" xfId="26109"/>
    <cellStyle name="Comma 6 2 4 4 2 3" xfId="14085"/>
    <cellStyle name="Comma 6 2 4 4 2 3 2" xfId="22100"/>
    <cellStyle name="Comma 6 2 4 4 2 3 2 2" xfId="36125"/>
    <cellStyle name="Comma 6 2 4 4 2 3 3" xfId="28114"/>
    <cellStyle name="Comma 6 2 4 4 2 4" xfId="16091"/>
    <cellStyle name="Comma 6 2 4 4 2 4 2" xfId="30116"/>
    <cellStyle name="Comma 6 2 4 4 2 5" xfId="18093"/>
    <cellStyle name="Comma 6 2 4 4 2 5 2" xfId="32118"/>
    <cellStyle name="Comma 6 2 4 4 2 6" xfId="24107"/>
    <cellStyle name="Comma 6 2 4 4 3" xfId="12069"/>
    <cellStyle name="Comma 6 2 4 4 3 2" xfId="20094"/>
    <cellStyle name="Comma 6 2 4 4 3 2 2" xfId="34119"/>
    <cellStyle name="Comma 6 2 4 4 3 3" xfId="26108"/>
    <cellStyle name="Comma 6 2 4 4 4" xfId="14084"/>
    <cellStyle name="Comma 6 2 4 4 4 2" xfId="22099"/>
    <cellStyle name="Comma 6 2 4 4 4 2 2" xfId="36124"/>
    <cellStyle name="Comma 6 2 4 4 4 3" xfId="28113"/>
    <cellStyle name="Comma 6 2 4 4 5" xfId="16090"/>
    <cellStyle name="Comma 6 2 4 4 5 2" xfId="30115"/>
    <cellStyle name="Comma 6 2 4 4 6" xfId="18092"/>
    <cellStyle name="Comma 6 2 4 4 6 2" xfId="32117"/>
    <cellStyle name="Comma 6 2 4 4 7" xfId="24106"/>
    <cellStyle name="Comma 6 2 4 5" xfId="1329"/>
    <cellStyle name="Comma 6 2 4 5 2" xfId="1330"/>
    <cellStyle name="Comma 6 2 4 5 2 2" xfId="12072"/>
    <cellStyle name="Comma 6 2 4 5 2 2 2" xfId="20097"/>
    <cellStyle name="Comma 6 2 4 5 2 2 2 2" xfId="34122"/>
    <cellStyle name="Comma 6 2 4 5 2 2 3" xfId="26111"/>
    <cellStyle name="Comma 6 2 4 5 2 3" xfId="14087"/>
    <cellStyle name="Comma 6 2 4 5 2 3 2" xfId="22102"/>
    <cellStyle name="Comma 6 2 4 5 2 3 2 2" xfId="36127"/>
    <cellStyle name="Comma 6 2 4 5 2 3 3" xfId="28116"/>
    <cellStyle name="Comma 6 2 4 5 2 4" xfId="16093"/>
    <cellStyle name="Comma 6 2 4 5 2 4 2" xfId="30118"/>
    <cellStyle name="Comma 6 2 4 5 2 5" xfId="18095"/>
    <cellStyle name="Comma 6 2 4 5 2 5 2" xfId="32120"/>
    <cellStyle name="Comma 6 2 4 5 2 6" xfId="24109"/>
    <cellStyle name="Comma 6 2 4 5 3" xfId="12071"/>
    <cellStyle name="Comma 6 2 4 5 3 2" xfId="20096"/>
    <cellStyle name="Comma 6 2 4 5 3 2 2" xfId="34121"/>
    <cellStyle name="Comma 6 2 4 5 3 3" xfId="26110"/>
    <cellStyle name="Comma 6 2 4 5 4" xfId="14086"/>
    <cellStyle name="Comma 6 2 4 5 4 2" xfId="22101"/>
    <cellStyle name="Comma 6 2 4 5 4 2 2" xfId="36126"/>
    <cellStyle name="Comma 6 2 4 5 4 3" xfId="28115"/>
    <cellStyle name="Comma 6 2 4 5 5" xfId="16092"/>
    <cellStyle name="Comma 6 2 4 5 5 2" xfId="30117"/>
    <cellStyle name="Comma 6 2 4 5 6" xfId="18094"/>
    <cellStyle name="Comma 6 2 4 5 6 2" xfId="32119"/>
    <cellStyle name="Comma 6 2 4 5 7" xfId="24108"/>
    <cellStyle name="Comma 6 2 4 6" xfId="1331"/>
    <cellStyle name="Comma 6 2 4 6 2" xfId="12073"/>
    <cellStyle name="Comma 6 2 4 6 2 2" xfId="20098"/>
    <cellStyle name="Comma 6 2 4 6 2 2 2" xfId="34123"/>
    <cellStyle name="Comma 6 2 4 6 2 3" xfId="26112"/>
    <cellStyle name="Comma 6 2 4 6 3" xfId="14088"/>
    <cellStyle name="Comma 6 2 4 6 3 2" xfId="22103"/>
    <cellStyle name="Comma 6 2 4 6 3 2 2" xfId="36128"/>
    <cellStyle name="Comma 6 2 4 6 3 3" xfId="28117"/>
    <cellStyle name="Comma 6 2 4 6 4" xfId="16094"/>
    <cellStyle name="Comma 6 2 4 6 4 2" xfId="30119"/>
    <cellStyle name="Comma 6 2 4 6 5" xfId="18096"/>
    <cellStyle name="Comma 6 2 4 6 5 2" xfId="32121"/>
    <cellStyle name="Comma 6 2 4 6 6" xfId="24110"/>
    <cellStyle name="Comma 6 2 4 7" xfId="12054"/>
    <cellStyle name="Comma 6 2 4 7 2" xfId="20079"/>
    <cellStyle name="Comma 6 2 4 7 2 2" xfId="34104"/>
    <cellStyle name="Comma 6 2 4 7 3" xfId="26093"/>
    <cellStyle name="Comma 6 2 4 8" xfId="14069"/>
    <cellStyle name="Comma 6 2 4 8 2" xfId="22084"/>
    <cellStyle name="Comma 6 2 4 8 2 2" xfId="36109"/>
    <cellStyle name="Comma 6 2 4 8 3" xfId="28098"/>
    <cellStyle name="Comma 6 2 4 9" xfId="16075"/>
    <cellStyle name="Comma 6 2 4 9 2" xfId="30100"/>
    <cellStyle name="Comma 6 2 5" xfId="1332"/>
    <cellStyle name="Comma 6 2 5 10" xfId="24111"/>
    <cellStyle name="Comma 6 2 5 2" xfId="1333"/>
    <cellStyle name="Comma 6 2 5 2 2" xfId="1334"/>
    <cellStyle name="Comma 6 2 5 2 2 2" xfId="1335"/>
    <cellStyle name="Comma 6 2 5 2 2 2 2" xfId="12077"/>
    <cellStyle name="Comma 6 2 5 2 2 2 2 2" xfId="20102"/>
    <cellStyle name="Comma 6 2 5 2 2 2 2 2 2" xfId="34127"/>
    <cellStyle name="Comma 6 2 5 2 2 2 2 3" xfId="26116"/>
    <cellStyle name="Comma 6 2 5 2 2 2 3" xfId="14092"/>
    <cellStyle name="Comma 6 2 5 2 2 2 3 2" xfId="22107"/>
    <cellStyle name="Comma 6 2 5 2 2 2 3 2 2" xfId="36132"/>
    <cellStyle name="Comma 6 2 5 2 2 2 3 3" xfId="28121"/>
    <cellStyle name="Comma 6 2 5 2 2 2 4" xfId="16098"/>
    <cellStyle name="Comma 6 2 5 2 2 2 4 2" xfId="30123"/>
    <cellStyle name="Comma 6 2 5 2 2 2 5" xfId="18100"/>
    <cellStyle name="Comma 6 2 5 2 2 2 5 2" xfId="32125"/>
    <cellStyle name="Comma 6 2 5 2 2 2 6" xfId="24114"/>
    <cellStyle name="Comma 6 2 5 2 2 3" xfId="12076"/>
    <cellStyle name="Comma 6 2 5 2 2 3 2" xfId="20101"/>
    <cellStyle name="Comma 6 2 5 2 2 3 2 2" xfId="34126"/>
    <cellStyle name="Comma 6 2 5 2 2 3 3" xfId="26115"/>
    <cellStyle name="Comma 6 2 5 2 2 4" xfId="14091"/>
    <cellStyle name="Comma 6 2 5 2 2 4 2" xfId="22106"/>
    <cellStyle name="Comma 6 2 5 2 2 4 2 2" xfId="36131"/>
    <cellStyle name="Comma 6 2 5 2 2 4 3" xfId="28120"/>
    <cellStyle name="Comma 6 2 5 2 2 5" xfId="16097"/>
    <cellStyle name="Comma 6 2 5 2 2 5 2" xfId="30122"/>
    <cellStyle name="Comma 6 2 5 2 2 6" xfId="18099"/>
    <cellStyle name="Comma 6 2 5 2 2 6 2" xfId="32124"/>
    <cellStyle name="Comma 6 2 5 2 2 7" xfId="24113"/>
    <cellStyle name="Comma 6 2 5 2 3" xfId="1336"/>
    <cellStyle name="Comma 6 2 5 2 3 2" xfId="12078"/>
    <cellStyle name="Comma 6 2 5 2 3 2 2" xfId="20103"/>
    <cellStyle name="Comma 6 2 5 2 3 2 2 2" xfId="34128"/>
    <cellStyle name="Comma 6 2 5 2 3 2 3" xfId="26117"/>
    <cellStyle name="Comma 6 2 5 2 3 3" xfId="14093"/>
    <cellStyle name="Comma 6 2 5 2 3 3 2" xfId="22108"/>
    <cellStyle name="Comma 6 2 5 2 3 3 2 2" xfId="36133"/>
    <cellStyle name="Comma 6 2 5 2 3 3 3" xfId="28122"/>
    <cellStyle name="Comma 6 2 5 2 3 4" xfId="16099"/>
    <cellStyle name="Comma 6 2 5 2 3 4 2" xfId="30124"/>
    <cellStyle name="Comma 6 2 5 2 3 5" xfId="18101"/>
    <cellStyle name="Comma 6 2 5 2 3 5 2" xfId="32126"/>
    <cellStyle name="Comma 6 2 5 2 3 6" xfId="24115"/>
    <cellStyle name="Comma 6 2 5 2 4" xfId="12075"/>
    <cellStyle name="Comma 6 2 5 2 4 2" xfId="20100"/>
    <cellStyle name="Comma 6 2 5 2 4 2 2" xfId="34125"/>
    <cellStyle name="Comma 6 2 5 2 4 3" xfId="26114"/>
    <cellStyle name="Comma 6 2 5 2 5" xfId="14090"/>
    <cellStyle name="Comma 6 2 5 2 5 2" xfId="22105"/>
    <cellStyle name="Comma 6 2 5 2 5 2 2" xfId="36130"/>
    <cellStyle name="Comma 6 2 5 2 5 3" xfId="28119"/>
    <cellStyle name="Comma 6 2 5 2 6" xfId="16096"/>
    <cellStyle name="Comma 6 2 5 2 6 2" xfId="30121"/>
    <cellStyle name="Comma 6 2 5 2 7" xfId="18098"/>
    <cellStyle name="Comma 6 2 5 2 7 2" xfId="32123"/>
    <cellStyle name="Comma 6 2 5 2 8" xfId="24112"/>
    <cellStyle name="Comma 6 2 5 3" xfId="1337"/>
    <cellStyle name="Comma 6 2 5 3 2" xfId="1338"/>
    <cellStyle name="Comma 6 2 5 3 2 2" xfId="12080"/>
    <cellStyle name="Comma 6 2 5 3 2 2 2" xfId="20105"/>
    <cellStyle name="Comma 6 2 5 3 2 2 2 2" xfId="34130"/>
    <cellStyle name="Comma 6 2 5 3 2 2 3" xfId="26119"/>
    <cellStyle name="Comma 6 2 5 3 2 3" xfId="14095"/>
    <cellStyle name="Comma 6 2 5 3 2 3 2" xfId="22110"/>
    <cellStyle name="Comma 6 2 5 3 2 3 2 2" xfId="36135"/>
    <cellStyle name="Comma 6 2 5 3 2 3 3" xfId="28124"/>
    <cellStyle name="Comma 6 2 5 3 2 4" xfId="16101"/>
    <cellStyle name="Comma 6 2 5 3 2 4 2" xfId="30126"/>
    <cellStyle name="Comma 6 2 5 3 2 5" xfId="18103"/>
    <cellStyle name="Comma 6 2 5 3 2 5 2" xfId="32128"/>
    <cellStyle name="Comma 6 2 5 3 2 6" xfId="24117"/>
    <cellStyle name="Comma 6 2 5 3 3" xfId="12079"/>
    <cellStyle name="Comma 6 2 5 3 3 2" xfId="20104"/>
    <cellStyle name="Comma 6 2 5 3 3 2 2" xfId="34129"/>
    <cellStyle name="Comma 6 2 5 3 3 3" xfId="26118"/>
    <cellStyle name="Comma 6 2 5 3 4" xfId="14094"/>
    <cellStyle name="Comma 6 2 5 3 4 2" xfId="22109"/>
    <cellStyle name="Comma 6 2 5 3 4 2 2" xfId="36134"/>
    <cellStyle name="Comma 6 2 5 3 4 3" xfId="28123"/>
    <cellStyle name="Comma 6 2 5 3 5" xfId="16100"/>
    <cellStyle name="Comma 6 2 5 3 5 2" xfId="30125"/>
    <cellStyle name="Comma 6 2 5 3 6" xfId="18102"/>
    <cellStyle name="Comma 6 2 5 3 6 2" xfId="32127"/>
    <cellStyle name="Comma 6 2 5 3 7" xfId="24116"/>
    <cellStyle name="Comma 6 2 5 4" xfId="1339"/>
    <cellStyle name="Comma 6 2 5 4 2" xfId="1340"/>
    <cellStyle name="Comma 6 2 5 4 2 2" xfId="12082"/>
    <cellStyle name="Comma 6 2 5 4 2 2 2" xfId="20107"/>
    <cellStyle name="Comma 6 2 5 4 2 2 2 2" xfId="34132"/>
    <cellStyle name="Comma 6 2 5 4 2 2 3" xfId="26121"/>
    <cellStyle name="Comma 6 2 5 4 2 3" xfId="14097"/>
    <cellStyle name="Comma 6 2 5 4 2 3 2" xfId="22112"/>
    <cellStyle name="Comma 6 2 5 4 2 3 2 2" xfId="36137"/>
    <cellStyle name="Comma 6 2 5 4 2 3 3" xfId="28126"/>
    <cellStyle name="Comma 6 2 5 4 2 4" xfId="16103"/>
    <cellStyle name="Comma 6 2 5 4 2 4 2" xfId="30128"/>
    <cellStyle name="Comma 6 2 5 4 2 5" xfId="18105"/>
    <cellStyle name="Comma 6 2 5 4 2 5 2" xfId="32130"/>
    <cellStyle name="Comma 6 2 5 4 2 6" xfId="24119"/>
    <cellStyle name="Comma 6 2 5 4 3" xfId="12081"/>
    <cellStyle name="Comma 6 2 5 4 3 2" xfId="20106"/>
    <cellStyle name="Comma 6 2 5 4 3 2 2" xfId="34131"/>
    <cellStyle name="Comma 6 2 5 4 3 3" xfId="26120"/>
    <cellStyle name="Comma 6 2 5 4 4" xfId="14096"/>
    <cellStyle name="Comma 6 2 5 4 4 2" xfId="22111"/>
    <cellStyle name="Comma 6 2 5 4 4 2 2" xfId="36136"/>
    <cellStyle name="Comma 6 2 5 4 4 3" xfId="28125"/>
    <cellStyle name="Comma 6 2 5 4 5" xfId="16102"/>
    <cellStyle name="Comma 6 2 5 4 5 2" xfId="30127"/>
    <cellStyle name="Comma 6 2 5 4 6" xfId="18104"/>
    <cellStyle name="Comma 6 2 5 4 6 2" xfId="32129"/>
    <cellStyle name="Comma 6 2 5 4 7" xfId="24118"/>
    <cellStyle name="Comma 6 2 5 5" xfId="1341"/>
    <cellStyle name="Comma 6 2 5 5 2" xfId="12083"/>
    <cellStyle name="Comma 6 2 5 5 2 2" xfId="20108"/>
    <cellStyle name="Comma 6 2 5 5 2 2 2" xfId="34133"/>
    <cellStyle name="Comma 6 2 5 5 2 3" xfId="26122"/>
    <cellStyle name="Comma 6 2 5 5 3" xfId="14098"/>
    <cellStyle name="Comma 6 2 5 5 3 2" xfId="22113"/>
    <cellStyle name="Comma 6 2 5 5 3 2 2" xfId="36138"/>
    <cellStyle name="Comma 6 2 5 5 3 3" xfId="28127"/>
    <cellStyle name="Comma 6 2 5 5 4" xfId="16104"/>
    <cellStyle name="Comma 6 2 5 5 4 2" xfId="30129"/>
    <cellStyle name="Comma 6 2 5 5 5" xfId="18106"/>
    <cellStyle name="Comma 6 2 5 5 5 2" xfId="32131"/>
    <cellStyle name="Comma 6 2 5 5 6" xfId="24120"/>
    <cellStyle name="Comma 6 2 5 6" xfId="12074"/>
    <cellStyle name="Comma 6 2 5 6 2" xfId="20099"/>
    <cellStyle name="Comma 6 2 5 6 2 2" xfId="34124"/>
    <cellStyle name="Comma 6 2 5 6 3" xfId="26113"/>
    <cellStyle name="Comma 6 2 5 7" xfId="14089"/>
    <cellStyle name="Comma 6 2 5 7 2" xfId="22104"/>
    <cellStyle name="Comma 6 2 5 7 2 2" xfId="36129"/>
    <cellStyle name="Comma 6 2 5 7 3" xfId="28118"/>
    <cellStyle name="Comma 6 2 5 8" xfId="16095"/>
    <cellStyle name="Comma 6 2 5 8 2" xfId="30120"/>
    <cellStyle name="Comma 6 2 5 9" xfId="18097"/>
    <cellStyle name="Comma 6 2 5 9 2" xfId="32122"/>
    <cellStyle name="Comma 6 2 6" xfId="1342"/>
    <cellStyle name="Comma 6 2 6 10" xfId="24121"/>
    <cellStyle name="Comma 6 2 6 2" xfId="1343"/>
    <cellStyle name="Comma 6 2 6 2 2" xfId="1344"/>
    <cellStyle name="Comma 6 2 6 2 2 2" xfId="1345"/>
    <cellStyle name="Comma 6 2 6 2 2 2 2" xfId="12087"/>
    <cellStyle name="Comma 6 2 6 2 2 2 2 2" xfId="20112"/>
    <cellStyle name="Comma 6 2 6 2 2 2 2 2 2" xfId="34137"/>
    <cellStyle name="Comma 6 2 6 2 2 2 2 3" xfId="26126"/>
    <cellStyle name="Comma 6 2 6 2 2 2 3" xfId="14102"/>
    <cellStyle name="Comma 6 2 6 2 2 2 3 2" xfId="22117"/>
    <cellStyle name="Comma 6 2 6 2 2 2 3 2 2" xfId="36142"/>
    <cellStyle name="Comma 6 2 6 2 2 2 3 3" xfId="28131"/>
    <cellStyle name="Comma 6 2 6 2 2 2 4" xfId="16108"/>
    <cellStyle name="Comma 6 2 6 2 2 2 4 2" xfId="30133"/>
    <cellStyle name="Comma 6 2 6 2 2 2 5" xfId="18110"/>
    <cellStyle name="Comma 6 2 6 2 2 2 5 2" xfId="32135"/>
    <cellStyle name="Comma 6 2 6 2 2 2 6" xfId="24124"/>
    <cellStyle name="Comma 6 2 6 2 2 3" xfId="12086"/>
    <cellStyle name="Comma 6 2 6 2 2 3 2" xfId="20111"/>
    <cellStyle name="Comma 6 2 6 2 2 3 2 2" xfId="34136"/>
    <cellStyle name="Comma 6 2 6 2 2 3 3" xfId="26125"/>
    <cellStyle name="Comma 6 2 6 2 2 4" xfId="14101"/>
    <cellStyle name="Comma 6 2 6 2 2 4 2" xfId="22116"/>
    <cellStyle name="Comma 6 2 6 2 2 4 2 2" xfId="36141"/>
    <cellStyle name="Comma 6 2 6 2 2 4 3" xfId="28130"/>
    <cellStyle name="Comma 6 2 6 2 2 5" xfId="16107"/>
    <cellStyle name="Comma 6 2 6 2 2 5 2" xfId="30132"/>
    <cellStyle name="Comma 6 2 6 2 2 6" xfId="18109"/>
    <cellStyle name="Comma 6 2 6 2 2 6 2" xfId="32134"/>
    <cellStyle name="Comma 6 2 6 2 2 7" xfId="24123"/>
    <cellStyle name="Comma 6 2 6 2 3" xfId="1346"/>
    <cellStyle name="Comma 6 2 6 2 3 2" xfId="12088"/>
    <cellStyle name="Comma 6 2 6 2 3 2 2" xfId="20113"/>
    <cellStyle name="Comma 6 2 6 2 3 2 2 2" xfId="34138"/>
    <cellStyle name="Comma 6 2 6 2 3 2 3" xfId="26127"/>
    <cellStyle name="Comma 6 2 6 2 3 3" xfId="14103"/>
    <cellStyle name="Comma 6 2 6 2 3 3 2" xfId="22118"/>
    <cellStyle name="Comma 6 2 6 2 3 3 2 2" xfId="36143"/>
    <cellStyle name="Comma 6 2 6 2 3 3 3" xfId="28132"/>
    <cellStyle name="Comma 6 2 6 2 3 4" xfId="16109"/>
    <cellStyle name="Comma 6 2 6 2 3 4 2" xfId="30134"/>
    <cellStyle name="Comma 6 2 6 2 3 5" xfId="18111"/>
    <cellStyle name="Comma 6 2 6 2 3 5 2" xfId="32136"/>
    <cellStyle name="Comma 6 2 6 2 3 6" xfId="24125"/>
    <cellStyle name="Comma 6 2 6 2 4" xfId="12085"/>
    <cellStyle name="Comma 6 2 6 2 4 2" xfId="20110"/>
    <cellStyle name="Comma 6 2 6 2 4 2 2" xfId="34135"/>
    <cellStyle name="Comma 6 2 6 2 4 3" xfId="26124"/>
    <cellStyle name="Comma 6 2 6 2 5" xfId="14100"/>
    <cellStyle name="Comma 6 2 6 2 5 2" xfId="22115"/>
    <cellStyle name="Comma 6 2 6 2 5 2 2" xfId="36140"/>
    <cellStyle name="Comma 6 2 6 2 5 3" xfId="28129"/>
    <cellStyle name="Comma 6 2 6 2 6" xfId="16106"/>
    <cellStyle name="Comma 6 2 6 2 6 2" xfId="30131"/>
    <cellStyle name="Comma 6 2 6 2 7" xfId="18108"/>
    <cellStyle name="Comma 6 2 6 2 7 2" xfId="32133"/>
    <cellStyle name="Comma 6 2 6 2 8" xfId="24122"/>
    <cellStyle name="Comma 6 2 6 3" xfId="1347"/>
    <cellStyle name="Comma 6 2 6 3 2" xfId="1348"/>
    <cellStyle name="Comma 6 2 6 3 2 2" xfId="12090"/>
    <cellStyle name="Comma 6 2 6 3 2 2 2" xfId="20115"/>
    <cellStyle name="Comma 6 2 6 3 2 2 2 2" xfId="34140"/>
    <cellStyle name="Comma 6 2 6 3 2 2 3" xfId="26129"/>
    <cellStyle name="Comma 6 2 6 3 2 3" xfId="14105"/>
    <cellStyle name="Comma 6 2 6 3 2 3 2" xfId="22120"/>
    <cellStyle name="Comma 6 2 6 3 2 3 2 2" xfId="36145"/>
    <cellStyle name="Comma 6 2 6 3 2 3 3" xfId="28134"/>
    <cellStyle name="Comma 6 2 6 3 2 4" xfId="16111"/>
    <cellStyle name="Comma 6 2 6 3 2 4 2" xfId="30136"/>
    <cellStyle name="Comma 6 2 6 3 2 5" xfId="18113"/>
    <cellStyle name="Comma 6 2 6 3 2 5 2" xfId="32138"/>
    <cellStyle name="Comma 6 2 6 3 2 6" xfId="24127"/>
    <cellStyle name="Comma 6 2 6 3 3" xfId="12089"/>
    <cellStyle name="Comma 6 2 6 3 3 2" xfId="20114"/>
    <cellStyle name="Comma 6 2 6 3 3 2 2" xfId="34139"/>
    <cellStyle name="Comma 6 2 6 3 3 3" xfId="26128"/>
    <cellStyle name="Comma 6 2 6 3 4" xfId="14104"/>
    <cellStyle name="Comma 6 2 6 3 4 2" xfId="22119"/>
    <cellStyle name="Comma 6 2 6 3 4 2 2" xfId="36144"/>
    <cellStyle name="Comma 6 2 6 3 4 3" xfId="28133"/>
    <cellStyle name="Comma 6 2 6 3 5" xfId="16110"/>
    <cellStyle name="Comma 6 2 6 3 5 2" xfId="30135"/>
    <cellStyle name="Comma 6 2 6 3 6" xfId="18112"/>
    <cellStyle name="Comma 6 2 6 3 6 2" xfId="32137"/>
    <cellStyle name="Comma 6 2 6 3 7" xfId="24126"/>
    <cellStyle name="Comma 6 2 6 4" xfId="1349"/>
    <cellStyle name="Comma 6 2 6 4 2" xfId="1350"/>
    <cellStyle name="Comma 6 2 6 4 2 2" xfId="12092"/>
    <cellStyle name="Comma 6 2 6 4 2 2 2" xfId="20117"/>
    <cellStyle name="Comma 6 2 6 4 2 2 2 2" xfId="34142"/>
    <cellStyle name="Comma 6 2 6 4 2 2 3" xfId="26131"/>
    <cellStyle name="Comma 6 2 6 4 2 3" xfId="14107"/>
    <cellStyle name="Comma 6 2 6 4 2 3 2" xfId="22122"/>
    <cellStyle name="Comma 6 2 6 4 2 3 2 2" xfId="36147"/>
    <cellStyle name="Comma 6 2 6 4 2 3 3" xfId="28136"/>
    <cellStyle name="Comma 6 2 6 4 2 4" xfId="16113"/>
    <cellStyle name="Comma 6 2 6 4 2 4 2" xfId="30138"/>
    <cellStyle name="Comma 6 2 6 4 2 5" xfId="18115"/>
    <cellStyle name="Comma 6 2 6 4 2 5 2" xfId="32140"/>
    <cellStyle name="Comma 6 2 6 4 2 6" xfId="24129"/>
    <cellStyle name="Comma 6 2 6 4 3" xfId="12091"/>
    <cellStyle name="Comma 6 2 6 4 3 2" xfId="20116"/>
    <cellStyle name="Comma 6 2 6 4 3 2 2" xfId="34141"/>
    <cellStyle name="Comma 6 2 6 4 3 3" xfId="26130"/>
    <cellStyle name="Comma 6 2 6 4 4" xfId="14106"/>
    <cellStyle name="Comma 6 2 6 4 4 2" xfId="22121"/>
    <cellStyle name="Comma 6 2 6 4 4 2 2" xfId="36146"/>
    <cellStyle name="Comma 6 2 6 4 4 3" xfId="28135"/>
    <cellStyle name="Comma 6 2 6 4 5" xfId="16112"/>
    <cellStyle name="Comma 6 2 6 4 5 2" xfId="30137"/>
    <cellStyle name="Comma 6 2 6 4 6" xfId="18114"/>
    <cellStyle name="Comma 6 2 6 4 6 2" xfId="32139"/>
    <cellStyle name="Comma 6 2 6 4 7" xfId="24128"/>
    <cellStyle name="Comma 6 2 6 5" xfId="1351"/>
    <cellStyle name="Comma 6 2 6 5 2" xfId="12093"/>
    <cellStyle name="Comma 6 2 6 5 2 2" xfId="20118"/>
    <cellStyle name="Comma 6 2 6 5 2 2 2" xfId="34143"/>
    <cellStyle name="Comma 6 2 6 5 2 3" xfId="26132"/>
    <cellStyle name="Comma 6 2 6 5 3" xfId="14108"/>
    <cellStyle name="Comma 6 2 6 5 3 2" xfId="22123"/>
    <cellStyle name="Comma 6 2 6 5 3 2 2" xfId="36148"/>
    <cellStyle name="Comma 6 2 6 5 3 3" xfId="28137"/>
    <cellStyle name="Comma 6 2 6 5 4" xfId="16114"/>
    <cellStyle name="Comma 6 2 6 5 4 2" xfId="30139"/>
    <cellStyle name="Comma 6 2 6 5 5" xfId="18116"/>
    <cellStyle name="Comma 6 2 6 5 5 2" xfId="32141"/>
    <cellStyle name="Comma 6 2 6 5 6" xfId="24130"/>
    <cellStyle name="Comma 6 2 6 6" xfId="12084"/>
    <cellStyle name="Comma 6 2 6 6 2" xfId="20109"/>
    <cellStyle name="Comma 6 2 6 6 2 2" xfId="34134"/>
    <cellStyle name="Comma 6 2 6 6 3" xfId="26123"/>
    <cellStyle name="Comma 6 2 6 7" xfId="14099"/>
    <cellStyle name="Comma 6 2 6 7 2" xfId="22114"/>
    <cellStyle name="Comma 6 2 6 7 2 2" xfId="36139"/>
    <cellStyle name="Comma 6 2 6 7 3" xfId="28128"/>
    <cellStyle name="Comma 6 2 6 8" xfId="16105"/>
    <cellStyle name="Comma 6 2 6 8 2" xfId="30130"/>
    <cellStyle name="Comma 6 2 6 9" xfId="18107"/>
    <cellStyle name="Comma 6 2 6 9 2" xfId="32132"/>
    <cellStyle name="Comma 6 2 7" xfId="1352"/>
    <cellStyle name="Comma 6 2 7 2" xfId="1353"/>
    <cellStyle name="Comma 6 2 7 2 2" xfId="1354"/>
    <cellStyle name="Comma 6 2 7 2 2 2" xfId="12096"/>
    <cellStyle name="Comma 6 2 7 2 2 2 2" xfId="20121"/>
    <cellStyle name="Comma 6 2 7 2 2 2 2 2" xfId="34146"/>
    <cellStyle name="Comma 6 2 7 2 2 2 3" xfId="26135"/>
    <cellStyle name="Comma 6 2 7 2 2 3" xfId="14111"/>
    <cellStyle name="Comma 6 2 7 2 2 3 2" xfId="22126"/>
    <cellStyle name="Comma 6 2 7 2 2 3 2 2" xfId="36151"/>
    <cellStyle name="Comma 6 2 7 2 2 3 3" xfId="28140"/>
    <cellStyle name="Comma 6 2 7 2 2 4" xfId="16117"/>
    <cellStyle name="Comma 6 2 7 2 2 4 2" xfId="30142"/>
    <cellStyle name="Comma 6 2 7 2 2 5" xfId="18119"/>
    <cellStyle name="Comma 6 2 7 2 2 5 2" xfId="32144"/>
    <cellStyle name="Comma 6 2 7 2 2 6" xfId="24133"/>
    <cellStyle name="Comma 6 2 7 2 3" xfId="12095"/>
    <cellStyle name="Comma 6 2 7 2 3 2" xfId="20120"/>
    <cellStyle name="Comma 6 2 7 2 3 2 2" xfId="34145"/>
    <cellStyle name="Comma 6 2 7 2 3 3" xfId="26134"/>
    <cellStyle name="Comma 6 2 7 2 4" xfId="14110"/>
    <cellStyle name="Comma 6 2 7 2 4 2" xfId="22125"/>
    <cellStyle name="Comma 6 2 7 2 4 2 2" xfId="36150"/>
    <cellStyle name="Comma 6 2 7 2 4 3" xfId="28139"/>
    <cellStyle name="Comma 6 2 7 2 5" xfId="16116"/>
    <cellStyle name="Comma 6 2 7 2 5 2" xfId="30141"/>
    <cellStyle name="Comma 6 2 7 2 6" xfId="18118"/>
    <cellStyle name="Comma 6 2 7 2 6 2" xfId="32143"/>
    <cellStyle name="Comma 6 2 7 2 7" xfId="24132"/>
    <cellStyle name="Comma 6 2 7 3" xfId="1355"/>
    <cellStyle name="Comma 6 2 7 3 2" xfId="12097"/>
    <cellStyle name="Comma 6 2 7 3 2 2" xfId="20122"/>
    <cellStyle name="Comma 6 2 7 3 2 2 2" xfId="34147"/>
    <cellStyle name="Comma 6 2 7 3 2 3" xfId="26136"/>
    <cellStyle name="Comma 6 2 7 3 3" xfId="14112"/>
    <cellStyle name="Comma 6 2 7 3 3 2" xfId="22127"/>
    <cellStyle name="Comma 6 2 7 3 3 2 2" xfId="36152"/>
    <cellStyle name="Comma 6 2 7 3 3 3" xfId="28141"/>
    <cellStyle name="Comma 6 2 7 3 4" xfId="16118"/>
    <cellStyle name="Comma 6 2 7 3 4 2" xfId="30143"/>
    <cellStyle name="Comma 6 2 7 3 5" xfId="18120"/>
    <cellStyle name="Comma 6 2 7 3 5 2" xfId="32145"/>
    <cellStyle name="Comma 6 2 7 3 6" xfId="24134"/>
    <cellStyle name="Comma 6 2 7 4" xfId="12094"/>
    <cellStyle name="Comma 6 2 7 4 2" xfId="20119"/>
    <cellStyle name="Comma 6 2 7 4 2 2" xfId="34144"/>
    <cellStyle name="Comma 6 2 7 4 3" xfId="26133"/>
    <cellStyle name="Comma 6 2 7 5" xfId="14109"/>
    <cellStyle name="Comma 6 2 7 5 2" xfId="22124"/>
    <cellStyle name="Comma 6 2 7 5 2 2" xfId="36149"/>
    <cellStyle name="Comma 6 2 7 5 3" xfId="28138"/>
    <cellStyle name="Comma 6 2 7 6" xfId="16115"/>
    <cellStyle name="Comma 6 2 7 6 2" xfId="30140"/>
    <cellStyle name="Comma 6 2 7 7" xfId="18117"/>
    <cellStyle name="Comma 6 2 7 7 2" xfId="32142"/>
    <cellStyle name="Comma 6 2 7 8" xfId="24131"/>
    <cellStyle name="Comma 6 2 8" xfId="1356"/>
    <cellStyle name="Comma 6 2 8 2" xfId="1357"/>
    <cellStyle name="Comma 6 2 8 2 2" xfId="12099"/>
    <cellStyle name="Comma 6 2 8 2 2 2" xfId="20124"/>
    <cellStyle name="Comma 6 2 8 2 2 2 2" xfId="34149"/>
    <cellStyle name="Comma 6 2 8 2 2 3" xfId="26138"/>
    <cellStyle name="Comma 6 2 8 2 3" xfId="14114"/>
    <cellStyle name="Comma 6 2 8 2 3 2" xfId="22129"/>
    <cellStyle name="Comma 6 2 8 2 3 2 2" xfId="36154"/>
    <cellStyle name="Comma 6 2 8 2 3 3" xfId="28143"/>
    <cellStyle name="Comma 6 2 8 2 4" xfId="16120"/>
    <cellStyle name="Comma 6 2 8 2 4 2" xfId="30145"/>
    <cellStyle name="Comma 6 2 8 2 5" xfId="18122"/>
    <cellStyle name="Comma 6 2 8 2 5 2" xfId="32147"/>
    <cellStyle name="Comma 6 2 8 2 6" xfId="24136"/>
    <cellStyle name="Comma 6 2 8 3" xfId="12098"/>
    <cellStyle name="Comma 6 2 8 3 2" xfId="20123"/>
    <cellStyle name="Comma 6 2 8 3 2 2" xfId="34148"/>
    <cellStyle name="Comma 6 2 8 3 3" xfId="26137"/>
    <cellStyle name="Comma 6 2 8 4" xfId="14113"/>
    <cellStyle name="Comma 6 2 8 4 2" xfId="22128"/>
    <cellStyle name="Comma 6 2 8 4 2 2" xfId="36153"/>
    <cellStyle name="Comma 6 2 8 4 3" xfId="28142"/>
    <cellStyle name="Comma 6 2 8 5" xfId="16119"/>
    <cellStyle name="Comma 6 2 8 5 2" xfId="30144"/>
    <cellStyle name="Comma 6 2 8 6" xfId="18121"/>
    <cellStyle name="Comma 6 2 8 6 2" xfId="32146"/>
    <cellStyle name="Comma 6 2 8 7" xfId="24135"/>
    <cellStyle name="Comma 6 2 9" xfId="1358"/>
    <cellStyle name="Comma 6 2 9 2" xfId="1359"/>
    <cellStyle name="Comma 6 2 9 2 2" xfId="12101"/>
    <cellStyle name="Comma 6 2 9 2 2 2" xfId="20126"/>
    <cellStyle name="Comma 6 2 9 2 2 2 2" xfId="34151"/>
    <cellStyle name="Comma 6 2 9 2 2 3" xfId="26140"/>
    <cellStyle name="Comma 6 2 9 2 3" xfId="14116"/>
    <cellStyle name="Comma 6 2 9 2 3 2" xfId="22131"/>
    <cellStyle name="Comma 6 2 9 2 3 2 2" xfId="36156"/>
    <cellStyle name="Comma 6 2 9 2 3 3" xfId="28145"/>
    <cellStyle name="Comma 6 2 9 2 4" xfId="16122"/>
    <cellStyle name="Comma 6 2 9 2 4 2" xfId="30147"/>
    <cellStyle name="Comma 6 2 9 2 5" xfId="18124"/>
    <cellStyle name="Comma 6 2 9 2 5 2" xfId="32149"/>
    <cellStyle name="Comma 6 2 9 2 6" xfId="24138"/>
    <cellStyle name="Comma 6 2 9 3" xfId="12100"/>
    <cellStyle name="Comma 6 2 9 3 2" xfId="20125"/>
    <cellStyle name="Comma 6 2 9 3 2 2" xfId="34150"/>
    <cellStyle name="Comma 6 2 9 3 3" xfId="26139"/>
    <cellStyle name="Comma 6 2 9 4" xfId="14115"/>
    <cellStyle name="Comma 6 2 9 4 2" xfId="22130"/>
    <cellStyle name="Comma 6 2 9 4 2 2" xfId="36155"/>
    <cellStyle name="Comma 6 2 9 4 3" xfId="28144"/>
    <cellStyle name="Comma 6 2 9 5" xfId="16121"/>
    <cellStyle name="Comma 6 2 9 5 2" xfId="30146"/>
    <cellStyle name="Comma 6 2 9 6" xfId="18123"/>
    <cellStyle name="Comma 6 2 9 6 2" xfId="32148"/>
    <cellStyle name="Comma 6 2 9 7" xfId="24137"/>
    <cellStyle name="Comma 6 3" xfId="422"/>
    <cellStyle name="Comma 6 4" xfId="1360"/>
    <cellStyle name="Comma 6 4 10" xfId="16123"/>
    <cellStyle name="Comma 6 4 10 2" xfId="30148"/>
    <cellStyle name="Comma 6 4 11" xfId="18125"/>
    <cellStyle name="Comma 6 4 11 2" xfId="32150"/>
    <cellStyle name="Comma 6 4 12" xfId="24139"/>
    <cellStyle name="Comma 6 4 2" xfId="1361"/>
    <cellStyle name="Comma 6 4 2 10" xfId="18126"/>
    <cellStyle name="Comma 6 4 2 10 2" xfId="32151"/>
    <cellStyle name="Comma 6 4 2 11" xfId="24140"/>
    <cellStyle name="Comma 6 4 2 2" xfId="1362"/>
    <cellStyle name="Comma 6 4 2 2 10" xfId="24141"/>
    <cellStyle name="Comma 6 4 2 2 2" xfId="1363"/>
    <cellStyle name="Comma 6 4 2 2 2 2" xfId="1364"/>
    <cellStyle name="Comma 6 4 2 2 2 2 2" xfId="1365"/>
    <cellStyle name="Comma 6 4 2 2 2 2 2 2" xfId="12107"/>
    <cellStyle name="Comma 6 4 2 2 2 2 2 2 2" xfId="20132"/>
    <cellStyle name="Comma 6 4 2 2 2 2 2 2 2 2" xfId="34157"/>
    <cellStyle name="Comma 6 4 2 2 2 2 2 2 3" xfId="26146"/>
    <cellStyle name="Comma 6 4 2 2 2 2 2 3" xfId="14122"/>
    <cellStyle name="Comma 6 4 2 2 2 2 2 3 2" xfId="22137"/>
    <cellStyle name="Comma 6 4 2 2 2 2 2 3 2 2" xfId="36162"/>
    <cellStyle name="Comma 6 4 2 2 2 2 2 3 3" xfId="28151"/>
    <cellStyle name="Comma 6 4 2 2 2 2 2 4" xfId="16128"/>
    <cellStyle name="Comma 6 4 2 2 2 2 2 4 2" xfId="30153"/>
    <cellStyle name="Comma 6 4 2 2 2 2 2 5" xfId="18130"/>
    <cellStyle name="Comma 6 4 2 2 2 2 2 5 2" xfId="32155"/>
    <cellStyle name="Comma 6 4 2 2 2 2 2 6" xfId="24144"/>
    <cellStyle name="Comma 6 4 2 2 2 2 3" xfId="12106"/>
    <cellStyle name="Comma 6 4 2 2 2 2 3 2" xfId="20131"/>
    <cellStyle name="Comma 6 4 2 2 2 2 3 2 2" xfId="34156"/>
    <cellStyle name="Comma 6 4 2 2 2 2 3 3" xfId="26145"/>
    <cellStyle name="Comma 6 4 2 2 2 2 4" xfId="14121"/>
    <cellStyle name="Comma 6 4 2 2 2 2 4 2" xfId="22136"/>
    <cellStyle name="Comma 6 4 2 2 2 2 4 2 2" xfId="36161"/>
    <cellStyle name="Comma 6 4 2 2 2 2 4 3" xfId="28150"/>
    <cellStyle name="Comma 6 4 2 2 2 2 5" xfId="16127"/>
    <cellStyle name="Comma 6 4 2 2 2 2 5 2" xfId="30152"/>
    <cellStyle name="Comma 6 4 2 2 2 2 6" xfId="18129"/>
    <cellStyle name="Comma 6 4 2 2 2 2 6 2" xfId="32154"/>
    <cellStyle name="Comma 6 4 2 2 2 2 7" xfId="24143"/>
    <cellStyle name="Comma 6 4 2 2 2 3" xfId="1366"/>
    <cellStyle name="Comma 6 4 2 2 2 3 2" xfId="12108"/>
    <cellStyle name="Comma 6 4 2 2 2 3 2 2" xfId="20133"/>
    <cellStyle name="Comma 6 4 2 2 2 3 2 2 2" xfId="34158"/>
    <cellStyle name="Comma 6 4 2 2 2 3 2 3" xfId="26147"/>
    <cellStyle name="Comma 6 4 2 2 2 3 3" xfId="14123"/>
    <cellStyle name="Comma 6 4 2 2 2 3 3 2" xfId="22138"/>
    <cellStyle name="Comma 6 4 2 2 2 3 3 2 2" xfId="36163"/>
    <cellStyle name="Comma 6 4 2 2 2 3 3 3" xfId="28152"/>
    <cellStyle name="Comma 6 4 2 2 2 3 4" xfId="16129"/>
    <cellStyle name="Comma 6 4 2 2 2 3 4 2" xfId="30154"/>
    <cellStyle name="Comma 6 4 2 2 2 3 5" xfId="18131"/>
    <cellStyle name="Comma 6 4 2 2 2 3 5 2" xfId="32156"/>
    <cellStyle name="Comma 6 4 2 2 2 3 6" xfId="24145"/>
    <cellStyle name="Comma 6 4 2 2 2 4" xfId="12105"/>
    <cellStyle name="Comma 6 4 2 2 2 4 2" xfId="20130"/>
    <cellStyle name="Comma 6 4 2 2 2 4 2 2" xfId="34155"/>
    <cellStyle name="Comma 6 4 2 2 2 4 3" xfId="26144"/>
    <cellStyle name="Comma 6 4 2 2 2 5" xfId="14120"/>
    <cellStyle name="Comma 6 4 2 2 2 5 2" xfId="22135"/>
    <cellStyle name="Comma 6 4 2 2 2 5 2 2" xfId="36160"/>
    <cellStyle name="Comma 6 4 2 2 2 5 3" xfId="28149"/>
    <cellStyle name="Comma 6 4 2 2 2 6" xfId="16126"/>
    <cellStyle name="Comma 6 4 2 2 2 6 2" xfId="30151"/>
    <cellStyle name="Comma 6 4 2 2 2 7" xfId="18128"/>
    <cellStyle name="Comma 6 4 2 2 2 7 2" xfId="32153"/>
    <cellStyle name="Comma 6 4 2 2 2 8" xfId="24142"/>
    <cellStyle name="Comma 6 4 2 2 3" xfId="1367"/>
    <cellStyle name="Comma 6 4 2 2 3 2" xfId="1368"/>
    <cellStyle name="Comma 6 4 2 2 3 2 2" xfId="12110"/>
    <cellStyle name="Comma 6 4 2 2 3 2 2 2" xfId="20135"/>
    <cellStyle name="Comma 6 4 2 2 3 2 2 2 2" xfId="34160"/>
    <cellStyle name="Comma 6 4 2 2 3 2 2 3" xfId="26149"/>
    <cellStyle name="Comma 6 4 2 2 3 2 3" xfId="14125"/>
    <cellStyle name="Comma 6 4 2 2 3 2 3 2" xfId="22140"/>
    <cellStyle name="Comma 6 4 2 2 3 2 3 2 2" xfId="36165"/>
    <cellStyle name="Comma 6 4 2 2 3 2 3 3" xfId="28154"/>
    <cellStyle name="Comma 6 4 2 2 3 2 4" xfId="16131"/>
    <cellStyle name="Comma 6 4 2 2 3 2 4 2" xfId="30156"/>
    <cellStyle name="Comma 6 4 2 2 3 2 5" xfId="18133"/>
    <cellStyle name="Comma 6 4 2 2 3 2 5 2" xfId="32158"/>
    <cellStyle name="Comma 6 4 2 2 3 2 6" xfId="24147"/>
    <cellStyle name="Comma 6 4 2 2 3 3" xfId="12109"/>
    <cellStyle name="Comma 6 4 2 2 3 3 2" xfId="20134"/>
    <cellStyle name="Comma 6 4 2 2 3 3 2 2" xfId="34159"/>
    <cellStyle name="Comma 6 4 2 2 3 3 3" xfId="26148"/>
    <cellStyle name="Comma 6 4 2 2 3 4" xfId="14124"/>
    <cellStyle name="Comma 6 4 2 2 3 4 2" xfId="22139"/>
    <cellStyle name="Comma 6 4 2 2 3 4 2 2" xfId="36164"/>
    <cellStyle name="Comma 6 4 2 2 3 4 3" xfId="28153"/>
    <cellStyle name="Comma 6 4 2 2 3 5" xfId="16130"/>
    <cellStyle name="Comma 6 4 2 2 3 5 2" xfId="30155"/>
    <cellStyle name="Comma 6 4 2 2 3 6" xfId="18132"/>
    <cellStyle name="Comma 6 4 2 2 3 6 2" xfId="32157"/>
    <cellStyle name="Comma 6 4 2 2 3 7" xfId="24146"/>
    <cellStyle name="Comma 6 4 2 2 4" xfId="1369"/>
    <cellStyle name="Comma 6 4 2 2 4 2" xfId="1370"/>
    <cellStyle name="Comma 6 4 2 2 4 2 2" xfId="12112"/>
    <cellStyle name="Comma 6 4 2 2 4 2 2 2" xfId="20137"/>
    <cellStyle name="Comma 6 4 2 2 4 2 2 2 2" xfId="34162"/>
    <cellStyle name="Comma 6 4 2 2 4 2 2 3" xfId="26151"/>
    <cellStyle name="Comma 6 4 2 2 4 2 3" xfId="14127"/>
    <cellStyle name="Comma 6 4 2 2 4 2 3 2" xfId="22142"/>
    <cellStyle name="Comma 6 4 2 2 4 2 3 2 2" xfId="36167"/>
    <cellStyle name="Comma 6 4 2 2 4 2 3 3" xfId="28156"/>
    <cellStyle name="Comma 6 4 2 2 4 2 4" xfId="16133"/>
    <cellStyle name="Comma 6 4 2 2 4 2 4 2" xfId="30158"/>
    <cellStyle name="Comma 6 4 2 2 4 2 5" xfId="18135"/>
    <cellStyle name="Comma 6 4 2 2 4 2 5 2" xfId="32160"/>
    <cellStyle name="Comma 6 4 2 2 4 2 6" xfId="24149"/>
    <cellStyle name="Comma 6 4 2 2 4 3" xfId="12111"/>
    <cellStyle name="Comma 6 4 2 2 4 3 2" xfId="20136"/>
    <cellStyle name="Comma 6 4 2 2 4 3 2 2" xfId="34161"/>
    <cellStyle name="Comma 6 4 2 2 4 3 3" xfId="26150"/>
    <cellStyle name="Comma 6 4 2 2 4 4" xfId="14126"/>
    <cellStyle name="Comma 6 4 2 2 4 4 2" xfId="22141"/>
    <cellStyle name="Comma 6 4 2 2 4 4 2 2" xfId="36166"/>
    <cellStyle name="Comma 6 4 2 2 4 4 3" xfId="28155"/>
    <cellStyle name="Comma 6 4 2 2 4 5" xfId="16132"/>
    <cellStyle name="Comma 6 4 2 2 4 5 2" xfId="30157"/>
    <cellStyle name="Comma 6 4 2 2 4 6" xfId="18134"/>
    <cellStyle name="Comma 6 4 2 2 4 6 2" xfId="32159"/>
    <cellStyle name="Comma 6 4 2 2 4 7" xfId="24148"/>
    <cellStyle name="Comma 6 4 2 2 5" xfId="1371"/>
    <cellStyle name="Comma 6 4 2 2 5 2" xfId="12113"/>
    <cellStyle name="Comma 6 4 2 2 5 2 2" xfId="20138"/>
    <cellStyle name="Comma 6 4 2 2 5 2 2 2" xfId="34163"/>
    <cellStyle name="Comma 6 4 2 2 5 2 3" xfId="26152"/>
    <cellStyle name="Comma 6 4 2 2 5 3" xfId="14128"/>
    <cellStyle name="Comma 6 4 2 2 5 3 2" xfId="22143"/>
    <cellStyle name="Comma 6 4 2 2 5 3 2 2" xfId="36168"/>
    <cellStyle name="Comma 6 4 2 2 5 3 3" xfId="28157"/>
    <cellStyle name="Comma 6 4 2 2 5 4" xfId="16134"/>
    <cellStyle name="Comma 6 4 2 2 5 4 2" xfId="30159"/>
    <cellStyle name="Comma 6 4 2 2 5 5" xfId="18136"/>
    <cellStyle name="Comma 6 4 2 2 5 5 2" xfId="32161"/>
    <cellStyle name="Comma 6 4 2 2 5 6" xfId="24150"/>
    <cellStyle name="Comma 6 4 2 2 6" xfId="12104"/>
    <cellStyle name="Comma 6 4 2 2 6 2" xfId="20129"/>
    <cellStyle name="Comma 6 4 2 2 6 2 2" xfId="34154"/>
    <cellStyle name="Comma 6 4 2 2 6 3" xfId="26143"/>
    <cellStyle name="Comma 6 4 2 2 7" xfId="14119"/>
    <cellStyle name="Comma 6 4 2 2 7 2" xfId="22134"/>
    <cellStyle name="Comma 6 4 2 2 7 2 2" xfId="36159"/>
    <cellStyle name="Comma 6 4 2 2 7 3" xfId="28148"/>
    <cellStyle name="Comma 6 4 2 2 8" xfId="16125"/>
    <cellStyle name="Comma 6 4 2 2 8 2" xfId="30150"/>
    <cellStyle name="Comma 6 4 2 2 9" xfId="18127"/>
    <cellStyle name="Comma 6 4 2 2 9 2" xfId="32152"/>
    <cellStyle name="Comma 6 4 2 3" xfId="1372"/>
    <cellStyle name="Comma 6 4 2 3 2" xfId="1373"/>
    <cellStyle name="Comma 6 4 2 3 2 2" xfId="1374"/>
    <cellStyle name="Comma 6 4 2 3 2 2 2" xfId="12116"/>
    <cellStyle name="Comma 6 4 2 3 2 2 2 2" xfId="20141"/>
    <cellStyle name="Comma 6 4 2 3 2 2 2 2 2" xfId="34166"/>
    <cellStyle name="Comma 6 4 2 3 2 2 2 3" xfId="26155"/>
    <cellStyle name="Comma 6 4 2 3 2 2 3" xfId="14131"/>
    <cellStyle name="Comma 6 4 2 3 2 2 3 2" xfId="22146"/>
    <cellStyle name="Comma 6 4 2 3 2 2 3 2 2" xfId="36171"/>
    <cellStyle name="Comma 6 4 2 3 2 2 3 3" xfId="28160"/>
    <cellStyle name="Comma 6 4 2 3 2 2 4" xfId="16137"/>
    <cellStyle name="Comma 6 4 2 3 2 2 4 2" xfId="30162"/>
    <cellStyle name="Comma 6 4 2 3 2 2 5" xfId="18139"/>
    <cellStyle name="Comma 6 4 2 3 2 2 5 2" xfId="32164"/>
    <cellStyle name="Comma 6 4 2 3 2 2 6" xfId="24153"/>
    <cellStyle name="Comma 6 4 2 3 2 3" xfId="12115"/>
    <cellStyle name="Comma 6 4 2 3 2 3 2" xfId="20140"/>
    <cellStyle name="Comma 6 4 2 3 2 3 2 2" xfId="34165"/>
    <cellStyle name="Comma 6 4 2 3 2 3 3" xfId="26154"/>
    <cellStyle name="Comma 6 4 2 3 2 4" xfId="14130"/>
    <cellStyle name="Comma 6 4 2 3 2 4 2" xfId="22145"/>
    <cellStyle name="Comma 6 4 2 3 2 4 2 2" xfId="36170"/>
    <cellStyle name="Comma 6 4 2 3 2 4 3" xfId="28159"/>
    <cellStyle name="Comma 6 4 2 3 2 5" xfId="16136"/>
    <cellStyle name="Comma 6 4 2 3 2 5 2" xfId="30161"/>
    <cellStyle name="Comma 6 4 2 3 2 6" xfId="18138"/>
    <cellStyle name="Comma 6 4 2 3 2 6 2" xfId="32163"/>
    <cellStyle name="Comma 6 4 2 3 2 7" xfId="24152"/>
    <cellStyle name="Comma 6 4 2 3 3" xfId="1375"/>
    <cellStyle name="Comma 6 4 2 3 3 2" xfId="12117"/>
    <cellStyle name="Comma 6 4 2 3 3 2 2" xfId="20142"/>
    <cellStyle name="Comma 6 4 2 3 3 2 2 2" xfId="34167"/>
    <cellStyle name="Comma 6 4 2 3 3 2 3" xfId="26156"/>
    <cellStyle name="Comma 6 4 2 3 3 3" xfId="14132"/>
    <cellStyle name="Comma 6 4 2 3 3 3 2" xfId="22147"/>
    <cellStyle name="Comma 6 4 2 3 3 3 2 2" xfId="36172"/>
    <cellStyle name="Comma 6 4 2 3 3 3 3" xfId="28161"/>
    <cellStyle name="Comma 6 4 2 3 3 4" xfId="16138"/>
    <cellStyle name="Comma 6 4 2 3 3 4 2" xfId="30163"/>
    <cellStyle name="Comma 6 4 2 3 3 5" xfId="18140"/>
    <cellStyle name="Comma 6 4 2 3 3 5 2" xfId="32165"/>
    <cellStyle name="Comma 6 4 2 3 3 6" xfId="24154"/>
    <cellStyle name="Comma 6 4 2 3 4" xfId="12114"/>
    <cellStyle name="Comma 6 4 2 3 4 2" xfId="20139"/>
    <cellStyle name="Comma 6 4 2 3 4 2 2" xfId="34164"/>
    <cellStyle name="Comma 6 4 2 3 4 3" xfId="26153"/>
    <cellStyle name="Comma 6 4 2 3 5" xfId="14129"/>
    <cellStyle name="Comma 6 4 2 3 5 2" xfId="22144"/>
    <cellStyle name="Comma 6 4 2 3 5 2 2" xfId="36169"/>
    <cellStyle name="Comma 6 4 2 3 5 3" xfId="28158"/>
    <cellStyle name="Comma 6 4 2 3 6" xfId="16135"/>
    <cellStyle name="Comma 6 4 2 3 6 2" xfId="30160"/>
    <cellStyle name="Comma 6 4 2 3 7" xfId="18137"/>
    <cellStyle name="Comma 6 4 2 3 7 2" xfId="32162"/>
    <cellStyle name="Comma 6 4 2 3 8" xfId="24151"/>
    <cellStyle name="Comma 6 4 2 4" xfId="1376"/>
    <cellStyle name="Comma 6 4 2 4 2" xfId="1377"/>
    <cellStyle name="Comma 6 4 2 4 2 2" xfId="12119"/>
    <cellStyle name="Comma 6 4 2 4 2 2 2" xfId="20144"/>
    <cellStyle name="Comma 6 4 2 4 2 2 2 2" xfId="34169"/>
    <cellStyle name="Comma 6 4 2 4 2 2 3" xfId="26158"/>
    <cellStyle name="Comma 6 4 2 4 2 3" xfId="14134"/>
    <cellStyle name="Comma 6 4 2 4 2 3 2" xfId="22149"/>
    <cellStyle name="Comma 6 4 2 4 2 3 2 2" xfId="36174"/>
    <cellStyle name="Comma 6 4 2 4 2 3 3" xfId="28163"/>
    <cellStyle name="Comma 6 4 2 4 2 4" xfId="16140"/>
    <cellStyle name="Comma 6 4 2 4 2 4 2" xfId="30165"/>
    <cellStyle name="Comma 6 4 2 4 2 5" xfId="18142"/>
    <cellStyle name="Comma 6 4 2 4 2 5 2" xfId="32167"/>
    <cellStyle name="Comma 6 4 2 4 2 6" xfId="24156"/>
    <cellStyle name="Comma 6 4 2 4 3" xfId="12118"/>
    <cellStyle name="Comma 6 4 2 4 3 2" xfId="20143"/>
    <cellStyle name="Comma 6 4 2 4 3 2 2" xfId="34168"/>
    <cellStyle name="Comma 6 4 2 4 3 3" xfId="26157"/>
    <cellStyle name="Comma 6 4 2 4 4" xfId="14133"/>
    <cellStyle name="Comma 6 4 2 4 4 2" xfId="22148"/>
    <cellStyle name="Comma 6 4 2 4 4 2 2" xfId="36173"/>
    <cellStyle name="Comma 6 4 2 4 4 3" xfId="28162"/>
    <cellStyle name="Comma 6 4 2 4 5" xfId="16139"/>
    <cellStyle name="Comma 6 4 2 4 5 2" xfId="30164"/>
    <cellStyle name="Comma 6 4 2 4 6" xfId="18141"/>
    <cellStyle name="Comma 6 4 2 4 6 2" xfId="32166"/>
    <cellStyle name="Comma 6 4 2 4 7" xfId="24155"/>
    <cellStyle name="Comma 6 4 2 5" xfId="1378"/>
    <cellStyle name="Comma 6 4 2 5 2" xfId="1379"/>
    <cellStyle name="Comma 6 4 2 5 2 2" xfId="12121"/>
    <cellStyle name="Comma 6 4 2 5 2 2 2" xfId="20146"/>
    <cellStyle name="Comma 6 4 2 5 2 2 2 2" xfId="34171"/>
    <cellStyle name="Comma 6 4 2 5 2 2 3" xfId="26160"/>
    <cellStyle name="Comma 6 4 2 5 2 3" xfId="14136"/>
    <cellStyle name="Comma 6 4 2 5 2 3 2" xfId="22151"/>
    <cellStyle name="Comma 6 4 2 5 2 3 2 2" xfId="36176"/>
    <cellStyle name="Comma 6 4 2 5 2 3 3" xfId="28165"/>
    <cellStyle name="Comma 6 4 2 5 2 4" xfId="16142"/>
    <cellStyle name="Comma 6 4 2 5 2 4 2" xfId="30167"/>
    <cellStyle name="Comma 6 4 2 5 2 5" xfId="18144"/>
    <cellStyle name="Comma 6 4 2 5 2 5 2" xfId="32169"/>
    <cellStyle name="Comma 6 4 2 5 2 6" xfId="24158"/>
    <cellStyle name="Comma 6 4 2 5 3" xfId="12120"/>
    <cellStyle name="Comma 6 4 2 5 3 2" xfId="20145"/>
    <cellStyle name="Comma 6 4 2 5 3 2 2" xfId="34170"/>
    <cellStyle name="Comma 6 4 2 5 3 3" xfId="26159"/>
    <cellStyle name="Comma 6 4 2 5 4" xfId="14135"/>
    <cellStyle name="Comma 6 4 2 5 4 2" xfId="22150"/>
    <cellStyle name="Comma 6 4 2 5 4 2 2" xfId="36175"/>
    <cellStyle name="Comma 6 4 2 5 4 3" xfId="28164"/>
    <cellStyle name="Comma 6 4 2 5 5" xfId="16141"/>
    <cellStyle name="Comma 6 4 2 5 5 2" xfId="30166"/>
    <cellStyle name="Comma 6 4 2 5 6" xfId="18143"/>
    <cellStyle name="Comma 6 4 2 5 6 2" xfId="32168"/>
    <cellStyle name="Comma 6 4 2 5 7" xfId="24157"/>
    <cellStyle name="Comma 6 4 2 6" xfId="1380"/>
    <cellStyle name="Comma 6 4 2 6 2" xfId="12122"/>
    <cellStyle name="Comma 6 4 2 6 2 2" xfId="20147"/>
    <cellStyle name="Comma 6 4 2 6 2 2 2" xfId="34172"/>
    <cellStyle name="Comma 6 4 2 6 2 3" xfId="26161"/>
    <cellStyle name="Comma 6 4 2 6 3" xfId="14137"/>
    <cellStyle name="Comma 6 4 2 6 3 2" xfId="22152"/>
    <cellStyle name="Comma 6 4 2 6 3 2 2" xfId="36177"/>
    <cellStyle name="Comma 6 4 2 6 3 3" xfId="28166"/>
    <cellStyle name="Comma 6 4 2 6 4" xfId="16143"/>
    <cellStyle name="Comma 6 4 2 6 4 2" xfId="30168"/>
    <cellStyle name="Comma 6 4 2 6 5" xfId="18145"/>
    <cellStyle name="Comma 6 4 2 6 5 2" xfId="32170"/>
    <cellStyle name="Comma 6 4 2 6 6" xfId="24159"/>
    <cellStyle name="Comma 6 4 2 7" xfId="12103"/>
    <cellStyle name="Comma 6 4 2 7 2" xfId="20128"/>
    <cellStyle name="Comma 6 4 2 7 2 2" xfId="34153"/>
    <cellStyle name="Comma 6 4 2 7 3" xfId="26142"/>
    <cellStyle name="Comma 6 4 2 8" xfId="14118"/>
    <cellStyle name="Comma 6 4 2 8 2" xfId="22133"/>
    <cellStyle name="Comma 6 4 2 8 2 2" xfId="36158"/>
    <cellStyle name="Comma 6 4 2 8 3" xfId="28147"/>
    <cellStyle name="Comma 6 4 2 9" xfId="16124"/>
    <cellStyle name="Comma 6 4 2 9 2" xfId="30149"/>
    <cellStyle name="Comma 6 4 3" xfId="1381"/>
    <cellStyle name="Comma 6 4 3 10" xfId="24160"/>
    <cellStyle name="Comma 6 4 3 2" xfId="1382"/>
    <cellStyle name="Comma 6 4 3 2 2" xfId="1383"/>
    <cellStyle name="Comma 6 4 3 2 2 2" xfId="1384"/>
    <cellStyle name="Comma 6 4 3 2 2 2 2" xfId="12126"/>
    <cellStyle name="Comma 6 4 3 2 2 2 2 2" xfId="20151"/>
    <cellStyle name="Comma 6 4 3 2 2 2 2 2 2" xfId="34176"/>
    <cellStyle name="Comma 6 4 3 2 2 2 2 3" xfId="26165"/>
    <cellStyle name="Comma 6 4 3 2 2 2 3" xfId="14141"/>
    <cellStyle name="Comma 6 4 3 2 2 2 3 2" xfId="22156"/>
    <cellStyle name="Comma 6 4 3 2 2 2 3 2 2" xfId="36181"/>
    <cellStyle name="Comma 6 4 3 2 2 2 3 3" xfId="28170"/>
    <cellStyle name="Comma 6 4 3 2 2 2 4" xfId="16147"/>
    <cellStyle name="Comma 6 4 3 2 2 2 4 2" xfId="30172"/>
    <cellStyle name="Comma 6 4 3 2 2 2 5" xfId="18149"/>
    <cellStyle name="Comma 6 4 3 2 2 2 5 2" xfId="32174"/>
    <cellStyle name="Comma 6 4 3 2 2 2 6" xfId="24163"/>
    <cellStyle name="Comma 6 4 3 2 2 3" xfId="12125"/>
    <cellStyle name="Comma 6 4 3 2 2 3 2" xfId="20150"/>
    <cellStyle name="Comma 6 4 3 2 2 3 2 2" xfId="34175"/>
    <cellStyle name="Comma 6 4 3 2 2 3 3" xfId="26164"/>
    <cellStyle name="Comma 6 4 3 2 2 4" xfId="14140"/>
    <cellStyle name="Comma 6 4 3 2 2 4 2" xfId="22155"/>
    <cellStyle name="Comma 6 4 3 2 2 4 2 2" xfId="36180"/>
    <cellStyle name="Comma 6 4 3 2 2 4 3" xfId="28169"/>
    <cellStyle name="Comma 6 4 3 2 2 5" xfId="16146"/>
    <cellStyle name="Comma 6 4 3 2 2 5 2" xfId="30171"/>
    <cellStyle name="Comma 6 4 3 2 2 6" xfId="18148"/>
    <cellStyle name="Comma 6 4 3 2 2 6 2" xfId="32173"/>
    <cellStyle name="Comma 6 4 3 2 2 7" xfId="24162"/>
    <cellStyle name="Comma 6 4 3 2 3" xfId="1385"/>
    <cellStyle name="Comma 6 4 3 2 3 2" xfId="12127"/>
    <cellStyle name="Comma 6 4 3 2 3 2 2" xfId="20152"/>
    <cellStyle name="Comma 6 4 3 2 3 2 2 2" xfId="34177"/>
    <cellStyle name="Comma 6 4 3 2 3 2 3" xfId="26166"/>
    <cellStyle name="Comma 6 4 3 2 3 3" xfId="14142"/>
    <cellStyle name="Comma 6 4 3 2 3 3 2" xfId="22157"/>
    <cellStyle name="Comma 6 4 3 2 3 3 2 2" xfId="36182"/>
    <cellStyle name="Comma 6 4 3 2 3 3 3" xfId="28171"/>
    <cellStyle name="Comma 6 4 3 2 3 4" xfId="16148"/>
    <cellStyle name="Comma 6 4 3 2 3 4 2" xfId="30173"/>
    <cellStyle name="Comma 6 4 3 2 3 5" xfId="18150"/>
    <cellStyle name="Comma 6 4 3 2 3 5 2" xfId="32175"/>
    <cellStyle name="Comma 6 4 3 2 3 6" xfId="24164"/>
    <cellStyle name="Comma 6 4 3 2 4" xfId="12124"/>
    <cellStyle name="Comma 6 4 3 2 4 2" xfId="20149"/>
    <cellStyle name="Comma 6 4 3 2 4 2 2" xfId="34174"/>
    <cellStyle name="Comma 6 4 3 2 4 3" xfId="26163"/>
    <cellStyle name="Comma 6 4 3 2 5" xfId="14139"/>
    <cellStyle name="Comma 6 4 3 2 5 2" xfId="22154"/>
    <cellStyle name="Comma 6 4 3 2 5 2 2" xfId="36179"/>
    <cellStyle name="Comma 6 4 3 2 5 3" xfId="28168"/>
    <cellStyle name="Comma 6 4 3 2 6" xfId="16145"/>
    <cellStyle name="Comma 6 4 3 2 6 2" xfId="30170"/>
    <cellStyle name="Comma 6 4 3 2 7" xfId="18147"/>
    <cellStyle name="Comma 6 4 3 2 7 2" xfId="32172"/>
    <cellStyle name="Comma 6 4 3 2 8" xfId="24161"/>
    <cellStyle name="Comma 6 4 3 3" xfId="1386"/>
    <cellStyle name="Comma 6 4 3 3 2" xfId="1387"/>
    <cellStyle name="Comma 6 4 3 3 2 2" xfId="12129"/>
    <cellStyle name="Comma 6 4 3 3 2 2 2" xfId="20154"/>
    <cellStyle name="Comma 6 4 3 3 2 2 2 2" xfId="34179"/>
    <cellStyle name="Comma 6 4 3 3 2 2 3" xfId="26168"/>
    <cellStyle name="Comma 6 4 3 3 2 3" xfId="14144"/>
    <cellStyle name="Comma 6 4 3 3 2 3 2" xfId="22159"/>
    <cellStyle name="Comma 6 4 3 3 2 3 2 2" xfId="36184"/>
    <cellStyle name="Comma 6 4 3 3 2 3 3" xfId="28173"/>
    <cellStyle name="Comma 6 4 3 3 2 4" xfId="16150"/>
    <cellStyle name="Comma 6 4 3 3 2 4 2" xfId="30175"/>
    <cellStyle name="Comma 6 4 3 3 2 5" xfId="18152"/>
    <cellStyle name="Comma 6 4 3 3 2 5 2" xfId="32177"/>
    <cellStyle name="Comma 6 4 3 3 2 6" xfId="24166"/>
    <cellStyle name="Comma 6 4 3 3 3" xfId="12128"/>
    <cellStyle name="Comma 6 4 3 3 3 2" xfId="20153"/>
    <cellStyle name="Comma 6 4 3 3 3 2 2" xfId="34178"/>
    <cellStyle name="Comma 6 4 3 3 3 3" xfId="26167"/>
    <cellStyle name="Comma 6 4 3 3 4" xfId="14143"/>
    <cellStyle name="Comma 6 4 3 3 4 2" xfId="22158"/>
    <cellStyle name="Comma 6 4 3 3 4 2 2" xfId="36183"/>
    <cellStyle name="Comma 6 4 3 3 4 3" xfId="28172"/>
    <cellStyle name="Comma 6 4 3 3 5" xfId="16149"/>
    <cellStyle name="Comma 6 4 3 3 5 2" xfId="30174"/>
    <cellStyle name="Comma 6 4 3 3 6" xfId="18151"/>
    <cellStyle name="Comma 6 4 3 3 6 2" xfId="32176"/>
    <cellStyle name="Comma 6 4 3 3 7" xfId="24165"/>
    <cellStyle name="Comma 6 4 3 4" xfId="1388"/>
    <cellStyle name="Comma 6 4 3 4 2" xfId="1389"/>
    <cellStyle name="Comma 6 4 3 4 2 2" xfId="12131"/>
    <cellStyle name="Comma 6 4 3 4 2 2 2" xfId="20156"/>
    <cellStyle name="Comma 6 4 3 4 2 2 2 2" xfId="34181"/>
    <cellStyle name="Comma 6 4 3 4 2 2 3" xfId="26170"/>
    <cellStyle name="Comma 6 4 3 4 2 3" xfId="14146"/>
    <cellStyle name="Comma 6 4 3 4 2 3 2" xfId="22161"/>
    <cellStyle name="Comma 6 4 3 4 2 3 2 2" xfId="36186"/>
    <cellStyle name="Comma 6 4 3 4 2 3 3" xfId="28175"/>
    <cellStyle name="Comma 6 4 3 4 2 4" xfId="16152"/>
    <cellStyle name="Comma 6 4 3 4 2 4 2" xfId="30177"/>
    <cellStyle name="Comma 6 4 3 4 2 5" xfId="18154"/>
    <cellStyle name="Comma 6 4 3 4 2 5 2" xfId="32179"/>
    <cellStyle name="Comma 6 4 3 4 2 6" xfId="24168"/>
    <cellStyle name="Comma 6 4 3 4 3" xfId="12130"/>
    <cellStyle name="Comma 6 4 3 4 3 2" xfId="20155"/>
    <cellStyle name="Comma 6 4 3 4 3 2 2" xfId="34180"/>
    <cellStyle name="Comma 6 4 3 4 3 3" xfId="26169"/>
    <cellStyle name="Comma 6 4 3 4 4" xfId="14145"/>
    <cellStyle name="Comma 6 4 3 4 4 2" xfId="22160"/>
    <cellStyle name="Comma 6 4 3 4 4 2 2" xfId="36185"/>
    <cellStyle name="Comma 6 4 3 4 4 3" xfId="28174"/>
    <cellStyle name="Comma 6 4 3 4 5" xfId="16151"/>
    <cellStyle name="Comma 6 4 3 4 5 2" xfId="30176"/>
    <cellStyle name="Comma 6 4 3 4 6" xfId="18153"/>
    <cellStyle name="Comma 6 4 3 4 6 2" xfId="32178"/>
    <cellStyle name="Comma 6 4 3 4 7" xfId="24167"/>
    <cellStyle name="Comma 6 4 3 5" xfId="1390"/>
    <cellStyle name="Comma 6 4 3 5 2" xfId="12132"/>
    <cellStyle name="Comma 6 4 3 5 2 2" xfId="20157"/>
    <cellStyle name="Comma 6 4 3 5 2 2 2" xfId="34182"/>
    <cellStyle name="Comma 6 4 3 5 2 3" xfId="26171"/>
    <cellStyle name="Comma 6 4 3 5 3" xfId="14147"/>
    <cellStyle name="Comma 6 4 3 5 3 2" xfId="22162"/>
    <cellStyle name="Comma 6 4 3 5 3 2 2" xfId="36187"/>
    <cellStyle name="Comma 6 4 3 5 3 3" xfId="28176"/>
    <cellStyle name="Comma 6 4 3 5 4" xfId="16153"/>
    <cellStyle name="Comma 6 4 3 5 4 2" xfId="30178"/>
    <cellStyle name="Comma 6 4 3 5 5" xfId="18155"/>
    <cellStyle name="Comma 6 4 3 5 5 2" xfId="32180"/>
    <cellStyle name="Comma 6 4 3 5 6" xfId="24169"/>
    <cellStyle name="Comma 6 4 3 6" xfId="12123"/>
    <cellStyle name="Comma 6 4 3 6 2" xfId="20148"/>
    <cellStyle name="Comma 6 4 3 6 2 2" xfId="34173"/>
    <cellStyle name="Comma 6 4 3 6 3" xfId="26162"/>
    <cellStyle name="Comma 6 4 3 7" xfId="14138"/>
    <cellStyle name="Comma 6 4 3 7 2" xfId="22153"/>
    <cellStyle name="Comma 6 4 3 7 2 2" xfId="36178"/>
    <cellStyle name="Comma 6 4 3 7 3" xfId="28167"/>
    <cellStyle name="Comma 6 4 3 8" xfId="16144"/>
    <cellStyle name="Comma 6 4 3 8 2" xfId="30169"/>
    <cellStyle name="Comma 6 4 3 9" xfId="18146"/>
    <cellStyle name="Comma 6 4 3 9 2" xfId="32171"/>
    <cellStyle name="Comma 6 4 4" xfId="1391"/>
    <cellStyle name="Comma 6 4 4 2" xfId="1392"/>
    <cellStyle name="Comma 6 4 4 2 2" xfId="1393"/>
    <cellStyle name="Comma 6 4 4 2 2 2" xfId="12135"/>
    <cellStyle name="Comma 6 4 4 2 2 2 2" xfId="20160"/>
    <cellStyle name="Comma 6 4 4 2 2 2 2 2" xfId="34185"/>
    <cellStyle name="Comma 6 4 4 2 2 2 3" xfId="26174"/>
    <cellStyle name="Comma 6 4 4 2 2 3" xfId="14150"/>
    <cellStyle name="Comma 6 4 4 2 2 3 2" xfId="22165"/>
    <cellStyle name="Comma 6 4 4 2 2 3 2 2" xfId="36190"/>
    <cellStyle name="Comma 6 4 4 2 2 3 3" xfId="28179"/>
    <cellStyle name="Comma 6 4 4 2 2 4" xfId="16156"/>
    <cellStyle name="Comma 6 4 4 2 2 4 2" xfId="30181"/>
    <cellStyle name="Comma 6 4 4 2 2 5" xfId="18158"/>
    <cellStyle name="Comma 6 4 4 2 2 5 2" xfId="32183"/>
    <cellStyle name="Comma 6 4 4 2 2 6" xfId="24172"/>
    <cellStyle name="Comma 6 4 4 2 3" xfId="12134"/>
    <cellStyle name="Comma 6 4 4 2 3 2" xfId="20159"/>
    <cellStyle name="Comma 6 4 4 2 3 2 2" xfId="34184"/>
    <cellStyle name="Comma 6 4 4 2 3 3" xfId="26173"/>
    <cellStyle name="Comma 6 4 4 2 4" xfId="14149"/>
    <cellStyle name="Comma 6 4 4 2 4 2" xfId="22164"/>
    <cellStyle name="Comma 6 4 4 2 4 2 2" xfId="36189"/>
    <cellStyle name="Comma 6 4 4 2 4 3" xfId="28178"/>
    <cellStyle name="Comma 6 4 4 2 5" xfId="16155"/>
    <cellStyle name="Comma 6 4 4 2 5 2" xfId="30180"/>
    <cellStyle name="Comma 6 4 4 2 6" xfId="18157"/>
    <cellStyle name="Comma 6 4 4 2 6 2" xfId="32182"/>
    <cellStyle name="Comma 6 4 4 2 7" xfId="24171"/>
    <cellStyle name="Comma 6 4 4 3" xfId="1394"/>
    <cellStyle name="Comma 6 4 4 3 2" xfId="12136"/>
    <cellStyle name="Comma 6 4 4 3 2 2" xfId="20161"/>
    <cellStyle name="Comma 6 4 4 3 2 2 2" xfId="34186"/>
    <cellStyle name="Comma 6 4 4 3 2 3" xfId="26175"/>
    <cellStyle name="Comma 6 4 4 3 3" xfId="14151"/>
    <cellStyle name="Comma 6 4 4 3 3 2" xfId="22166"/>
    <cellStyle name="Comma 6 4 4 3 3 2 2" xfId="36191"/>
    <cellStyle name="Comma 6 4 4 3 3 3" xfId="28180"/>
    <cellStyle name="Comma 6 4 4 3 4" xfId="16157"/>
    <cellStyle name="Comma 6 4 4 3 4 2" xfId="30182"/>
    <cellStyle name="Comma 6 4 4 3 5" xfId="18159"/>
    <cellStyle name="Comma 6 4 4 3 5 2" xfId="32184"/>
    <cellStyle name="Comma 6 4 4 3 6" xfId="24173"/>
    <cellStyle name="Comma 6 4 4 4" xfId="12133"/>
    <cellStyle name="Comma 6 4 4 4 2" xfId="20158"/>
    <cellStyle name="Comma 6 4 4 4 2 2" xfId="34183"/>
    <cellStyle name="Comma 6 4 4 4 3" xfId="26172"/>
    <cellStyle name="Comma 6 4 4 5" xfId="14148"/>
    <cellStyle name="Comma 6 4 4 5 2" xfId="22163"/>
    <cellStyle name="Comma 6 4 4 5 2 2" xfId="36188"/>
    <cellStyle name="Comma 6 4 4 5 3" xfId="28177"/>
    <cellStyle name="Comma 6 4 4 6" xfId="16154"/>
    <cellStyle name="Comma 6 4 4 6 2" xfId="30179"/>
    <cellStyle name="Comma 6 4 4 7" xfId="18156"/>
    <cellStyle name="Comma 6 4 4 7 2" xfId="32181"/>
    <cellStyle name="Comma 6 4 4 8" xfId="24170"/>
    <cellStyle name="Comma 6 4 5" xfId="1395"/>
    <cellStyle name="Comma 6 4 5 2" xfId="1396"/>
    <cellStyle name="Comma 6 4 5 2 2" xfId="12138"/>
    <cellStyle name="Comma 6 4 5 2 2 2" xfId="20163"/>
    <cellStyle name="Comma 6 4 5 2 2 2 2" xfId="34188"/>
    <cellStyle name="Comma 6 4 5 2 2 3" xfId="26177"/>
    <cellStyle name="Comma 6 4 5 2 3" xfId="14153"/>
    <cellStyle name="Comma 6 4 5 2 3 2" xfId="22168"/>
    <cellStyle name="Comma 6 4 5 2 3 2 2" xfId="36193"/>
    <cellStyle name="Comma 6 4 5 2 3 3" xfId="28182"/>
    <cellStyle name="Comma 6 4 5 2 4" xfId="16159"/>
    <cellStyle name="Comma 6 4 5 2 4 2" xfId="30184"/>
    <cellStyle name="Comma 6 4 5 2 5" xfId="18161"/>
    <cellStyle name="Comma 6 4 5 2 5 2" xfId="32186"/>
    <cellStyle name="Comma 6 4 5 2 6" xfId="24175"/>
    <cellStyle name="Comma 6 4 5 3" xfId="12137"/>
    <cellStyle name="Comma 6 4 5 3 2" xfId="20162"/>
    <cellStyle name="Comma 6 4 5 3 2 2" xfId="34187"/>
    <cellStyle name="Comma 6 4 5 3 3" xfId="26176"/>
    <cellStyle name="Comma 6 4 5 4" xfId="14152"/>
    <cellStyle name="Comma 6 4 5 4 2" xfId="22167"/>
    <cellStyle name="Comma 6 4 5 4 2 2" xfId="36192"/>
    <cellStyle name="Comma 6 4 5 4 3" xfId="28181"/>
    <cellStyle name="Comma 6 4 5 5" xfId="16158"/>
    <cellStyle name="Comma 6 4 5 5 2" xfId="30183"/>
    <cellStyle name="Comma 6 4 5 6" xfId="18160"/>
    <cellStyle name="Comma 6 4 5 6 2" xfId="32185"/>
    <cellStyle name="Comma 6 4 5 7" xfId="24174"/>
    <cellStyle name="Comma 6 4 6" xfId="1397"/>
    <cellStyle name="Comma 6 4 6 2" xfId="1398"/>
    <cellStyle name="Comma 6 4 6 2 2" xfId="12140"/>
    <cellStyle name="Comma 6 4 6 2 2 2" xfId="20165"/>
    <cellStyle name="Comma 6 4 6 2 2 2 2" xfId="34190"/>
    <cellStyle name="Comma 6 4 6 2 2 3" xfId="26179"/>
    <cellStyle name="Comma 6 4 6 2 3" xfId="14155"/>
    <cellStyle name="Comma 6 4 6 2 3 2" xfId="22170"/>
    <cellStyle name="Comma 6 4 6 2 3 2 2" xfId="36195"/>
    <cellStyle name="Comma 6 4 6 2 3 3" xfId="28184"/>
    <cellStyle name="Comma 6 4 6 2 4" xfId="16161"/>
    <cellStyle name="Comma 6 4 6 2 4 2" xfId="30186"/>
    <cellStyle name="Comma 6 4 6 2 5" xfId="18163"/>
    <cellStyle name="Comma 6 4 6 2 5 2" xfId="32188"/>
    <cellStyle name="Comma 6 4 6 2 6" xfId="24177"/>
    <cellStyle name="Comma 6 4 6 3" xfId="12139"/>
    <cellStyle name="Comma 6 4 6 3 2" xfId="20164"/>
    <cellStyle name="Comma 6 4 6 3 2 2" xfId="34189"/>
    <cellStyle name="Comma 6 4 6 3 3" xfId="26178"/>
    <cellStyle name="Comma 6 4 6 4" xfId="14154"/>
    <cellStyle name="Comma 6 4 6 4 2" xfId="22169"/>
    <cellStyle name="Comma 6 4 6 4 2 2" xfId="36194"/>
    <cellStyle name="Comma 6 4 6 4 3" xfId="28183"/>
    <cellStyle name="Comma 6 4 6 5" xfId="16160"/>
    <cellStyle name="Comma 6 4 6 5 2" xfId="30185"/>
    <cellStyle name="Comma 6 4 6 6" xfId="18162"/>
    <cellStyle name="Comma 6 4 6 6 2" xfId="32187"/>
    <cellStyle name="Comma 6 4 6 7" xfId="24176"/>
    <cellStyle name="Comma 6 4 7" xfId="1399"/>
    <cellStyle name="Comma 6 4 7 2" xfId="12141"/>
    <cellStyle name="Comma 6 4 7 2 2" xfId="20166"/>
    <cellStyle name="Comma 6 4 7 2 2 2" xfId="34191"/>
    <cellStyle name="Comma 6 4 7 2 3" xfId="26180"/>
    <cellStyle name="Comma 6 4 7 3" xfId="14156"/>
    <cellStyle name="Comma 6 4 7 3 2" xfId="22171"/>
    <cellStyle name="Comma 6 4 7 3 2 2" xfId="36196"/>
    <cellStyle name="Comma 6 4 7 3 3" xfId="28185"/>
    <cellStyle name="Comma 6 4 7 4" xfId="16162"/>
    <cellStyle name="Comma 6 4 7 4 2" xfId="30187"/>
    <cellStyle name="Comma 6 4 7 5" xfId="18164"/>
    <cellStyle name="Comma 6 4 7 5 2" xfId="32189"/>
    <cellStyle name="Comma 6 4 7 6" xfId="24178"/>
    <cellStyle name="Comma 6 4 8" xfId="12102"/>
    <cellStyle name="Comma 6 4 8 2" xfId="20127"/>
    <cellStyle name="Comma 6 4 8 2 2" xfId="34152"/>
    <cellStyle name="Comma 6 4 8 3" xfId="26141"/>
    <cellStyle name="Comma 6 4 9" xfId="14117"/>
    <cellStyle name="Comma 6 4 9 2" xfId="22132"/>
    <cellStyle name="Comma 6 4 9 2 2" xfId="36157"/>
    <cellStyle name="Comma 6 4 9 3" xfId="28146"/>
    <cellStyle name="Comma 6 5" xfId="1400"/>
    <cellStyle name="Comma 6 5 10" xfId="18165"/>
    <cellStyle name="Comma 6 5 10 2" xfId="32190"/>
    <cellStyle name="Comma 6 5 11" xfId="24179"/>
    <cellStyle name="Comma 6 5 2" xfId="1401"/>
    <cellStyle name="Comma 6 5 2 10" xfId="24180"/>
    <cellStyle name="Comma 6 5 2 2" xfId="1402"/>
    <cellStyle name="Comma 6 5 2 2 2" xfId="1403"/>
    <cellStyle name="Comma 6 5 2 2 2 2" xfId="1404"/>
    <cellStyle name="Comma 6 5 2 2 2 2 2" xfId="12146"/>
    <cellStyle name="Comma 6 5 2 2 2 2 2 2" xfId="20171"/>
    <cellStyle name="Comma 6 5 2 2 2 2 2 2 2" xfId="34196"/>
    <cellStyle name="Comma 6 5 2 2 2 2 2 3" xfId="26185"/>
    <cellStyle name="Comma 6 5 2 2 2 2 3" xfId="14161"/>
    <cellStyle name="Comma 6 5 2 2 2 2 3 2" xfId="22176"/>
    <cellStyle name="Comma 6 5 2 2 2 2 3 2 2" xfId="36201"/>
    <cellStyle name="Comma 6 5 2 2 2 2 3 3" xfId="28190"/>
    <cellStyle name="Comma 6 5 2 2 2 2 4" xfId="16167"/>
    <cellStyle name="Comma 6 5 2 2 2 2 4 2" xfId="30192"/>
    <cellStyle name="Comma 6 5 2 2 2 2 5" xfId="18169"/>
    <cellStyle name="Comma 6 5 2 2 2 2 5 2" xfId="32194"/>
    <cellStyle name="Comma 6 5 2 2 2 2 6" xfId="24183"/>
    <cellStyle name="Comma 6 5 2 2 2 3" xfId="12145"/>
    <cellStyle name="Comma 6 5 2 2 2 3 2" xfId="20170"/>
    <cellStyle name="Comma 6 5 2 2 2 3 2 2" xfId="34195"/>
    <cellStyle name="Comma 6 5 2 2 2 3 3" xfId="26184"/>
    <cellStyle name="Comma 6 5 2 2 2 4" xfId="14160"/>
    <cellStyle name="Comma 6 5 2 2 2 4 2" xfId="22175"/>
    <cellStyle name="Comma 6 5 2 2 2 4 2 2" xfId="36200"/>
    <cellStyle name="Comma 6 5 2 2 2 4 3" xfId="28189"/>
    <cellStyle name="Comma 6 5 2 2 2 5" xfId="16166"/>
    <cellStyle name="Comma 6 5 2 2 2 5 2" xfId="30191"/>
    <cellStyle name="Comma 6 5 2 2 2 6" xfId="18168"/>
    <cellStyle name="Comma 6 5 2 2 2 6 2" xfId="32193"/>
    <cellStyle name="Comma 6 5 2 2 2 7" xfId="24182"/>
    <cellStyle name="Comma 6 5 2 2 3" xfId="1405"/>
    <cellStyle name="Comma 6 5 2 2 3 2" xfId="12147"/>
    <cellStyle name="Comma 6 5 2 2 3 2 2" xfId="20172"/>
    <cellStyle name="Comma 6 5 2 2 3 2 2 2" xfId="34197"/>
    <cellStyle name="Comma 6 5 2 2 3 2 3" xfId="26186"/>
    <cellStyle name="Comma 6 5 2 2 3 3" xfId="14162"/>
    <cellStyle name="Comma 6 5 2 2 3 3 2" xfId="22177"/>
    <cellStyle name="Comma 6 5 2 2 3 3 2 2" xfId="36202"/>
    <cellStyle name="Comma 6 5 2 2 3 3 3" xfId="28191"/>
    <cellStyle name="Comma 6 5 2 2 3 4" xfId="16168"/>
    <cellStyle name="Comma 6 5 2 2 3 4 2" xfId="30193"/>
    <cellStyle name="Comma 6 5 2 2 3 5" xfId="18170"/>
    <cellStyle name="Comma 6 5 2 2 3 5 2" xfId="32195"/>
    <cellStyle name="Comma 6 5 2 2 3 6" xfId="24184"/>
    <cellStyle name="Comma 6 5 2 2 4" xfId="12144"/>
    <cellStyle name="Comma 6 5 2 2 4 2" xfId="20169"/>
    <cellStyle name="Comma 6 5 2 2 4 2 2" xfId="34194"/>
    <cellStyle name="Comma 6 5 2 2 4 3" xfId="26183"/>
    <cellStyle name="Comma 6 5 2 2 5" xfId="14159"/>
    <cellStyle name="Comma 6 5 2 2 5 2" xfId="22174"/>
    <cellStyle name="Comma 6 5 2 2 5 2 2" xfId="36199"/>
    <cellStyle name="Comma 6 5 2 2 5 3" xfId="28188"/>
    <cellStyle name="Comma 6 5 2 2 6" xfId="16165"/>
    <cellStyle name="Comma 6 5 2 2 6 2" xfId="30190"/>
    <cellStyle name="Comma 6 5 2 2 7" xfId="18167"/>
    <cellStyle name="Comma 6 5 2 2 7 2" xfId="32192"/>
    <cellStyle name="Comma 6 5 2 2 8" xfId="24181"/>
    <cellStyle name="Comma 6 5 2 3" xfId="1406"/>
    <cellStyle name="Comma 6 5 2 3 2" xfId="1407"/>
    <cellStyle name="Comma 6 5 2 3 2 2" xfId="12149"/>
    <cellStyle name="Comma 6 5 2 3 2 2 2" xfId="20174"/>
    <cellStyle name="Comma 6 5 2 3 2 2 2 2" xfId="34199"/>
    <cellStyle name="Comma 6 5 2 3 2 2 3" xfId="26188"/>
    <cellStyle name="Comma 6 5 2 3 2 3" xfId="14164"/>
    <cellStyle name="Comma 6 5 2 3 2 3 2" xfId="22179"/>
    <cellStyle name="Comma 6 5 2 3 2 3 2 2" xfId="36204"/>
    <cellStyle name="Comma 6 5 2 3 2 3 3" xfId="28193"/>
    <cellStyle name="Comma 6 5 2 3 2 4" xfId="16170"/>
    <cellStyle name="Comma 6 5 2 3 2 4 2" xfId="30195"/>
    <cellStyle name="Comma 6 5 2 3 2 5" xfId="18172"/>
    <cellStyle name="Comma 6 5 2 3 2 5 2" xfId="32197"/>
    <cellStyle name="Comma 6 5 2 3 2 6" xfId="24186"/>
    <cellStyle name="Comma 6 5 2 3 3" xfId="12148"/>
    <cellStyle name="Comma 6 5 2 3 3 2" xfId="20173"/>
    <cellStyle name="Comma 6 5 2 3 3 2 2" xfId="34198"/>
    <cellStyle name="Comma 6 5 2 3 3 3" xfId="26187"/>
    <cellStyle name="Comma 6 5 2 3 4" xfId="14163"/>
    <cellStyle name="Comma 6 5 2 3 4 2" xfId="22178"/>
    <cellStyle name="Comma 6 5 2 3 4 2 2" xfId="36203"/>
    <cellStyle name="Comma 6 5 2 3 4 3" xfId="28192"/>
    <cellStyle name="Comma 6 5 2 3 5" xfId="16169"/>
    <cellStyle name="Comma 6 5 2 3 5 2" xfId="30194"/>
    <cellStyle name="Comma 6 5 2 3 6" xfId="18171"/>
    <cellStyle name="Comma 6 5 2 3 6 2" xfId="32196"/>
    <cellStyle name="Comma 6 5 2 3 7" xfId="24185"/>
    <cellStyle name="Comma 6 5 2 4" xfId="1408"/>
    <cellStyle name="Comma 6 5 2 4 2" xfId="1409"/>
    <cellStyle name="Comma 6 5 2 4 2 2" xfId="12151"/>
    <cellStyle name="Comma 6 5 2 4 2 2 2" xfId="20176"/>
    <cellStyle name="Comma 6 5 2 4 2 2 2 2" xfId="34201"/>
    <cellStyle name="Comma 6 5 2 4 2 2 3" xfId="26190"/>
    <cellStyle name="Comma 6 5 2 4 2 3" xfId="14166"/>
    <cellStyle name="Comma 6 5 2 4 2 3 2" xfId="22181"/>
    <cellStyle name="Comma 6 5 2 4 2 3 2 2" xfId="36206"/>
    <cellStyle name="Comma 6 5 2 4 2 3 3" xfId="28195"/>
    <cellStyle name="Comma 6 5 2 4 2 4" xfId="16172"/>
    <cellStyle name="Comma 6 5 2 4 2 4 2" xfId="30197"/>
    <cellStyle name="Comma 6 5 2 4 2 5" xfId="18174"/>
    <cellStyle name="Comma 6 5 2 4 2 5 2" xfId="32199"/>
    <cellStyle name="Comma 6 5 2 4 2 6" xfId="24188"/>
    <cellStyle name="Comma 6 5 2 4 3" xfId="12150"/>
    <cellStyle name="Comma 6 5 2 4 3 2" xfId="20175"/>
    <cellStyle name="Comma 6 5 2 4 3 2 2" xfId="34200"/>
    <cellStyle name="Comma 6 5 2 4 3 3" xfId="26189"/>
    <cellStyle name="Comma 6 5 2 4 4" xfId="14165"/>
    <cellStyle name="Comma 6 5 2 4 4 2" xfId="22180"/>
    <cellStyle name="Comma 6 5 2 4 4 2 2" xfId="36205"/>
    <cellStyle name="Comma 6 5 2 4 4 3" xfId="28194"/>
    <cellStyle name="Comma 6 5 2 4 5" xfId="16171"/>
    <cellStyle name="Comma 6 5 2 4 5 2" xfId="30196"/>
    <cellStyle name="Comma 6 5 2 4 6" xfId="18173"/>
    <cellStyle name="Comma 6 5 2 4 6 2" xfId="32198"/>
    <cellStyle name="Comma 6 5 2 4 7" xfId="24187"/>
    <cellStyle name="Comma 6 5 2 5" xfId="1410"/>
    <cellStyle name="Comma 6 5 2 5 2" xfId="12152"/>
    <cellStyle name="Comma 6 5 2 5 2 2" xfId="20177"/>
    <cellStyle name="Comma 6 5 2 5 2 2 2" xfId="34202"/>
    <cellStyle name="Comma 6 5 2 5 2 3" xfId="26191"/>
    <cellStyle name="Comma 6 5 2 5 3" xfId="14167"/>
    <cellStyle name="Comma 6 5 2 5 3 2" xfId="22182"/>
    <cellStyle name="Comma 6 5 2 5 3 2 2" xfId="36207"/>
    <cellStyle name="Comma 6 5 2 5 3 3" xfId="28196"/>
    <cellStyle name="Comma 6 5 2 5 4" xfId="16173"/>
    <cellStyle name="Comma 6 5 2 5 4 2" xfId="30198"/>
    <cellStyle name="Comma 6 5 2 5 5" xfId="18175"/>
    <cellStyle name="Comma 6 5 2 5 5 2" xfId="32200"/>
    <cellStyle name="Comma 6 5 2 5 6" xfId="24189"/>
    <cellStyle name="Comma 6 5 2 6" xfId="12143"/>
    <cellStyle name="Comma 6 5 2 6 2" xfId="20168"/>
    <cellStyle name="Comma 6 5 2 6 2 2" xfId="34193"/>
    <cellStyle name="Comma 6 5 2 6 3" xfId="26182"/>
    <cellStyle name="Comma 6 5 2 7" xfId="14158"/>
    <cellStyle name="Comma 6 5 2 7 2" xfId="22173"/>
    <cellStyle name="Comma 6 5 2 7 2 2" xfId="36198"/>
    <cellStyle name="Comma 6 5 2 7 3" xfId="28187"/>
    <cellStyle name="Comma 6 5 2 8" xfId="16164"/>
    <cellStyle name="Comma 6 5 2 8 2" xfId="30189"/>
    <cellStyle name="Comma 6 5 2 9" xfId="18166"/>
    <cellStyle name="Comma 6 5 2 9 2" xfId="32191"/>
    <cellStyle name="Comma 6 5 3" xfId="1411"/>
    <cellStyle name="Comma 6 5 3 2" xfId="1412"/>
    <cellStyle name="Comma 6 5 3 2 2" xfId="1413"/>
    <cellStyle name="Comma 6 5 3 2 2 2" xfId="12155"/>
    <cellStyle name="Comma 6 5 3 2 2 2 2" xfId="20180"/>
    <cellStyle name="Comma 6 5 3 2 2 2 2 2" xfId="34205"/>
    <cellStyle name="Comma 6 5 3 2 2 2 3" xfId="26194"/>
    <cellStyle name="Comma 6 5 3 2 2 3" xfId="14170"/>
    <cellStyle name="Comma 6 5 3 2 2 3 2" xfId="22185"/>
    <cellStyle name="Comma 6 5 3 2 2 3 2 2" xfId="36210"/>
    <cellStyle name="Comma 6 5 3 2 2 3 3" xfId="28199"/>
    <cellStyle name="Comma 6 5 3 2 2 4" xfId="16176"/>
    <cellStyle name="Comma 6 5 3 2 2 4 2" xfId="30201"/>
    <cellStyle name="Comma 6 5 3 2 2 5" xfId="18178"/>
    <cellStyle name="Comma 6 5 3 2 2 5 2" xfId="32203"/>
    <cellStyle name="Comma 6 5 3 2 2 6" xfId="24192"/>
    <cellStyle name="Comma 6 5 3 2 3" xfId="12154"/>
    <cellStyle name="Comma 6 5 3 2 3 2" xfId="20179"/>
    <cellStyle name="Comma 6 5 3 2 3 2 2" xfId="34204"/>
    <cellStyle name="Comma 6 5 3 2 3 3" xfId="26193"/>
    <cellStyle name="Comma 6 5 3 2 4" xfId="14169"/>
    <cellStyle name="Comma 6 5 3 2 4 2" xfId="22184"/>
    <cellStyle name="Comma 6 5 3 2 4 2 2" xfId="36209"/>
    <cellStyle name="Comma 6 5 3 2 4 3" xfId="28198"/>
    <cellStyle name="Comma 6 5 3 2 5" xfId="16175"/>
    <cellStyle name="Comma 6 5 3 2 5 2" xfId="30200"/>
    <cellStyle name="Comma 6 5 3 2 6" xfId="18177"/>
    <cellStyle name="Comma 6 5 3 2 6 2" xfId="32202"/>
    <cellStyle name="Comma 6 5 3 2 7" xfId="24191"/>
    <cellStyle name="Comma 6 5 3 3" xfId="1414"/>
    <cellStyle name="Comma 6 5 3 3 2" xfId="12156"/>
    <cellStyle name="Comma 6 5 3 3 2 2" xfId="20181"/>
    <cellStyle name="Comma 6 5 3 3 2 2 2" xfId="34206"/>
    <cellStyle name="Comma 6 5 3 3 2 3" xfId="26195"/>
    <cellStyle name="Comma 6 5 3 3 3" xfId="14171"/>
    <cellStyle name="Comma 6 5 3 3 3 2" xfId="22186"/>
    <cellStyle name="Comma 6 5 3 3 3 2 2" xfId="36211"/>
    <cellStyle name="Comma 6 5 3 3 3 3" xfId="28200"/>
    <cellStyle name="Comma 6 5 3 3 4" xfId="16177"/>
    <cellStyle name="Comma 6 5 3 3 4 2" xfId="30202"/>
    <cellStyle name="Comma 6 5 3 3 5" xfId="18179"/>
    <cellStyle name="Comma 6 5 3 3 5 2" xfId="32204"/>
    <cellStyle name="Comma 6 5 3 3 6" xfId="24193"/>
    <cellStyle name="Comma 6 5 3 4" xfId="12153"/>
    <cellStyle name="Comma 6 5 3 4 2" xfId="20178"/>
    <cellStyle name="Comma 6 5 3 4 2 2" xfId="34203"/>
    <cellStyle name="Comma 6 5 3 4 3" xfId="26192"/>
    <cellStyle name="Comma 6 5 3 5" xfId="14168"/>
    <cellStyle name="Comma 6 5 3 5 2" xfId="22183"/>
    <cellStyle name="Comma 6 5 3 5 2 2" xfId="36208"/>
    <cellStyle name="Comma 6 5 3 5 3" xfId="28197"/>
    <cellStyle name="Comma 6 5 3 6" xfId="16174"/>
    <cellStyle name="Comma 6 5 3 6 2" xfId="30199"/>
    <cellStyle name="Comma 6 5 3 7" xfId="18176"/>
    <cellStyle name="Comma 6 5 3 7 2" xfId="32201"/>
    <cellStyle name="Comma 6 5 3 8" xfId="24190"/>
    <cellStyle name="Comma 6 5 4" xfId="1415"/>
    <cellStyle name="Comma 6 5 4 2" xfId="1416"/>
    <cellStyle name="Comma 6 5 4 2 2" xfId="12158"/>
    <cellStyle name="Comma 6 5 4 2 2 2" xfId="20183"/>
    <cellStyle name="Comma 6 5 4 2 2 2 2" xfId="34208"/>
    <cellStyle name="Comma 6 5 4 2 2 3" xfId="26197"/>
    <cellStyle name="Comma 6 5 4 2 3" xfId="14173"/>
    <cellStyle name="Comma 6 5 4 2 3 2" xfId="22188"/>
    <cellStyle name="Comma 6 5 4 2 3 2 2" xfId="36213"/>
    <cellStyle name="Comma 6 5 4 2 3 3" xfId="28202"/>
    <cellStyle name="Comma 6 5 4 2 4" xfId="16179"/>
    <cellStyle name="Comma 6 5 4 2 4 2" xfId="30204"/>
    <cellStyle name="Comma 6 5 4 2 5" xfId="18181"/>
    <cellStyle name="Comma 6 5 4 2 5 2" xfId="32206"/>
    <cellStyle name="Comma 6 5 4 2 6" xfId="24195"/>
    <cellStyle name="Comma 6 5 4 3" xfId="12157"/>
    <cellStyle name="Comma 6 5 4 3 2" xfId="20182"/>
    <cellStyle name="Comma 6 5 4 3 2 2" xfId="34207"/>
    <cellStyle name="Comma 6 5 4 3 3" xfId="26196"/>
    <cellStyle name="Comma 6 5 4 4" xfId="14172"/>
    <cellStyle name="Comma 6 5 4 4 2" xfId="22187"/>
    <cellStyle name="Comma 6 5 4 4 2 2" xfId="36212"/>
    <cellStyle name="Comma 6 5 4 4 3" xfId="28201"/>
    <cellStyle name="Comma 6 5 4 5" xfId="16178"/>
    <cellStyle name="Comma 6 5 4 5 2" xfId="30203"/>
    <cellStyle name="Comma 6 5 4 6" xfId="18180"/>
    <cellStyle name="Comma 6 5 4 6 2" xfId="32205"/>
    <cellStyle name="Comma 6 5 4 7" xfId="24194"/>
    <cellStyle name="Comma 6 5 5" xfId="1417"/>
    <cellStyle name="Comma 6 5 5 2" xfId="1418"/>
    <cellStyle name="Comma 6 5 5 2 2" xfId="12160"/>
    <cellStyle name="Comma 6 5 5 2 2 2" xfId="20185"/>
    <cellStyle name="Comma 6 5 5 2 2 2 2" xfId="34210"/>
    <cellStyle name="Comma 6 5 5 2 2 3" xfId="26199"/>
    <cellStyle name="Comma 6 5 5 2 3" xfId="14175"/>
    <cellStyle name="Comma 6 5 5 2 3 2" xfId="22190"/>
    <cellStyle name="Comma 6 5 5 2 3 2 2" xfId="36215"/>
    <cellStyle name="Comma 6 5 5 2 3 3" xfId="28204"/>
    <cellStyle name="Comma 6 5 5 2 4" xfId="16181"/>
    <cellStyle name="Comma 6 5 5 2 4 2" xfId="30206"/>
    <cellStyle name="Comma 6 5 5 2 5" xfId="18183"/>
    <cellStyle name="Comma 6 5 5 2 5 2" xfId="32208"/>
    <cellStyle name="Comma 6 5 5 2 6" xfId="24197"/>
    <cellStyle name="Comma 6 5 5 3" xfId="12159"/>
    <cellStyle name="Comma 6 5 5 3 2" xfId="20184"/>
    <cellStyle name="Comma 6 5 5 3 2 2" xfId="34209"/>
    <cellStyle name="Comma 6 5 5 3 3" xfId="26198"/>
    <cellStyle name="Comma 6 5 5 4" xfId="14174"/>
    <cellStyle name="Comma 6 5 5 4 2" xfId="22189"/>
    <cellStyle name="Comma 6 5 5 4 2 2" xfId="36214"/>
    <cellStyle name="Comma 6 5 5 4 3" xfId="28203"/>
    <cellStyle name="Comma 6 5 5 5" xfId="16180"/>
    <cellStyle name="Comma 6 5 5 5 2" xfId="30205"/>
    <cellStyle name="Comma 6 5 5 6" xfId="18182"/>
    <cellStyle name="Comma 6 5 5 6 2" xfId="32207"/>
    <cellStyle name="Comma 6 5 5 7" xfId="24196"/>
    <cellStyle name="Comma 6 5 6" xfId="1419"/>
    <cellStyle name="Comma 6 5 6 2" xfId="12161"/>
    <cellStyle name="Comma 6 5 6 2 2" xfId="20186"/>
    <cellStyle name="Comma 6 5 6 2 2 2" xfId="34211"/>
    <cellStyle name="Comma 6 5 6 2 3" xfId="26200"/>
    <cellStyle name="Comma 6 5 6 3" xfId="14176"/>
    <cellStyle name="Comma 6 5 6 3 2" xfId="22191"/>
    <cellStyle name="Comma 6 5 6 3 2 2" xfId="36216"/>
    <cellStyle name="Comma 6 5 6 3 3" xfId="28205"/>
    <cellStyle name="Comma 6 5 6 4" xfId="16182"/>
    <cellStyle name="Comma 6 5 6 4 2" xfId="30207"/>
    <cellStyle name="Comma 6 5 6 5" xfId="18184"/>
    <cellStyle name="Comma 6 5 6 5 2" xfId="32209"/>
    <cellStyle name="Comma 6 5 6 6" xfId="24198"/>
    <cellStyle name="Comma 6 5 7" xfId="12142"/>
    <cellStyle name="Comma 6 5 7 2" xfId="20167"/>
    <cellStyle name="Comma 6 5 7 2 2" xfId="34192"/>
    <cellStyle name="Comma 6 5 7 3" xfId="26181"/>
    <cellStyle name="Comma 6 5 8" xfId="14157"/>
    <cellStyle name="Comma 6 5 8 2" xfId="22172"/>
    <cellStyle name="Comma 6 5 8 2 2" xfId="36197"/>
    <cellStyle name="Comma 6 5 8 3" xfId="28186"/>
    <cellStyle name="Comma 6 5 9" xfId="16163"/>
    <cellStyle name="Comma 6 5 9 2" xfId="30188"/>
    <cellStyle name="Comma 6 6" xfId="1420"/>
    <cellStyle name="Comma 6 6 10" xfId="24199"/>
    <cellStyle name="Comma 6 6 2" xfId="1421"/>
    <cellStyle name="Comma 6 6 2 2" xfId="1422"/>
    <cellStyle name="Comma 6 6 2 2 2" xfId="1423"/>
    <cellStyle name="Comma 6 6 2 2 2 2" xfId="12165"/>
    <cellStyle name="Comma 6 6 2 2 2 2 2" xfId="20190"/>
    <cellStyle name="Comma 6 6 2 2 2 2 2 2" xfId="34215"/>
    <cellStyle name="Comma 6 6 2 2 2 2 3" xfId="26204"/>
    <cellStyle name="Comma 6 6 2 2 2 3" xfId="14180"/>
    <cellStyle name="Comma 6 6 2 2 2 3 2" xfId="22195"/>
    <cellStyle name="Comma 6 6 2 2 2 3 2 2" xfId="36220"/>
    <cellStyle name="Comma 6 6 2 2 2 3 3" xfId="28209"/>
    <cellStyle name="Comma 6 6 2 2 2 4" xfId="16186"/>
    <cellStyle name="Comma 6 6 2 2 2 4 2" xfId="30211"/>
    <cellStyle name="Comma 6 6 2 2 2 5" xfId="18188"/>
    <cellStyle name="Comma 6 6 2 2 2 5 2" xfId="32213"/>
    <cellStyle name="Comma 6 6 2 2 2 6" xfId="24202"/>
    <cellStyle name="Comma 6 6 2 2 3" xfId="12164"/>
    <cellStyle name="Comma 6 6 2 2 3 2" xfId="20189"/>
    <cellStyle name="Comma 6 6 2 2 3 2 2" xfId="34214"/>
    <cellStyle name="Comma 6 6 2 2 3 3" xfId="26203"/>
    <cellStyle name="Comma 6 6 2 2 4" xfId="14179"/>
    <cellStyle name="Comma 6 6 2 2 4 2" xfId="22194"/>
    <cellStyle name="Comma 6 6 2 2 4 2 2" xfId="36219"/>
    <cellStyle name="Comma 6 6 2 2 4 3" xfId="28208"/>
    <cellStyle name="Comma 6 6 2 2 5" xfId="16185"/>
    <cellStyle name="Comma 6 6 2 2 5 2" xfId="30210"/>
    <cellStyle name="Comma 6 6 2 2 6" xfId="18187"/>
    <cellStyle name="Comma 6 6 2 2 6 2" xfId="32212"/>
    <cellStyle name="Comma 6 6 2 2 7" xfId="24201"/>
    <cellStyle name="Comma 6 6 2 3" xfId="1424"/>
    <cellStyle name="Comma 6 6 2 3 2" xfId="12166"/>
    <cellStyle name="Comma 6 6 2 3 2 2" xfId="20191"/>
    <cellStyle name="Comma 6 6 2 3 2 2 2" xfId="34216"/>
    <cellStyle name="Comma 6 6 2 3 2 3" xfId="26205"/>
    <cellStyle name="Comma 6 6 2 3 3" xfId="14181"/>
    <cellStyle name="Comma 6 6 2 3 3 2" xfId="22196"/>
    <cellStyle name="Comma 6 6 2 3 3 2 2" xfId="36221"/>
    <cellStyle name="Comma 6 6 2 3 3 3" xfId="28210"/>
    <cellStyle name="Comma 6 6 2 3 4" xfId="16187"/>
    <cellStyle name="Comma 6 6 2 3 4 2" xfId="30212"/>
    <cellStyle name="Comma 6 6 2 3 5" xfId="18189"/>
    <cellStyle name="Comma 6 6 2 3 5 2" xfId="32214"/>
    <cellStyle name="Comma 6 6 2 3 6" xfId="24203"/>
    <cellStyle name="Comma 6 6 2 4" xfId="12163"/>
    <cellStyle name="Comma 6 6 2 4 2" xfId="20188"/>
    <cellStyle name="Comma 6 6 2 4 2 2" xfId="34213"/>
    <cellStyle name="Comma 6 6 2 4 3" xfId="26202"/>
    <cellStyle name="Comma 6 6 2 5" xfId="14178"/>
    <cellStyle name="Comma 6 6 2 5 2" xfId="22193"/>
    <cellStyle name="Comma 6 6 2 5 2 2" xfId="36218"/>
    <cellStyle name="Comma 6 6 2 5 3" xfId="28207"/>
    <cellStyle name="Comma 6 6 2 6" xfId="16184"/>
    <cellStyle name="Comma 6 6 2 6 2" xfId="30209"/>
    <cellStyle name="Comma 6 6 2 7" xfId="18186"/>
    <cellStyle name="Comma 6 6 2 7 2" xfId="32211"/>
    <cellStyle name="Comma 6 6 2 8" xfId="24200"/>
    <cellStyle name="Comma 6 6 3" xfId="1425"/>
    <cellStyle name="Comma 6 6 3 2" xfId="1426"/>
    <cellStyle name="Comma 6 6 3 2 2" xfId="12168"/>
    <cellStyle name="Comma 6 6 3 2 2 2" xfId="20193"/>
    <cellStyle name="Comma 6 6 3 2 2 2 2" xfId="34218"/>
    <cellStyle name="Comma 6 6 3 2 2 3" xfId="26207"/>
    <cellStyle name="Comma 6 6 3 2 3" xfId="14183"/>
    <cellStyle name="Comma 6 6 3 2 3 2" xfId="22198"/>
    <cellStyle name="Comma 6 6 3 2 3 2 2" xfId="36223"/>
    <cellStyle name="Comma 6 6 3 2 3 3" xfId="28212"/>
    <cellStyle name="Comma 6 6 3 2 4" xfId="16189"/>
    <cellStyle name="Comma 6 6 3 2 4 2" xfId="30214"/>
    <cellStyle name="Comma 6 6 3 2 5" xfId="18191"/>
    <cellStyle name="Comma 6 6 3 2 5 2" xfId="32216"/>
    <cellStyle name="Comma 6 6 3 2 6" xfId="24205"/>
    <cellStyle name="Comma 6 6 3 3" xfId="12167"/>
    <cellStyle name="Comma 6 6 3 3 2" xfId="20192"/>
    <cellStyle name="Comma 6 6 3 3 2 2" xfId="34217"/>
    <cellStyle name="Comma 6 6 3 3 3" xfId="26206"/>
    <cellStyle name="Comma 6 6 3 4" xfId="14182"/>
    <cellStyle name="Comma 6 6 3 4 2" xfId="22197"/>
    <cellStyle name="Comma 6 6 3 4 2 2" xfId="36222"/>
    <cellStyle name="Comma 6 6 3 4 3" xfId="28211"/>
    <cellStyle name="Comma 6 6 3 5" xfId="16188"/>
    <cellStyle name="Comma 6 6 3 5 2" xfId="30213"/>
    <cellStyle name="Comma 6 6 3 6" xfId="18190"/>
    <cellStyle name="Comma 6 6 3 6 2" xfId="32215"/>
    <cellStyle name="Comma 6 6 3 7" xfId="24204"/>
    <cellStyle name="Comma 6 6 4" xfId="1427"/>
    <cellStyle name="Comma 6 6 4 2" xfId="1428"/>
    <cellStyle name="Comma 6 6 4 2 2" xfId="12170"/>
    <cellStyle name="Comma 6 6 4 2 2 2" xfId="20195"/>
    <cellStyle name="Comma 6 6 4 2 2 2 2" xfId="34220"/>
    <cellStyle name="Comma 6 6 4 2 2 3" xfId="26209"/>
    <cellStyle name="Comma 6 6 4 2 3" xfId="14185"/>
    <cellStyle name="Comma 6 6 4 2 3 2" xfId="22200"/>
    <cellStyle name="Comma 6 6 4 2 3 2 2" xfId="36225"/>
    <cellStyle name="Comma 6 6 4 2 3 3" xfId="28214"/>
    <cellStyle name="Comma 6 6 4 2 4" xfId="16191"/>
    <cellStyle name="Comma 6 6 4 2 4 2" xfId="30216"/>
    <cellStyle name="Comma 6 6 4 2 5" xfId="18193"/>
    <cellStyle name="Comma 6 6 4 2 5 2" xfId="32218"/>
    <cellStyle name="Comma 6 6 4 2 6" xfId="24207"/>
    <cellStyle name="Comma 6 6 4 3" xfId="12169"/>
    <cellStyle name="Comma 6 6 4 3 2" xfId="20194"/>
    <cellStyle name="Comma 6 6 4 3 2 2" xfId="34219"/>
    <cellStyle name="Comma 6 6 4 3 3" xfId="26208"/>
    <cellStyle name="Comma 6 6 4 4" xfId="14184"/>
    <cellStyle name="Comma 6 6 4 4 2" xfId="22199"/>
    <cellStyle name="Comma 6 6 4 4 2 2" xfId="36224"/>
    <cellStyle name="Comma 6 6 4 4 3" xfId="28213"/>
    <cellStyle name="Comma 6 6 4 5" xfId="16190"/>
    <cellStyle name="Comma 6 6 4 5 2" xfId="30215"/>
    <cellStyle name="Comma 6 6 4 6" xfId="18192"/>
    <cellStyle name="Comma 6 6 4 6 2" xfId="32217"/>
    <cellStyle name="Comma 6 6 4 7" xfId="24206"/>
    <cellStyle name="Comma 6 6 5" xfId="1429"/>
    <cellStyle name="Comma 6 6 5 2" xfId="12171"/>
    <cellStyle name="Comma 6 6 5 2 2" xfId="20196"/>
    <cellStyle name="Comma 6 6 5 2 2 2" xfId="34221"/>
    <cellStyle name="Comma 6 6 5 2 3" xfId="26210"/>
    <cellStyle name="Comma 6 6 5 3" xfId="14186"/>
    <cellStyle name="Comma 6 6 5 3 2" xfId="22201"/>
    <cellStyle name="Comma 6 6 5 3 2 2" xfId="36226"/>
    <cellStyle name="Comma 6 6 5 3 3" xfId="28215"/>
    <cellStyle name="Comma 6 6 5 4" xfId="16192"/>
    <cellStyle name="Comma 6 6 5 4 2" xfId="30217"/>
    <cellStyle name="Comma 6 6 5 5" xfId="18194"/>
    <cellStyle name="Comma 6 6 5 5 2" xfId="32219"/>
    <cellStyle name="Comma 6 6 5 6" xfId="24208"/>
    <cellStyle name="Comma 6 6 6" xfId="12162"/>
    <cellStyle name="Comma 6 6 6 2" xfId="20187"/>
    <cellStyle name="Comma 6 6 6 2 2" xfId="34212"/>
    <cellStyle name="Comma 6 6 6 3" xfId="26201"/>
    <cellStyle name="Comma 6 6 7" xfId="14177"/>
    <cellStyle name="Comma 6 6 7 2" xfId="22192"/>
    <cellStyle name="Comma 6 6 7 2 2" xfId="36217"/>
    <cellStyle name="Comma 6 6 7 3" xfId="28206"/>
    <cellStyle name="Comma 6 6 8" xfId="16183"/>
    <cellStyle name="Comma 6 6 8 2" xfId="30208"/>
    <cellStyle name="Comma 6 6 9" xfId="18185"/>
    <cellStyle name="Comma 6 6 9 2" xfId="32210"/>
    <cellStyle name="Comma 6 7" xfId="1430"/>
    <cellStyle name="Comma 6 7 2" xfId="1431"/>
    <cellStyle name="Comma 6 7 2 2" xfId="1432"/>
    <cellStyle name="Comma 6 7 2 2 2" xfId="12174"/>
    <cellStyle name="Comma 6 7 2 2 2 2" xfId="20199"/>
    <cellStyle name="Comma 6 7 2 2 2 2 2" xfId="34224"/>
    <cellStyle name="Comma 6 7 2 2 2 3" xfId="26213"/>
    <cellStyle name="Comma 6 7 2 2 3" xfId="14189"/>
    <cellStyle name="Comma 6 7 2 2 3 2" xfId="22204"/>
    <cellStyle name="Comma 6 7 2 2 3 2 2" xfId="36229"/>
    <cellStyle name="Comma 6 7 2 2 3 3" xfId="28218"/>
    <cellStyle name="Comma 6 7 2 2 4" xfId="16195"/>
    <cellStyle name="Comma 6 7 2 2 4 2" xfId="30220"/>
    <cellStyle name="Comma 6 7 2 2 5" xfId="18197"/>
    <cellStyle name="Comma 6 7 2 2 5 2" xfId="32222"/>
    <cellStyle name="Comma 6 7 2 2 6" xfId="24211"/>
    <cellStyle name="Comma 6 7 2 3" xfId="12173"/>
    <cellStyle name="Comma 6 7 2 3 2" xfId="20198"/>
    <cellStyle name="Comma 6 7 2 3 2 2" xfId="34223"/>
    <cellStyle name="Comma 6 7 2 3 3" xfId="26212"/>
    <cellStyle name="Comma 6 7 2 4" xfId="14188"/>
    <cellStyle name="Comma 6 7 2 4 2" xfId="22203"/>
    <cellStyle name="Comma 6 7 2 4 2 2" xfId="36228"/>
    <cellStyle name="Comma 6 7 2 4 3" xfId="28217"/>
    <cellStyle name="Comma 6 7 2 5" xfId="16194"/>
    <cellStyle name="Comma 6 7 2 5 2" xfId="30219"/>
    <cellStyle name="Comma 6 7 2 6" xfId="18196"/>
    <cellStyle name="Comma 6 7 2 6 2" xfId="32221"/>
    <cellStyle name="Comma 6 7 2 7" xfId="24210"/>
    <cellStyle name="Comma 6 7 3" xfId="1433"/>
    <cellStyle name="Comma 6 7 3 2" xfId="12175"/>
    <cellStyle name="Comma 6 7 3 2 2" xfId="20200"/>
    <cellStyle name="Comma 6 7 3 2 2 2" xfId="34225"/>
    <cellStyle name="Comma 6 7 3 2 3" xfId="26214"/>
    <cellStyle name="Comma 6 7 3 3" xfId="14190"/>
    <cellStyle name="Comma 6 7 3 3 2" xfId="22205"/>
    <cellStyle name="Comma 6 7 3 3 2 2" xfId="36230"/>
    <cellStyle name="Comma 6 7 3 3 3" xfId="28219"/>
    <cellStyle name="Comma 6 7 3 4" xfId="16196"/>
    <cellStyle name="Comma 6 7 3 4 2" xfId="30221"/>
    <cellStyle name="Comma 6 7 3 5" xfId="18198"/>
    <cellStyle name="Comma 6 7 3 5 2" xfId="32223"/>
    <cellStyle name="Comma 6 7 3 6" xfId="24212"/>
    <cellStyle name="Comma 6 7 4" xfId="12172"/>
    <cellStyle name="Comma 6 7 4 2" xfId="20197"/>
    <cellStyle name="Comma 6 7 4 2 2" xfId="34222"/>
    <cellStyle name="Comma 6 7 4 3" xfId="26211"/>
    <cellStyle name="Comma 6 7 5" xfId="14187"/>
    <cellStyle name="Comma 6 7 5 2" xfId="22202"/>
    <cellStyle name="Comma 6 7 5 2 2" xfId="36227"/>
    <cellStyle name="Comma 6 7 5 3" xfId="28216"/>
    <cellStyle name="Comma 6 7 6" xfId="16193"/>
    <cellStyle name="Comma 6 7 6 2" xfId="30218"/>
    <cellStyle name="Comma 6 7 7" xfId="18195"/>
    <cellStyle name="Comma 6 7 7 2" xfId="32220"/>
    <cellStyle name="Comma 6 7 8" xfId="24209"/>
    <cellStyle name="Comma 6 8" xfId="1434"/>
    <cellStyle name="Comma 6 8 2" xfId="1435"/>
    <cellStyle name="Comma 6 8 2 2" xfId="12177"/>
    <cellStyle name="Comma 6 8 2 2 2" xfId="20202"/>
    <cellStyle name="Comma 6 8 2 2 2 2" xfId="34227"/>
    <cellStyle name="Comma 6 8 2 2 3" xfId="26216"/>
    <cellStyle name="Comma 6 8 2 3" xfId="14192"/>
    <cellStyle name="Comma 6 8 2 3 2" xfId="22207"/>
    <cellStyle name="Comma 6 8 2 3 2 2" xfId="36232"/>
    <cellStyle name="Comma 6 8 2 3 3" xfId="28221"/>
    <cellStyle name="Comma 6 8 2 4" xfId="16198"/>
    <cellStyle name="Comma 6 8 2 4 2" xfId="30223"/>
    <cellStyle name="Comma 6 8 2 5" xfId="18200"/>
    <cellStyle name="Comma 6 8 2 5 2" xfId="32225"/>
    <cellStyle name="Comma 6 8 2 6" xfId="24214"/>
    <cellStyle name="Comma 6 8 3" xfId="12176"/>
    <cellStyle name="Comma 6 8 3 2" xfId="20201"/>
    <cellStyle name="Comma 6 8 3 2 2" xfId="34226"/>
    <cellStyle name="Comma 6 8 3 3" xfId="26215"/>
    <cellStyle name="Comma 6 8 4" xfId="14191"/>
    <cellStyle name="Comma 6 8 4 2" xfId="22206"/>
    <cellStyle name="Comma 6 8 4 2 2" xfId="36231"/>
    <cellStyle name="Comma 6 8 4 3" xfId="28220"/>
    <cellStyle name="Comma 6 8 5" xfId="16197"/>
    <cellStyle name="Comma 6 8 5 2" xfId="30222"/>
    <cellStyle name="Comma 6 8 6" xfId="18199"/>
    <cellStyle name="Comma 6 8 6 2" xfId="32224"/>
    <cellStyle name="Comma 6 8 7" xfId="24213"/>
    <cellStyle name="Comma 6 9" xfId="1436"/>
    <cellStyle name="Comma 6 9 2" xfId="1437"/>
    <cellStyle name="Comma 6 9 2 2" xfId="12179"/>
    <cellStyle name="Comma 6 9 2 2 2" xfId="20204"/>
    <cellStyle name="Comma 6 9 2 2 2 2" xfId="34229"/>
    <cellStyle name="Comma 6 9 2 2 3" xfId="26218"/>
    <cellStyle name="Comma 6 9 2 3" xfId="14194"/>
    <cellStyle name="Comma 6 9 2 3 2" xfId="22209"/>
    <cellStyle name="Comma 6 9 2 3 2 2" xfId="36234"/>
    <cellStyle name="Comma 6 9 2 3 3" xfId="28223"/>
    <cellStyle name="Comma 6 9 2 4" xfId="16200"/>
    <cellStyle name="Comma 6 9 2 4 2" xfId="30225"/>
    <cellStyle name="Comma 6 9 2 5" xfId="18202"/>
    <cellStyle name="Comma 6 9 2 5 2" xfId="32227"/>
    <cellStyle name="Comma 6 9 2 6" xfId="24216"/>
    <cellStyle name="Comma 6 9 3" xfId="12178"/>
    <cellStyle name="Comma 6 9 3 2" xfId="20203"/>
    <cellStyle name="Comma 6 9 3 2 2" xfId="34228"/>
    <cellStyle name="Comma 6 9 3 3" xfId="26217"/>
    <cellStyle name="Comma 6 9 4" xfId="14193"/>
    <cellStyle name="Comma 6 9 4 2" xfId="22208"/>
    <cellStyle name="Comma 6 9 4 2 2" xfId="36233"/>
    <cellStyle name="Comma 6 9 4 3" xfId="28222"/>
    <cellStyle name="Comma 6 9 5" xfId="16199"/>
    <cellStyle name="Comma 6 9 5 2" xfId="30224"/>
    <cellStyle name="Comma 6 9 6" xfId="18201"/>
    <cellStyle name="Comma 6 9 6 2" xfId="32226"/>
    <cellStyle name="Comma 6 9 7" xfId="24215"/>
    <cellStyle name="Comma 7" xfId="423"/>
    <cellStyle name="Comma 7 2" xfId="424"/>
    <cellStyle name="Comma 7 3" xfId="425"/>
    <cellStyle name="Comma 7 3 2" xfId="11622"/>
    <cellStyle name="Comma 7 4" xfId="11621"/>
    <cellStyle name="Comma 8" xfId="426"/>
    <cellStyle name="Comma 8 10" xfId="11623"/>
    <cellStyle name="Comma 8 2" xfId="427"/>
    <cellStyle name="Comma 8 3" xfId="1438"/>
    <cellStyle name="Comma 8 3 10" xfId="16201"/>
    <cellStyle name="Comma 8 3 10 2" xfId="30226"/>
    <cellStyle name="Comma 8 3 11" xfId="18203"/>
    <cellStyle name="Comma 8 3 11 2" xfId="32228"/>
    <cellStyle name="Comma 8 3 12" xfId="24217"/>
    <cellStyle name="Comma 8 3 2" xfId="1439"/>
    <cellStyle name="Comma 8 3 2 10" xfId="18204"/>
    <cellStyle name="Comma 8 3 2 10 2" xfId="32229"/>
    <cellStyle name="Comma 8 3 2 11" xfId="24218"/>
    <cellStyle name="Comma 8 3 2 2" xfId="1440"/>
    <cellStyle name="Comma 8 3 2 2 10" xfId="24219"/>
    <cellStyle name="Comma 8 3 2 2 2" xfId="1441"/>
    <cellStyle name="Comma 8 3 2 2 2 2" xfId="1442"/>
    <cellStyle name="Comma 8 3 2 2 2 2 2" xfId="1443"/>
    <cellStyle name="Comma 8 3 2 2 2 2 2 2" xfId="12185"/>
    <cellStyle name="Comma 8 3 2 2 2 2 2 2 2" xfId="20210"/>
    <cellStyle name="Comma 8 3 2 2 2 2 2 2 2 2" xfId="34235"/>
    <cellStyle name="Comma 8 3 2 2 2 2 2 2 3" xfId="26224"/>
    <cellStyle name="Comma 8 3 2 2 2 2 2 3" xfId="14200"/>
    <cellStyle name="Comma 8 3 2 2 2 2 2 3 2" xfId="22215"/>
    <cellStyle name="Comma 8 3 2 2 2 2 2 3 2 2" xfId="36240"/>
    <cellStyle name="Comma 8 3 2 2 2 2 2 3 3" xfId="28229"/>
    <cellStyle name="Comma 8 3 2 2 2 2 2 4" xfId="16206"/>
    <cellStyle name="Comma 8 3 2 2 2 2 2 4 2" xfId="30231"/>
    <cellStyle name="Comma 8 3 2 2 2 2 2 5" xfId="18208"/>
    <cellStyle name="Comma 8 3 2 2 2 2 2 5 2" xfId="32233"/>
    <cellStyle name="Comma 8 3 2 2 2 2 2 6" xfId="24222"/>
    <cellStyle name="Comma 8 3 2 2 2 2 3" xfId="12184"/>
    <cellStyle name="Comma 8 3 2 2 2 2 3 2" xfId="20209"/>
    <cellStyle name="Comma 8 3 2 2 2 2 3 2 2" xfId="34234"/>
    <cellStyle name="Comma 8 3 2 2 2 2 3 3" xfId="26223"/>
    <cellStyle name="Comma 8 3 2 2 2 2 4" xfId="14199"/>
    <cellStyle name="Comma 8 3 2 2 2 2 4 2" xfId="22214"/>
    <cellStyle name="Comma 8 3 2 2 2 2 4 2 2" xfId="36239"/>
    <cellStyle name="Comma 8 3 2 2 2 2 4 3" xfId="28228"/>
    <cellStyle name="Comma 8 3 2 2 2 2 5" xfId="16205"/>
    <cellStyle name="Comma 8 3 2 2 2 2 5 2" xfId="30230"/>
    <cellStyle name="Comma 8 3 2 2 2 2 6" xfId="18207"/>
    <cellStyle name="Comma 8 3 2 2 2 2 6 2" xfId="32232"/>
    <cellStyle name="Comma 8 3 2 2 2 2 7" xfId="24221"/>
    <cellStyle name="Comma 8 3 2 2 2 3" xfId="1444"/>
    <cellStyle name="Comma 8 3 2 2 2 3 2" xfId="12186"/>
    <cellStyle name="Comma 8 3 2 2 2 3 2 2" xfId="20211"/>
    <cellStyle name="Comma 8 3 2 2 2 3 2 2 2" xfId="34236"/>
    <cellStyle name="Comma 8 3 2 2 2 3 2 3" xfId="26225"/>
    <cellStyle name="Comma 8 3 2 2 2 3 3" xfId="14201"/>
    <cellStyle name="Comma 8 3 2 2 2 3 3 2" xfId="22216"/>
    <cellStyle name="Comma 8 3 2 2 2 3 3 2 2" xfId="36241"/>
    <cellStyle name="Comma 8 3 2 2 2 3 3 3" xfId="28230"/>
    <cellStyle name="Comma 8 3 2 2 2 3 4" xfId="16207"/>
    <cellStyle name="Comma 8 3 2 2 2 3 4 2" xfId="30232"/>
    <cellStyle name="Comma 8 3 2 2 2 3 5" xfId="18209"/>
    <cellStyle name="Comma 8 3 2 2 2 3 5 2" xfId="32234"/>
    <cellStyle name="Comma 8 3 2 2 2 3 6" xfId="24223"/>
    <cellStyle name="Comma 8 3 2 2 2 4" xfId="12183"/>
    <cellStyle name="Comma 8 3 2 2 2 4 2" xfId="20208"/>
    <cellStyle name="Comma 8 3 2 2 2 4 2 2" xfId="34233"/>
    <cellStyle name="Comma 8 3 2 2 2 4 3" xfId="26222"/>
    <cellStyle name="Comma 8 3 2 2 2 5" xfId="14198"/>
    <cellStyle name="Comma 8 3 2 2 2 5 2" xfId="22213"/>
    <cellStyle name="Comma 8 3 2 2 2 5 2 2" xfId="36238"/>
    <cellStyle name="Comma 8 3 2 2 2 5 3" xfId="28227"/>
    <cellStyle name="Comma 8 3 2 2 2 6" xfId="16204"/>
    <cellStyle name="Comma 8 3 2 2 2 6 2" xfId="30229"/>
    <cellStyle name="Comma 8 3 2 2 2 7" xfId="18206"/>
    <cellStyle name="Comma 8 3 2 2 2 7 2" xfId="32231"/>
    <cellStyle name="Comma 8 3 2 2 2 8" xfId="24220"/>
    <cellStyle name="Comma 8 3 2 2 3" xfId="1445"/>
    <cellStyle name="Comma 8 3 2 2 3 2" xfId="1446"/>
    <cellStyle name="Comma 8 3 2 2 3 2 2" xfId="12188"/>
    <cellStyle name="Comma 8 3 2 2 3 2 2 2" xfId="20213"/>
    <cellStyle name="Comma 8 3 2 2 3 2 2 2 2" xfId="34238"/>
    <cellStyle name="Comma 8 3 2 2 3 2 2 3" xfId="26227"/>
    <cellStyle name="Comma 8 3 2 2 3 2 3" xfId="14203"/>
    <cellStyle name="Comma 8 3 2 2 3 2 3 2" xfId="22218"/>
    <cellStyle name="Comma 8 3 2 2 3 2 3 2 2" xfId="36243"/>
    <cellStyle name="Comma 8 3 2 2 3 2 3 3" xfId="28232"/>
    <cellStyle name="Comma 8 3 2 2 3 2 4" xfId="16209"/>
    <cellStyle name="Comma 8 3 2 2 3 2 4 2" xfId="30234"/>
    <cellStyle name="Comma 8 3 2 2 3 2 5" xfId="18211"/>
    <cellStyle name="Comma 8 3 2 2 3 2 5 2" xfId="32236"/>
    <cellStyle name="Comma 8 3 2 2 3 2 6" xfId="24225"/>
    <cellStyle name="Comma 8 3 2 2 3 3" xfId="12187"/>
    <cellStyle name="Comma 8 3 2 2 3 3 2" xfId="20212"/>
    <cellStyle name="Comma 8 3 2 2 3 3 2 2" xfId="34237"/>
    <cellStyle name="Comma 8 3 2 2 3 3 3" xfId="26226"/>
    <cellStyle name="Comma 8 3 2 2 3 4" xfId="14202"/>
    <cellStyle name="Comma 8 3 2 2 3 4 2" xfId="22217"/>
    <cellStyle name="Comma 8 3 2 2 3 4 2 2" xfId="36242"/>
    <cellStyle name="Comma 8 3 2 2 3 4 3" xfId="28231"/>
    <cellStyle name="Comma 8 3 2 2 3 5" xfId="16208"/>
    <cellStyle name="Comma 8 3 2 2 3 5 2" xfId="30233"/>
    <cellStyle name="Comma 8 3 2 2 3 6" xfId="18210"/>
    <cellStyle name="Comma 8 3 2 2 3 6 2" xfId="32235"/>
    <cellStyle name="Comma 8 3 2 2 3 7" xfId="24224"/>
    <cellStyle name="Comma 8 3 2 2 4" xfId="1447"/>
    <cellStyle name="Comma 8 3 2 2 4 2" xfId="1448"/>
    <cellStyle name="Comma 8 3 2 2 4 2 2" xfId="12190"/>
    <cellStyle name="Comma 8 3 2 2 4 2 2 2" xfId="20215"/>
    <cellStyle name="Comma 8 3 2 2 4 2 2 2 2" xfId="34240"/>
    <cellStyle name="Comma 8 3 2 2 4 2 2 3" xfId="26229"/>
    <cellStyle name="Comma 8 3 2 2 4 2 3" xfId="14205"/>
    <cellStyle name="Comma 8 3 2 2 4 2 3 2" xfId="22220"/>
    <cellStyle name="Comma 8 3 2 2 4 2 3 2 2" xfId="36245"/>
    <cellStyle name="Comma 8 3 2 2 4 2 3 3" xfId="28234"/>
    <cellStyle name="Comma 8 3 2 2 4 2 4" xfId="16211"/>
    <cellStyle name="Comma 8 3 2 2 4 2 4 2" xfId="30236"/>
    <cellStyle name="Comma 8 3 2 2 4 2 5" xfId="18213"/>
    <cellStyle name="Comma 8 3 2 2 4 2 5 2" xfId="32238"/>
    <cellStyle name="Comma 8 3 2 2 4 2 6" xfId="24227"/>
    <cellStyle name="Comma 8 3 2 2 4 3" xfId="12189"/>
    <cellStyle name="Comma 8 3 2 2 4 3 2" xfId="20214"/>
    <cellStyle name="Comma 8 3 2 2 4 3 2 2" xfId="34239"/>
    <cellStyle name="Comma 8 3 2 2 4 3 3" xfId="26228"/>
    <cellStyle name="Comma 8 3 2 2 4 4" xfId="14204"/>
    <cellStyle name="Comma 8 3 2 2 4 4 2" xfId="22219"/>
    <cellStyle name="Comma 8 3 2 2 4 4 2 2" xfId="36244"/>
    <cellStyle name="Comma 8 3 2 2 4 4 3" xfId="28233"/>
    <cellStyle name="Comma 8 3 2 2 4 5" xfId="16210"/>
    <cellStyle name="Comma 8 3 2 2 4 5 2" xfId="30235"/>
    <cellStyle name="Comma 8 3 2 2 4 6" xfId="18212"/>
    <cellStyle name="Comma 8 3 2 2 4 6 2" xfId="32237"/>
    <cellStyle name="Comma 8 3 2 2 4 7" xfId="24226"/>
    <cellStyle name="Comma 8 3 2 2 5" xfId="1449"/>
    <cellStyle name="Comma 8 3 2 2 5 2" xfId="12191"/>
    <cellStyle name="Comma 8 3 2 2 5 2 2" xfId="20216"/>
    <cellStyle name="Comma 8 3 2 2 5 2 2 2" xfId="34241"/>
    <cellStyle name="Comma 8 3 2 2 5 2 3" xfId="26230"/>
    <cellStyle name="Comma 8 3 2 2 5 3" xfId="14206"/>
    <cellStyle name="Comma 8 3 2 2 5 3 2" xfId="22221"/>
    <cellStyle name="Comma 8 3 2 2 5 3 2 2" xfId="36246"/>
    <cellStyle name="Comma 8 3 2 2 5 3 3" xfId="28235"/>
    <cellStyle name="Comma 8 3 2 2 5 4" xfId="16212"/>
    <cellStyle name="Comma 8 3 2 2 5 4 2" xfId="30237"/>
    <cellStyle name="Comma 8 3 2 2 5 5" xfId="18214"/>
    <cellStyle name="Comma 8 3 2 2 5 5 2" xfId="32239"/>
    <cellStyle name="Comma 8 3 2 2 5 6" xfId="24228"/>
    <cellStyle name="Comma 8 3 2 2 6" xfId="12182"/>
    <cellStyle name="Comma 8 3 2 2 6 2" xfId="20207"/>
    <cellStyle name="Comma 8 3 2 2 6 2 2" xfId="34232"/>
    <cellStyle name="Comma 8 3 2 2 6 3" xfId="26221"/>
    <cellStyle name="Comma 8 3 2 2 7" xfId="14197"/>
    <cellStyle name="Comma 8 3 2 2 7 2" xfId="22212"/>
    <cellStyle name="Comma 8 3 2 2 7 2 2" xfId="36237"/>
    <cellStyle name="Comma 8 3 2 2 7 3" xfId="28226"/>
    <cellStyle name="Comma 8 3 2 2 8" xfId="16203"/>
    <cellStyle name="Comma 8 3 2 2 8 2" xfId="30228"/>
    <cellStyle name="Comma 8 3 2 2 9" xfId="18205"/>
    <cellStyle name="Comma 8 3 2 2 9 2" xfId="32230"/>
    <cellStyle name="Comma 8 3 2 3" xfId="1450"/>
    <cellStyle name="Comma 8 3 2 3 2" xfId="1451"/>
    <cellStyle name="Comma 8 3 2 3 2 2" xfId="1452"/>
    <cellStyle name="Comma 8 3 2 3 2 2 2" xfId="12194"/>
    <cellStyle name="Comma 8 3 2 3 2 2 2 2" xfId="20219"/>
    <cellStyle name="Comma 8 3 2 3 2 2 2 2 2" xfId="34244"/>
    <cellStyle name="Comma 8 3 2 3 2 2 2 3" xfId="26233"/>
    <cellStyle name="Comma 8 3 2 3 2 2 3" xfId="14209"/>
    <cellStyle name="Comma 8 3 2 3 2 2 3 2" xfId="22224"/>
    <cellStyle name="Comma 8 3 2 3 2 2 3 2 2" xfId="36249"/>
    <cellStyle name="Comma 8 3 2 3 2 2 3 3" xfId="28238"/>
    <cellStyle name="Comma 8 3 2 3 2 2 4" xfId="16215"/>
    <cellStyle name="Comma 8 3 2 3 2 2 4 2" xfId="30240"/>
    <cellStyle name="Comma 8 3 2 3 2 2 5" xfId="18217"/>
    <cellStyle name="Comma 8 3 2 3 2 2 5 2" xfId="32242"/>
    <cellStyle name="Comma 8 3 2 3 2 2 6" xfId="24231"/>
    <cellStyle name="Comma 8 3 2 3 2 3" xfId="12193"/>
    <cellStyle name="Comma 8 3 2 3 2 3 2" xfId="20218"/>
    <cellStyle name="Comma 8 3 2 3 2 3 2 2" xfId="34243"/>
    <cellStyle name="Comma 8 3 2 3 2 3 3" xfId="26232"/>
    <cellStyle name="Comma 8 3 2 3 2 4" xfId="14208"/>
    <cellStyle name="Comma 8 3 2 3 2 4 2" xfId="22223"/>
    <cellStyle name="Comma 8 3 2 3 2 4 2 2" xfId="36248"/>
    <cellStyle name="Comma 8 3 2 3 2 4 3" xfId="28237"/>
    <cellStyle name="Comma 8 3 2 3 2 5" xfId="16214"/>
    <cellStyle name="Comma 8 3 2 3 2 5 2" xfId="30239"/>
    <cellStyle name="Comma 8 3 2 3 2 6" xfId="18216"/>
    <cellStyle name="Comma 8 3 2 3 2 6 2" xfId="32241"/>
    <cellStyle name="Comma 8 3 2 3 2 7" xfId="24230"/>
    <cellStyle name="Comma 8 3 2 3 3" xfId="1453"/>
    <cellStyle name="Comma 8 3 2 3 3 2" xfId="12195"/>
    <cellStyle name="Comma 8 3 2 3 3 2 2" xfId="20220"/>
    <cellStyle name="Comma 8 3 2 3 3 2 2 2" xfId="34245"/>
    <cellStyle name="Comma 8 3 2 3 3 2 3" xfId="26234"/>
    <cellStyle name="Comma 8 3 2 3 3 3" xfId="14210"/>
    <cellStyle name="Comma 8 3 2 3 3 3 2" xfId="22225"/>
    <cellStyle name="Comma 8 3 2 3 3 3 2 2" xfId="36250"/>
    <cellStyle name="Comma 8 3 2 3 3 3 3" xfId="28239"/>
    <cellStyle name="Comma 8 3 2 3 3 4" xfId="16216"/>
    <cellStyle name="Comma 8 3 2 3 3 4 2" xfId="30241"/>
    <cellStyle name="Comma 8 3 2 3 3 5" xfId="18218"/>
    <cellStyle name="Comma 8 3 2 3 3 5 2" xfId="32243"/>
    <cellStyle name="Comma 8 3 2 3 3 6" xfId="24232"/>
    <cellStyle name="Comma 8 3 2 3 4" xfId="12192"/>
    <cellStyle name="Comma 8 3 2 3 4 2" xfId="20217"/>
    <cellStyle name="Comma 8 3 2 3 4 2 2" xfId="34242"/>
    <cellStyle name="Comma 8 3 2 3 4 3" xfId="26231"/>
    <cellStyle name="Comma 8 3 2 3 5" xfId="14207"/>
    <cellStyle name="Comma 8 3 2 3 5 2" xfId="22222"/>
    <cellStyle name="Comma 8 3 2 3 5 2 2" xfId="36247"/>
    <cellStyle name="Comma 8 3 2 3 5 3" xfId="28236"/>
    <cellStyle name="Comma 8 3 2 3 6" xfId="16213"/>
    <cellStyle name="Comma 8 3 2 3 6 2" xfId="30238"/>
    <cellStyle name="Comma 8 3 2 3 7" xfId="18215"/>
    <cellStyle name="Comma 8 3 2 3 7 2" xfId="32240"/>
    <cellStyle name="Comma 8 3 2 3 8" xfId="24229"/>
    <cellStyle name="Comma 8 3 2 4" xfId="1454"/>
    <cellStyle name="Comma 8 3 2 4 2" xfId="1455"/>
    <cellStyle name="Comma 8 3 2 4 2 2" xfId="12197"/>
    <cellStyle name="Comma 8 3 2 4 2 2 2" xfId="20222"/>
    <cellStyle name="Comma 8 3 2 4 2 2 2 2" xfId="34247"/>
    <cellStyle name="Comma 8 3 2 4 2 2 3" xfId="26236"/>
    <cellStyle name="Comma 8 3 2 4 2 3" xfId="14212"/>
    <cellStyle name="Comma 8 3 2 4 2 3 2" xfId="22227"/>
    <cellStyle name="Comma 8 3 2 4 2 3 2 2" xfId="36252"/>
    <cellStyle name="Comma 8 3 2 4 2 3 3" xfId="28241"/>
    <cellStyle name="Comma 8 3 2 4 2 4" xfId="16218"/>
    <cellStyle name="Comma 8 3 2 4 2 4 2" xfId="30243"/>
    <cellStyle name="Comma 8 3 2 4 2 5" xfId="18220"/>
    <cellStyle name="Comma 8 3 2 4 2 5 2" xfId="32245"/>
    <cellStyle name="Comma 8 3 2 4 2 6" xfId="24234"/>
    <cellStyle name="Comma 8 3 2 4 3" xfId="12196"/>
    <cellStyle name="Comma 8 3 2 4 3 2" xfId="20221"/>
    <cellStyle name="Comma 8 3 2 4 3 2 2" xfId="34246"/>
    <cellStyle name="Comma 8 3 2 4 3 3" xfId="26235"/>
    <cellStyle name="Comma 8 3 2 4 4" xfId="14211"/>
    <cellStyle name="Comma 8 3 2 4 4 2" xfId="22226"/>
    <cellStyle name="Comma 8 3 2 4 4 2 2" xfId="36251"/>
    <cellStyle name="Comma 8 3 2 4 4 3" xfId="28240"/>
    <cellStyle name="Comma 8 3 2 4 5" xfId="16217"/>
    <cellStyle name="Comma 8 3 2 4 5 2" xfId="30242"/>
    <cellStyle name="Comma 8 3 2 4 6" xfId="18219"/>
    <cellStyle name="Comma 8 3 2 4 6 2" xfId="32244"/>
    <cellStyle name="Comma 8 3 2 4 7" xfId="24233"/>
    <cellStyle name="Comma 8 3 2 5" xfId="1456"/>
    <cellStyle name="Comma 8 3 2 5 2" xfId="1457"/>
    <cellStyle name="Comma 8 3 2 5 2 2" xfId="12199"/>
    <cellStyle name="Comma 8 3 2 5 2 2 2" xfId="20224"/>
    <cellStyle name="Comma 8 3 2 5 2 2 2 2" xfId="34249"/>
    <cellStyle name="Comma 8 3 2 5 2 2 3" xfId="26238"/>
    <cellStyle name="Comma 8 3 2 5 2 3" xfId="14214"/>
    <cellStyle name="Comma 8 3 2 5 2 3 2" xfId="22229"/>
    <cellStyle name="Comma 8 3 2 5 2 3 2 2" xfId="36254"/>
    <cellStyle name="Comma 8 3 2 5 2 3 3" xfId="28243"/>
    <cellStyle name="Comma 8 3 2 5 2 4" xfId="16220"/>
    <cellStyle name="Comma 8 3 2 5 2 4 2" xfId="30245"/>
    <cellStyle name="Comma 8 3 2 5 2 5" xfId="18222"/>
    <cellStyle name="Comma 8 3 2 5 2 5 2" xfId="32247"/>
    <cellStyle name="Comma 8 3 2 5 2 6" xfId="24236"/>
    <cellStyle name="Comma 8 3 2 5 3" xfId="12198"/>
    <cellStyle name="Comma 8 3 2 5 3 2" xfId="20223"/>
    <cellStyle name="Comma 8 3 2 5 3 2 2" xfId="34248"/>
    <cellStyle name="Comma 8 3 2 5 3 3" xfId="26237"/>
    <cellStyle name="Comma 8 3 2 5 4" xfId="14213"/>
    <cellStyle name="Comma 8 3 2 5 4 2" xfId="22228"/>
    <cellStyle name="Comma 8 3 2 5 4 2 2" xfId="36253"/>
    <cellStyle name="Comma 8 3 2 5 4 3" xfId="28242"/>
    <cellStyle name="Comma 8 3 2 5 5" xfId="16219"/>
    <cellStyle name="Comma 8 3 2 5 5 2" xfId="30244"/>
    <cellStyle name="Comma 8 3 2 5 6" xfId="18221"/>
    <cellStyle name="Comma 8 3 2 5 6 2" xfId="32246"/>
    <cellStyle name="Comma 8 3 2 5 7" xfId="24235"/>
    <cellStyle name="Comma 8 3 2 6" xfId="1458"/>
    <cellStyle name="Comma 8 3 2 6 2" xfId="12200"/>
    <cellStyle name="Comma 8 3 2 6 2 2" xfId="20225"/>
    <cellStyle name="Comma 8 3 2 6 2 2 2" xfId="34250"/>
    <cellStyle name="Comma 8 3 2 6 2 3" xfId="26239"/>
    <cellStyle name="Comma 8 3 2 6 3" xfId="14215"/>
    <cellStyle name="Comma 8 3 2 6 3 2" xfId="22230"/>
    <cellStyle name="Comma 8 3 2 6 3 2 2" xfId="36255"/>
    <cellStyle name="Comma 8 3 2 6 3 3" xfId="28244"/>
    <cellStyle name="Comma 8 3 2 6 4" xfId="16221"/>
    <cellStyle name="Comma 8 3 2 6 4 2" xfId="30246"/>
    <cellStyle name="Comma 8 3 2 6 5" xfId="18223"/>
    <cellStyle name="Comma 8 3 2 6 5 2" xfId="32248"/>
    <cellStyle name="Comma 8 3 2 6 6" xfId="24237"/>
    <cellStyle name="Comma 8 3 2 7" xfId="12181"/>
    <cellStyle name="Comma 8 3 2 7 2" xfId="20206"/>
    <cellStyle name="Comma 8 3 2 7 2 2" xfId="34231"/>
    <cellStyle name="Comma 8 3 2 7 3" xfId="26220"/>
    <cellStyle name="Comma 8 3 2 8" xfId="14196"/>
    <cellStyle name="Comma 8 3 2 8 2" xfId="22211"/>
    <cellStyle name="Comma 8 3 2 8 2 2" xfId="36236"/>
    <cellStyle name="Comma 8 3 2 8 3" xfId="28225"/>
    <cellStyle name="Comma 8 3 2 9" xfId="16202"/>
    <cellStyle name="Comma 8 3 2 9 2" xfId="30227"/>
    <cellStyle name="Comma 8 3 3" xfId="1459"/>
    <cellStyle name="Comma 8 3 3 10" xfId="24238"/>
    <cellStyle name="Comma 8 3 3 2" xfId="1460"/>
    <cellStyle name="Comma 8 3 3 2 2" xfId="1461"/>
    <cellStyle name="Comma 8 3 3 2 2 2" xfId="1462"/>
    <cellStyle name="Comma 8 3 3 2 2 2 2" xfId="12204"/>
    <cellStyle name="Comma 8 3 3 2 2 2 2 2" xfId="20229"/>
    <cellStyle name="Comma 8 3 3 2 2 2 2 2 2" xfId="34254"/>
    <cellStyle name="Comma 8 3 3 2 2 2 2 3" xfId="26243"/>
    <cellStyle name="Comma 8 3 3 2 2 2 3" xfId="14219"/>
    <cellStyle name="Comma 8 3 3 2 2 2 3 2" xfId="22234"/>
    <cellStyle name="Comma 8 3 3 2 2 2 3 2 2" xfId="36259"/>
    <cellStyle name="Comma 8 3 3 2 2 2 3 3" xfId="28248"/>
    <cellStyle name="Comma 8 3 3 2 2 2 4" xfId="16225"/>
    <cellStyle name="Comma 8 3 3 2 2 2 4 2" xfId="30250"/>
    <cellStyle name="Comma 8 3 3 2 2 2 5" xfId="18227"/>
    <cellStyle name="Comma 8 3 3 2 2 2 5 2" xfId="32252"/>
    <cellStyle name="Comma 8 3 3 2 2 2 6" xfId="24241"/>
    <cellStyle name="Comma 8 3 3 2 2 3" xfId="12203"/>
    <cellStyle name="Comma 8 3 3 2 2 3 2" xfId="20228"/>
    <cellStyle name="Comma 8 3 3 2 2 3 2 2" xfId="34253"/>
    <cellStyle name="Comma 8 3 3 2 2 3 3" xfId="26242"/>
    <cellStyle name="Comma 8 3 3 2 2 4" xfId="14218"/>
    <cellStyle name="Comma 8 3 3 2 2 4 2" xfId="22233"/>
    <cellStyle name="Comma 8 3 3 2 2 4 2 2" xfId="36258"/>
    <cellStyle name="Comma 8 3 3 2 2 4 3" xfId="28247"/>
    <cellStyle name="Comma 8 3 3 2 2 5" xfId="16224"/>
    <cellStyle name="Comma 8 3 3 2 2 5 2" xfId="30249"/>
    <cellStyle name="Comma 8 3 3 2 2 6" xfId="18226"/>
    <cellStyle name="Comma 8 3 3 2 2 6 2" xfId="32251"/>
    <cellStyle name="Comma 8 3 3 2 2 7" xfId="24240"/>
    <cellStyle name="Comma 8 3 3 2 3" xfId="1463"/>
    <cellStyle name="Comma 8 3 3 2 3 2" xfId="12205"/>
    <cellStyle name="Comma 8 3 3 2 3 2 2" xfId="20230"/>
    <cellStyle name="Comma 8 3 3 2 3 2 2 2" xfId="34255"/>
    <cellStyle name="Comma 8 3 3 2 3 2 3" xfId="26244"/>
    <cellStyle name="Comma 8 3 3 2 3 3" xfId="14220"/>
    <cellStyle name="Comma 8 3 3 2 3 3 2" xfId="22235"/>
    <cellStyle name="Comma 8 3 3 2 3 3 2 2" xfId="36260"/>
    <cellStyle name="Comma 8 3 3 2 3 3 3" xfId="28249"/>
    <cellStyle name="Comma 8 3 3 2 3 4" xfId="16226"/>
    <cellStyle name="Comma 8 3 3 2 3 4 2" xfId="30251"/>
    <cellStyle name="Comma 8 3 3 2 3 5" xfId="18228"/>
    <cellStyle name="Comma 8 3 3 2 3 5 2" xfId="32253"/>
    <cellStyle name="Comma 8 3 3 2 3 6" xfId="24242"/>
    <cellStyle name="Comma 8 3 3 2 4" xfId="12202"/>
    <cellStyle name="Comma 8 3 3 2 4 2" xfId="20227"/>
    <cellStyle name="Comma 8 3 3 2 4 2 2" xfId="34252"/>
    <cellStyle name="Comma 8 3 3 2 4 3" xfId="26241"/>
    <cellStyle name="Comma 8 3 3 2 5" xfId="14217"/>
    <cellStyle name="Comma 8 3 3 2 5 2" xfId="22232"/>
    <cellStyle name="Comma 8 3 3 2 5 2 2" xfId="36257"/>
    <cellStyle name="Comma 8 3 3 2 5 3" xfId="28246"/>
    <cellStyle name="Comma 8 3 3 2 6" xfId="16223"/>
    <cellStyle name="Comma 8 3 3 2 6 2" xfId="30248"/>
    <cellStyle name="Comma 8 3 3 2 7" xfId="18225"/>
    <cellStyle name="Comma 8 3 3 2 7 2" xfId="32250"/>
    <cellStyle name="Comma 8 3 3 2 8" xfId="24239"/>
    <cellStyle name="Comma 8 3 3 3" xfId="1464"/>
    <cellStyle name="Comma 8 3 3 3 2" xfId="1465"/>
    <cellStyle name="Comma 8 3 3 3 2 2" xfId="12207"/>
    <cellStyle name="Comma 8 3 3 3 2 2 2" xfId="20232"/>
    <cellStyle name="Comma 8 3 3 3 2 2 2 2" xfId="34257"/>
    <cellStyle name="Comma 8 3 3 3 2 2 3" xfId="26246"/>
    <cellStyle name="Comma 8 3 3 3 2 3" xfId="14222"/>
    <cellStyle name="Comma 8 3 3 3 2 3 2" xfId="22237"/>
    <cellStyle name="Comma 8 3 3 3 2 3 2 2" xfId="36262"/>
    <cellStyle name="Comma 8 3 3 3 2 3 3" xfId="28251"/>
    <cellStyle name="Comma 8 3 3 3 2 4" xfId="16228"/>
    <cellStyle name="Comma 8 3 3 3 2 4 2" xfId="30253"/>
    <cellStyle name="Comma 8 3 3 3 2 5" xfId="18230"/>
    <cellStyle name="Comma 8 3 3 3 2 5 2" xfId="32255"/>
    <cellStyle name="Comma 8 3 3 3 2 6" xfId="24244"/>
    <cellStyle name="Comma 8 3 3 3 3" xfId="12206"/>
    <cellStyle name="Comma 8 3 3 3 3 2" xfId="20231"/>
    <cellStyle name="Comma 8 3 3 3 3 2 2" xfId="34256"/>
    <cellStyle name="Comma 8 3 3 3 3 3" xfId="26245"/>
    <cellStyle name="Comma 8 3 3 3 4" xfId="14221"/>
    <cellStyle name="Comma 8 3 3 3 4 2" xfId="22236"/>
    <cellStyle name="Comma 8 3 3 3 4 2 2" xfId="36261"/>
    <cellStyle name="Comma 8 3 3 3 4 3" xfId="28250"/>
    <cellStyle name="Comma 8 3 3 3 5" xfId="16227"/>
    <cellStyle name="Comma 8 3 3 3 5 2" xfId="30252"/>
    <cellStyle name="Comma 8 3 3 3 6" xfId="18229"/>
    <cellStyle name="Comma 8 3 3 3 6 2" xfId="32254"/>
    <cellStyle name="Comma 8 3 3 3 7" xfId="24243"/>
    <cellStyle name="Comma 8 3 3 4" xfId="1466"/>
    <cellStyle name="Comma 8 3 3 4 2" xfId="1467"/>
    <cellStyle name="Comma 8 3 3 4 2 2" xfId="12209"/>
    <cellStyle name="Comma 8 3 3 4 2 2 2" xfId="20234"/>
    <cellStyle name="Comma 8 3 3 4 2 2 2 2" xfId="34259"/>
    <cellStyle name="Comma 8 3 3 4 2 2 3" xfId="26248"/>
    <cellStyle name="Comma 8 3 3 4 2 3" xfId="14224"/>
    <cellStyle name="Comma 8 3 3 4 2 3 2" xfId="22239"/>
    <cellStyle name="Comma 8 3 3 4 2 3 2 2" xfId="36264"/>
    <cellStyle name="Comma 8 3 3 4 2 3 3" xfId="28253"/>
    <cellStyle name="Comma 8 3 3 4 2 4" xfId="16230"/>
    <cellStyle name="Comma 8 3 3 4 2 4 2" xfId="30255"/>
    <cellStyle name="Comma 8 3 3 4 2 5" xfId="18232"/>
    <cellStyle name="Comma 8 3 3 4 2 5 2" xfId="32257"/>
    <cellStyle name="Comma 8 3 3 4 2 6" xfId="24246"/>
    <cellStyle name="Comma 8 3 3 4 3" xfId="12208"/>
    <cellStyle name="Comma 8 3 3 4 3 2" xfId="20233"/>
    <cellStyle name="Comma 8 3 3 4 3 2 2" xfId="34258"/>
    <cellStyle name="Comma 8 3 3 4 3 3" xfId="26247"/>
    <cellStyle name="Comma 8 3 3 4 4" xfId="14223"/>
    <cellStyle name="Comma 8 3 3 4 4 2" xfId="22238"/>
    <cellStyle name="Comma 8 3 3 4 4 2 2" xfId="36263"/>
    <cellStyle name="Comma 8 3 3 4 4 3" xfId="28252"/>
    <cellStyle name="Comma 8 3 3 4 5" xfId="16229"/>
    <cellStyle name="Comma 8 3 3 4 5 2" xfId="30254"/>
    <cellStyle name="Comma 8 3 3 4 6" xfId="18231"/>
    <cellStyle name="Comma 8 3 3 4 6 2" xfId="32256"/>
    <cellStyle name="Comma 8 3 3 4 7" xfId="24245"/>
    <cellStyle name="Comma 8 3 3 5" xfId="1468"/>
    <cellStyle name="Comma 8 3 3 5 2" xfId="12210"/>
    <cellStyle name="Comma 8 3 3 5 2 2" xfId="20235"/>
    <cellStyle name="Comma 8 3 3 5 2 2 2" xfId="34260"/>
    <cellStyle name="Comma 8 3 3 5 2 3" xfId="26249"/>
    <cellStyle name="Comma 8 3 3 5 3" xfId="14225"/>
    <cellStyle name="Comma 8 3 3 5 3 2" xfId="22240"/>
    <cellStyle name="Comma 8 3 3 5 3 2 2" xfId="36265"/>
    <cellStyle name="Comma 8 3 3 5 3 3" xfId="28254"/>
    <cellStyle name="Comma 8 3 3 5 4" xfId="16231"/>
    <cellStyle name="Comma 8 3 3 5 4 2" xfId="30256"/>
    <cellStyle name="Comma 8 3 3 5 5" xfId="18233"/>
    <cellStyle name="Comma 8 3 3 5 5 2" xfId="32258"/>
    <cellStyle name="Comma 8 3 3 5 6" xfId="24247"/>
    <cellStyle name="Comma 8 3 3 6" xfId="12201"/>
    <cellStyle name="Comma 8 3 3 6 2" xfId="20226"/>
    <cellStyle name="Comma 8 3 3 6 2 2" xfId="34251"/>
    <cellStyle name="Comma 8 3 3 6 3" xfId="26240"/>
    <cellStyle name="Comma 8 3 3 7" xfId="14216"/>
    <cellStyle name="Comma 8 3 3 7 2" xfId="22231"/>
    <cellStyle name="Comma 8 3 3 7 2 2" xfId="36256"/>
    <cellStyle name="Comma 8 3 3 7 3" xfId="28245"/>
    <cellStyle name="Comma 8 3 3 8" xfId="16222"/>
    <cellStyle name="Comma 8 3 3 8 2" xfId="30247"/>
    <cellStyle name="Comma 8 3 3 9" xfId="18224"/>
    <cellStyle name="Comma 8 3 3 9 2" xfId="32249"/>
    <cellStyle name="Comma 8 3 4" xfId="1469"/>
    <cellStyle name="Comma 8 3 4 2" xfId="1470"/>
    <cellStyle name="Comma 8 3 4 2 2" xfId="1471"/>
    <cellStyle name="Comma 8 3 4 2 2 2" xfId="12213"/>
    <cellStyle name="Comma 8 3 4 2 2 2 2" xfId="20238"/>
    <cellStyle name="Comma 8 3 4 2 2 2 2 2" xfId="34263"/>
    <cellStyle name="Comma 8 3 4 2 2 2 3" xfId="26252"/>
    <cellStyle name="Comma 8 3 4 2 2 3" xfId="14228"/>
    <cellStyle name="Comma 8 3 4 2 2 3 2" xfId="22243"/>
    <cellStyle name="Comma 8 3 4 2 2 3 2 2" xfId="36268"/>
    <cellStyle name="Comma 8 3 4 2 2 3 3" xfId="28257"/>
    <cellStyle name="Comma 8 3 4 2 2 4" xfId="16234"/>
    <cellStyle name="Comma 8 3 4 2 2 4 2" xfId="30259"/>
    <cellStyle name="Comma 8 3 4 2 2 5" xfId="18236"/>
    <cellStyle name="Comma 8 3 4 2 2 5 2" xfId="32261"/>
    <cellStyle name="Comma 8 3 4 2 2 6" xfId="24250"/>
    <cellStyle name="Comma 8 3 4 2 3" xfId="12212"/>
    <cellStyle name="Comma 8 3 4 2 3 2" xfId="20237"/>
    <cellStyle name="Comma 8 3 4 2 3 2 2" xfId="34262"/>
    <cellStyle name="Comma 8 3 4 2 3 3" xfId="26251"/>
    <cellStyle name="Comma 8 3 4 2 4" xfId="14227"/>
    <cellStyle name="Comma 8 3 4 2 4 2" xfId="22242"/>
    <cellStyle name="Comma 8 3 4 2 4 2 2" xfId="36267"/>
    <cellStyle name="Comma 8 3 4 2 4 3" xfId="28256"/>
    <cellStyle name="Comma 8 3 4 2 5" xfId="16233"/>
    <cellStyle name="Comma 8 3 4 2 5 2" xfId="30258"/>
    <cellStyle name="Comma 8 3 4 2 6" xfId="18235"/>
    <cellStyle name="Comma 8 3 4 2 6 2" xfId="32260"/>
    <cellStyle name="Comma 8 3 4 2 7" xfId="24249"/>
    <cellStyle name="Comma 8 3 4 3" xfId="1472"/>
    <cellStyle name="Comma 8 3 4 3 2" xfId="12214"/>
    <cellStyle name="Comma 8 3 4 3 2 2" xfId="20239"/>
    <cellStyle name="Comma 8 3 4 3 2 2 2" xfId="34264"/>
    <cellStyle name="Comma 8 3 4 3 2 3" xfId="26253"/>
    <cellStyle name="Comma 8 3 4 3 3" xfId="14229"/>
    <cellStyle name="Comma 8 3 4 3 3 2" xfId="22244"/>
    <cellStyle name="Comma 8 3 4 3 3 2 2" xfId="36269"/>
    <cellStyle name="Comma 8 3 4 3 3 3" xfId="28258"/>
    <cellStyle name="Comma 8 3 4 3 4" xfId="16235"/>
    <cellStyle name="Comma 8 3 4 3 4 2" xfId="30260"/>
    <cellStyle name="Comma 8 3 4 3 5" xfId="18237"/>
    <cellStyle name="Comma 8 3 4 3 5 2" xfId="32262"/>
    <cellStyle name="Comma 8 3 4 3 6" xfId="24251"/>
    <cellStyle name="Comma 8 3 4 4" xfId="12211"/>
    <cellStyle name="Comma 8 3 4 4 2" xfId="20236"/>
    <cellStyle name="Comma 8 3 4 4 2 2" xfId="34261"/>
    <cellStyle name="Comma 8 3 4 4 3" xfId="26250"/>
    <cellStyle name="Comma 8 3 4 5" xfId="14226"/>
    <cellStyle name="Comma 8 3 4 5 2" xfId="22241"/>
    <cellStyle name="Comma 8 3 4 5 2 2" xfId="36266"/>
    <cellStyle name="Comma 8 3 4 5 3" xfId="28255"/>
    <cellStyle name="Comma 8 3 4 6" xfId="16232"/>
    <cellStyle name="Comma 8 3 4 6 2" xfId="30257"/>
    <cellStyle name="Comma 8 3 4 7" xfId="18234"/>
    <cellStyle name="Comma 8 3 4 7 2" xfId="32259"/>
    <cellStyle name="Comma 8 3 4 8" xfId="24248"/>
    <cellStyle name="Comma 8 3 5" xfId="1473"/>
    <cellStyle name="Comma 8 3 5 2" xfId="1474"/>
    <cellStyle name="Comma 8 3 5 2 2" xfId="12216"/>
    <cellStyle name="Comma 8 3 5 2 2 2" xfId="20241"/>
    <cellStyle name="Comma 8 3 5 2 2 2 2" xfId="34266"/>
    <cellStyle name="Comma 8 3 5 2 2 3" xfId="26255"/>
    <cellStyle name="Comma 8 3 5 2 3" xfId="14231"/>
    <cellStyle name="Comma 8 3 5 2 3 2" xfId="22246"/>
    <cellStyle name="Comma 8 3 5 2 3 2 2" xfId="36271"/>
    <cellStyle name="Comma 8 3 5 2 3 3" xfId="28260"/>
    <cellStyle name="Comma 8 3 5 2 4" xfId="16237"/>
    <cellStyle name="Comma 8 3 5 2 4 2" xfId="30262"/>
    <cellStyle name="Comma 8 3 5 2 5" xfId="18239"/>
    <cellStyle name="Comma 8 3 5 2 5 2" xfId="32264"/>
    <cellStyle name="Comma 8 3 5 2 6" xfId="24253"/>
    <cellStyle name="Comma 8 3 5 3" xfId="12215"/>
    <cellStyle name="Comma 8 3 5 3 2" xfId="20240"/>
    <cellStyle name="Comma 8 3 5 3 2 2" xfId="34265"/>
    <cellStyle name="Comma 8 3 5 3 3" xfId="26254"/>
    <cellStyle name="Comma 8 3 5 4" xfId="14230"/>
    <cellStyle name="Comma 8 3 5 4 2" xfId="22245"/>
    <cellStyle name="Comma 8 3 5 4 2 2" xfId="36270"/>
    <cellStyle name="Comma 8 3 5 4 3" xfId="28259"/>
    <cellStyle name="Comma 8 3 5 5" xfId="16236"/>
    <cellStyle name="Comma 8 3 5 5 2" xfId="30261"/>
    <cellStyle name="Comma 8 3 5 6" xfId="18238"/>
    <cellStyle name="Comma 8 3 5 6 2" xfId="32263"/>
    <cellStyle name="Comma 8 3 5 7" xfId="24252"/>
    <cellStyle name="Comma 8 3 6" xfId="1475"/>
    <cellStyle name="Comma 8 3 6 2" xfId="1476"/>
    <cellStyle name="Comma 8 3 6 2 2" xfId="12218"/>
    <cellStyle name="Comma 8 3 6 2 2 2" xfId="20243"/>
    <cellStyle name="Comma 8 3 6 2 2 2 2" xfId="34268"/>
    <cellStyle name="Comma 8 3 6 2 2 3" xfId="26257"/>
    <cellStyle name="Comma 8 3 6 2 3" xfId="14233"/>
    <cellStyle name="Comma 8 3 6 2 3 2" xfId="22248"/>
    <cellStyle name="Comma 8 3 6 2 3 2 2" xfId="36273"/>
    <cellStyle name="Comma 8 3 6 2 3 3" xfId="28262"/>
    <cellStyle name="Comma 8 3 6 2 4" xfId="16239"/>
    <cellStyle name="Comma 8 3 6 2 4 2" xfId="30264"/>
    <cellStyle name="Comma 8 3 6 2 5" xfId="18241"/>
    <cellStyle name="Comma 8 3 6 2 5 2" xfId="32266"/>
    <cellStyle name="Comma 8 3 6 2 6" xfId="24255"/>
    <cellStyle name="Comma 8 3 6 3" xfId="12217"/>
    <cellStyle name="Comma 8 3 6 3 2" xfId="20242"/>
    <cellStyle name="Comma 8 3 6 3 2 2" xfId="34267"/>
    <cellStyle name="Comma 8 3 6 3 3" xfId="26256"/>
    <cellStyle name="Comma 8 3 6 4" xfId="14232"/>
    <cellStyle name="Comma 8 3 6 4 2" xfId="22247"/>
    <cellStyle name="Comma 8 3 6 4 2 2" xfId="36272"/>
    <cellStyle name="Comma 8 3 6 4 3" xfId="28261"/>
    <cellStyle name="Comma 8 3 6 5" xfId="16238"/>
    <cellStyle name="Comma 8 3 6 5 2" xfId="30263"/>
    <cellStyle name="Comma 8 3 6 6" xfId="18240"/>
    <cellStyle name="Comma 8 3 6 6 2" xfId="32265"/>
    <cellStyle name="Comma 8 3 6 7" xfId="24254"/>
    <cellStyle name="Comma 8 3 7" xfId="1477"/>
    <cellStyle name="Comma 8 3 7 2" xfId="12219"/>
    <cellStyle name="Comma 8 3 7 2 2" xfId="20244"/>
    <cellStyle name="Comma 8 3 7 2 2 2" xfId="34269"/>
    <cellStyle name="Comma 8 3 7 2 3" xfId="26258"/>
    <cellStyle name="Comma 8 3 7 3" xfId="14234"/>
    <cellStyle name="Comma 8 3 7 3 2" xfId="22249"/>
    <cellStyle name="Comma 8 3 7 3 2 2" xfId="36274"/>
    <cellStyle name="Comma 8 3 7 3 3" xfId="28263"/>
    <cellStyle name="Comma 8 3 7 4" xfId="16240"/>
    <cellStyle name="Comma 8 3 7 4 2" xfId="30265"/>
    <cellStyle name="Comma 8 3 7 5" xfId="18242"/>
    <cellStyle name="Comma 8 3 7 5 2" xfId="32267"/>
    <cellStyle name="Comma 8 3 7 6" xfId="24256"/>
    <cellStyle name="Comma 8 3 8" xfId="12180"/>
    <cellStyle name="Comma 8 3 8 2" xfId="20205"/>
    <cellStyle name="Comma 8 3 8 2 2" xfId="34230"/>
    <cellStyle name="Comma 8 3 8 3" xfId="26219"/>
    <cellStyle name="Comma 8 3 9" xfId="14195"/>
    <cellStyle name="Comma 8 3 9 2" xfId="22210"/>
    <cellStyle name="Comma 8 3 9 2 2" xfId="36235"/>
    <cellStyle name="Comma 8 3 9 3" xfId="28224"/>
    <cellStyle name="Comma 8 4" xfId="1478"/>
    <cellStyle name="Comma 8 4 10" xfId="18243"/>
    <cellStyle name="Comma 8 4 10 2" xfId="32268"/>
    <cellStyle name="Comma 8 4 11" xfId="24257"/>
    <cellStyle name="Comma 8 4 2" xfId="1479"/>
    <cellStyle name="Comma 8 4 2 10" xfId="24258"/>
    <cellStyle name="Comma 8 4 2 2" xfId="1480"/>
    <cellStyle name="Comma 8 4 2 2 2" xfId="1481"/>
    <cellStyle name="Comma 8 4 2 2 2 2" xfId="1482"/>
    <cellStyle name="Comma 8 4 2 2 2 2 2" xfId="12224"/>
    <cellStyle name="Comma 8 4 2 2 2 2 2 2" xfId="20249"/>
    <cellStyle name="Comma 8 4 2 2 2 2 2 2 2" xfId="34274"/>
    <cellStyle name="Comma 8 4 2 2 2 2 2 3" xfId="26263"/>
    <cellStyle name="Comma 8 4 2 2 2 2 3" xfId="14239"/>
    <cellStyle name="Comma 8 4 2 2 2 2 3 2" xfId="22254"/>
    <cellStyle name="Comma 8 4 2 2 2 2 3 2 2" xfId="36279"/>
    <cellStyle name="Comma 8 4 2 2 2 2 3 3" xfId="28268"/>
    <cellStyle name="Comma 8 4 2 2 2 2 4" xfId="16245"/>
    <cellStyle name="Comma 8 4 2 2 2 2 4 2" xfId="30270"/>
    <cellStyle name="Comma 8 4 2 2 2 2 5" xfId="18247"/>
    <cellStyle name="Comma 8 4 2 2 2 2 5 2" xfId="32272"/>
    <cellStyle name="Comma 8 4 2 2 2 2 6" xfId="24261"/>
    <cellStyle name="Comma 8 4 2 2 2 3" xfId="12223"/>
    <cellStyle name="Comma 8 4 2 2 2 3 2" xfId="20248"/>
    <cellStyle name="Comma 8 4 2 2 2 3 2 2" xfId="34273"/>
    <cellStyle name="Comma 8 4 2 2 2 3 3" xfId="26262"/>
    <cellStyle name="Comma 8 4 2 2 2 4" xfId="14238"/>
    <cellStyle name="Comma 8 4 2 2 2 4 2" xfId="22253"/>
    <cellStyle name="Comma 8 4 2 2 2 4 2 2" xfId="36278"/>
    <cellStyle name="Comma 8 4 2 2 2 4 3" xfId="28267"/>
    <cellStyle name="Comma 8 4 2 2 2 5" xfId="16244"/>
    <cellStyle name="Comma 8 4 2 2 2 5 2" xfId="30269"/>
    <cellStyle name="Comma 8 4 2 2 2 6" xfId="18246"/>
    <cellStyle name="Comma 8 4 2 2 2 6 2" xfId="32271"/>
    <cellStyle name="Comma 8 4 2 2 2 7" xfId="24260"/>
    <cellStyle name="Comma 8 4 2 2 3" xfId="1483"/>
    <cellStyle name="Comma 8 4 2 2 3 2" xfId="12225"/>
    <cellStyle name="Comma 8 4 2 2 3 2 2" xfId="20250"/>
    <cellStyle name="Comma 8 4 2 2 3 2 2 2" xfId="34275"/>
    <cellStyle name="Comma 8 4 2 2 3 2 3" xfId="26264"/>
    <cellStyle name="Comma 8 4 2 2 3 3" xfId="14240"/>
    <cellStyle name="Comma 8 4 2 2 3 3 2" xfId="22255"/>
    <cellStyle name="Comma 8 4 2 2 3 3 2 2" xfId="36280"/>
    <cellStyle name="Comma 8 4 2 2 3 3 3" xfId="28269"/>
    <cellStyle name="Comma 8 4 2 2 3 4" xfId="16246"/>
    <cellStyle name="Comma 8 4 2 2 3 4 2" xfId="30271"/>
    <cellStyle name="Comma 8 4 2 2 3 5" xfId="18248"/>
    <cellStyle name="Comma 8 4 2 2 3 5 2" xfId="32273"/>
    <cellStyle name="Comma 8 4 2 2 3 6" xfId="24262"/>
    <cellStyle name="Comma 8 4 2 2 4" xfId="12222"/>
    <cellStyle name="Comma 8 4 2 2 4 2" xfId="20247"/>
    <cellStyle name="Comma 8 4 2 2 4 2 2" xfId="34272"/>
    <cellStyle name="Comma 8 4 2 2 4 3" xfId="26261"/>
    <cellStyle name="Comma 8 4 2 2 5" xfId="14237"/>
    <cellStyle name="Comma 8 4 2 2 5 2" xfId="22252"/>
    <cellStyle name="Comma 8 4 2 2 5 2 2" xfId="36277"/>
    <cellStyle name="Comma 8 4 2 2 5 3" xfId="28266"/>
    <cellStyle name="Comma 8 4 2 2 6" xfId="16243"/>
    <cellStyle name="Comma 8 4 2 2 6 2" xfId="30268"/>
    <cellStyle name="Comma 8 4 2 2 7" xfId="18245"/>
    <cellStyle name="Comma 8 4 2 2 7 2" xfId="32270"/>
    <cellStyle name="Comma 8 4 2 2 8" xfId="24259"/>
    <cellStyle name="Comma 8 4 2 3" xfId="1484"/>
    <cellStyle name="Comma 8 4 2 3 2" xfId="1485"/>
    <cellStyle name="Comma 8 4 2 3 2 2" xfId="12227"/>
    <cellStyle name="Comma 8 4 2 3 2 2 2" xfId="20252"/>
    <cellStyle name="Comma 8 4 2 3 2 2 2 2" xfId="34277"/>
    <cellStyle name="Comma 8 4 2 3 2 2 3" xfId="26266"/>
    <cellStyle name="Comma 8 4 2 3 2 3" xfId="14242"/>
    <cellStyle name="Comma 8 4 2 3 2 3 2" xfId="22257"/>
    <cellStyle name="Comma 8 4 2 3 2 3 2 2" xfId="36282"/>
    <cellStyle name="Comma 8 4 2 3 2 3 3" xfId="28271"/>
    <cellStyle name="Comma 8 4 2 3 2 4" xfId="16248"/>
    <cellStyle name="Comma 8 4 2 3 2 4 2" xfId="30273"/>
    <cellStyle name="Comma 8 4 2 3 2 5" xfId="18250"/>
    <cellStyle name="Comma 8 4 2 3 2 5 2" xfId="32275"/>
    <cellStyle name="Comma 8 4 2 3 2 6" xfId="24264"/>
    <cellStyle name="Comma 8 4 2 3 3" xfId="12226"/>
    <cellStyle name="Comma 8 4 2 3 3 2" xfId="20251"/>
    <cellStyle name="Comma 8 4 2 3 3 2 2" xfId="34276"/>
    <cellStyle name="Comma 8 4 2 3 3 3" xfId="26265"/>
    <cellStyle name="Comma 8 4 2 3 4" xfId="14241"/>
    <cellStyle name="Comma 8 4 2 3 4 2" xfId="22256"/>
    <cellStyle name="Comma 8 4 2 3 4 2 2" xfId="36281"/>
    <cellStyle name="Comma 8 4 2 3 4 3" xfId="28270"/>
    <cellStyle name="Comma 8 4 2 3 5" xfId="16247"/>
    <cellStyle name="Comma 8 4 2 3 5 2" xfId="30272"/>
    <cellStyle name="Comma 8 4 2 3 6" xfId="18249"/>
    <cellStyle name="Comma 8 4 2 3 6 2" xfId="32274"/>
    <cellStyle name="Comma 8 4 2 3 7" xfId="24263"/>
    <cellStyle name="Comma 8 4 2 4" xfId="1486"/>
    <cellStyle name="Comma 8 4 2 4 2" xfId="1487"/>
    <cellStyle name="Comma 8 4 2 4 2 2" xfId="12229"/>
    <cellStyle name="Comma 8 4 2 4 2 2 2" xfId="20254"/>
    <cellStyle name="Comma 8 4 2 4 2 2 2 2" xfId="34279"/>
    <cellStyle name="Comma 8 4 2 4 2 2 3" xfId="26268"/>
    <cellStyle name="Comma 8 4 2 4 2 3" xfId="14244"/>
    <cellStyle name="Comma 8 4 2 4 2 3 2" xfId="22259"/>
    <cellStyle name="Comma 8 4 2 4 2 3 2 2" xfId="36284"/>
    <cellStyle name="Comma 8 4 2 4 2 3 3" xfId="28273"/>
    <cellStyle name="Comma 8 4 2 4 2 4" xfId="16250"/>
    <cellStyle name="Comma 8 4 2 4 2 4 2" xfId="30275"/>
    <cellStyle name="Comma 8 4 2 4 2 5" xfId="18252"/>
    <cellStyle name="Comma 8 4 2 4 2 5 2" xfId="32277"/>
    <cellStyle name="Comma 8 4 2 4 2 6" xfId="24266"/>
    <cellStyle name="Comma 8 4 2 4 3" xfId="12228"/>
    <cellStyle name="Comma 8 4 2 4 3 2" xfId="20253"/>
    <cellStyle name="Comma 8 4 2 4 3 2 2" xfId="34278"/>
    <cellStyle name="Comma 8 4 2 4 3 3" xfId="26267"/>
    <cellStyle name="Comma 8 4 2 4 4" xfId="14243"/>
    <cellStyle name="Comma 8 4 2 4 4 2" xfId="22258"/>
    <cellStyle name="Comma 8 4 2 4 4 2 2" xfId="36283"/>
    <cellStyle name="Comma 8 4 2 4 4 3" xfId="28272"/>
    <cellStyle name="Comma 8 4 2 4 5" xfId="16249"/>
    <cellStyle name="Comma 8 4 2 4 5 2" xfId="30274"/>
    <cellStyle name="Comma 8 4 2 4 6" xfId="18251"/>
    <cellStyle name="Comma 8 4 2 4 6 2" xfId="32276"/>
    <cellStyle name="Comma 8 4 2 4 7" xfId="24265"/>
    <cellStyle name="Comma 8 4 2 5" xfId="1488"/>
    <cellStyle name="Comma 8 4 2 5 2" xfId="12230"/>
    <cellStyle name="Comma 8 4 2 5 2 2" xfId="20255"/>
    <cellStyle name="Comma 8 4 2 5 2 2 2" xfId="34280"/>
    <cellStyle name="Comma 8 4 2 5 2 3" xfId="26269"/>
    <cellStyle name="Comma 8 4 2 5 3" xfId="14245"/>
    <cellStyle name="Comma 8 4 2 5 3 2" xfId="22260"/>
    <cellStyle name="Comma 8 4 2 5 3 2 2" xfId="36285"/>
    <cellStyle name="Comma 8 4 2 5 3 3" xfId="28274"/>
    <cellStyle name="Comma 8 4 2 5 4" xfId="16251"/>
    <cellStyle name="Comma 8 4 2 5 4 2" xfId="30276"/>
    <cellStyle name="Comma 8 4 2 5 5" xfId="18253"/>
    <cellStyle name="Comma 8 4 2 5 5 2" xfId="32278"/>
    <cellStyle name="Comma 8 4 2 5 6" xfId="24267"/>
    <cellStyle name="Comma 8 4 2 6" xfId="12221"/>
    <cellStyle name="Comma 8 4 2 6 2" xfId="20246"/>
    <cellStyle name="Comma 8 4 2 6 2 2" xfId="34271"/>
    <cellStyle name="Comma 8 4 2 6 3" xfId="26260"/>
    <cellStyle name="Comma 8 4 2 7" xfId="14236"/>
    <cellStyle name="Comma 8 4 2 7 2" xfId="22251"/>
    <cellStyle name="Comma 8 4 2 7 2 2" xfId="36276"/>
    <cellStyle name="Comma 8 4 2 7 3" xfId="28265"/>
    <cellStyle name="Comma 8 4 2 8" xfId="16242"/>
    <cellStyle name="Comma 8 4 2 8 2" xfId="30267"/>
    <cellStyle name="Comma 8 4 2 9" xfId="18244"/>
    <cellStyle name="Comma 8 4 2 9 2" xfId="32269"/>
    <cellStyle name="Comma 8 4 3" xfId="1489"/>
    <cellStyle name="Comma 8 4 3 2" xfId="1490"/>
    <cellStyle name="Comma 8 4 3 2 2" xfId="1491"/>
    <cellStyle name="Comma 8 4 3 2 2 2" xfId="12233"/>
    <cellStyle name="Comma 8 4 3 2 2 2 2" xfId="20258"/>
    <cellStyle name="Comma 8 4 3 2 2 2 2 2" xfId="34283"/>
    <cellStyle name="Comma 8 4 3 2 2 2 3" xfId="26272"/>
    <cellStyle name="Comma 8 4 3 2 2 3" xfId="14248"/>
    <cellStyle name="Comma 8 4 3 2 2 3 2" xfId="22263"/>
    <cellStyle name="Comma 8 4 3 2 2 3 2 2" xfId="36288"/>
    <cellStyle name="Comma 8 4 3 2 2 3 3" xfId="28277"/>
    <cellStyle name="Comma 8 4 3 2 2 4" xfId="16254"/>
    <cellStyle name="Comma 8 4 3 2 2 4 2" xfId="30279"/>
    <cellStyle name="Comma 8 4 3 2 2 5" xfId="18256"/>
    <cellStyle name="Comma 8 4 3 2 2 5 2" xfId="32281"/>
    <cellStyle name="Comma 8 4 3 2 2 6" xfId="24270"/>
    <cellStyle name="Comma 8 4 3 2 3" xfId="12232"/>
    <cellStyle name="Comma 8 4 3 2 3 2" xfId="20257"/>
    <cellStyle name="Comma 8 4 3 2 3 2 2" xfId="34282"/>
    <cellStyle name="Comma 8 4 3 2 3 3" xfId="26271"/>
    <cellStyle name="Comma 8 4 3 2 4" xfId="14247"/>
    <cellStyle name="Comma 8 4 3 2 4 2" xfId="22262"/>
    <cellStyle name="Comma 8 4 3 2 4 2 2" xfId="36287"/>
    <cellStyle name="Comma 8 4 3 2 4 3" xfId="28276"/>
    <cellStyle name="Comma 8 4 3 2 5" xfId="16253"/>
    <cellStyle name="Comma 8 4 3 2 5 2" xfId="30278"/>
    <cellStyle name="Comma 8 4 3 2 6" xfId="18255"/>
    <cellStyle name="Comma 8 4 3 2 6 2" xfId="32280"/>
    <cellStyle name="Comma 8 4 3 2 7" xfId="24269"/>
    <cellStyle name="Comma 8 4 3 3" xfId="1492"/>
    <cellStyle name="Comma 8 4 3 3 2" xfId="12234"/>
    <cellStyle name="Comma 8 4 3 3 2 2" xfId="20259"/>
    <cellStyle name="Comma 8 4 3 3 2 2 2" xfId="34284"/>
    <cellStyle name="Comma 8 4 3 3 2 3" xfId="26273"/>
    <cellStyle name="Comma 8 4 3 3 3" xfId="14249"/>
    <cellStyle name="Comma 8 4 3 3 3 2" xfId="22264"/>
    <cellStyle name="Comma 8 4 3 3 3 2 2" xfId="36289"/>
    <cellStyle name="Comma 8 4 3 3 3 3" xfId="28278"/>
    <cellStyle name="Comma 8 4 3 3 4" xfId="16255"/>
    <cellStyle name="Comma 8 4 3 3 4 2" xfId="30280"/>
    <cellStyle name="Comma 8 4 3 3 5" xfId="18257"/>
    <cellStyle name="Comma 8 4 3 3 5 2" xfId="32282"/>
    <cellStyle name="Comma 8 4 3 3 6" xfId="24271"/>
    <cellStyle name="Comma 8 4 3 4" xfId="12231"/>
    <cellStyle name="Comma 8 4 3 4 2" xfId="20256"/>
    <cellStyle name="Comma 8 4 3 4 2 2" xfId="34281"/>
    <cellStyle name="Comma 8 4 3 4 3" xfId="26270"/>
    <cellStyle name="Comma 8 4 3 5" xfId="14246"/>
    <cellStyle name="Comma 8 4 3 5 2" xfId="22261"/>
    <cellStyle name="Comma 8 4 3 5 2 2" xfId="36286"/>
    <cellStyle name="Comma 8 4 3 5 3" xfId="28275"/>
    <cellStyle name="Comma 8 4 3 6" xfId="16252"/>
    <cellStyle name="Comma 8 4 3 6 2" xfId="30277"/>
    <cellStyle name="Comma 8 4 3 7" xfId="18254"/>
    <cellStyle name="Comma 8 4 3 7 2" xfId="32279"/>
    <cellStyle name="Comma 8 4 3 8" xfId="24268"/>
    <cellStyle name="Comma 8 4 4" xfId="1493"/>
    <cellStyle name="Comma 8 4 4 2" xfId="1494"/>
    <cellStyle name="Comma 8 4 4 2 2" xfId="12236"/>
    <cellStyle name="Comma 8 4 4 2 2 2" xfId="20261"/>
    <cellStyle name="Comma 8 4 4 2 2 2 2" xfId="34286"/>
    <cellStyle name="Comma 8 4 4 2 2 3" xfId="26275"/>
    <cellStyle name="Comma 8 4 4 2 3" xfId="14251"/>
    <cellStyle name="Comma 8 4 4 2 3 2" xfId="22266"/>
    <cellStyle name="Comma 8 4 4 2 3 2 2" xfId="36291"/>
    <cellStyle name="Comma 8 4 4 2 3 3" xfId="28280"/>
    <cellStyle name="Comma 8 4 4 2 4" xfId="16257"/>
    <cellStyle name="Comma 8 4 4 2 4 2" xfId="30282"/>
    <cellStyle name="Comma 8 4 4 2 5" xfId="18259"/>
    <cellStyle name="Comma 8 4 4 2 5 2" xfId="32284"/>
    <cellStyle name="Comma 8 4 4 2 6" xfId="24273"/>
    <cellStyle name="Comma 8 4 4 3" xfId="12235"/>
    <cellStyle name="Comma 8 4 4 3 2" xfId="20260"/>
    <cellStyle name="Comma 8 4 4 3 2 2" xfId="34285"/>
    <cellStyle name="Comma 8 4 4 3 3" xfId="26274"/>
    <cellStyle name="Comma 8 4 4 4" xfId="14250"/>
    <cellStyle name="Comma 8 4 4 4 2" xfId="22265"/>
    <cellStyle name="Comma 8 4 4 4 2 2" xfId="36290"/>
    <cellStyle name="Comma 8 4 4 4 3" xfId="28279"/>
    <cellStyle name="Comma 8 4 4 5" xfId="16256"/>
    <cellStyle name="Comma 8 4 4 5 2" xfId="30281"/>
    <cellStyle name="Comma 8 4 4 6" xfId="18258"/>
    <cellStyle name="Comma 8 4 4 6 2" xfId="32283"/>
    <cellStyle name="Comma 8 4 4 7" xfId="24272"/>
    <cellStyle name="Comma 8 4 5" xfId="1495"/>
    <cellStyle name="Comma 8 4 5 2" xfId="1496"/>
    <cellStyle name="Comma 8 4 5 2 2" xfId="12238"/>
    <cellStyle name="Comma 8 4 5 2 2 2" xfId="20263"/>
    <cellStyle name="Comma 8 4 5 2 2 2 2" xfId="34288"/>
    <cellStyle name="Comma 8 4 5 2 2 3" xfId="26277"/>
    <cellStyle name="Comma 8 4 5 2 3" xfId="14253"/>
    <cellStyle name="Comma 8 4 5 2 3 2" xfId="22268"/>
    <cellStyle name="Comma 8 4 5 2 3 2 2" xfId="36293"/>
    <cellStyle name="Comma 8 4 5 2 3 3" xfId="28282"/>
    <cellStyle name="Comma 8 4 5 2 4" xfId="16259"/>
    <cellStyle name="Comma 8 4 5 2 4 2" xfId="30284"/>
    <cellStyle name="Comma 8 4 5 2 5" xfId="18261"/>
    <cellStyle name="Comma 8 4 5 2 5 2" xfId="32286"/>
    <cellStyle name="Comma 8 4 5 2 6" xfId="24275"/>
    <cellStyle name="Comma 8 4 5 3" xfId="12237"/>
    <cellStyle name="Comma 8 4 5 3 2" xfId="20262"/>
    <cellStyle name="Comma 8 4 5 3 2 2" xfId="34287"/>
    <cellStyle name="Comma 8 4 5 3 3" xfId="26276"/>
    <cellStyle name="Comma 8 4 5 4" xfId="14252"/>
    <cellStyle name="Comma 8 4 5 4 2" xfId="22267"/>
    <cellStyle name="Comma 8 4 5 4 2 2" xfId="36292"/>
    <cellStyle name="Comma 8 4 5 4 3" xfId="28281"/>
    <cellStyle name="Comma 8 4 5 5" xfId="16258"/>
    <cellStyle name="Comma 8 4 5 5 2" xfId="30283"/>
    <cellStyle name="Comma 8 4 5 6" xfId="18260"/>
    <cellStyle name="Comma 8 4 5 6 2" xfId="32285"/>
    <cellStyle name="Comma 8 4 5 7" xfId="24274"/>
    <cellStyle name="Comma 8 4 6" xfId="1497"/>
    <cellStyle name="Comma 8 4 6 2" xfId="12239"/>
    <cellStyle name="Comma 8 4 6 2 2" xfId="20264"/>
    <cellStyle name="Comma 8 4 6 2 2 2" xfId="34289"/>
    <cellStyle name="Comma 8 4 6 2 3" xfId="26278"/>
    <cellStyle name="Comma 8 4 6 3" xfId="14254"/>
    <cellStyle name="Comma 8 4 6 3 2" xfId="22269"/>
    <cellStyle name="Comma 8 4 6 3 2 2" xfId="36294"/>
    <cellStyle name="Comma 8 4 6 3 3" xfId="28283"/>
    <cellStyle name="Comma 8 4 6 4" xfId="16260"/>
    <cellStyle name="Comma 8 4 6 4 2" xfId="30285"/>
    <cellStyle name="Comma 8 4 6 5" xfId="18262"/>
    <cellStyle name="Comma 8 4 6 5 2" xfId="32287"/>
    <cellStyle name="Comma 8 4 6 6" xfId="24276"/>
    <cellStyle name="Comma 8 4 7" xfId="12220"/>
    <cellStyle name="Comma 8 4 7 2" xfId="20245"/>
    <cellStyle name="Comma 8 4 7 2 2" xfId="34270"/>
    <cellStyle name="Comma 8 4 7 3" xfId="26259"/>
    <cellStyle name="Comma 8 4 8" xfId="14235"/>
    <cellStyle name="Comma 8 4 8 2" xfId="22250"/>
    <cellStyle name="Comma 8 4 8 2 2" xfId="36275"/>
    <cellStyle name="Comma 8 4 8 3" xfId="28264"/>
    <cellStyle name="Comma 8 4 9" xfId="16241"/>
    <cellStyle name="Comma 8 4 9 2" xfId="30266"/>
    <cellStyle name="Comma 8 5" xfId="1498"/>
    <cellStyle name="Comma 8 5 10" xfId="24277"/>
    <cellStyle name="Comma 8 5 2" xfId="1499"/>
    <cellStyle name="Comma 8 5 2 2" xfId="1500"/>
    <cellStyle name="Comma 8 5 2 2 2" xfId="1501"/>
    <cellStyle name="Comma 8 5 2 2 2 2" xfId="12243"/>
    <cellStyle name="Comma 8 5 2 2 2 2 2" xfId="20268"/>
    <cellStyle name="Comma 8 5 2 2 2 2 2 2" xfId="34293"/>
    <cellStyle name="Comma 8 5 2 2 2 2 3" xfId="26282"/>
    <cellStyle name="Comma 8 5 2 2 2 3" xfId="14258"/>
    <cellStyle name="Comma 8 5 2 2 2 3 2" xfId="22273"/>
    <cellStyle name="Comma 8 5 2 2 2 3 2 2" xfId="36298"/>
    <cellStyle name="Comma 8 5 2 2 2 3 3" xfId="28287"/>
    <cellStyle name="Comma 8 5 2 2 2 4" xfId="16264"/>
    <cellStyle name="Comma 8 5 2 2 2 4 2" xfId="30289"/>
    <cellStyle name="Comma 8 5 2 2 2 5" xfId="18266"/>
    <cellStyle name="Comma 8 5 2 2 2 5 2" xfId="32291"/>
    <cellStyle name="Comma 8 5 2 2 2 6" xfId="24280"/>
    <cellStyle name="Comma 8 5 2 2 3" xfId="12242"/>
    <cellStyle name="Comma 8 5 2 2 3 2" xfId="20267"/>
    <cellStyle name="Comma 8 5 2 2 3 2 2" xfId="34292"/>
    <cellStyle name="Comma 8 5 2 2 3 3" xfId="26281"/>
    <cellStyle name="Comma 8 5 2 2 4" xfId="14257"/>
    <cellStyle name="Comma 8 5 2 2 4 2" xfId="22272"/>
    <cellStyle name="Comma 8 5 2 2 4 2 2" xfId="36297"/>
    <cellStyle name="Comma 8 5 2 2 4 3" xfId="28286"/>
    <cellStyle name="Comma 8 5 2 2 5" xfId="16263"/>
    <cellStyle name="Comma 8 5 2 2 5 2" xfId="30288"/>
    <cellStyle name="Comma 8 5 2 2 6" xfId="18265"/>
    <cellStyle name="Comma 8 5 2 2 6 2" xfId="32290"/>
    <cellStyle name="Comma 8 5 2 2 7" xfId="24279"/>
    <cellStyle name="Comma 8 5 2 3" xfId="1502"/>
    <cellStyle name="Comma 8 5 2 3 2" xfId="12244"/>
    <cellStyle name="Comma 8 5 2 3 2 2" xfId="20269"/>
    <cellStyle name="Comma 8 5 2 3 2 2 2" xfId="34294"/>
    <cellStyle name="Comma 8 5 2 3 2 3" xfId="26283"/>
    <cellStyle name="Comma 8 5 2 3 3" xfId="14259"/>
    <cellStyle name="Comma 8 5 2 3 3 2" xfId="22274"/>
    <cellStyle name="Comma 8 5 2 3 3 2 2" xfId="36299"/>
    <cellStyle name="Comma 8 5 2 3 3 3" xfId="28288"/>
    <cellStyle name="Comma 8 5 2 3 4" xfId="16265"/>
    <cellStyle name="Comma 8 5 2 3 4 2" xfId="30290"/>
    <cellStyle name="Comma 8 5 2 3 5" xfId="18267"/>
    <cellStyle name="Comma 8 5 2 3 5 2" xfId="32292"/>
    <cellStyle name="Comma 8 5 2 3 6" xfId="24281"/>
    <cellStyle name="Comma 8 5 2 4" xfId="12241"/>
    <cellStyle name="Comma 8 5 2 4 2" xfId="20266"/>
    <cellStyle name="Comma 8 5 2 4 2 2" xfId="34291"/>
    <cellStyle name="Comma 8 5 2 4 3" xfId="26280"/>
    <cellStyle name="Comma 8 5 2 5" xfId="14256"/>
    <cellStyle name="Comma 8 5 2 5 2" xfId="22271"/>
    <cellStyle name="Comma 8 5 2 5 2 2" xfId="36296"/>
    <cellStyle name="Comma 8 5 2 5 3" xfId="28285"/>
    <cellStyle name="Comma 8 5 2 6" xfId="16262"/>
    <cellStyle name="Comma 8 5 2 6 2" xfId="30287"/>
    <cellStyle name="Comma 8 5 2 7" xfId="18264"/>
    <cellStyle name="Comma 8 5 2 7 2" xfId="32289"/>
    <cellStyle name="Comma 8 5 2 8" xfId="24278"/>
    <cellStyle name="Comma 8 5 3" xfId="1503"/>
    <cellStyle name="Comma 8 5 3 2" xfId="1504"/>
    <cellStyle name="Comma 8 5 3 2 2" xfId="12246"/>
    <cellStyle name="Comma 8 5 3 2 2 2" xfId="20271"/>
    <cellStyle name="Comma 8 5 3 2 2 2 2" xfId="34296"/>
    <cellStyle name="Comma 8 5 3 2 2 3" xfId="26285"/>
    <cellStyle name="Comma 8 5 3 2 3" xfId="14261"/>
    <cellStyle name="Comma 8 5 3 2 3 2" xfId="22276"/>
    <cellStyle name="Comma 8 5 3 2 3 2 2" xfId="36301"/>
    <cellStyle name="Comma 8 5 3 2 3 3" xfId="28290"/>
    <cellStyle name="Comma 8 5 3 2 4" xfId="16267"/>
    <cellStyle name="Comma 8 5 3 2 4 2" xfId="30292"/>
    <cellStyle name="Comma 8 5 3 2 5" xfId="18269"/>
    <cellStyle name="Comma 8 5 3 2 5 2" xfId="32294"/>
    <cellStyle name="Comma 8 5 3 2 6" xfId="24283"/>
    <cellStyle name="Comma 8 5 3 3" xfId="12245"/>
    <cellStyle name="Comma 8 5 3 3 2" xfId="20270"/>
    <cellStyle name="Comma 8 5 3 3 2 2" xfId="34295"/>
    <cellStyle name="Comma 8 5 3 3 3" xfId="26284"/>
    <cellStyle name="Comma 8 5 3 4" xfId="14260"/>
    <cellStyle name="Comma 8 5 3 4 2" xfId="22275"/>
    <cellStyle name="Comma 8 5 3 4 2 2" xfId="36300"/>
    <cellStyle name="Comma 8 5 3 4 3" xfId="28289"/>
    <cellStyle name="Comma 8 5 3 5" xfId="16266"/>
    <cellStyle name="Comma 8 5 3 5 2" xfId="30291"/>
    <cellStyle name="Comma 8 5 3 6" xfId="18268"/>
    <cellStyle name="Comma 8 5 3 6 2" xfId="32293"/>
    <cellStyle name="Comma 8 5 3 7" xfId="24282"/>
    <cellStyle name="Comma 8 5 4" xfId="1505"/>
    <cellStyle name="Comma 8 5 4 2" xfId="1506"/>
    <cellStyle name="Comma 8 5 4 2 2" xfId="12248"/>
    <cellStyle name="Comma 8 5 4 2 2 2" xfId="20273"/>
    <cellStyle name="Comma 8 5 4 2 2 2 2" xfId="34298"/>
    <cellStyle name="Comma 8 5 4 2 2 3" xfId="26287"/>
    <cellStyle name="Comma 8 5 4 2 3" xfId="14263"/>
    <cellStyle name="Comma 8 5 4 2 3 2" xfId="22278"/>
    <cellStyle name="Comma 8 5 4 2 3 2 2" xfId="36303"/>
    <cellStyle name="Comma 8 5 4 2 3 3" xfId="28292"/>
    <cellStyle name="Comma 8 5 4 2 4" xfId="16269"/>
    <cellStyle name="Comma 8 5 4 2 4 2" xfId="30294"/>
    <cellStyle name="Comma 8 5 4 2 5" xfId="18271"/>
    <cellStyle name="Comma 8 5 4 2 5 2" xfId="32296"/>
    <cellStyle name="Comma 8 5 4 2 6" xfId="24285"/>
    <cellStyle name="Comma 8 5 4 3" xfId="12247"/>
    <cellStyle name="Comma 8 5 4 3 2" xfId="20272"/>
    <cellStyle name="Comma 8 5 4 3 2 2" xfId="34297"/>
    <cellStyle name="Comma 8 5 4 3 3" xfId="26286"/>
    <cellStyle name="Comma 8 5 4 4" xfId="14262"/>
    <cellStyle name="Comma 8 5 4 4 2" xfId="22277"/>
    <cellStyle name="Comma 8 5 4 4 2 2" xfId="36302"/>
    <cellStyle name="Comma 8 5 4 4 3" xfId="28291"/>
    <cellStyle name="Comma 8 5 4 5" xfId="16268"/>
    <cellStyle name="Comma 8 5 4 5 2" xfId="30293"/>
    <cellStyle name="Comma 8 5 4 6" xfId="18270"/>
    <cellStyle name="Comma 8 5 4 6 2" xfId="32295"/>
    <cellStyle name="Comma 8 5 4 7" xfId="24284"/>
    <cellStyle name="Comma 8 5 5" xfId="1507"/>
    <cellStyle name="Comma 8 5 5 2" xfId="12249"/>
    <cellStyle name="Comma 8 5 5 2 2" xfId="20274"/>
    <cellStyle name="Comma 8 5 5 2 2 2" xfId="34299"/>
    <cellStyle name="Comma 8 5 5 2 3" xfId="26288"/>
    <cellStyle name="Comma 8 5 5 3" xfId="14264"/>
    <cellStyle name="Comma 8 5 5 3 2" xfId="22279"/>
    <cellStyle name="Comma 8 5 5 3 2 2" xfId="36304"/>
    <cellStyle name="Comma 8 5 5 3 3" xfId="28293"/>
    <cellStyle name="Comma 8 5 5 4" xfId="16270"/>
    <cellStyle name="Comma 8 5 5 4 2" xfId="30295"/>
    <cellStyle name="Comma 8 5 5 5" xfId="18272"/>
    <cellStyle name="Comma 8 5 5 5 2" xfId="32297"/>
    <cellStyle name="Comma 8 5 5 6" xfId="24286"/>
    <cellStyle name="Comma 8 5 6" xfId="12240"/>
    <cellStyle name="Comma 8 5 6 2" xfId="20265"/>
    <cellStyle name="Comma 8 5 6 2 2" xfId="34290"/>
    <cellStyle name="Comma 8 5 6 3" xfId="26279"/>
    <cellStyle name="Comma 8 5 7" xfId="14255"/>
    <cellStyle name="Comma 8 5 7 2" xfId="22270"/>
    <cellStyle name="Comma 8 5 7 2 2" xfId="36295"/>
    <cellStyle name="Comma 8 5 7 3" xfId="28284"/>
    <cellStyle name="Comma 8 5 8" xfId="16261"/>
    <cellStyle name="Comma 8 5 8 2" xfId="30286"/>
    <cellStyle name="Comma 8 5 9" xfId="18263"/>
    <cellStyle name="Comma 8 5 9 2" xfId="32288"/>
    <cellStyle name="Comma 8 6" xfId="1508"/>
    <cellStyle name="Comma 8 6 2" xfId="1509"/>
    <cellStyle name="Comma 8 6 2 2" xfId="1510"/>
    <cellStyle name="Comma 8 6 2 2 2" xfId="12252"/>
    <cellStyle name="Comma 8 6 2 2 2 2" xfId="20277"/>
    <cellStyle name="Comma 8 6 2 2 2 2 2" xfId="34302"/>
    <cellStyle name="Comma 8 6 2 2 2 3" xfId="26291"/>
    <cellStyle name="Comma 8 6 2 2 3" xfId="14267"/>
    <cellStyle name="Comma 8 6 2 2 3 2" xfId="22282"/>
    <cellStyle name="Comma 8 6 2 2 3 2 2" xfId="36307"/>
    <cellStyle name="Comma 8 6 2 2 3 3" xfId="28296"/>
    <cellStyle name="Comma 8 6 2 2 4" xfId="16273"/>
    <cellStyle name="Comma 8 6 2 2 4 2" xfId="30298"/>
    <cellStyle name="Comma 8 6 2 2 5" xfId="18275"/>
    <cellStyle name="Comma 8 6 2 2 5 2" xfId="32300"/>
    <cellStyle name="Comma 8 6 2 2 6" xfId="24289"/>
    <cellStyle name="Comma 8 6 2 3" xfId="12251"/>
    <cellStyle name="Comma 8 6 2 3 2" xfId="20276"/>
    <cellStyle name="Comma 8 6 2 3 2 2" xfId="34301"/>
    <cellStyle name="Comma 8 6 2 3 3" xfId="26290"/>
    <cellStyle name="Comma 8 6 2 4" xfId="14266"/>
    <cellStyle name="Comma 8 6 2 4 2" xfId="22281"/>
    <cellStyle name="Comma 8 6 2 4 2 2" xfId="36306"/>
    <cellStyle name="Comma 8 6 2 4 3" xfId="28295"/>
    <cellStyle name="Comma 8 6 2 5" xfId="16272"/>
    <cellStyle name="Comma 8 6 2 5 2" xfId="30297"/>
    <cellStyle name="Comma 8 6 2 6" xfId="18274"/>
    <cellStyle name="Comma 8 6 2 6 2" xfId="32299"/>
    <cellStyle name="Comma 8 6 2 7" xfId="24288"/>
    <cellStyle name="Comma 8 6 3" xfId="1511"/>
    <cellStyle name="Comma 8 6 3 2" xfId="12253"/>
    <cellStyle name="Comma 8 6 3 2 2" xfId="20278"/>
    <cellStyle name="Comma 8 6 3 2 2 2" xfId="34303"/>
    <cellStyle name="Comma 8 6 3 2 3" xfId="26292"/>
    <cellStyle name="Comma 8 6 3 3" xfId="14268"/>
    <cellStyle name="Comma 8 6 3 3 2" xfId="22283"/>
    <cellStyle name="Comma 8 6 3 3 2 2" xfId="36308"/>
    <cellStyle name="Comma 8 6 3 3 3" xfId="28297"/>
    <cellStyle name="Comma 8 6 3 4" xfId="16274"/>
    <cellStyle name="Comma 8 6 3 4 2" xfId="30299"/>
    <cellStyle name="Comma 8 6 3 5" xfId="18276"/>
    <cellStyle name="Comma 8 6 3 5 2" xfId="32301"/>
    <cellStyle name="Comma 8 6 3 6" xfId="24290"/>
    <cellStyle name="Comma 8 6 4" xfId="12250"/>
    <cellStyle name="Comma 8 6 4 2" xfId="20275"/>
    <cellStyle name="Comma 8 6 4 2 2" xfId="34300"/>
    <cellStyle name="Comma 8 6 4 3" xfId="26289"/>
    <cellStyle name="Comma 8 6 5" xfId="14265"/>
    <cellStyle name="Comma 8 6 5 2" xfId="22280"/>
    <cellStyle name="Comma 8 6 5 2 2" xfId="36305"/>
    <cellStyle name="Comma 8 6 5 3" xfId="28294"/>
    <cellStyle name="Comma 8 6 6" xfId="16271"/>
    <cellStyle name="Comma 8 6 6 2" xfId="30296"/>
    <cellStyle name="Comma 8 6 7" xfId="18273"/>
    <cellStyle name="Comma 8 6 7 2" xfId="32298"/>
    <cellStyle name="Comma 8 6 8" xfId="24287"/>
    <cellStyle name="Comma 8 7" xfId="1512"/>
    <cellStyle name="Comma 8 7 2" xfId="1513"/>
    <cellStyle name="Comma 8 7 2 2" xfId="12255"/>
    <cellStyle name="Comma 8 7 2 2 2" xfId="20280"/>
    <cellStyle name="Comma 8 7 2 2 2 2" xfId="34305"/>
    <cellStyle name="Comma 8 7 2 2 3" xfId="26294"/>
    <cellStyle name="Comma 8 7 2 3" xfId="14270"/>
    <cellStyle name="Comma 8 7 2 3 2" xfId="22285"/>
    <cellStyle name="Comma 8 7 2 3 2 2" xfId="36310"/>
    <cellStyle name="Comma 8 7 2 3 3" xfId="28299"/>
    <cellStyle name="Comma 8 7 2 4" xfId="16276"/>
    <cellStyle name="Comma 8 7 2 4 2" xfId="30301"/>
    <cellStyle name="Comma 8 7 2 5" xfId="18278"/>
    <cellStyle name="Comma 8 7 2 5 2" xfId="32303"/>
    <cellStyle name="Comma 8 7 2 6" xfId="24292"/>
    <cellStyle name="Comma 8 7 3" xfId="12254"/>
    <cellStyle name="Comma 8 7 3 2" xfId="20279"/>
    <cellStyle name="Comma 8 7 3 2 2" xfId="34304"/>
    <cellStyle name="Comma 8 7 3 3" xfId="26293"/>
    <cellStyle name="Comma 8 7 4" xfId="14269"/>
    <cellStyle name="Comma 8 7 4 2" xfId="22284"/>
    <cellStyle name="Comma 8 7 4 2 2" xfId="36309"/>
    <cellStyle name="Comma 8 7 4 3" xfId="28298"/>
    <cellStyle name="Comma 8 7 5" xfId="16275"/>
    <cellStyle name="Comma 8 7 5 2" xfId="30300"/>
    <cellStyle name="Comma 8 7 6" xfId="18277"/>
    <cellStyle name="Comma 8 7 6 2" xfId="32302"/>
    <cellStyle name="Comma 8 7 7" xfId="24291"/>
    <cellStyle name="Comma 8 8" xfId="1514"/>
    <cellStyle name="Comma 8 8 2" xfId="1515"/>
    <cellStyle name="Comma 8 8 2 2" xfId="12257"/>
    <cellStyle name="Comma 8 8 2 2 2" xfId="20282"/>
    <cellStyle name="Comma 8 8 2 2 2 2" xfId="34307"/>
    <cellStyle name="Comma 8 8 2 2 3" xfId="26296"/>
    <cellStyle name="Comma 8 8 2 3" xfId="14272"/>
    <cellStyle name="Comma 8 8 2 3 2" xfId="22287"/>
    <cellStyle name="Comma 8 8 2 3 2 2" xfId="36312"/>
    <cellStyle name="Comma 8 8 2 3 3" xfId="28301"/>
    <cellStyle name="Comma 8 8 2 4" xfId="16278"/>
    <cellStyle name="Comma 8 8 2 4 2" xfId="30303"/>
    <cellStyle name="Comma 8 8 2 5" xfId="18280"/>
    <cellStyle name="Comma 8 8 2 5 2" xfId="32305"/>
    <cellStyle name="Comma 8 8 2 6" xfId="24294"/>
    <cellStyle name="Comma 8 8 3" xfId="12256"/>
    <cellStyle name="Comma 8 8 3 2" xfId="20281"/>
    <cellStyle name="Comma 8 8 3 2 2" xfId="34306"/>
    <cellStyle name="Comma 8 8 3 3" xfId="26295"/>
    <cellStyle name="Comma 8 8 4" xfId="14271"/>
    <cellStyle name="Comma 8 8 4 2" xfId="22286"/>
    <cellStyle name="Comma 8 8 4 2 2" xfId="36311"/>
    <cellStyle name="Comma 8 8 4 3" xfId="28300"/>
    <cellStyle name="Comma 8 8 5" xfId="16277"/>
    <cellStyle name="Comma 8 8 5 2" xfId="30302"/>
    <cellStyle name="Comma 8 8 6" xfId="18279"/>
    <cellStyle name="Comma 8 8 6 2" xfId="32304"/>
    <cellStyle name="Comma 8 8 7" xfId="24293"/>
    <cellStyle name="Comma 8 9" xfId="1516"/>
    <cellStyle name="Comma 8 9 2" xfId="12258"/>
    <cellStyle name="Comma 8 9 2 2" xfId="20283"/>
    <cellStyle name="Comma 8 9 2 2 2" xfId="34308"/>
    <cellStyle name="Comma 8 9 2 3" xfId="26297"/>
    <cellStyle name="Comma 8 9 3" xfId="14273"/>
    <cellStyle name="Comma 8 9 3 2" xfId="22288"/>
    <cellStyle name="Comma 8 9 3 2 2" xfId="36313"/>
    <cellStyle name="Comma 8 9 3 3" xfId="28302"/>
    <cellStyle name="Comma 8 9 4" xfId="16279"/>
    <cellStyle name="Comma 8 9 4 2" xfId="30304"/>
    <cellStyle name="Comma 8 9 5" xfId="18281"/>
    <cellStyle name="Comma 8 9 5 2" xfId="32306"/>
    <cellStyle name="Comma 8 9 6" xfId="24295"/>
    <cellStyle name="Comma 9" xfId="428"/>
    <cellStyle name="Comma 9 2" xfId="429"/>
    <cellStyle name="Comma 9 2 2" xfId="1517"/>
    <cellStyle name="Comma 9 2 2 10" xfId="16280"/>
    <cellStyle name="Comma 9 2 2 10 2" xfId="30305"/>
    <cellStyle name="Comma 9 2 2 11" xfId="18282"/>
    <cellStyle name="Comma 9 2 2 11 2" xfId="32307"/>
    <cellStyle name="Comma 9 2 2 12" xfId="24296"/>
    <cellStyle name="Comma 9 2 2 2" xfId="1518"/>
    <cellStyle name="Comma 9 2 2 2 10" xfId="18283"/>
    <cellStyle name="Comma 9 2 2 2 10 2" xfId="32308"/>
    <cellStyle name="Comma 9 2 2 2 11" xfId="24297"/>
    <cellStyle name="Comma 9 2 2 2 2" xfId="1519"/>
    <cellStyle name="Comma 9 2 2 2 2 10" xfId="24298"/>
    <cellStyle name="Comma 9 2 2 2 2 2" xfId="1520"/>
    <cellStyle name="Comma 9 2 2 2 2 2 2" xfId="1521"/>
    <cellStyle name="Comma 9 2 2 2 2 2 2 2" xfId="1522"/>
    <cellStyle name="Comma 9 2 2 2 2 2 2 2 2" xfId="12264"/>
    <cellStyle name="Comma 9 2 2 2 2 2 2 2 2 2" xfId="20289"/>
    <cellStyle name="Comma 9 2 2 2 2 2 2 2 2 2 2" xfId="34314"/>
    <cellStyle name="Comma 9 2 2 2 2 2 2 2 2 3" xfId="26303"/>
    <cellStyle name="Comma 9 2 2 2 2 2 2 2 3" xfId="14279"/>
    <cellStyle name="Comma 9 2 2 2 2 2 2 2 3 2" xfId="22294"/>
    <cellStyle name="Comma 9 2 2 2 2 2 2 2 3 2 2" xfId="36319"/>
    <cellStyle name="Comma 9 2 2 2 2 2 2 2 3 3" xfId="28308"/>
    <cellStyle name="Comma 9 2 2 2 2 2 2 2 4" xfId="16285"/>
    <cellStyle name="Comma 9 2 2 2 2 2 2 2 4 2" xfId="30310"/>
    <cellStyle name="Comma 9 2 2 2 2 2 2 2 5" xfId="18287"/>
    <cellStyle name="Comma 9 2 2 2 2 2 2 2 5 2" xfId="32312"/>
    <cellStyle name="Comma 9 2 2 2 2 2 2 2 6" xfId="24301"/>
    <cellStyle name="Comma 9 2 2 2 2 2 2 3" xfId="12263"/>
    <cellStyle name="Comma 9 2 2 2 2 2 2 3 2" xfId="20288"/>
    <cellStyle name="Comma 9 2 2 2 2 2 2 3 2 2" xfId="34313"/>
    <cellStyle name="Comma 9 2 2 2 2 2 2 3 3" xfId="26302"/>
    <cellStyle name="Comma 9 2 2 2 2 2 2 4" xfId="14278"/>
    <cellStyle name="Comma 9 2 2 2 2 2 2 4 2" xfId="22293"/>
    <cellStyle name="Comma 9 2 2 2 2 2 2 4 2 2" xfId="36318"/>
    <cellStyle name="Comma 9 2 2 2 2 2 2 4 3" xfId="28307"/>
    <cellStyle name="Comma 9 2 2 2 2 2 2 5" xfId="16284"/>
    <cellStyle name="Comma 9 2 2 2 2 2 2 5 2" xfId="30309"/>
    <cellStyle name="Comma 9 2 2 2 2 2 2 6" xfId="18286"/>
    <cellStyle name="Comma 9 2 2 2 2 2 2 6 2" xfId="32311"/>
    <cellStyle name="Comma 9 2 2 2 2 2 2 7" xfId="24300"/>
    <cellStyle name="Comma 9 2 2 2 2 2 3" xfId="1523"/>
    <cellStyle name="Comma 9 2 2 2 2 2 3 2" xfId="12265"/>
    <cellStyle name="Comma 9 2 2 2 2 2 3 2 2" xfId="20290"/>
    <cellStyle name="Comma 9 2 2 2 2 2 3 2 2 2" xfId="34315"/>
    <cellStyle name="Comma 9 2 2 2 2 2 3 2 3" xfId="26304"/>
    <cellStyle name="Comma 9 2 2 2 2 2 3 3" xfId="14280"/>
    <cellStyle name="Comma 9 2 2 2 2 2 3 3 2" xfId="22295"/>
    <cellStyle name="Comma 9 2 2 2 2 2 3 3 2 2" xfId="36320"/>
    <cellStyle name="Comma 9 2 2 2 2 2 3 3 3" xfId="28309"/>
    <cellStyle name="Comma 9 2 2 2 2 2 3 4" xfId="16286"/>
    <cellStyle name="Comma 9 2 2 2 2 2 3 4 2" xfId="30311"/>
    <cellStyle name="Comma 9 2 2 2 2 2 3 5" xfId="18288"/>
    <cellStyle name="Comma 9 2 2 2 2 2 3 5 2" xfId="32313"/>
    <cellStyle name="Comma 9 2 2 2 2 2 3 6" xfId="24302"/>
    <cellStyle name="Comma 9 2 2 2 2 2 4" xfId="12262"/>
    <cellStyle name="Comma 9 2 2 2 2 2 4 2" xfId="20287"/>
    <cellStyle name="Comma 9 2 2 2 2 2 4 2 2" xfId="34312"/>
    <cellStyle name="Comma 9 2 2 2 2 2 4 3" xfId="26301"/>
    <cellStyle name="Comma 9 2 2 2 2 2 5" xfId="14277"/>
    <cellStyle name="Comma 9 2 2 2 2 2 5 2" xfId="22292"/>
    <cellStyle name="Comma 9 2 2 2 2 2 5 2 2" xfId="36317"/>
    <cellStyle name="Comma 9 2 2 2 2 2 5 3" xfId="28306"/>
    <cellStyle name="Comma 9 2 2 2 2 2 6" xfId="16283"/>
    <cellStyle name="Comma 9 2 2 2 2 2 6 2" xfId="30308"/>
    <cellStyle name="Comma 9 2 2 2 2 2 7" xfId="18285"/>
    <cellStyle name="Comma 9 2 2 2 2 2 7 2" xfId="32310"/>
    <cellStyle name="Comma 9 2 2 2 2 2 8" xfId="24299"/>
    <cellStyle name="Comma 9 2 2 2 2 3" xfId="1524"/>
    <cellStyle name="Comma 9 2 2 2 2 3 2" xfId="1525"/>
    <cellStyle name="Comma 9 2 2 2 2 3 2 2" xfId="12267"/>
    <cellStyle name="Comma 9 2 2 2 2 3 2 2 2" xfId="20292"/>
    <cellStyle name="Comma 9 2 2 2 2 3 2 2 2 2" xfId="34317"/>
    <cellStyle name="Comma 9 2 2 2 2 3 2 2 3" xfId="26306"/>
    <cellStyle name="Comma 9 2 2 2 2 3 2 3" xfId="14282"/>
    <cellStyle name="Comma 9 2 2 2 2 3 2 3 2" xfId="22297"/>
    <cellStyle name="Comma 9 2 2 2 2 3 2 3 2 2" xfId="36322"/>
    <cellStyle name="Comma 9 2 2 2 2 3 2 3 3" xfId="28311"/>
    <cellStyle name="Comma 9 2 2 2 2 3 2 4" xfId="16288"/>
    <cellStyle name="Comma 9 2 2 2 2 3 2 4 2" xfId="30313"/>
    <cellStyle name="Comma 9 2 2 2 2 3 2 5" xfId="18290"/>
    <cellStyle name="Comma 9 2 2 2 2 3 2 5 2" xfId="32315"/>
    <cellStyle name="Comma 9 2 2 2 2 3 2 6" xfId="24304"/>
    <cellStyle name="Comma 9 2 2 2 2 3 3" xfId="12266"/>
    <cellStyle name="Comma 9 2 2 2 2 3 3 2" xfId="20291"/>
    <cellStyle name="Comma 9 2 2 2 2 3 3 2 2" xfId="34316"/>
    <cellStyle name="Comma 9 2 2 2 2 3 3 3" xfId="26305"/>
    <cellStyle name="Comma 9 2 2 2 2 3 4" xfId="14281"/>
    <cellStyle name="Comma 9 2 2 2 2 3 4 2" xfId="22296"/>
    <cellStyle name="Comma 9 2 2 2 2 3 4 2 2" xfId="36321"/>
    <cellStyle name="Comma 9 2 2 2 2 3 4 3" xfId="28310"/>
    <cellStyle name="Comma 9 2 2 2 2 3 5" xfId="16287"/>
    <cellStyle name="Comma 9 2 2 2 2 3 5 2" xfId="30312"/>
    <cellStyle name="Comma 9 2 2 2 2 3 6" xfId="18289"/>
    <cellStyle name="Comma 9 2 2 2 2 3 6 2" xfId="32314"/>
    <cellStyle name="Comma 9 2 2 2 2 3 7" xfId="24303"/>
    <cellStyle name="Comma 9 2 2 2 2 4" xfId="1526"/>
    <cellStyle name="Comma 9 2 2 2 2 4 2" xfId="1527"/>
    <cellStyle name="Comma 9 2 2 2 2 4 2 2" xfId="12269"/>
    <cellStyle name="Comma 9 2 2 2 2 4 2 2 2" xfId="20294"/>
    <cellStyle name="Comma 9 2 2 2 2 4 2 2 2 2" xfId="34319"/>
    <cellStyle name="Comma 9 2 2 2 2 4 2 2 3" xfId="26308"/>
    <cellStyle name="Comma 9 2 2 2 2 4 2 3" xfId="14284"/>
    <cellStyle name="Comma 9 2 2 2 2 4 2 3 2" xfId="22299"/>
    <cellStyle name="Comma 9 2 2 2 2 4 2 3 2 2" xfId="36324"/>
    <cellStyle name="Comma 9 2 2 2 2 4 2 3 3" xfId="28313"/>
    <cellStyle name="Comma 9 2 2 2 2 4 2 4" xfId="16290"/>
    <cellStyle name="Comma 9 2 2 2 2 4 2 4 2" xfId="30315"/>
    <cellStyle name="Comma 9 2 2 2 2 4 2 5" xfId="18292"/>
    <cellStyle name="Comma 9 2 2 2 2 4 2 5 2" xfId="32317"/>
    <cellStyle name="Comma 9 2 2 2 2 4 2 6" xfId="24306"/>
    <cellStyle name="Comma 9 2 2 2 2 4 3" xfId="12268"/>
    <cellStyle name="Comma 9 2 2 2 2 4 3 2" xfId="20293"/>
    <cellStyle name="Comma 9 2 2 2 2 4 3 2 2" xfId="34318"/>
    <cellStyle name="Comma 9 2 2 2 2 4 3 3" xfId="26307"/>
    <cellStyle name="Comma 9 2 2 2 2 4 4" xfId="14283"/>
    <cellStyle name="Comma 9 2 2 2 2 4 4 2" xfId="22298"/>
    <cellStyle name="Comma 9 2 2 2 2 4 4 2 2" xfId="36323"/>
    <cellStyle name="Comma 9 2 2 2 2 4 4 3" xfId="28312"/>
    <cellStyle name="Comma 9 2 2 2 2 4 5" xfId="16289"/>
    <cellStyle name="Comma 9 2 2 2 2 4 5 2" xfId="30314"/>
    <cellStyle name="Comma 9 2 2 2 2 4 6" xfId="18291"/>
    <cellStyle name="Comma 9 2 2 2 2 4 6 2" xfId="32316"/>
    <cellStyle name="Comma 9 2 2 2 2 4 7" xfId="24305"/>
    <cellStyle name="Comma 9 2 2 2 2 5" xfId="1528"/>
    <cellStyle name="Comma 9 2 2 2 2 5 2" xfId="12270"/>
    <cellStyle name="Comma 9 2 2 2 2 5 2 2" xfId="20295"/>
    <cellStyle name="Comma 9 2 2 2 2 5 2 2 2" xfId="34320"/>
    <cellStyle name="Comma 9 2 2 2 2 5 2 3" xfId="26309"/>
    <cellStyle name="Comma 9 2 2 2 2 5 3" xfId="14285"/>
    <cellStyle name="Comma 9 2 2 2 2 5 3 2" xfId="22300"/>
    <cellStyle name="Comma 9 2 2 2 2 5 3 2 2" xfId="36325"/>
    <cellStyle name="Comma 9 2 2 2 2 5 3 3" xfId="28314"/>
    <cellStyle name="Comma 9 2 2 2 2 5 4" xfId="16291"/>
    <cellStyle name="Comma 9 2 2 2 2 5 4 2" xfId="30316"/>
    <cellStyle name="Comma 9 2 2 2 2 5 5" xfId="18293"/>
    <cellStyle name="Comma 9 2 2 2 2 5 5 2" xfId="32318"/>
    <cellStyle name="Comma 9 2 2 2 2 5 6" xfId="24307"/>
    <cellStyle name="Comma 9 2 2 2 2 6" xfId="12261"/>
    <cellStyle name="Comma 9 2 2 2 2 6 2" xfId="20286"/>
    <cellStyle name="Comma 9 2 2 2 2 6 2 2" xfId="34311"/>
    <cellStyle name="Comma 9 2 2 2 2 6 3" xfId="26300"/>
    <cellStyle name="Comma 9 2 2 2 2 7" xfId="14276"/>
    <cellStyle name="Comma 9 2 2 2 2 7 2" xfId="22291"/>
    <cellStyle name="Comma 9 2 2 2 2 7 2 2" xfId="36316"/>
    <cellStyle name="Comma 9 2 2 2 2 7 3" xfId="28305"/>
    <cellStyle name="Comma 9 2 2 2 2 8" xfId="16282"/>
    <cellStyle name="Comma 9 2 2 2 2 8 2" xfId="30307"/>
    <cellStyle name="Comma 9 2 2 2 2 9" xfId="18284"/>
    <cellStyle name="Comma 9 2 2 2 2 9 2" xfId="32309"/>
    <cellStyle name="Comma 9 2 2 2 3" xfId="1529"/>
    <cellStyle name="Comma 9 2 2 2 3 2" xfId="1530"/>
    <cellStyle name="Comma 9 2 2 2 3 2 2" xfId="1531"/>
    <cellStyle name="Comma 9 2 2 2 3 2 2 2" xfId="12273"/>
    <cellStyle name="Comma 9 2 2 2 3 2 2 2 2" xfId="20298"/>
    <cellStyle name="Comma 9 2 2 2 3 2 2 2 2 2" xfId="34323"/>
    <cellStyle name="Comma 9 2 2 2 3 2 2 2 3" xfId="26312"/>
    <cellStyle name="Comma 9 2 2 2 3 2 2 3" xfId="14288"/>
    <cellStyle name="Comma 9 2 2 2 3 2 2 3 2" xfId="22303"/>
    <cellStyle name="Comma 9 2 2 2 3 2 2 3 2 2" xfId="36328"/>
    <cellStyle name="Comma 9 2 2 2 3 2 2 3 3" xfId="28317"/>
    <cellStyle name="Comma 9 2 2 2 3 2 2 4" xfId="16294"/>
    <cellStyle name="Comma 9 2 2 2 3 2 2 4 2" xfId="30319"/>
    <cellStyle name="Comma 9 2 2 2 3 2 2 5" xfId="18296"/>
    <cellStyle name="Comma 9 2 2 2 3 2 2 5 2" xfId="32321"/>
    <cellStyle name="Comma 9 2 2 2 3 2 2 6" xfId="24310"/>
    <cellStyle name="Comma 9 2 2 2 3 2 3" xfId="12272"/>
    <cellStyle name="Comma 9 2 2 2 3 2 3 2" xfId="20297"/>
    <cellStyle name="Comma 9 2 2 2 3 2 3 2 2" xfId="34322"/>
    <cellStyle name="Comma 9 2 2 2 3 2 3 3" xfId="26311"/>
    <cellStyle name="Comma 9 2 2 2 3 2 4" xfId="14287"/>
    <cellStyle name="Comma 9 2 2 2 3 2 4 2" xfId="22302"/>
    <cellStyle name="Comma 9 2 2 2 3 2 4 2 2" xfId="36327"/>
    <cellStyle name="Comma 9 2 2 2 3 2 4 3" xfId="28316"/>
    <cellStyle name="Comma 9 2 2 2 3 2 5" xfId="16293"/>
    <cellStyle name="Comma 9 2 2 2 3 2 5 2" xfId="30318"/>
    <cellStyle name="Comma 9 2 2 2 3 2 6" xfId="18295"/>
    <cellStyle name="Comma 9 2 2 2 3 2 6 2" xfId="32320"/>
    <cellStyle name="Comma 9 2 2 2 3 2 7" xfId="24309"/>
    <cellStyle name="Comma 9 2 2 2 3 3" xfId="1532"/>
    <cellStyle name="Comma 9 2 2 2 3 3 2" xfId="12274"/>
    <cellStyle name="Comma 9 2 2 2 3 3 2 2" xfId="20299"/>
    <cellStyle name="Comma 9 2 2 2 3 3 2 2 2" xfId="34324"/>
    <cellStyle name="Comma 9 2 2 2 3 3 2 3" xfId="26313"/>
    <cellStyle name="Comma 9 2 2 2 3 3 3" xfId="14289"/>
    <cellStyle name="Comma 9 2 2 2 3 3 3 2" xfId="22304"/>
    <cellStyle name="Comma 9 2 2 2 3 3 3 2 2" xfId="36329"/>
    <cellStyle name="Comma 9 2 2 2 3 3 3 3" xfId="28318"/>
    <cellStyle name="Comma 9 2 2 2 3 3 4" xfId="16295"/>
    <cellStyle name="Comma 9 2 2 2 3 3 4 2" xfId="30320"/>
    <cellStyle name="Comma 9 2 2 2 3 3 5" xfId="18297"/>
    <cellStyle name="Comma 9 2 2 2 3 3 5 2" xfId="32322"/>
    <cellStyle name="Comma 9 2 2 2 3 3 6" xfId="24311"/>
    <cellStyle name="Comma 9 2 2 2 3 4" xfId="12271"/>
    <cellStyle name="Comma 9 2 2 2 3 4 2" xfId="20296"/>
    <cellStyle name="Comma 9 2 2 2 3 4 2 2" xfId="34321"/>
    <cellStyle name="Comma 9 2 2 2 3 4 3" xfId="26310"/>
    <cellStyle name="Comma 9 2 2 2 3 5" xfId="14286"/>
    <cellStyle name="Comma 9 2 2 2 3 5 2" xfId="22301"/>
    <cellStyle name="Comma 9 2 2 2 3 5 2 2" xfId="36326"/>
    <cellStyle name="Comma 9 2 2 2 3 5 3" xfId="28315"/>
    <cellStyle name="Comma 9 2 2 2 3 6" xfId="16292"/>
    <cellStyle name="Comma 9 2 2 2 3 6 2" xfId="30317"/>
    <cellStyle name="Comma 9 2 2 2 3 7" xfId="18294"/>
    <cellStyle name="Comma 9 2 2 2 3 7 2" xfId="32319"/>
    <cellStyle name="Comma 9 2 2 2 3 8" xfId="24308"/>
    <cellStyle name="Comma 9 2 2 2 4" xfId="1533"/>
    <cellStyle name="Comma 9 2 2 2 4 2" xfId="1534"/>
    <cellStyle name="Comma 9 2 2 2 4 2 2" xfId="12276"/>
    <cellStyle name="Comma 9 2 2 2 4 2 2 2" xfId="20301"/>
    <cellStyle name="Comma 9 2 2 2 4 2 2 2 2" xfId="34326"/>
    <cellStyle name="Comma 9 2 2 2 4 2 2 3" xfId="26315"/>
    <cellStyle name="Comma 9 2 2 2 4 2 3" xfId="14291"/>
    <cellStyle name="Comma 9 2 2 2 4 2 3 2" xfId="22306"/>
    <cellStyle name="Comma 9 2 2 2 4 2 3 2 2" xfId="36331"/>
    <cellStyle name="Comma 9 2 2 2 4 2 3 3" xfId="28320"/>
    <cellStyle name="Comma 9 2 2 2 4 2 4" xfId="16297"/>
    <cellStyle name="Comma 9 2 2 2 4 2 4 2" xfId="30322"/>
    <cellStyle name="Comma 9 2 2 2 4 2 5" xfId="18299"/>
    <cellStyle name="Comma 9 2 2 2 4 2 5 2" xfId="32324"/>
    <cellStyle name="Comma 9 2 2 2 4 2 6" xfId="24313"/>
    <cellStyle name="Comma 9 2 2 2 4 3" xfId="12275"/>
    <cellStyle name="Comma 9 2 2 2 4 3 2" xfId="20300"/>
    <cellStyle name="Comma 9 2 2 2 4 3 2 2" xfId="34325"/>
    <cellStyle name="Comma 9 2 2 2 4 3 3" xfId="26314"/>
    <cellStyle name="Comma 9 2 2 2 4 4" xfId="14290"/>
    <cellStyle name="Comma 9 2 2 2 4 4 2" xfId="22305"/>
    <cellStyle name="Comma 9 2 2 2 4 4 2 2" xfId="36330"/>
    <cellStyle name="Comma 9 2 2 2 4 4 3" xfId="28319"/>
    <cellStyle name="Comma 9 2 2 2 4 5" xfId="16296"/>
    <cellStyle name="Comma 9 2 2 2 4 5 2" xfId="30321"/>
    <cellStyle name="Comma 9 2 2 2 4 6" xfId="18298"/>
    <cellStyle name="Comma 9 2 2 2 4 6 2" xfId="32323"/>
    <cellStyle name="Comma 9 2 2 2 4 7" xfId="24312"/>
    <cellStyle name="Comma 9 2 2 2 5" xfId="1535"/>
    <cellStyle name="Comma 9 2 2 2 5 2" xfId="1536"/>
    <cellStyle name="Comma 9 2 2 2 5 2 2" xfId="12278"/>
    <cellStyle name="Comma 9 2 2 2 5 2 2 2" xfId="20303"/>
    <cellStyle name="Comma 9 2 2 2 5 2 2 2 2" xfId="34328"/>
    <cellStyle name="Comma 9 2 2 2 5 2 2 3" xfId="26317"/>
    <cellStyle name="Comma 9 2 2 2 5 2 3" xfId="14293"/>
    <cellStyle name="Comma 9 2 2 2 5 2 3 2" xfId="22308"/>
    <cellStyle name="Comma 9 2 2 2 5 2 3 2 2" xfId="36333"/>
    <cellStyle name="Comma 9 2 2 2 5 2 3 3" xfId="28322"/>
    <cellStyle name="Comma 9 2 2 2 5 2 4" xfId="16299"/>
    <cellStyle name="Comma 9 2 2 2 5 2 4 2" xfId="30324"/>
    <cellStyle name="Comma 9 2 2 2 5 2 5" xfId="18301"/>
    <cellStyle name="Comma 9 2 2 2 5 2 5 2" xfId="32326"/>
    <cellStyle name="Comma 9 2 2 2 5 2 6" xfId="24315"/>
    <cellStyle name="Comma 9 2 2 2 5 3" xfId="12277"/>
    <cellStyle name="Comma 9 2 2 2 5 3 2" xfId="20302"/>
    <cellStyle name="Comma 9 2 2 2 5 3 2 2" xfId="34327"/>
    <cellStyle name="Comma 9 2 2 2 5 3 3" xfId="26316"/>
    <cellStyle name="Comma 9 2 2 2 5 4" xfId="14292"/>
    <cellStyle name="Comma 9 2 2 2 5 4 2" xfId="22307"/>
    <cellStyle name="Comma 9 2 2 2 5 4 2 2" xfId="36332"/>
    <cellStyle name="Comma 9 2 2 2 5 4 3" xfId="28321"/>
    <cellStyle name="Comma 9 2 2 2 5 5" xfId="16298"/>
    <cellStyle name="Comma 9 2 2 2 5 5 2" xfId="30323"/>
    <cellStyle name="Comma 9 2 2 2 5 6" xfId="18300"/>
    <cellStyle name="Comma 9 2 2 2 5 6 2" xfId="32325"/>
    <cellStyle name="Comma 9 2 2 2 5 7" xfId="24314"/>
    <cellStyle name="Comma 9 2 2 2 6" xfId="1537"/>
    <cellStyle name="Comma 9 2 2 2 6 2" xfId="12279"/>
    <cellStyle name="Comma 9 2 2 2 6 2 2" xfId="20304"/>
    <cellStyle name="Comma 9 2 2 2 6 2 2 2" xfId="34329"/>
    <cellStyle name="Comma 9 2 2 2 6 2 3" xfId="26318"/>
    <cellStyle name="Comma 9 2 2 2 6 3" xfId="14294"/>
    <cellStyle name="Comma 9 2 2 2 6 3 2" xfId="22309"/>
    <cellStyle name="Comma 9 2 2 2 6 3 2 2" xfId="36334"/>
    <cellStyle name="Comma 9 2 2 2 6 3 3" xfId="28323"/>
    <cellStyle name="Comma 9 2 2 2 6 4" xfId="16300"/>
    <cellStyle name="Comma 9 2 2 2 6 4 2" xfId="30325"/>
    <cellStyle name="Comma 9 2 2 2 6 5" xfId="18302"/>
    <cellStyle name="Comma 9 2 2 2 6 5 2" xfId="32327"/>
    <cellStyle name="Comma 9 2 2 2 6 6" xfId="24316"/>
    <cellStyle name="Comma 9 2 2 2 7" xfId="12260"/>
    <cellStyle name="Comma 9 2 2 2 7 2" xfId="20285"/>
    <cellStyle name="Comma 9 2 2 2 7 2 2" xfId="34310"/>
    <cellStyle name="Comma 9 2 2 2 7 3" xfId="26299"/>
    <cellStyle name="Comma 9 2 2 2 8" xfId="14275"/>
    <cellStyle name="Comma 9 2 2 2 8 2" xfId="22290"/>
    <cellStyle name="Comma 9 2 2 2 8 2 2" xfId="36315"/>
    <cellStyle name="Comma 9 2 2 2 8 3" xfId="28304"/>
    <cellStyle name="Comma 9 2 2 2 9" xfId="16281"/>
    <cellStyle name="Comma 9 2 2 2 9 2" xfId="30306"/>
    <cellStyle name="Comma 9 2 2 3" xfId="1538"/>
    <cellStyle name="Comma 9 2 2 3 10" xfId="24317"/>
    <cellStyle name="Comma 9 2 2 3 2" xfId="1539"/>
    <cellStyle name="Comma 9 2 2 3 2 2" xfId="1540"/>
    <cellStyle name="Comma 9 2 2 3 2 2 2" xfId="1541"/>
    <cellStyle name="Comma 9 2 2 3 2 2 2 2" xfId="12283"/>
    <cellStyle name="Comma 9 2 2 3 2 2 2 2 2" xfId="20308"/>
    <cellStyle name="Comma 9 2 2 3 2 2 2 2 2 2" xfId="34333"/>
    <cellStyle name="Comma 9 2 2 3 2 2 2 2 3" xfId="26322"/>
    <cellStyle name="Comma 9 2 2 3 2 2 2 3" xfId="14298"/>
    <cellStyle name="Comma 9 2 2 3 2 2 2 3 2" xfId="22313"/>
    <cellStyle name="Comma 9 2 2 3 2 2 2 3 2 2" xfId="36338"/>
    <cellStyle name="Comma 9 2 2 3 2 2 2 3 3" xfId="28327"/>
    <cellStyle name="Comma 9 2 2 3 2 2 2 4" xfId="16304"/>
    <cellStyle name="Comma 9 2 2 3 2 2 2 4 2" xfId="30329"/>
    <cellStyle name="Comma 9 2 2 3 2 2 2 5" xfId="18306"/>
    <cellStyle name="Comma 9 2 2 3 2 2 2 5 2" xfId="32331"/>
    <cellStyle name="Comma 9 2 2 3 2 2 2 6" xfId="24320"/>
    <cellStyle name="Comma 9 2 2 3 2 2 3" xfId="12282"/>
    <cellStyle name="Comma 9 2 2 3 2 2 3 2" xfId="20307"/>
    <cellStyle name="Comma 9 2 2 3 2 2 3 2 2" xfId="34332"/>
    <cellStyle name="Comma 9 2 2 3 2 2 3 3" xfId="26321"/>
    <cellStyle name="Comma 9 2 2 3 2 2 4" xfId="14297"/>
    <cellStyle name="Comma 9 2 2 3 2 2 4 2" xfId="22312"/>
    <cellStyle name="Comma 9 2 2 3 2 2 4 2 2" xfId="36337"/>
    <cellStyle name="Comma 9 2 2 3 2 2 4 3" xfId="28326"/>
    <cellStyle name="Comma 9 2 2 3 2 2 5" xfId="16303"/>
    <cellStyle name="Comma 9 2 2 3 2 2 5 2" xfId="30328"/>
    <cellStyle name="Comma 9 2 2 3 2 2 6" xfId="18305"/>
    <cellStyle name="Comma 9 2 2 3 2 2 6 2" xfId="32330"/>
    <cellStyle name="Comma 9 2 2 3 2 2 7" xfId="24319"/>
    <cellStyle name="Comma 9 2 2 3 2 3" xfId="1542"/>
    <cellStyle name="Comma 9 2 2 3 2 3 2" xfId="12284"/>
    <cellStyle name="Comma 9 2 2 3 2 3 2 2" xfId="20309"/>
    <cellStyle name="Comma 9 2 2 3 2 3 2 2 2" xfId="34334"/>
    <cellStyle name="Comma 9 2 2 3 2 3 2 3" xfId="26323"/>
    <cellStyle name="Comma 9 2 2 3 2 3 3" xfId="14299"/>
    <cellStyle name="Comma 9 2 2 3 2 3 3 2" xfId="22314"/>
    <cellStyle name="Comma 9 2 2 3 2 3 3 2 2" xfId="36339"/>
    <cellStyle name="Comma 9 2 2 3 2 3 3 3" xfId="28328"/>
    <cellStyle name="Comma 9 2 2 3 2 3 4" xfId="16305"/>
    <cellStyle name="Comma 9 2 2 3 2 3 4 2" xfId="30330"/>
    <cellStyle name="Comma 9 2 2 3 2 3 5" xfId="18307"/>
    <cellStyle name="Comma 9 2 2 3 2 3 5 2" xfId="32332"/>
    <cellStyle name="Comma 9 2 2 3 2 3 6" xfId="24321"/>
    <cellStyle name="Comma 9 2 2 3 2 4" xfId="12281"/>
    <cellStyle name="Comma 9 2 2 3 2 4 2" xfId="20306"/>
    <cellStyle name="Comma 9 2 2 3 2 4 2 2" xfId="34331"/>
    <cellStyle name="Comma 9 2 2 3 2 4 3" xfId="26320"/>
    <cellStyle name="Comma 9 2 2 3 2 5" xfId="14296"/>
    <cellStyle name="Comma 9 2 2 3 2 5 2" xfId="22311"/>
    <cellStyle name="Comma 9 2 2 3 2 5 2 2" xfId="36336"/>
    <cellStyle name="Comma 9 2 2 3 2 5 3" xfId="28325"/>
    <cellStyle name="Comma 9 2 2 3 2 6" xfId="16302"/>
    <cellStyle name="Comma 9 2 2 3 2 6 2" xfId="30327"/>
    <cellStyle name="Comma 9 2 2 3 2 7" xfId="18304"/>
    <cellStyle name="Comma 9 2 2 3 2 7 2" xfId="32329"/>
    <cellStyle name="Comma 9 2 2 3 2 8" xfId="24318"/>
    <cellStyle name="Comma 9 2 2 3 3" xfId="1543"/>
    <cellStyle name="Comma 9 2 2 3 3 2" xfId="1544"/>
    <cellStyle name="Comma 9 2 2 3 3 2 2" xfId="12286"/>
    <cellStyle name="Comma 9 2 2 3 3 2 2 2" xfId="20311"/>
    <cellStyle name="Comma 9 2 2 3 3 2 2 2 2" xfId="34336"/>
    <cellStyle name="Comma 9 2 2 3 3 2 2 3" xfId="26325"/>
    <cellStyle name="Comma 9 2 2 3 3 2 3" xfId="14301"/>
    <cellStyle name="Comma 9 2 2 3 3 2 3 2" xfId="22316"/>
    <cellStyle name="Comma 9 2 2 3 3 2 3 2 2" xfId="36341"/>
    <cellStyle name="Comma 9 2 2 3 3 2 3 3" xfId="28330"/>
    <cellStyle name="Comma 9 2 2 3 3 2 4" xfId="16307"/>
    <cellStyle name="Comma 9 2 2 3 3 2 4 2" xfId="30332"/>
    <cellStyle name="Comma 9 2 2 3 3 2 5" xfId="18309"/>
    <cellStyle name="Comma 9 2 2 3 3 2 5 2" xfId="32334"/>
    <cellStyle name="Comma 9 2 2 3 3 2 6" xfId="24323"/>
    <cellStyle name="Comma 9 2 2 3 3 3" xfId="12285"/>
    <cellStyle name="Comma 9 2 2 3 3 3 2" xfId="20310"/>
    <cellStyle name="Comma 9 2 2 3 3 3 2 2" xfId="34335"/>
    <cellStyle name="Comma 9 2 2 3 3 3 3" xfId="26324"/>
    <cellStyle name="Comma 9 2 2 3 3 4" xfId="14300"/>
    <cellStyle name="Comma 9 2 2 3 3 4 2" xfId="22315"/>
    <cellStyle name="Comma 9 2 2 3 3 4 2 2" xfId="36340"/>
    <cellStyle name="Comma 9 2 2 3 3 4 3" xfId="28329"/>
    <cellStyle name="Comma 9 2 2 3 3 5" xfId="16306"/>
    <cellStyle name="Comma 9 2 2 3 3 5 2" xfId="30331"/>
    <cellStyle name="Comma 9 2 2 3 3 6" xfId="18308"/>
    <cellStyle name="Comma 9 2 2 3 3 6 2" xfId="32333"/>
    <cellStyle name="Comma 9 2 2 3 3 7" xfId="24322"/>
    <cellStyle name="Comma 9 2 2 3 4" xfId="1545"/>
    <cellStyle name="Comma 9 2 2 3 4 2" xfId="1546"/>
    <cellStyle name="Comma 9 2 2 3 4 2 2" xfId="12288"/>
    <cellStyle name="Comma 9 2 2 3 4 2 2 2" xfId="20313"/>
    <cellStyle name="Comma 9 2 2 3 4 2 2 2 2" xfId="34338"/>
    <cellStyle name="Comma 9 2 2 3 4 2 2 3" xfId="26327"/>
    <cellStyle name="Comma 9 2 2 3 4 2 3" xfId="14303"/>
    <cellStyle name="Comma 9 2 2 3 4 2 3 2" xfId="22318"/>
    <cellStyle name="Comma 9 2 2 3 4 2 3 2 2" xfId="36343"/>
    <cellStyle name="Comma 9 2 2 3 4 2 3 3" xfId="28332"/>
    <cellStyle name="Comma 9 2 2 3 4 2 4" xfId="16309"/>
    <cellStyle name="Comma 9 2 2 3 4 2 4 2" xfId="30334"/>
    <cellStyle name="Comma 9 2 2 3 4 2 5" xfId="18311"/>
    <cellStyle name="Comma 9 2 2 3 4 2 5 2" xfId="32336"/>
    <cellStyle name="Comma 9 2 2 3 4 2 6" xfId="24325"/>
    <cellStyle name="Comma 9 2 2 3 4 3" xfId="12287"/>
    <cellStyle name="Comma 9 2 2 3 4 3 2" xfId="20312"/>
    <cellStyle name="Comma 9 2 2 3 4 3 2 2" xfId="34337"/>
    <cellStyle name="Comma 9 2 2 3 4 3 3" xfId="26326"/>
    <cellStyle name="Comma 9 2 2 3 4 4" xfId="14302"/>
    <cellStyle name="Comma 9 2 2 3 4 4 2" xfId="22317"/>
    <cellStyle name="Comma 9 2 2 3 4 4 2 2" xfId="36342"/>
    <cellStyle name="Comma 9 2 2 3 4 4 3" xfId="28331"/>
    <cellStyle name="Comma 9 2 2 3 4 5" xfId="16308"/>
    <cellStyle name="Comma 9 2 2 3 4 5 2" xfId="30333"/>
    <cellStyle name="Comma 9 2 2 3 4 6" xfId="18310"/>
    <cellStyle name="Comma 9 2 2 3 4 6 2" xfId="32335"/>
    <cellStyle name="Comma 9 2 2 3 4 7" xfId="24324"/>
    <cellStyle name="Comma 9 2 2 3 5" xfId="1547"/>
    <cellStyle name="Comma 9 2 2 3 5 2" xfId="12289"/>
    <cellStyle name="Comma 9 2 2 3 5 2 2" xfId="20314"/>
    <cellStyle name="Comma 9 2 2 3 5 2 2 2" xfId="34339"/>
    <cellStyle name="Comma 9 2 2 3 5 2 3" xfId="26328"/>
    <cellStyle name="Comma 9 2 2 3 5 3" xfId="14304"/>
    <cellStyle name="Comma 9 2 2 3 5 3 2" xfId="22319"/>
    <cellStyle name="Comma 9 2 2 3 5 3 2 2" xfId="36344"/>
    <cellStyle name="Comma 9 2 2 3 5 3 3" xfId="28333"/>
    <cellStyle name="Comma 9 2 2 3 5 4" xfId="16310"/>
    <cellStyle name="Comma 9 2 2 3 5 4 2" xfId="30335"/>
    <cellStyle name="Comma 9 2 2 3 5 5" xfId="18312"/>
    <cellStyle name="Comma 9 2 2 3 5 5 2" xfId="32337"/>
    <cellStyle name="Comma 9 2 2 3 5 6" xfId="24326"/>
    <cellStyle name="Comma 9 2 2 3 6" xfId="12280"/>
    <cellStyle name="Comma 9 2 2 3 6 2" xfId="20305"/>
    <cellStyle name="Comma 9 2 2 3 6 2 2" xfId="34330"/>
    <cellStyle name="Comma 9 2 2 3 6 3" xfId="26319"/>
    <cellStyle name="Comma 9 2 2 3 7" xfId="14295"/>
    <cellStyle name="Comma 9 2 2 3 7 2" xfId="22310"/>
    <cellStyle name="Comma 9 2 2 3 7 2 2" xfId="36335"/>
    <cellStyle name="Comma 9 2 2 3 7 3" xfId="28324"/>
    <cellStyle name="Comma 9 2 2 3 8" xfId="16301"/>
    <cellStyle name="Comma 9 2 2 3 8 2" xfId="30326"/>
    <cellStyle name="Comma 9 2 2 3 9" xfId="18303"/>
    <cellStyle name="Comma 9 2 2 3 9 2" xfId="32328"/>
    <cellStyle name="Comma 9 2 2 4" xfId="1548"/>
    <cellStyle name="Comma 9 2 2 4 2" xfId="1549"/>
    <cellStyle name="Comma 9 2 2 4 2 2" xfId="1550"/>
    <cellStyle name="Comma 9 2 2 4 2 2 2" xfId="12292"/>
    <cellStyle name="Comma 9 2 2 4 2 2 2 2" xfId="20317"/>
    <cellStyle name="Comma 9 2 2 4 2 2 2 2 2" xfId="34342"/>
    <cellStyle name="Comma 9 2 2 4 2 2 2 3" xfId="26331"/>
    <cellStyle name="Comma 9 2 2 4 2 2 3" xfId="14307"/>
    <cellStyle name="Comma 9 2 2 4 2 2 3 2" xfId="22322"/>
    <cellStyle name="Comma 9 2 2 4 2 2 3 2 2" xfId="36347"/>
    <cellStyle name="Comma 9 2 2 4 2 2 3 3" xfId="28336"/>
    <cellStyle name="Comma 9 2 2 4 2 2 4" xfId="16313"/>
    <cellStyle name="Comma 9 2 2 4 2 2 4 2" xfId="30338"/>
    <cellStyle name="Comma 9 2 2 4 2 2 5" xfId="18315"/>
    <cellStyle name="Comma 9 2 2 4 2 2 5 2" xfId="32340"/>
    <cellStyle name="Comma 9 2 2 4 2 2 6" xfId="24329"/>
    <cellStyle name="Comma 9 2 2 4 2 3" xfId="12291"/>
    <cellStyle name="Comma 9 2 2 4 2 3 2" xfId="20316"/>
    <cellStyle name="Comma 9 2 2 4 2 3 2 2" xfId="34341"/>
    <cellStyle name="Comma 9 2 2 4 2 3 3" xfId="26330"/>
    <cellStyle name="Comma 9 2 2 4 2 4" xfId="14306"/>
    <cellStyle name="Comma 9 2 2 4 2 4 2" xfId="22321"/>
    <cellStyle name="Comma 9 2 2 4 2 4 2 2" xfId="36346"/>
    <cellStyle name="Comma 9 2 2 4 2 4 3" xfId="28335"/>
    <cellStyle name="Comma 9 2 2 4 2 5" xfId="16312"/>
    <cellStyle name="Comma 9 2 2 4 2 5 2" xfId="30337"/>
    <cellStyle name="Comma 9 2 2 4 2 6" xfId="18314"/>
    <cellStyle name="Comma 9 2 2 4 2 6 2" xfId="32339"/>
    <cellStyle name="Comma 9 2 2 4 2 7" xfId="24328"/>
    <cellStyle name="Comma 9 2 2 4 3" xfId="1551"/>
    <cellStyle name="Comma 9 2 2 4 3 2" xfId="12293"/>
    <cellStyle name="Comma 9 2 2 4 3 2 2" xfId="20318"/>
    <cellStyle name="Comma 9 2 2 4 3 2 2 2" xfId="34343"/>
    <cellStyle name="Comma 9 2 2 4 3 2 3" xfId="26332"/>
    <cellStyle name="Comma 9 2 2 4 3 3" xfId="14308"/>
    <cellStyle name="Comma 9 2 2 4 3 3 2" xfId="22323"/>
    <cellStyle name="Comma 9 2 2 4 3 3 2 2" xfId="36348"/>
    <cellStyle name="Comma 9 2 2 4 3 3 3" xfId="28337"/>
    <cellStyle name="Comma 9 2 2 4 3 4" xfId="16314"/>
    <cellStyle name="Comma 9 2 2 4 3 4 2" xfId="30339"/>
    <cellStyle name="Comma 9 2 2 4 3 5" xfId="18316"/>
    <cellStyle name="Comma 9 2 2 4 3 5 2" xfId="32341"/>
    <cellStyle name="Comma 9 2 2 4 3 6" xfId="24330"/>
    <cellStyle name="Comma 9 2 2 4 4" xfId="12290"/>
    <cellStyle name="Comma 9 2 2 4 4 2" xfId="20315"/>
    <cellStyle name="Comma 9 2 2 4 4 2 2" xfId="34340"/>
    <cellStyle name="Comma 9 2 2 4 4 3" xfId="26329"/>
    <cellStyle name="Comma 9 2 2 4 5" xfId="14305"/>
    <cellStyle name="Comma 9 2 2 4 5 2" xfId="22320"/>
    <cellStyle name="Comma 9 2 2 4 5 2 2" xfId="36345"/>
    <cellStyle name="Comma 9 2 2 4 5 3" xfId="28334"/>
    <cellStyle name="Comma 9 2 2 4 6" xfId="16311"/>
    <cellStyle name="Comma 9 2 2 4 6 2" xfId="30336"/>
    <cellStyle name="Comma 9 2 2 4 7" xfId="18313"/>
    <cellStyle name="Comma 9 2 2 4 7 2" xfId="32338"/>
    <cellStyle name="Comma 9 2 2 4 8" xfId="24327"/>
    <cellStyle name="Comma 9 2 2 5" xfId="1552"/>
    <cellStyle name="Comma 9 2 2 5 2" xfId="1553"/>
    <cellStyle name="Comma 9 2 2 5 2 2" xfId="12295"/>
    <cellStyle name="Comma 9 2 2 5 2 2 2" xfId="20320"/>
    <cellStyle name="Comma 9 2 2 5 2 2 2 2" xfId="34345"/>
    <cellStyle name="Comma 9 2 2 5 2 2 3" xfId="26334"/>
    <cellStyle name="Comma 9 2 2 5 2 3" xfId="14310"/>
    <cellStyle name="Comma 9 2 2 5 2 3 2" xfId="22325"/>
    <cellStyle name="Comma 9 2 2 5 2 3 2 2" xfId="36350"/>
    <cellStyle name="Comma 9 2 2 5 2 3 3" xfId="28339"/>
    <cellStyle name="Comma 9 2 2 5 2 4" xfId="16316"/>
    <cellStyle name="Comma 9 2 2 5 2 4 2" xfId="30341"/>
    <cellStyle name="Comma 9 2 2 5 2 5" xfId="18318"/>
    <cellStyle name="Comma 9 2 2 5 2 5 2" xfId="32343"/>
    <cellStyle name="Comma 9 2 2 5 2 6" xfId="24332"/>
    <cellStyle name="Comma 9 2 2 5 3" xfId="12294"/>
    <cellStyle name="Comma 9 2 2 5 3 2" xfId="20319"/>
    <cellStyle name="Comma 9 2 2 5 3 2 2" xfId="34344"/>
    <cellStyle name="Comma 9 2 2 5 3 3" xfId="26333"/>
    <cellStyle name="Comma 9 2 2 5 4" xfId="14309"/>
    <cellStyle name="Comma 9 2 2 5 4 2" xfId="22324"/>
    <cellStyle name="Comma 9 2 2 5 4 2 2" xfId="36349"/>
    <cellStyle name="Comma 9 2 2 5 4 3" xfId="28338"/>
    <cellStyle name="Comma 9 2 2 5 5" xfId="16315"/>
    <cellStyle name="Comma 9 2 2 5 5 2" xfId="30340"/>
    <cellStyle name="Comma 9 2 2 5 6" xfId="18317"/>
    <cellStyle name="Comma 9 2 2 5 6 2" xfId="32342"/>
    <cellStyle name="Comma 9 2 2 5 7" xfId="24331"/>
    <cellStyle name="Comma 9 2 2 6" xfId="1554"/>
    <cellStyle name="Comma 9 2 2 6 2" xfId="1555"/>
    <cellStyle name="Comma 9 2 2 6 2 2" xfId="12297"/>
    <cellStyle name="Comma 9 2 2 6 2 2 2" xfId="20322"/>
    <cellStyle name="Comma 9 2 2 6 2 2 2 2" xfId="34347"/>
    <cellStyle name="Comma 9 2 2 6 2 2 3" xfId="26336"/>
    <cellStyle name="Comma 9 2 2 6 2 3" xfId="14312"/>
    <cellStyle name="Comma 9 2 2 6 2 3 2" xfId="22327"/>
    <cellStyle name="Comma 9 2 2 6 2 3 2 2" xfId="36352"/>
    <cellStyle name="Comma 9 2 2 6 2 3 3" xfId="28341"/>
    <cellStyle name="Comma 9 2 2 6 2 4" xfId="16318"/>
    <cellStyle name="Comma 9 2 2 6 2 4 2" xfId="30343"/>
    <cellStyle name="Comma 9 2 2 6 2 5" xfId="18320"/>
    <cellStyle name="Comma 9 2 2 6 2 5 2" xfId="32345"/>
    <cellStyle name="Comma 9 2 2 6 2 6" xfId="24334"/>
    <cellStyle name="Comma 9 2 2 6 3" xfId="12296"/>
    <cellStyle name="Comma 9 2 2 6 3 2" xfId="20321"/>
    <cellStyle name="Comma 9 2 2 6 3 2 2" xfId="34346"/>
    <cellStyle name="Comma 9 2 2 6 3 3" xfId="26335"/>
    <cellStyle name="Comma 9 2 2 6 4" xfId="14311"/>
    <cellStyle name="Comma 9 2 2 6 4 2" xfId="22326"/>
    <cellStyle name="Comma 9 2 2 6 4 2 2" xfId="36351"/>
    <cellStyle name="Comma 9 2 2 6 4 3" xfId="28340"/>
    <cellStyle name="Comma 9 2 2 6 5" xfId="16317"/>
    <cellStyle name="Comma 9 2 2 6 5 2" xfId="30342"/>
    <cellStyle name="Comma 9 2 2 6 6" xfId="18319"/>
    <cellStyle name="Comma 9 2 2 6 6 2" xfId="32344"/>
    <cellStyle name="Comma 9 2 2 6 7" xfId="24333"/>
    <cellStyle name="Comma 9 2 2 7" xfId="1556"/>
    <cellStyle name="Comma 9 2 2 7 2" xfId="12298"/>
    <cellStyle name="Comma 9 2 2 7 2 2" xfId="20323"/>
    <cellStyle name="Comma 9 2 2 7 2 2 2" xfId="34348"/>
    <cellStyle name="Comma 9 2 2 7 2 3" xfId="26337"/>
    <cellStyle name="Comma 9 2 2 7 3" xfId="14313"/>
    <cellStyle name="Comma 9 2 2 7 3 2" xfId="22328"/>
    <cellStyle name="Comma 9 2 2 7 3 2 2" xfId="36353"/>
    <cellStyle name="Comma 9 2 2 7 3 3" xfId="28342"/>
    <cellStyle name="Comma 9 2 2 7 4" xfId="16319"/>
    <cellStyle name="Comma 9 2 2 7 4 2" xfId="30344"/>
    <cellStyle name="Comma 9 2 2 7 5" xfId="18321"/>
    <cellStyle name="Comma 9 2 2 7 5 2" xfId="32346"/>
    <cellStyle name="Comma 9 2 2 7 6" xfId="24335"/>
    <cellStyle name="Comma 9 2 2 8" xfId="12259"/>
    <cellStyle name="Comma 9 2 2 8 2" xfId="20284"/>
    <cellStyle name="Comma 9 2 2 8 2 2" xfId="34309"/>
    <cellStyle name="Comma 9 2 2 8 3" xfId="26298"/>
    <cellStyle name="Comma 9 2 2 9" xfId="14274"/>
    <cellStyle name="Comma 9 2 2 9 2" xfId="22289"/>
    <cellStyle name="Comma 9 2 2 9 2 2" xfId="36314"/>
    <cellStyle name="Comma 9 2 2 9 3" xfId="28303"/>
    <cellStyle name="Comma 9 3" xfId="1557"/>
    <cellStyle name="Comma 9 3 10" xfId="16320"/>
    <cellStyle name="Comma 9 3 10 2" xfId="30345"/>
    <cellStyle name="Comma 9 3 11" xfId="18322"/>
    <cellStyle name="Comma 9 3 11 2" xfId="32347"/>
    <cellStyle name="Comma 9 3 12" xfId="24336"/>
    <cellStyle name="Comma 9 3 2" xfId="1558"/>
    <cellStyle name="Comma 9 3 2 10" xfId="18323"/>
    <cellStyle name="Comma 9 3 2 10 2" xfId="32348"/>
    <cellStyle name="Comma 9 3 2 11" xfId="24337"/>
    <cellStyle name="Comma 9 3 2 2" xfId="1559"/>
    <cellStyle name="Comma 9 3 2 2 10" xfId="24338"/>
    <cellStyle name="Comma 9 3 2 2 2" xfId="1560"/>
    <cellStyle name="Comma 9 3 2 2 2 2" xfId="1561"/>
    <cellStyle name="Comma 9 3 2 2 2 2 2" xfId="1562"/>
    <cellStyle name="Comma 9 3 2 2 2 2 2 2" xfId="12304"/>
    <cellStyle name="Comma 9 3 2 2 2 2 2 2 2" xfId="20329"/>
    <cellStyle name="Comma 9 3 2 2 2 2 2 2 2 2" xfId="34354"/>
    <cellStyle name="Comma 9 3 2 2 2 2 2 2 3" xfId="26343"/>
    <cellStyle name="Comma 9 3 2 2 2 2 2 3" xfId="14319"/>
    <cellStyle name="Comma 9 3 2 2 2 2 2 3 2" xfId="22334"/>
    <cellStyle name="Comma 9 3 2 2 2 2 2 3 2 2" xfId="36359"/>
    <cellStyle name="Comma 9 3 2 2 2 2 2 3 3" xfId="28348"/>
    <cellStyle name="Comma 9 3 2 2 2 2 2 4" xfId="16325"/>
    <cellStyle name="Comma 9 3 2 2 2 2 2 4 2" xfId="30350"/>
    <cellStyle name="Comma 9 3 2 2 2 2 2 5" xfId="18327"/>
    <cellStyle name="Comma 9 3 2 2 2 2 2 5 2" xfId="32352"/>
    <cellStyle name="Comma 9 3 2 2 2 2 2 6" xfId="24341"/>
    <cellStyle name="Comma 9 3 2 2 2 2 3" xfId="12303"/>
    <cellStyle name="Comma 9 3 2 2 2 2 3 2" xfId="20328"/>
    <cellStyle name="Comma 9 3 2 2 2 2 3 2 2" xfId="34353"/>
    <cellStyle name="Comma 9 3 2 2 2 2 3 3" xfId="26342"/>
    <cellStyle name="Comma 9 3 2 2 2 2 4" xfId="14318"/>
    <cellStyle name="Comma 9 3 2 2 2 2 4 2" xfId="22333"/>
    <cellStyle name="Comma 9 3 2 2 2 2 4 2 2" xfId="36358"/>
    <cellStyle name="Comma 9 3 2 2 2 2 4 3" xfId="28347"/>
    <cellStyle name="Comma 9 3 2 2 2 2 5" xfId="16324"/>
    <cellStyle name="Comma 9 3 2 2 2 2 5 2" xfId="30349"/>
    <cellStyle name="Comma 9 3 2 2 2 2 6" xfId="18326"/>
    <cellStyle name="Comma 9 3 2 2 2 2 6 2" xfId="32351"/>
    <cellStyle name="Comma 9 3 2 2 2 2 7" xfId="24340"/>
    <cellStyle name="Comma 9 3 2 2 2 3" xfId="1563"/>
    <cellStyle name="Comma 9 3 2 2 2 3 2" xfId="12305"/>
    <cellStyle name="Comma 9 3 2 2 2 3 2 2" xfId="20330"/>
    <cellStyle name="Comma 9 3 2 2 2 3 2 2 2" xfId="34355"/>
    <cellStyle name="Comma 9 3 2 2 2 3 2 3" xfId="26344"/>
    <cellStyle name="Comma 9 3 2 2 2 3 3" xfId="14320"/>
    <cellStyle name="Comma 9 3 2 2 2 3 3 2" xfId="22335"/>
    <cellStyle name="Comma 9 3 2 2 2 3 3 2 2" xfId="36360"/>
    <cellStyle name="Comma 9 3 2 2 2 3 3 3" xfId="28349"/>
    <cellStyle name="Comma 9 3 2 2 2 3 4" xfId="16326"/>
    <cellStyle name="Comma 9 3 2 2 2 3 4 2" xfId="30351"/>
    <cellStyle name="Comma 9 3 2 2 2 3 5" xfId="18328"/>
    <cellStyle name="Comma 9 3 2 2 2 3 5 2" xfId="32353"/>
    <cellStyle name="Comma 9 3 2 2 2 3 6" xfId="24342"/>
    <cellStyle name="Comma 9 3 2 2 2 4" xfId="12302"/>
    <cellStyle name="Comma 9 3 2 2 2 4 2" xfId="20327"/>
    <cellStyle name="Comma 9 3 2 2 2 4 2 2" xfId="34352"/>
    <cellStyle name="Comma 9 3 2 2 2 4 3" xfId="26341"/>
    <cellStyle name="Comma 9 3 2 2 2 5" xfId="14317"/>
    <cellStyle name="Comma 9 3 2 2 2 5 2" xfId="22332"/>
    <cellStyle name="Comma 9 3 2 2 2 5 2 2" xfId="36357"/>
    <cellStyle name="Comma 9 3 2 2 2 5 3" xfId="28346"/>
    <cellStyle name="Comma 9 3 2 2 2 6" xfId="16323"/>
    <cellStyle name="Comma 9 3 2 2 2 6 2" xfId="30348"/>
    <cellStyle name="Comma 9 3 2 2 2 7" xfId="18325"/>
    <cellStyle name="Comma 9 3 2 2 2 7 2" xfId="32350"/>
    <cellStyle name="Comma 9 3 2 2 2 8" xfId="24339"/>
    <cellStyle name="Comma 9 3 2 2 3" xfId="1564"/>
    <cellStyle name="Comma 9 3 2 2 3 2" xfId="1565"/>
    <cellStyle name="Comma 9 3 2 2 3 2 2" xfId="12307"/>
    <cellStyle name="Comma 9 3 2 2 3 2 2 2" xfId="20332"/>
    <cellStyle name="Comma 9 3 2 2 3 2 2 2 2" xfId="34357"/>
    <cellStyle name="Comma 9 3 2 2 3 2 2 3" xfId="26346"/>
    <cellStyle name="Comma 9 3 2 2 3 2 3" xfId="14322"/>
    <cellStyle name="Comma 9 3 2 2 3 2 3 2" xfId="22337"/>
    <cellStyle name="Comma 9 3 2 2 3 2 3 2 2" xfId="36362"/>
    <cellStyle name="Comma 9 3 2 2 3 2 3 3" xfId="28351"/>
    <cellStyle name="Comma 9 3 2 2 3 2 4" xfId="16328"/>
    <cellStyle name="Comma 9 3 2 2 3 2 4 2" xfId="30353"/>
    <cellStyle name="Comma 9 3 2 2 3 2 5" xfId="18330"/>
    <cellStyle name="Comma 9 3 2 2 3 2 5 2" xfId="32355"/>
    <cellStyle name="Comma 9 3 2 2 3 2 6" xfId="24344"/>
    <cellStyle name="Comma 9 3 2 2 3 3" xfId="12306"/>
    <cellStyle name="Comma 9 3 2 2 3 3 2" xfId="20331"/>
    <cellStyle name="Comma 9 3 2 2 3 3 2 2" xfId="34356"/>
    <cellStyle name="Comma 9 3 2 2 3 3 3" xfId="26345"/>
    <cellStyle name="Comma 9 3 2 2 3 4" xfId="14321"/>
    <cellStyle name="Comma 9 3 2 2 3 4 2" xfId="22336"/>
    <cellStyle name="Comma 9 3 2 2 3 4 2 2" xfId="36361"/>
    <cellStyle name="Comma 9 3 2 2 3 4 3" xfId="28350"/>
    <cellStyle name="Comma 9 3 2 2 3 5" xfId="16327"/>
    <cellStyle name="Comma 9 3 2 2 3 5 2" xfId="30352"/>
    <cellStyle name="Comma 9 3 2 2 3 6" xfId="18329"/>
    <cellStyle name="Comma 9 3 2 2 3 6 2" xfId="32354"/>
    <cellStyle name="Comma 9 3 2 2 3 7" xfId="24343"/>
    <cellStyle name="Comma 9 3 2 2 4" xfId="1566"/>
    <cellStyle name="Comma 9 3 2 2 4 2" xfId="1567"/>
    <cellStyle name="Comma 9 3 2 2 4 2 2" xfId="12309"/>
    <cellStyle name="Comma 9 3 2 2 4 2 2 2" xfId="20334"/>
    <cellStyle name="Comma 9 3 2 2 4 2 2 2 2" xfId="34359"/>
    <cellStyle name="Comma 9 3 2 2 4 2 2 3" xfId="26348"/>
    <cellStyle name="Comma 9 3 2 2 4 2 3" xfId="14324"/>
    <cellStyle name="Comma 9 3 2 2 4 2 3 2" xfId="22339"/>
    <cellStyle name="Comma 9 3 2 2 4 2 3 2 2" xfId="36364"/>
    <cellStyle name="Comma 9 3 2 2 4 2 3 3" xfId="28353"/>
    <cellStyle name="Comma 9 3 2 2 4 2 4" xfId="16330"/>
    <cellStyle name="Comma 9 3 2 2 4 2 4 2" xfId="30355"/>
    <cellStyle name="Comma 9 3 2 2 4 2 5" xfId="18332"/>
    <cellStyle name="Comma 9 3 2 2 4 2 5 2" xfId="32357"/>
    <cellStyle name="Comma 9 3 2 2 4 2 6" xfId="24346"/>
    <cellStyle name="Comma 9 3 2 2 4 3" xfId="12308"/>
    <cellStyle name="Comma 9 3 2 2 4 3 2" xfId="20333"/>
    <cellStyle name="Comma 9 3 2 2 4 3 2 2" xfId="34358"/>
    <cellStyle name="Comma 9 3 2 2 4 3 3" xfId="26347"/>
    <cellStyle name="Comma 9 3 2 2 4 4" xfId="14323"/>
    <cellStyle name="Comma 9 3 2 2 4 4 2" xfId="22338"/>
    <cellStyle name="Comma 9 3 2 2 4 4 2 2" xfId="36363"/>
    <cellStyle name="Comma 9 3 2 2 4 4 3" xfId="28352"/>
    <cellStyle name="Comma 9 3 2 2 4 5" xfId="16329"/>
    <cellStyle name="Comma 9 3 2 2 4 5 2" xfId="30354"/>
    <cellStyle name="Comma 9 3 2 2 4 6" xfId="18331"/>
    <cellStyle name="Comma 9 3 2 2 4 6 2" xfId="32356"/>
    <cellStyle name="Comma 9 3 2 2 4 7" xfId="24345"/>
    <cellStyle name="Comma 9 3 2 2 5" xfId="1568"/>
    <cellStyle name="Comma 9 3 2 2 5 2" xfId="12310"/>
    <cellStyle name="Comma 9 3 2 2 5 2 2" xfId="20335"/>
    <cellStyle name="Comma 9 3 2 2 5 2 2 2" xfId="34360"/>
    <cellStyle name="Comma 9 3 2 2 5 2 3" xfId="26349"/>
    <cellStyle name="Comma 9 3 2 2 5 3" xfId="14325"/>
    <cellStyle name="Comma 9 3 2 2 5 3 2" xfId="22340"/>
    <cellStyle name="Comma 9 3 2 2 5 3 2 2" xfId="36365"/>
    <cellStyle name="Comma 9 3 2 2 5 3 3" xfId="28354"/>
    <cellStyle name="Comma 9 3 2 2 5 4" xfId="16331"/>
    <cellStyle name="Comma 9 3 2 2 5 4 2" xfId="30356"/>
    <cellStyle name="Comma 9 3 2 2 5 5" xfId="18333"/>
    <cellStyle name="Comma 9 3 2 2 5 5 2" xfId="32358"/>
    <cellStyle name="Comma 9 3 2 2 5 6" xfId="24347"/>
    <cellStyle name="Comma 9 3 2 2 6" xfId="12301"/>
    <cellStyle name="Comma 9 3 2 2 6 2" xfId="20326"/>
    <cellStyle name="Comma 9 3 2 2 6 2 2" xfId="34351"/>
    <cellStyle name="Comma 9 3 2 2 6 3" xfId="26340"/>
    <cellStyle name="Comma 9 3 2 2 7" xfId="14316"/>
    <cellStyle name="Comma 9 3 2 2 7 2" xfId="22331"/>
    <cellStyle name="Comma 9 3 2 2 7 2 2" xfId="36356"/>
    <cellStyle name="Comma 9 3 2 2 7 3" xfId="28345"/>
    <cellStyle name="Comma 9 3 2 2 8" xfId="16322"/>
    <cellStyle name="Comma 9 3 2 2 8 2" xfId="30347"/>
    <cellStyle name="Comma 9 3 2 2 9" xfId="18324"/>
    <cellStyle name="Comma 9 3 2 2 9 2" xfId="32349"/>
    <cellStyle name="Comma 9 3 2 3" xfId="1569"/>
    <cellStyle name="Comma 9 3 2 3 2" xfId="1570"/>
    <cellStyle name="Comma 9 3 2 3 2 2" xfId="1571"/>
    <cellStyle name="Comma 9 3 2 3 2 2 2" xfId="12313"/>
    <cellStyle name="Comma 9 3 2 3 2 2 2 2" xfId="20338"/>
    <cellStyle name="Comma 9 3 2 3 2 2 2 2 2" xfId="34363"/>
    <cellStyle name="Comma 9 3 2 3 2 2 2 3" xfId="26352"/>
    <cellStyle name="Comma 9 3 2 3 2 2 3" xfId="14328"/>
    <cellStyle name="Comma 9 3 2 3 2 2 3 2" xfId="22343"/>
    <cellStyle name="Comma 9 3 2 3 2 2 3 2 2" xfId="36368"/>
    <cellStyle name="Comma 9 3 2 3 2 2 3 3" xfId="28357"/>
    <cellStyle name="Comma 9 3 2 3 2 2 4" xfId="16334"/>
    <cellStyle name="Comma 9 3 2 3 2 2 4 2" xfId="30359"/>
    <cellStyle name="Comma 9 3 2 3 2 2 5" xfId="18336"/>
    <cellStyle name="Comma 9 3 2 3 2 2 5 2" xfId="32361"/>
    <cellStyle name="Comma 9 3 2 3 2 2 6" xfId="24350"/>
    <cellStyle name="Comma 9 3 2 3 2 3" xfId="12312"/>
    <cellStyle name="Comma 9 3 2 3 2 3 2" xfId="20337"/>
    <cellStyle name="Comma 9 3 2 3 2 3 2 2" xfId="34362"/>
    <cellStyle name="Comma 9 3 2 3 2 3 3" xfId="26351"/>
    <cellStyle name="Comma 9 3 2 3 2 4" xfId="14327"/>
    <cellStyle name="Comma 9 3 2 3 2 4 2" xfId="22342"/>
    <cellStyle name="Comma 9 3 2 3 2 4 2 2" xfId="36367"/>
    <cellStyle name="Comma 9 3 2 3 2 4 3" xfId="28356"/>
    <cellStyle name="Comma 9 3 2 3 2 5" xfId="16333"/>
    <cellStyle name="Comma 9 3 2 3 2 5 2" xfId="30358"/>
    <cellStyle name="Comma 9 3 2 3 2 6" xfId="18335"/>
    <cellStyle name="Comma 9 3 2 3 2 6 2" xfId="32360"/>
    <cellStyle name="Comma 9 3 2 3 2 7" xfId="24349"/>
    <cellStyle name="Comma 9 3 2 3 3" xfId="1572"/>
    <cellStyle name="Comma 9 3 2 3 3 2" xfId="12314"/>
    <cellStyle name="Comma 9 3 2 3 3 2 2" xfId="20339"/>
    <cellStyle name="Comma 9 3 2 3 3 2 2 2" xfId="34364"/>
    <cellStyle name="Comma 9 3 2 3 3 2 3" xfId="26353"/>
    <cellStyle name="Comma 9 3 2 3 3 3" xfId="14329"/>
    <cellStyle name="Comma 9 3 2 3 3 3 2" xfId="22344"/>
    <cellStyle name="Comma 9 3 2 3 3 3 2 2" xfId="36369"/>
    <cellStyle name="Comma 9 3 2 3 3 3 3" xfId="28358"/>
    <cellStyle name="Comma 9 3 2 3 3 4" xfId="16335"/>
    <cellStyle name="Comma 9 3 2 3 3 4 2" xfId="30360"/>
    <cellStyle name="Comma 9 3 2 3 3 5" xfId="18337"/>
    <cellStyle name="Comma 9 3 2 3 3 5 2" xfId="32362"/>
    <cellStyle name="Comma 9 3 2 3 3 6" xfId="24351"/>
    <cellStyle name="Comma 9 3 2 3 4" xfId="12311"/>
    <cellStyle name="Comma 9 3 2 3 4 2" xfId="20336"/>
    <cellStyle name="Comma 9 3 2 3 4 2 2" xfId="34361"/>
    <cellStyle name="Comma 9 3 2 3 4 3" xfId="26350"/>
    <cellStyle name="Comma 9 3 2 3 5" xfId="14326"/>
    <cellStyle name="Comma 9 3 2 3 5 2" xfId="22341"/>
    <cellStyle name="Comma 9 3 2 3 5 2 2" xfId="36366"/>
    <cellStyle name="Comma 9 3 2 3 5 3" xfId="28355"/>
    <cellStyle name="Comma 9 3 2 3 6" xfId="16332"/>
    <cellStyle name="Comma 9 3 2 3 6 2" xfId="30357"/>
    <cellStyle name="Comma 9 3 2 3 7" xfId="18334"/>
    <cellStyle name="Comma 9 3 2 3 7 2" xfId="32359"/>
    <cellStyle name="Comma 9 3 2 3 8" xfId="24348"/>
    <cellStyle name="Comma 9 3 2 4" xfId="1573"/>
    <cellStyle name="Comma 9 3 2 4 2" xfId="1574"/>
    <cellStyle name="Comma 9 3 2 4 2 2" xfId="12316"/>
    <cellStyle name="Comma 9 3 2 4 2 2 2" xfId="20341"/>
    <cellStyle name="Comma 9 3 2 4 2 2 2 2" xfId="34366"/>
    <cellStyle name="Comma 9 3 2 4 2 2 3" xfId="26355"/>
    <cellStyle name="Comma 9 3 2 4 2 3" xfId="14331"/>
    <cellStyle name="Comma 9 3 2 4 2 3 2" xfId="22346"/>
    <cellStyle name="Comma 9 3 2 4 2 3 2 2" xfId="36371"/>
    <cellStyle name="Comma 9 3 2 4 2 3 3" xfId="28360"/>
    <cellStyle name="Comma 9 3 2 4 2 4" xfId="16337"/>
    <cellStyle name="Comma 9 3 2 4 2 4 2" xfId="30362"/>
    <cellStyle name="Comma 9 3 2 4 2 5" xfId="18339"/>
    <cellStyle name="Comma 9 3 2 4 2 5 2" xfId="32364"/>
    <cellStyle name="Comma 9 3 2 4 2 6" xfId="24353"/>
    <cellStyle name="Comma 9 3 2 4 3" xfId="12315"/>
    <cellStyle name="Comma 9 3 2 4 3 2" xfId="20340"/>
    <cellStyle name="Comma 9 3 2 4 3 2 2" xfId="34365"/>
    <cellStyle name="Comma 9 3 2 4 3 3" xfId="26354"/>
    <cellStyle name="Comma 9 3 2 4 4" xfId="14330"/>
    <cellStyle name="Comma 9 3 2 4 4 2" xfId="22345"/>
    <cellStyle name="Comma 9 3 2 4 4 2 2" xfId="36370"/>
    <cellStyle name="Comma 9 3 2 4 4 3" xfId="28359"/>
    <cellStyle name="Comma 9 3 2 4 5" xfId="16336"/>
    <cellStyle name="Comma 9 3 2 4 5 2" xfId="30361"/>
    <cellStyle name="Comma 9 3 2 4 6" xfId="18338"/>
    <cellStyle name="Comma 9 3 2 4 6 2" xfId="32363"/>
    <cellStyle name="Comma 9 3 2 4 7" xfId="24352"/>
    <cellStyle name="Comma 9 3 2 5" xfId="1575"/>
    <cellStyle name="Comma 9 3 2 5 2" xfId="1576"/>
    <cellStyle name="Comma 9 3 2 5 2 2" xfId="12318"/>
    <cellStyle name="Comma 9 3 2 5 2 2 2" xfId="20343"/>
    <cellStyle name="Comma 9 3 2 5 2 2 2 2" xfId="34368"/>
    <cellStyle name="Comma 9 3 2 5 2 2 3" xfId="26357"/>
    <cellStyle name="Comma 9 3 2 5 2 3" xfId="14333"/>
    <cellStyle name="Comma 9 3 2 5 2 3 2" xfId="22348"/>
    <cellStyle name="Comma 9 3 2 5 2 3 2 2" xfId="36373"/>
    <cellStyle name="Comma 9 3 2 5 2 3 3" xfId="28362"/>
    <cellStyle name="Comma 9 3 2 5 2 4" xfId="16339"/>
    <cellStyle name="Comma 9 3 2 5 2 4 2" xfId="30364"/>
    <cellStyle name="Comma 9 3 2 5 2 5" xfId="18341"/>
    <cellStyle name="Comma 9 3 2 5 2 5 2" xfId="32366"/>
    <cellStyle name="Comma 9 3 2 5 2 6" xfId="24355"/>
    <cellStyle name="Comma 9 3 2 5 3" xfId="12317"/>
    <cellStyle name="Comma 9 3 2 5 3 2" xfId="20342"/>
    <cellStyle name="Comma 9 3 2 5 3 2 2" xfId="34367"/>
    <cellStyle name="Comma 9 3 2 5 3 3" xfId="26356"/>
    <cellStyle name="Comma 9 3 2 5 4" xfId="14332"/>
    <cellStyle name="Comma 9 3 2 5 4 2" xfId="22347"/>
    <cellStyle name="Comma 9 3 2 5 4 2 2" xfId="36372"/>
    <cellStyle name="Comma 9 3 2 5 4 3" xfId="28361"/>
    <cellStyle name="Comma 9 3 2 5 5" xfId="16338"/>
    <cellStyle name="Comma 9 3 2 5 5 2" xfId="30363"/>
    <cellStyle name="Comma 9 3 2 5 6" xfId="18340"/>
    <cellStyle name="Comma 9 3 2 5 6 2" xfId="32365"/>
    <cellStyle name="Comma 9 3 2 5 7" xfId="24354"/>
    <cellStyle name="Comma 9 3 2 6" xfId="1577"/>
    <cellStyle name="Comma 9 3 2 6 2" xfId="12319"/>
    <cellStyle name="Comma 9 3 2 6 2 2" xfId="20344"/>
    <cellStyle name="Comma 9 3 2 6 2 2 2" xfId="34369"/>
    <cellStyle name="Comma 9 3 2 6 2 3" xfId="26358"/>
    <cellStyle name="Comma 9 3 2 6 3" xfId="14334"/>
    <cellStyle name="Comma 9 3 2 6 3 2" xfId="22349"/>
    <cellStyle name="Comma 9 3 2 6 3 2 2" xfId="36374"/>
    <cellStyle name="Comma 9 3 2 6 3 3" xfId="28363"/>
    <cellStyle name="Comma 9 3 2 6 4" xfId="16340"/>
    <cellStyle name="Comma 9 3 2 6 4 2" xfId="30365"/>
    <cellStyle name="Comma 9 3 2 6 5" xfId="18342"/>
    <cellStyle name="Comma 9 3 2 6 5 2" xfId="32367"/>
    <cellStyle name="Comma 9 3 2 6 6" xfId="24356"/>
    <cellStyle name="Comma 9 3 2 7" xfId="12300"/>
    <cellStyle name="Comma 9 3 2 7 2" xfId="20325"/>
    <cellStyle name="Comma 9 3 2 7 2 2" xfId="34350"/>
    <cellStyle name="Comma 9 3 2 7 3" xfId="26339"/>
    <cellStyle name="Comma 9 3 2 8" xfId="14315"/>
    <cellStyle name="Comma 9 3 2 8 2" xfId="22330"/>
    <cellStyle name="Comma 9 3 2 8 2 2" xfId="36355"/>
    <cellStyle name="Comma 9 3 2 8 3" xfId="28344"/>
    <cellStyle name="Comma 9 3 2 9" xfId="16321"/>
    <cellStyle name="Comma 9 3 2 9 2" xfId="30346"/>
    <cellStyle name="Comma 9 3 3" xfId="1578"/>
    <cellStyle name="Comma 9 3 3 10" xfId="24357"/>
    <cellStyle name="Comma 9 3 3 2" xfId="1579"/>
    <cellStyle name="Comma 9 3 3 2 2" xfId="1580"/>
    <cellStyle name="Comma 9 3 3 2 2 2" xfId="1581"/>
    <cellStyle name="Comma 9 3 3 2 2 2 2" xfId="12323"/>
    <cellStyle name="Comma 9 3 3 2 2 2 2 2" xfId="20348"/>
    <cellStyle name="Comma 9 3 3 2 2 2 2 2 2" xfId="34373"/>
    <cellStyle name="Comma 9 3 3 2 2 2 2 3" xfId="26362"/>
    <cellStyle name="Comma 9 3 3 2 2 2 3" xfId="14338"/>
    <cellStyle name="Comma 9 3 3 2 2 2 3 2" xfId="22353"/>
    <cellStyle name="Comma 9 3 3 2 2 2 3 2 2" xfId="36378"/>
    <cellStyle name="Comma 9 3 3 2 2 2 3 3" xfId="28367"/>
    <cellStyle name="Comma 9 3 3 2 2 2 4" xfId="16344"/>
    <cellStyle name="Comma 9 3 3 2 2 2 4 2" xfId="30369"/>
    <cellStyle name="Comma 9 3 3 2 2 2 5" xfId="18346"/>
    <cellStyle name="Comma 9 3 3 2 2 2 5 2" xfId="32371"/>
    <cellStyle name="Comma 9 3 3 2 2 2 6" xfId="24360"/>
    <cellStyle name="Comma 9 3 3 2 2 3" xfId="12322"/>
    <cellStyle name="Comma 9 3 3 2 2 3 2" xfId="20347"/>
    <cellStyle name="Comma 9 3 3 2 2 3 2 2" xfId="34372"/>
    <cellStyle name="Comma 9 3 3 2 2 3 3" xfId="26361"/>
    <cellStyle name="Comma 9 3 3 2 2 4" xfId="14337"/>
    <cellStyle name="Comma 9 3 3 2 2 4 2" xfId="22352"/>
    <cellStyle name="Comma 9 3 3 2 2 4 2 2" xfId="36377"/>
    <cellStyle name="Comma 9 3 3 2 2 4 3" xfId="28366"/>
    <cellStyle name="Comma 9 3 3 2 2 5" xfId="16343"/>
    <cellStyle name="Comma 9 3 3 2 2 5 2" xfId="30368"/>
    <cellStyle name="Comma 9 3 3 2 2 6" xfId="18345"/>
    <cellStyle name="Comma 9 3 3 2 2 6 2" xfId="32370"/>
    <cellStyle name="Comma 9 3 3 2 2 7" xfId="24359"/>
    <cellStyle name="Comma 9 3 3 2 3" xfId="1582"/>
    <cellStyle name="Comma 9 3 3 2 3 2" xfId="12324"/>
    <cellStyle name="Comma 9 3 3 2 3 2 2" xfId="20349"/>
    <cellStyle name="Comma 9 3 3 2 3 2 2 2" xfId="34374"/>
    <cellStyle name="Comma 9 3 3 2 3 2 3" xfId="26363"/>
    <cellStyle name="Comma 9 3 3 2 3 3" xfId="14339"/>
    <cellStyle name="Comma 9 3 3 2 3 3 2" xfId="22354"/>
    <cellStyle name="Comma 9 3 3 2 3 3 2 2" xfId="36379"/>
    <cellStyle name="Comma 9 3 3 2 3 3 3" xfId="28368"/>
    <cellStyle name="Comma 9 3 3 2 3 4" xfId="16345"/>
    <cellStyle name="Comma 9 3 3 2 3 4 2" xfId="30370"/>
    <cellStyle name="Comma 9 3 3 2 3 5" xfId="18347"/>
    <cellStyle name="Comma 9 3 3 2 3 5 2" xfId="32372"/>
    <cellStyle name="Comma 9 3 3 2 3 6" xfId="24361"/>
    <cellStyle name="Comma 9 3 3 2 4" xfId="12321"/>
    <cellStyle name="Comma 9 3 3 2 4 2" xfId="20346"/>
    <cellStyle name="Comma 9 3 3 2 4 2 2" xfId="34371"/>
    <cellStyle name="Comma 9 3 3 2 4 3" xfId="26360"/>
    <cellStyle name="Comma 9 3 3 2 5" xfId="14336"/>
    <cellStyle name="Comma 9 3 3 2 5 2" xfId="22351"/>
    <cellStyle name="Comma 9 3 3 2 5 2 2" xfId="36376"/>
    <cellStyle name="Comma 9 3 3 2 5 3" xfId="28365"/>
    <cellStyle name="Comma 9 3 3 2 6" xfId="16342"/>
    <cellStyle name="Comma 9 3 3 2 6 2" xfId="30367"/>
    <cellStyle name="Comma 9 3 3 2 7" xfId="18344"/>
    <cellStyle name="Comma 9 3 3 2 7 2" xfId="32369"/>
    <cellStyle name="Comma 9 3 3 2 8" xfId="24358"/>
    <cellStyle name="Comma 9 3 3 3" xfId="1583"/>
    <cellStyle name="Comma 9 3 3 3 2" xfId="1584"/>
    <cellStyle name="Comma 9 3 3 3 2 2" xfId="12326"/>
    <cellStyle name="Comma 9 3 3 3 2 2 2" xfId="20351"/>
    <cellStyle name="Comma 9 3 3 3 2 2 2 2" xfId="34376"/>
    <cellStyle name="Comma 9 3 3 3 2 2 3" xfId="26365"/>
    <cellStyle name="Comma 9 3 3 3 2 3" xfId="14341"/>
    <cellStyle name="Comma 9 3 3 3 2 3 2" xfId="22356"/>
    <cellStyle name="Comma 9 3 3 3 2 3 2 2" xfId="36381"/>
    <cellStyle name="Comma 9 3 3 3 2 3 3" xfId="28370"/>
    <cellStyle name="Comma 9 3 3 3 2 4" xfId="16347"/>
    <cellStyle name="Comma 9 3 3 3 2 4 2" xfId="30372"/>
    <cellStyle name="Comma 9 3 3 3 2 5" xfId="18349"/>
    <cellStyle name="Comma 9 3 3 3 2 5 2" xfId="32374"/>
    <cellStyle name="Comma 9 3 3 3 2 6" xfId="24363"/>
    <cellStyle name="Comma 9 3 3 3 3" xfId="12325"/>
    <cellStyle name="Comma 9 3 3 3 3 2" xfId="20350"/>
    <cellStyle name="Comma 9 3 3 3 3 2 2" xfId="34375"/>
    <cellStyle name="Comma 9 3 3 3 3 3" xfId="26364"/>
    <cellStyle name="Comma 9 3 3 3 4" xfId="14340"/>
    <cellStyle name="Comma 9 3 3 3 4 2" xfId="22355"/>
    <cellStyle name="Comma 9 3 3 3 4 2 2" xfId="36380"/>
    <cellStyle name="Comma 9 3 3 3 4 3" xfId="28369"/>
    <cellStyle name="Comma 9 3 3 3 5" xfId="16346"/>
    <cellStyle name="Comma 9 3 3 3 5 2" xfId="30371"/>
    <cellStyle name="Comma 9 3 3 3 6" xfId="18348"/>
    <cellStyle name="Comma 9 3 3 3 6 2" xfId="32373"/>
    <cellStyle name="Comma 9 3 3 3 7" xfId="24362"/>
    <cellStyle name="Comma 9 3 3 4" xfId="1585"/>
    <cellStyle name="Comma 9 3 3 4 2" xfId="1586"/>
    <cellStyle name="Comma 9 3 3 4 2 2" xfId="12328"/>
    <cellStyle name="Comma 9 3 3 4 2 2 2" xfId="20353"/>
    <cellStyle name="Comma 9 3 3 4 2 2 2 2" xfId="34378"/>
    <cellStyle name="Comma 9 3 3 4 2 2 3" xfId="26367"/>
    <cellStyle name="Comma 9 3 3 4 2 3" xfId="14343"/>
    <cellStyle name="Comma 9 3 3 4 2 3 2" xfId="22358"/>
    <cellStyle name="Comma 9 3 3 4 2 3 2 2" xfId="36383"/>
    <cellStyle name="Comma 9 3 3 4 2 3 3" xfId="28372"/>
    <cellStyle name="Comma 9 3 3 4 2 4" xfId="16349"/>
    <cellStyle name="Comma 9 3 3 4 2 4 2" xfId="30374"/>
    <cellStyle name="Comma 9 3 3 4 2 5" xfId="18351"/>
    <cellStyle name="Comma 9 3 3 4 2 5 2" xfId="32376"/>
    <cellStyle name="Comma 9 3 3 4 2 6" xfId="24365"/>
    <cellStyle name="Comma 9 3 3 4 3" xfId="12327"/>
    <cellStyle name="Comma 9 3 3 4 3 2" xfId="20352"/>
    <cellStyle name="Comma 9 3 3 4 3 2 2" xfId="34377"/>
    <cellStyle name="Comma 9 3 3 4 3 3" xfId="26366"/>
    <cellStyle name="Comma 9 3 3 4 4" xfId="14342"/>
    <cellStyle name="Comma 9 3 3 4 4 2" xfId="22357"/>
    <cellStyle name="Comma 9 3 3 4 4 2 2" xfId="36382"/>
    <cellStyle name="Comma 9 3 3 4 4 3" xfId="28371"/>
    <cellStyle name="Comma 9 3 3 4 5" xfId="16348"/>
    <cellStyle name="Comma 9 3 3 4 5 2" xfId="30373"/>
    <cellStyle name="Comma 9 3 3 4 6" xfId="18350"/>
    <cellStyle name="Comma 9 3 3 4 6 2" xfId="32375"/>
    <cellStyle name="Comma 9 3 3 4 7" xfId="24364"/>
    <cellStyle name="Comma 9 3 3 5" xfId="1587"/>
    <cellStyle name="Comma 9 3 3 5 2" xfId="12329"/>
    <cellStyle name="Comma 9 3 3 5 2 2" xfId="20354"/>
    <cellStyle name="Comma 9 3 3 5 2 2 2" xfId="34379"/>
    <cellStyle name="Comma 9 3 3 5 2 3" xfId="26368"/>
    <cellStyle name="Comma 9 3 3 5 3" xfId="14344"/>
    <cellStyle name="Comma 9 3 3 5 3 2" xfId="22359"/>
    <cellStyle name="Comma 9 3 3 5 3 2 2" xfId="36384"/>
    <cellStyle name="Comma 9 3 3 5 3 3" xfId="28373"/>
    <cellStyle name="Comma 9 3 3 5 4" xfId="16350"/>
    <cellStyle name="Comma 9 3 3 5 4 2" xfId="30375"/>
    <cellStyle name="Comma 9 3 3 5 5" xfId="18352"/>
    <cellStyle name="Comma 9 3 3 5 5 2" xfId="32377"/>
    <cellStyle name="Comma 9 3 3 5 6" xfId="24366"/>
    <cellStyle name="Comma 9 3 3 6" xfId="12320"/>
    <cellStyle name="Comma 9 3 3 6 2" xfId="20345"/>
    <cellStyle name="Comma 9 3 3 6 2 2" xfId="34370"/>
    <cellStyle name="Comma 9 3 3 6 3" xfId="26359"/>
    <cellStyle name="Comma 9 3 3 7" xfId="14335"/>
    <cellStyle name="Comma 9 3 3 7 2" xfId="22350"/>
    <cellStyle name="Comma 9 3 3 7 2 2" xfId="36375"/>
    <cellStyle name="Comma 9 3 3 7 3" xfId="28364"/>
    <cellStyle name="Comma 9 3 3 8" xfId="16341"/>
    <cellStyle name="Comma 9 3 3 8 2" xfId="30366"/>
    <cellStyle name="Comma 9 3 3 9" xfId="18343"/>
    <cellStyle name="Comma 9 3 3 9 2" xfId="32368"/>
    <cellStyle name="Comma 9 3 4" xfId="1588"/>
    <cellStyle name="Comma 9 3 4 2" xfId="1589"/>
    <cellStyle name="Comma 9 3 4 2 2" xfId="1590"/>
    <cellStyle name="Comma 9 3 4 2 2 2" xfId="12332"/>
    <cellStyle name="Comma 9 3 4 2 2 2 2" xfId="20357"/>
    <cellStyle name="Comma 9 3 4 2 2 2 2 2" xfId="34382"/>
    <cellStyle name="Comma 9 3 4 2 2 2 3" xfId="26371"/>
    <cellStyle name="Comma 9 3 4 2 2 3" xfId="14347"/>
    <cellStyle name="Comma 9 3 4 2 2 3 2" xfId="22362"/>
    <cellStyle name="Comma 9 3 4 2 2 3 2 2" xfId="36387"/>
    <cellStyle name="Comma 9 3 4 2 2 3 3" xfId="28376"/>
    <cellStyle name="Comma 9 3 4 2 2 4" xfId="16353"/>
    <cellStyle name="Comma 9 3 4 2 2 4 2" xfId="30378"/>
    <cellStyle name="Comma 9 3 4 2 2 5" xfId="18355"/>
    <cellStyle name="Comma 9 3 4 2 2 5 2" xfId="32380"/>
    <cellStyle name="Comma 9 3 4 2 2 6" xfId="24369"/>
    <cellStyle name="Comma 9 3 4 2 3" xfId="12331"/>
    <cellStyle name="Comma 9 3 4 2 3 2" xfId="20356"/>
    <cellStyle name="Comma 9 3 4 2 3 2 2" xfId="34381"/>
    <cellStyle name="Comma 9 3 4 2 3 3" xfId="26370"/>
    <cellStyle name="Comma 9 3 4 2 4" xfId="14346"/>
    <cellStyle name="Comma 9 3 4 2 4 2" xfId="22361"/>
    <cellStyle name="Comma 9 3 4 2 4 2 2" xfId="36386"/>
    <cellStyle name="Comma 9 3 4 2 4 3" xfId="28375"/>
    <cellStyle name="Comma 9 3 4 2 5" xfId="16352"/>
    <cellStyle name="Comma 9 3 4 2 5 2" xfId="30377"/>
    <cellStyle name="Comma 9 3 4 2 6" xfId="18354"/>
    <cellStyle name="Comma 9 3 4 2 6 2" xfId="32379"/>
    <cellStyle name="Comma 9 3 4 2 7" xfId="24368"/>
    <cellStyle name="Comma 9 3 4 3" xfId="1591"/>
    <cellStyle name="Comma 9 3 4 3 2" xfId="12333"/>
    <cellStyle name="Comma 9 3 4 3 2 2" xfId="20358"/>
    <cellStyle name="Comma 9 3 4 3 2 2 2" xfId="34383"/>
    <cellStyle name="Comma 9 3 4 3 2 3" xfId="26372"/>
    <cellStyle name="Comma 9 3 4 3 3" xfId="14348"/>
    <cellStyle name="Comma 9 3 4 3 3 2" xfId="22363"/>
    <cellStyle name="Comma 9 3 4 3 3 2 2" xfId="36388"/>
    <cellStyle name="Comma 9 3 4 3 3 3" xfId="28377"/>
    <cellStyle name="Comma 9 3 4 3 4" xfId="16354"/>
    <cellStyle name="Comma 9 3 4 3 4 2" xfId="30379"/>
    <cellStyle name="Comma 9 3 4 3 5" xfId="18356"/>
    <cellStyle name="Comma 9 3 4 3 5 2" xfId="32381"/>
    <cellStyle name="Comma 9 3 4 3 6" xfId="24370"/>
    <cellStyle name="Comma 9 3 4 4" xfId="12330"/>
    <cellStyle name="Comma 9 3 4 4 2" xfId="20355"/>
    <cellStyle name="Comma 9 3 4 4 2 2" xfId="34380"/>
    <cellStyle name="Comma 9 3 4 4 3" xfId="26369"/>
    <cellStyle name="Comma 9 3 4 5" xfId="14345"/>
    <cellStyle name="Comma 9 3 4 5 2" xfId="22360"/>
    <cellStyle name="Comma 9 3 4 5 2 2" xfId="36385"/>
    <cellStyle name="Comma 9 3 4 5 3" xfId="28374"/>
    <cellStyle name="Comma 9 3 4 6" xfId="16351"/>
    <cellStyle name="Comma 9 3 4 6 2" xfId="30376"/>
    <cellStyle name="Comma 9 3 4 7" xfId="18353"/>
    <cellStyle name="Comma 9 3 4 7 2" xfId="32378"/>
    <cellStyle name="Comma 9 3 4 8" xfId="24367"/>
    <cellStyle name="Comma 9 3 5" xfId="1592"/>
    <cellStyle name="Comma 9 3 5 2" xfId="1593"/>
    <cellStyle name="Comma 9 3 5 2 2" xfId="12335"/>
    <cellStyle name="Comma 9 3 5 2 2 2" xfId="20360"/>
    <cellStyle name="Comma 9 3 5 2 2 2 2" xfId="34385"/>
    <cellStyle name="Comma 9 3 5 2 2 3" xfId="26374"/>
    <cellStyle name="Comma 9 3 5 2 3" xfId="14350"/>
    <cellStyle name="Comma 9 3 5 2 3 2" xfId="22365"/>
    <cellStyle name="Comma 9 3 5 2 3 2 2" xfId="36390"/>
    <cellStyle name="Comma 9 3 5 2 3 3" xfId="28379"/>
    <cellStyle name="Comma 9 3 5 2 4" xfId="16356"/>
    <cellStyle name="Comma 9 3 5 2 4 2" xfId="30381"/>
    <cellStyle name="Comma 9 3 5 2 5" xfId="18358"/>
    <cellStyle name="Comma 9 3 5 2 5 2" xfId="32383"/>
    <cellStyle name="Comma 9 3 5 2 6" xfId="24372"/>
    <cellStyle name="Comma 9 3 5 3" xfId="12334"/>
    <cellStyle name="Comma 9 3 5 3 2" xfId="20359"/>
    <cellStyle name="Comma 9 3 5 3 2 2" xfId="34384"/>
    <cellStyle name="Comma 9 3 5 3 3" xfId="26373"/>
    <cellStyle name="Comma 9 3 5 4" xfId="14349"/>
    <cellStyle name="Comma 9 3 5 4 2" xfId="22364"/>
    <cellStyle name="Comma 9 3 5 4 2 2" xfId="36389"/>
    <cellStyle name="Comma 9 3 5 4 3" xfId="28378"/>
    <cellStyle name="Comma 9 3 5 5" xfId="16355"/>
    <cellStyle name="Comma 9 3 5 5 2" xfId="30380"/>
    <cellStyle name="Comma 9 3 5 6" xfId="18357"/>
    <cellStyle name="Comma 9 3 5 6 2" xfId="32382"/>
    <cellStyle name="Comma 9 3 5 7" xfId="24371"/>
    <cellStyle name="Comma 9 3 6" xfId="1594"/>
    <cellStyle name="Comma 9 3 6 2" xfId="1595"/>
    <cellStyle name="Comma 9 3 6 2 2" xfId="12337"/>
    <cellStyle name="Comma 9 3 6 2 2 2" xfId="20362"/>
    <cellStyle name="Comma 9 3 6 2 2 2 2" xfId="34387"/>
    <cellStyle name="Comma 9 3 6 2 2 3" xfId="26376"/>
    <cellStyle name="Comma 9 3 6 2 3" xfId="14352"/>
    <cellStyle name="Comma 9 3 6 2 3 2" xfId="22367"/>
    <cellStyle name="Comma 9 3 6 2 3 2 2" xfId="36392"/>
    <cellStyle name="Comma 9 3 6 2 3 3" xfId="28381"/>
    <cellStyle name="Comma 9 3 6 2 4" xfId="16358"/>
    <cellStyle name="Comma 9 3 6 2 4 2" xfId="30383"/>
    <cellStyle name="Comma 9 3 6 2 5" xfId="18360"/>
    <cellStyle name="Comma 9 3 6 2 5 2" xfId="32385"/>
    <cellStyle name="Comma 9 3 6 2 6" xfId="24374"/>
    <cellStyle name="Comma 9 3 6 3" xfId="12336"/>
    <cellStyle name="Comma 9 3 6 3 2" xfId="20361"/>
    <cellStyle name="Comma 9 3 6 3 2 2" xfId="34386"/>
    <cellStyle name="Comma 9 3 6 3 3" xfId="26375"/>
    <cellStyle name="Comma 9 3 6 4" xfId="14351"/>
    <cellStyle name="Comma 9 3 6 4 2" xfId="22366"/>
    <cellStyle name="Comma 9 3 6 4 2 2" xfId="36391"/>
    <cellStyle name="Comma 9 3 6 4 3" xfId="28380"/>
    <cellStyle name="Comma 9 3 6 5" xfId="16357"/>
    <cellStyle name="Comma 9 3 6 5 2" xfId="30382"/>
    <cellStyle name="Comma 9 3 6 6" xfId="18359"/>
    <cellStyle name="Comma 9 3 6 6 2" xfId="32384"/>
    <cellStyle name="Comma 9 3 6 7" xfId="24373"/>
    <cellStyle name="Comma 9 3 7" xfId="1596"/>
    <cellStyle name="Comma 9 3 7 2" xfId="12338"/>
    <cellStyle name="Comma 9 3 7 2 2" xfId="20363"/>
    <cellStyle name="Comma 9 3 7 2 2 2" xfId="34388"/>
    <cellStyle name="Comma 9 3 7 2 3" xfId="26377"/>
    <cellStyle name="Comma 9 3 7 3" xfId="14353"/>
    <cellStyle name="Comma 9 3 7 3 2" xfId="22368"/>
    <cellStyle name="Comma 9 3 7 3 2 2" xfId="36393"/>
    <cellStyle name="Comma 9 3 7 3 3" xfId="28382"/>
    <cellStyle name="Comma 9 3 7 4" xfId="16359"/>
    <cellStyle name="Comma 9 3 7 4 2" xfId="30384"/>
    <cellStyle name="Comma 9 3 7 5" xfId="18361"/>
    <cellStyle name="Comma 9 3 7 5 2" xfId="32386"/>
    <cellStyle name="Comma 9 3 7 6" xfId="24375"/>
    <cellStyle name="Comma 9 3 8" xfId="12299"/>
    <cellStyle name="Comma 9 3 8 2" xfId="20324"/>
    <cellStyle name="Comma 9 3 8 2 2" xfId="34349"/>
    <cellStyle name="Comma 9 3 8 3" xfId="26338"/>
    <cellStyle name="Comma 9 3 9" xfId="14314"/>
    <cellStyle name="Comma 9 3 9 2" xfId="22329"/>
    <cellStyle name="Comma 9 3 9 2 2" xfId="36354"/>
    <cellStyle name="Comma 9 3 9 3" xfId="28343"/>
    <cellStyle name="Comma0" xfId="430"/>
    <cellStyle name="Comma0 - Style2" xfId="431"/>
    <cellStyle name="Config Data" xfId="432"/>
    <cellStyle name="cost_per_kw" xfId="433"/>
    <cellStyle name="Currency" xfId="434" builtinId="4"/>
    <cellStyle name="Currency [$0]" xfId="435"/>
    <cellStyle name="Currency [£0]" xfId="436"/>
    <cellStyle name="Currency 2" xfId="437"/>
    <cellStyle name="Currency 2 2" xfId="438"/>
    <cellStyle name="Currency 2 2 2" xfId="1597"/>
    <cellStyle name="Currency 2 2 3" xfId="1598"/>
    <cellStyle name="Currency 2 3" xfId="1599"/>
    <cellStyle name="Currency 3" xfId="439"/>
    <cellStyle name="Currency 3 2" xfId="440"/>
    <cellStyle name="Currency 4" xfId="441"/>
    <cellStyle name="Currency 4 2" xfId="1600"/>
    <cellStyle name="Currency 4 2 10" xfId="18362"/>
    <cellStyle name="Currency 4 2 10 2" xfId="32387"/>
    <cellStyle name="Currency 4 2 11" xfId="24376"/>
    <cellStyle name="Currency 4 2 2" xfId="1601"/>
    <cellStyle name="Currency 4 2 2 10" xfId="24377"/>
    <cellStyle name="Currency 4 2 2 2" xfId="1602"/>
    <cellStyle name="Currency 4 2 2 2 2" xfId="1603"/>
    <cellStyle name="Currency 4 2 2 2 2 2" xfId="1604"/>
    <cellStyle name="Currency 4 2 2 2 2 2 2" xfId="12343"/>
    <cellStyle name="Currency 4 2 2 2 2 2 2 2" xfId="20368"/>
    <cellStyle name="Currency 4 2 2 2 2 2 2 2 2" xfId="34393"/>
    <cellStyle name="Currency 4 2 2 2 2 2 2 3" xfId="26382"/>
    <cellStyle name="Currency 4 2 2 2 2 2 3" xfId="14358"/>
    <cellStyle name="Currency 4 2 2 2 2 2 3 2" xfId="22373"/>
    <cellStyle name="Currency 4 2 2 2 2 2 3 2 2" xfId="36398"/>
    <cellStyle name="Currency 4 2 2 2 2 2 3 3" xfId="28387"/>
    <cellStyle name="Currency 4 2 2 2 2 2 4" xfId="16364"/>
    <cellStyle name="Currency 4 2 2 2 2 2 4 2" xfId="30389"/>
    <cellStyle name="Currency 4 2 2 2 2 2 5" xfId="18366"/>
    <cellStyle name="Currency 4 2 2 2 2 2 5 2" xfId="32391"/>
    <cellStyle name="Currency 4 2 2 2 2 2 6" xfId="24380"/>
    <cellStyle name="Currency 4 2 2 2 2 3" xfId="12342"/>
    <cellStyle name="Currency 4 2 2 2 2 3 2" xfId="20367"/>
    <cellStyle name="Currency 4 2 2 2 2 3 2 2" xfId="34392"/>
    <cellStyle name="Currency 4 2 2 2 2 3 3" xfId="26381"/>
    <cellStyle name="Currency 4 2 2 2 2 4" xfId="14357"/>
    <cellStyle name="Currency 4 2 2 2 2 4 2" xfId="22372"/>
    <cellStyle name="Currency 4 2 2 2 2 4 2 2" xfId="36397"/>
    <cellStyle name="Currency 4 2 2 2 2 4 3" xfId="28386"/>
    <cellStyle name="Currency 4 2 2 2 2 5" xfId="16363"/>
    <cellStyle name="Currency 4 2 2 2 2 5 2" xfId="30388"/>
    <cellStyle name="Currency 4 2 2 2 2 6" xfId="18365"/>
    <cellStyle name="Currency 4 2 2 2 2 6 2" xfId="32390"/>
    <cellStyle name="Currency 4 2 2 2 2 7" xfId="24379"/>
    <cellStyle name="Currency 4 2 2 2 3" xfId="1605"/>
    <cellStyle name="Currency 4 2 2 2 3 2" xfId="12344"/>
    <cellStyle name="Currency 4 2 2 2 3 2 2" xfId="20369"/>
    <cellStyle name="Currency 4 2 2 2 3 2 2 2" xfId="34394"/>
    <cellStyle name="Currency 4 2 2 2 3 2 3" xfId="26383"/>
    <cellStyle name="Currency 4 2 2 2 3 3" xfId="14359"/>
    <cellStyle name="Currency 4 2 2 2 3 3 2" xfId="22374"/>
    <cellStyle name="Currency 4 2 2 2 3 3 2 2" xfId="36399"/>
    <cellStyle name="Currency 4 2 2 2 3 3 3" xfId="28388"/>
    <cellStyle name="Currency 4 2 2 2 3 4" xfId="16365"/>
    <cellStyle name="Currency 4 2 2 2 3 4 2" xfId="30390"/>
    <cellStyle name="Currency 4 2 2 2 3 5" xfId="18367"/>
    <cellStyle name="Currency 4 2 2 2 3 5 2" xfId="32392"/>
    <cellStyle name="Currency 4 2 2 2 3 6" xfId="24381"/>
    <cellStyle name="Currency 4 2 2 2 4" xfId="12341"/>
    <cellStyle name="Currency 4 2 2 2 4 2" xfId="20366"/>
    <cellStyle name="Currency 4 2 2 2 4 2 2" xfId="34391"/>
    <cellStyle name="Currency 4 2 2 2 4 3" xfId="26380"/>
    <cellStyle name="Currency 4 2 2 2 5" xfId="14356"/>
    <cellStyle name="Currency 4 2 2 2 5 2" xfId="22371"/>
    <cellStyle name="Currency 4 2 2 2 5 2 2" xfId="36396"/>
    <cellStyle name="Currency 4 2 2 2 5 3" xfId="28385"/>
    <cellStyle name="Currency 4 2 2 2 6" xfId="16362"/>
    <cellStyle name="Currency 4 2 2 2 6 2" xfId="30387"/>
    <cellStyle name="Currency 4 2 2 2 7" xfId="18364"/>
    <cellStyle name="Currency 4 2 2 2 7 2" xfId="32389"/>
    <cellStyle name="Currency 4 2 2 2 8" xfId="24378"/>
    <cellStyle name="Currency 4 2 2 3" xfId="1606"/>
    <cellStyle name="Currency 4 2 2 3 2" xfId="1607"/>
    <cellStyle name="Currency 4 2 2 3 2 2" xfId="12346"/>
    <cellStyle name="Currency 4 2 2 3 2 2 2" xfId="20371"/>
    <cellStyle name="Currency 4 2 2 3 2 2 2 2" xfId="34396"/>
    <cellStyle name="Currency 4 2 2 3 2 2 3" xfId="26385"/>
    <cellStyle name="Currency 4 2 2 3 2 3" xfId="14361"/>
    <cellStyle name="Currency 4 2 2 3 2 3 2" xfId="22376"/>
    <cellStyle name="Currency 4 2 2 3 2 3 2 2" xfId="36401"/>
    <cellStyle name="Currency 4 2 2 3 2 3 3" xfId="28390"/>
    <cellStyle name="Currency 4 2 2 3 2 4" xfId="16367"/>
    <cellStyle name="Currency 4 2 2 3 2 4 2" xfId="30392"/>
    <cellStyle name="Currency 4 2 2 3 2 5" xfId="18369"/>
    <cellStyle name="Currency 4 2 2 3 2 5 2" xfId="32394"/>
    <cellStyle name="Currency 4 2 2 3 2 6" xfId="24383"/>
    <cellStyle name="Currency 4 2 2 3 3" xfId="12345"/>
    <cellStyle name="Currency 4 2 2 3 3 2" xfId="20370"/>
    <cellStyle name="Currency 4 2 2 3 3 2 2" xfId="34395"/>
    <cellStyle name="Currency 4 2 2 3 3 3" xfId="26384"/>
    <cellStyle name="Currency 4 2 2 3 4" xfId="14360"/>
    <cellStyle name="Currency 4 2 2 3 4 2" xfId="22375"/>
    <cellStyle name="Currency 4 2 2 3 4 2 2" xfId="36400"/>
    <cellStyle name="Currency 4 2 2 3 4 3" xfId="28389"/>
    <cellStyle name="Currency 4 2 2 3 5" xfId="16366"/>
    <cellStyle name="Currency 4 2 2 3 5 2" xfId="30391"/>
    <cellStyle name="Currency 4 2 2 3 6" xfId="18368"/>
    <cellStyle name="Currency 4 2 2 3 6 2" xfId="32393"/>
    <cellStyle name="Currency 4 2 2 3 7" xfId="24382"/>
    <cellStyle name="Currency 4 2 2 4" xfId="1608"/>
    <cellStyle name="Currency 4 2 2 4 2" xfId="1609"/>
    <cellStyle name="Currency 4 2 2 4 2 2" xfId="12348"/>
    <cellStyle name="Currency 4 2 2 4 2 2 2" xfId="20373"/>
    <cellStyle name="Currency 4 2 2 4 2 2 2 2" xfId="34398"/>
    <cellStyle name="Currency 4 2 2 4 2 2 3" xfId="26387"/>
    <cellStyle name="Currency 4 2 2 4 2 3" xfId="14363"/>
    <cellStyle name="Currency 4 2 2 4 2 3 2" xfId="22378"/>
    <cellStyle name="Currency 4 2 2 4 2 3 2 2" xfId="36403"/>
    <cellStyle name="Currency 4 2 2 4 2 3 3" xfId="28392"/>
    <cellStyle name="Currency 4 2 2 4 2 4" xfId="16369"/>
    <cellStyle name="Currency 4 2 2 4 2 4 2" xfId="30394"/>
    <cellStyle name="Currency 4 2 2 4 2 5" xfId="18371"/>
    <cellStyle name="Currency 4 2 2 4 2 5 2" xfId="32396"/>
    <cellStyle name="Currency 4 2 2 4 2 6" xfId="24385"/>
    <cellStyle name="Currency 4 2 2 4 3" xfId="12347"/>
    <cellStyle name="Currency 4 2 2 4 3 2" xfId="20372"/>
    <cellStyle name="Currency 4 2 2 4 3 2 2" xfId="34397"/>
    <cellStyle name="Currency 4 2 2 4 3 3" xfId="26386"/>
    <cellStyle name="Currency 4 2 2 4 4" xfId="14362"/>
    <cellStyle name="Currency 4 2 2 4 4 2" xfId="22377"/>
    <cellStyle name="Currency 4 2 2 4 4 2 2" xfId="36402"/>
    <cellStyle name="Currency 4 2 2 4 4 3" xfId="28391"/>
    <cellStyle name="Currency 4 2 2 4 5" xfId="16368"/>
    <cellStyle name="Currency 4 2 2 4 5 2" xfId="30393"/>
    <cellStyle name="Currency 4 2 2 4 6" xfId="18370"/>
    <cellStyle name="Currency 4 2 2 4 6 2" xfId="32395"/>
    <cellStyle name="Currency 4 2 2 4 7" xfId="24384"/>
    <cellStyle name="Currency 4 2 2 5" xfId="1610"/>
    <cellStyle name="Currency 4 2 2 5 2" xfId="12349"/>
    <cellStyle name="Currency 4 2 2 5 2 2" xfId="20374"/>
    <cellStyle name="Currency 4 2 2 5 2 2 2" xfId="34399"/>
    <cellStyle name="Currency 4 2 2 5 2 3" xfId="26388"/>
    <cellStyle name="Currency 4 2 2 5 3" xfId="14364"/>
    <cellStyle name="Currency 4 2 2 5 3 2" xfId="22379"/>
    <cellStyle name="Currency 4 2 2 5 3 2 2" xfId="36404"/>
    <cellStyle name="Currency 4 2 2 5 3 3" xfId="28393"/>
    <cellStyle name="Currency 4 2 2 5 4" xfId="16370"/>
    <cellStyle name="Currency 4 2 2 5 4 2" xfId="30395"/>
    <cellStyle name="Currency 4 2 2 5 5" xfId="18372"/>
    <cellStyle name="Currency 4 2 2 5 5 2" xfId="32397"/>
    <cellStyle name="Currency 4 2 2 5 6" xfId="24386"/>
    <cellStyle name="Currency 4 2 2 6" xfId="12340"/>
    <cellStyle name="Currency 4 2 2 6 2" xfId="20365"/>
    <cellStyle name="Currency 4 2 2 6 2 2" xfId="34390"/>
    <cellStyle name="Currency 4 2 2 6 3" xfId="26379"/>
    <cellStyle name="Currency 4 2 2 7" xfId="14355"/>
    <cellStyle name="Currency 4 2 2 7 2" xfId="22370"/>
    <cellStyle name="Currency 4 2 2 7 2 2" xfId="36395"/>
    <cellStyle name="Currency 4 2 2 7 3" xfId="28384"/>
    <cellStyle name="Currency 4 2 2 8" xfId="16361"/>
    <cellStyle name="Currency 4 2 2 8 2" xfId="30386"/>
    <cellStyle name="Currency 4 2 2 9" xfId="18363"/>
    <cellStyle name="Currency 4 2 2 9 2" xfId="32388"/>
    <cellStyle name="Currency 4 2 3" xfId="1611"/>
    <cellStyle name="Currency 4 2 3 2" xfId="1612"/>
    <cellStyle name="Currency 4 2 3 2 2" xfId="1613"/>
    <cellStyle name="Currency 4 2 3 2 2 2" xfId="12352"/>
    <cellStyle name="Currency 4 2 3 2 2 2 2" xfId="20377"/>
    <cellStyle name="Currency 4 2 3 2 2 2 2 2" xfId="34402"/>
    <cellStyle name="Currency 4 2 3 2 2 2 3" xfId="26391"/>
    <cellStyle name="Currency 4 2 3 2 2 3" xfId="14367"/>
    <cellStyle name="Currency 4 2 3 2 2 3 2" xfId="22382"/>
    <cellStyle name="Currency 4 2 3 2 2 3 2 2" xfId="36407"/>
    <cellStyle name="Currency 4 2 3 2 2 3 3" xfId="28396"/>
    <cellStyle name="Currency 4 2 3 2 2 4" xfId="16373"/>
    <cellStyle name="Currency 4 2 3 2 2 4 2" xfId="30398"/>
    <cellStyle name="Currency 4 2 3 2 2 5" xfId="18375"/>
    <cellStyle name="Currency 4 2 3 2 2 5 2" xfId="32400"/>
    <cellStyle name="Currency 4 2 3 2 2 6" xfId="24389"/>
    <cellStyle name="Currency 4 2 3 2 3" xfId="12351"/>
    <cellStyle name="Currency 4 2 3 2 3 2" xfId="20376"/>
    <cellStyle name="Currency 4 2 3 2 3 2 2" xfId="34401"/>
    <cellStyle name="Currency 4 2 3 2 3 3" xfId="26390"/>
    <cellStyle name="Currency 4 2 3 2 4" xfId="14366"/>
    <cellStyle name="Currency 4 2 3 2 4 2" xfId="22381"/>
    <cellStyle name="Currency 4 2 3 2 4 2 2" xfId="36406"/>
    <cellStyle name="Currency 4 2 3 2 4 3" xfId="28395"/>
    <cellStyle name="Currency 4 2 3 2 5" xfId="16372"/>
    <cellStyle name="Currency 4 2 3 2 5 2" xfId="30397"/>
    <cellStyle name="Currency 4 2 3 2 6" xfId="18374"/>
    <cellStyle name="Currency 4 2 3 2 6 2" xfId="32399"/>
    <cellStyle name="Currency 4 2 3 2 7" xfId="24388"/>
    <cellStyle name="Currency 4 2 3 3" xfId="1614"/>
    <cellStyle name="Currency 4 2 3 3 2" xfId="12353"/>
    <cellStyle name="Currency 4 2 3 3 2 2" xfId="20378"/>
    <cellStyle name="Currency 4 2 3 3 2 2 2" xfId="34403"/>
    <cellStyle name="Currency 4 2 3 3 2 3" xfId="26392"/>
    <cellStyle name="Currency 4 2 3 3 3" xfId="14368"/>
    <cellStyle name="Currency 4 2 3 3 3 2" xfId="22383"/>
    <cellStyle name="Currency 4 2 3 3 3 2 2" xfId="36408"/>
    <cellStyle name="Currency 4 2 3 3 3 3" xfId="28397"/>
    <cellStyle name="Currency 4 2 3 3 4" xfId="16374"/>
    <cellStyle name="Currency 4 2 3 3 4 2" xfId="30399"/>
    <cellStyle name="Currency 4 2 3 3 5" xfId="18376"/>
    <cellStyle name="Currency 4 2 3 3 5 2" xfId="32401"/>
    <cellStyle name="Currency 4 2 3 3 6" xfId="24390"/>
    <cellStyle name="Currency 4 2 3 4" xfId="12350"/>
    <cellStyle name="Currency 4 2 3 4 2" xfId="20375"/>
    <cellStyle name="Currency 4 2 3 4 2 2" xfId="34400"/>
    <cellStyle name="Currency 4 2 3 4 3" xfId="26389"/>
    <cellStyle name="Currency 4 2 3 5" xfId="14365"/>
    <cellStyle name="Currency 4 2 3 5 2" xfId="22380"/>
    <cellStyle name="Currency 4 2 3 5 2 2" xfId="36405"/>
    <cellStyle name="Currency 4 2 3 5 3" xfId="28394"/>
    <cellStyle name="Currency 4 2 3 6" xfId="16371"/>
    <cellStyle name="Currency 4 2 3 6 2" xfId="30396"/>
    <cellStyle name="Currency 4 2 3 7" xfId="18373"/>
    <cellStyle name="Currency 4 2 3 7 2" xfId="32398"/>
    <cellStyle name="Currency 4 2 3 8" xfId="24387"/>
    <cellStyle name="Currency 4 2 4" xfId="1615"/>
    <cellStyle name="Currency 4 2 4 2" xfId="1616"/>
    <cellStyle name="Currency 4 2 4 2 2" xfId="12355"/>
    <cellStyle name="Currency 4 2 4 2 2 2" xfId="20380"/>
    <cellStyle name="Currency 4 2 4 2 2 2 2" xfId="34405"/>
    <cellStyle name="Currency 4 2 4 2 2 3" xfId="26394"/>
    <cellStyle name="Currency 4 2 4 2 3" xfId="14370"/>
    <cellStyle name="Currency 4 2 4 2 3 2" xfId="22385"/>
    <cellStyle name="Currency 4 2 4 2 3 2 2" xfId="36410"/>
    <cellStyle name="Currency 4 2 4 2 3 3" xfId="28399"/>
    <cellStyle name="Currency 4 2 4 2 4" xfId="16376"/>
    <cellStyle name="Currency 4 2 4 2 4 2" xfId="30401"/>
    <cellStyle name="Currency 4 2 4 2 5" xfId="18378"/>
    <cellStyle name="Currency 4 2 4 2 5 2" xfId="32403"/>
    <cellStyle name="Currency 4 2 4 2 6" xfId="24392"/>
    <cellStyle name="Currency 4 2 4 3" xfId="12354"/>
    <cellStyle name="Currency 4 2 4 3 2" xfId="20379"/>
    <cellStyle name="Currency 4 2 4 3 2 2" xfId="34404"/>
    <cellStyle name="Currency 4 2 4 3 3" xfId="26393"/>
    <cellStyle name="Currency 4 2 4 4" xfId="14369"/>
    <cellStyle name="Currency 4 2 4 4 2" xfId="22384"/>
    <cellStyle name="Currency 4 2 4 4 2 2" xfId="36409"/>
    <cellStyle name="Currency 4 2 4 4 3" xfId="28398"/>
    <cellStyle name="Currency 4 2 4 5" xfId="16375"/>
    <cellStyle name="Currency 4 2 4 5 2" xfId="30400"/>
    <cellStyle name="Currency 4 2 4 6" xfId="18377"/>
    <cellStyle name="Currency 4 2 4 6 2" xfId="32402"/>
    <cellStyle name="Currency 4 2 4 7" xfId="24391"/>
    <cellStyle name="Currency 4 2 5" xfId="1617"/>
    <cellStyle name="Currency 4 2 5 2" xfId="1618"/>
    <cellStyle name="Currency 4 2 5 2 2" xfId="12357"/>
    <cellStyle name="Currency 4 2 5 2 2 2" xfId="20382"/>
    <cellStyle name="Currency 4 2 5 2 2 2 2" xfId="34407"/>
    <cellStyle name="Currency 4 2 5 2 2 3" xfId="26396"/>
    <cellStyle name="Currency 4 2 5 2 3" xfId="14372"/>
    <cellStyle name="Currency 4 2 5 2 3 2" xfId="22387"/>
    <cellStyle name="Currency 4 2 5 2 3 2 2" xfId="36412"/>
    <cellStyle name="Currency 4 2 5 2 3 3" xfId="28401"/>
    <cellStyle name="Currency 4 2 5 2 4" xfId="16378"/>
    <cellStyle name="Currency 4 2 5 2 4 2" xfId="30403"/>
    <cellStyle name="Currency 4 2 5 2 5" xfId="18380"/>
    <cellStyle name="Currency 4 2 5 2 5 2" xfId="32405"/>
    <cellStyle name="Currency 4 2 5 2 6" xfId="24394"/>
    <cellStyle name="Currency 4 2 5 3" xfId="12356"/>
    <cellStyle name="Currency 4 2 5 3 2" xfId="20381"/>
    <cellStyle name="Currency 4 2 5 3 2 2" xfId="34406"/>
    <cellStyle name="Currency 4 2 5 3 3" xfId="26395"/>
    <cellStyle name="Currency 4 2 5 4" xfId="14371"/>
    <cellStyle name="Currency 4 2 5 4 2" xfId="22386"/>
    <cellStyle name="Currency 4 2 5 4 2 2" xfId="36411"/>
    <cellStyle name="Currency 4 2 5 4 3" xfId="28400"/>
    <cellStyle name="Currency 4 2 5 5" xfId="16377"/>
    <cellStyle name="Currency 4 2 5 5 2" xfId="30402"/>
    <cellStyle name="Currency 4 2 5 6" xfId="18379"/>
    <cellStyle name="Currency 4 2 5 6 2" xfId="32404"/>
    <cellStyle name="Currency 4 2 5 7" xfId="24393"/>
    <cellStyle name="Currency 4 2 6" xfId="1619"/>
    <cellStyle name="Currency 4 2 6 2" xfId="12358"/>
    <cellStyle name="Currency 4 2 6 2 2" xfId="20383"/>
    <cellStyle name="Currency 4 2 6 2 2 2" xfId="34408"/>
    <cellStyle name="Currency 4 2 6 2 3" xfId="26397"/>
    <cellStyle name="Currency 4 2 6 3" xfId="14373"/>
    <cellStyle name="Currency 4 2 6 3 2" xfId="22388"/>
    <cellStyle name="Currency 4 2 6 3 2 2" xfId="36413"/>
    <cellStyle name="Currency 4 2 6 3 3" xfId="28402"/>
    <cellStyle name="Currency 4 2 6 4" xfId="16379"/>
    <cellStyle name="Currency 4 2 6 4 2" xfId="30404"/>
    <cellStyle name="Currency 4 2 6 5" xfId="18381"/>
    <cellStyle name="Currency 4 2 6 5 2" xfId="32406"/>
    <cellStyle name="Currency 4 2 6 6" xfId="24395"/>
    <cellStyle name="Currency 4 2 7" xfId="12339"/>
    <cellStyle name="Currency 4 2 7 2" xfId="20364"/>
    <cellStyle name="Currency 4 2 7 2 2" xfId="34389"/>
    <cellStyle name="Currency 4 2 7 3" xfId="26378"/>
    <cellStyle name="Currency 4 2 8" xfId="14354"/>
    <cellStyle name="Currency 4 2 8 2" xfId="22369"/>
    <cellStyle name="Currency 4 2 8 2 2" xfId="36394"/>
    <cellStyle name="Currency 4 2 8 3" xfId="28383"/>
    <cellStyle name="Currency 4 2 9" xfId="16360"/>
    <cellStyle name="Currency 4 2 9 2" xfId="30385"/>
    <cellStyle name="Currency 4 3" xfId="1620"/>
    <cellStyle name="Currency 4 3 10" xfId="24396"/>
    <cellStyle name="Currency 4 3 2" xfId="1621"/>
    <cellStyle name="Currency 4 3 2 2" xfId="1622"/>
    <cellStyle name="Currency 4 3 2 2 2" xfId="1623"/>
    <cellStyle name="Currency 4 3 2 2 2 2" xfId="12362"/>
    <cellStyle name="Currency 4 3 2 2 2 2 2" xfId="20387"/>
    <cellStyle name="Currency 4 3 2 2 2 2 2 2" xfId="34412"/>
    <cellStyle name="Currency 4 3 2 2 2 2 3" xfId="26401"/>
    <cellStyle name="Currency 4 3 2 2 2 3" xfId="14377"/>
    <cellStyle name="Currency 4 3 2 2 2 3 2" xfId="22392"/>
    <cellStyle name="Currency 4 3 2 2 2 3 2 2" xfId="36417"/>
    <cellStyle name="Currency 4 3 2 2 2 3 3" xfId="28406"/>
    <cellStyle name="Currency 4 3 2 2 2 4" xfId="16383"/>
    <cellStyle name="Currency 4 3 2 2 2 4 2" xfId="30408"/>
    <cellStyle name="Currency 4 3 2 2 2 5" xfId="18385"/>
    <cellStyle name="Currency 4 3 2 2 2 5 2" xfId="32410"/>
    <cellStyle name="Currency 4 3 2 2 2 6" xfId="24399"/>
    <cellStyle name="Currency 4 3 2 2 3" xfId="12361"/>
    <cellStyle name="Currency 4 3 2 2 3 2" xfId="20386"/>
    <cellStyle name="Currency 4 3 2 2 3 2 2" xfId="34411"/>
    <cellStyle name="Currency 4 3 2 2 3 3" xfId="26400"/>
    <cellStyle name="Currency 4 3 2 2 4" xfId="14376"/>
    <cellStyle name="Currency 4 3 2 2 4 2" xfId="22391"/>
    <cellStyle name="Currency 4 3 2 2 4 2 2" xfId="36416"/>
    <cellStyle name="Currency 4 3 2 2 4 3" xfId="28405"/>
    <cellStyle name="Currency 4 3 2 2 5" xfId="16382"/>
    <cellStyle name="Currency 4 3 2 2 5 2" xfId="30407"/>
    <cellStyle name="Currency 4 3 2 2 6" xfId="18384"/>
    <cellStyle name="Currency 4 3 2 2 6 2" xfId="32409"/>
    <cellStyle name="Currency 4 3 2 2 7" xfId="24398"/>
    <cellStyle name="Currency 4 3 2 3" xfId="1624"/>
    <cellStyle name="Currency 4 3 2 3 2" xfId="12363"/>
    <cellStyle name="Currency 4 3 2 3 2 2" xfId="20388"/>
    <cellStyle name="Currency 4 3 2 3 2 2 2" xfId="34413"/>
    <cellStyle name="Currency 4 3 2 3 2 3" xfId="26402"/>
    <cellStyle name="Currency 4 3 2 3 3" xfId="14378"/>
    <cellStyle name="Currency 4 3 2 3 3 2" xfId="22393"/>
    <cellStyle name="Currency 4 3 2 3 3 2 2" xfId="36418"/>
    <cellStyle name="Currency 4 3 2 3 3 3" xfId="28407"/>
    <cellStyle name="Currency 4 3 2 3 4" xfId="16384"/>
    <cellStyle name="Currency 4 3 2 3 4 2" xfId="30409"/>
    <cellStyle name="Currency 4 3 2 3 5" xfId="18386"/>
    <cellStyle name="Currency 4 3 2 3 5 2" xfId="32411"/>
    <cellStyle name="Currency 4 3 2 3 6" xfId="24400"/>
    <cellStyle name="Currency 4 3 2 4" xfId="12360"/>
    <cellStyle name="Currency 4 3 2 4 2" xfId="20385"/>
    <cellStyle name="Currency 4 3 2 4 2 2" xfId="34410"/>
    <cellStyle name="Currency 4 3 2 4 3" xfId="26399"/>
    <cellStyle name="Currency 4 3 2 5" xfId="14375"/>
    <cellStyle name="Currency 4 3 2 5 2" xfId="22390"/>
    <cellStyle name="Currency 4 3 2 5 2 2" xfId="36415"/>
    <cellStyle name="Currency 4 3 2 5 3" xfId="28404"/>
    <cellStyle name="Currency 4 3 2 6" xfId="16381"/>
    <cellStyle name="Currency 4 3 2 6 2" xfId="30406"/>
    <cellStyle name="Currency 4 3 2 7" xfId="18383"/>
    <cellStyle name="Currency 4 3 2 7 2" xfId="32408"/>
    <cellStyle name="Currency 4 3 2 8" xfId="24397"/>
    <cellStyle name="Currency 4 3 3" xfId="1625"/>
    <cellStyle name="Currency 4 3 3 2" xfId="1626"/>
    <cellStyle name="Currency 4 3 3 2 2" xfId="12365"/>
    <cellStyle name="Currency 4 3 3 2 2 2" xfId="20390"/>
    <cellStyle name="Currency 4 3 3 2 2 2 2" xfId="34415"/>
    <cellStyle name="Currency 4 3 3 2 2 3" xfId="26404"/>
    <cellStyle name="Currency 4 3 3 2 3" xfId="14380"/>
    <cellStyle name="Currency 4 3 3 2 3 2" xfId="22395"/>
    <cellStyle name="Currency 4 3 3 2 3 2 2" xfId="36420"/>
    <cellStyle name="Currency 4 3 3 2 3 3" xfId="28409"/>
    <cellStyle name="Currency 4 3 3 2 4" xfId="16386"/>
    <cellStyle name="Currency 4 3 3 2 4 2" xfId="30411"/>
    <cellStyle name="Currency 4 3 3 2 5" xfId="18388"/>
    <cellStyle name="Currency 4 3 3 2 5 2" xfId="32413"/>
    <cellStyle name="Currency 4 3 3 2 6" xfId="24402"/>
    <cellStyle name="Currency 4 3 3 3" xfId="12364"/>
    <cellStyle name="Currency 4 3 3 3 2" xfId="20389"/>
    <cellStyle name="Currency 4 3 3 3 2 2" xfId="34414"/>
    <cellStyle name="Currency 4 3 3 3 3" xfId="26403"/>
    <cellStyle name="Currency 4 3 3 4" xfId="14379"/>
    <cellStyle name="Currency 4 3 3 4 2" xfId="22394"/>
    <cellStyle name="Currency 4 3 3 4 2 2" xfId="36419"/>
    <cellStyle name="Currency 4 3 3 4 3" xfId="28408"/>
    <cellStyle name="Currency 4 3 3 5" xfId="16385"/>
    <cellStyle name="Currency 4 3 3 5 2" xfId="30410"/>
    <cellStyle name="Currency 4 3 3 6" xfId="18387"/>
    <cellStyle name="Currency 4 3 3 6 2" xfId="32412"/>
    <cellStyle name="Currency 4 3 3 7" xfId="24401"/>
    <cellStyle name="Currency 4 3 4" xfId="1627"/>
    <cellStyle name="Currency 4 3 4 2" xfId="1628"/>
    <cellStyle name="Currency 4 3 4 2 2" xfId="12367"/>
    <cellStyle name="Currency 4 3 4 2 2 2" xfId="20392"/>
    <cellStyle name="Currency 4 3 4 2 2 2 2" xfId="34417"/>
    <cellStyle name="Currency 4 3 4 2 2 3" xfId="26406"/>
    <cellStyle name="Currency 4 3 4 2 3" xfId="14382"/>
    <cellStyle name="Currency 4 3 4 2 3 2" xfId="22397"/>
    <cellStyle name="Currency 4 3 4 2 3 2 2" xfId="36422"/>
    <cellStyle name="Currency 4 3 4 2 3 3" xfId="28411"/>
    <cellStyle name="Currency 4 3 4 2 4" xfId="16388"/>
    <cellStyle name="Currency 4 3 4 2 4 2" xfId="30413"/>
    <cellStyle name="Currency 4 3 4 2 5" xfId="18390"/>
    <cellStyle name="Currency 4 3 4 2 5 2" xfId="32415"/>
    <cellStyle name="Currency 4 3 4 2 6" xfId="24404"/>
    <cellStyle name="Currency 4 3 4 3" xfId="12366"/>
    <cellStyle name="Currency 4 3 4 3 2" xfId="20391"/>
    <cellStyle name="Currency 4 3 4 3 2 2" xfId="34416"/>
    <cellStyle name="Currency 4 3 4 3 3" xfId="26405"/>
    <cellStyle name="Currency 4 3 4 4" xfId="14381"/>
    <cellStyle name="Currency 4 3 4 4 2" xfId="22396"/>
    <cellStyle name="Currency 4 3 4 4 2 2" xfId="36421"/>
    <cellStyle name="Currency 4 3 4 4 3" xfId="28410"/>
    <cellStyle name="Currency 4 3 4 5" xfId="16387"/>
    <cellStyle name="Currency 4 3 4 5 2" xfId="30412"/>
    <cellStyle name="Currency 4 3 4 6" xfId="18389"/>
    <cellStyle name="Currency 4 3 4 6 2" xfId="32414"/>
    <cellStyle name="Currency 4 3 4 7" xfId="24403"/>
    <cellStyle name="Currency 4 3 5" xfId="1629"/>
    <cellStyle name="Currency 4 3 5 2" xfId="12368"/>
    <cellStyle name="Currency 4 3 5 2 2" xfId="20393"/>
    <cellStyle name="Currency 4 3 5 2 2 2" xfId="34418"/>
    <cellStyle name="Currency 4 3 5 2 3" xfId="26407"/>
    <cellStyle name="Currency 4 3 5 3" xfId="14383"/>
    <cellStyle name="Currency 4 3 5 3 2" xfId="22398"/>
    <cellStyle name="Currency 4 3 5 3 2 2" xfId="36423"/>
    <cellStyle name="Currency 4 3 5 3 3" xfId="28412"/>
    <cellStyle name="Currency 4 3 5 4" xfId="16389"/>
    <cellStyle name="Currency 4 3 5 4 2" xfId="30414"/>
    <cellStyle name="Currency 4 3 5 5" xfId="18391"/>
    <cellStyle name="Currency 4 3 5 5 2" xfId="32416"/>
    <cellStyle name="Currency 4 3 5 6" xfId="24405"/>
    <cellStyle name="Currency 4 3 6" xfId="12359"/>
    <cellStyle name="Currency 4 3 6 2" xfId="20384"/>
    <cellStyle name="Currency 4 3 6 2 2" xfId="34409"/>
    <cellStyle name="Currency 4 3 6 3" xfId="26398"/>
    <cellStyle name="Currency 4 3 7" xfId="14374"/>
    <cellStyle name="Currency 4 3 7 2" xfId="22389"/>
    <cellStyle name="Currency 4 3 7 2 2" xfId="36414"/>
    <cellStyle name="Currency 4 3 7 3" xfId="28403"/>
    <cellStyle name="Currency 4 3 8" xfId="16380"/>
    <cellStyle name="Currency 4 3 8 2" xfId="30405"/>
    <cellStyle name="Currency 4 3 9" xfId="18382"/>
    <cellStyle name="Currency 4 3 9 2" xfId="32407"/>
    <cellStyle name="Currency 4 4" xfId="1630"/>
    <cellStyle name="Currency 4 4 2" xfId="1631"/>
    <cellStyle name="Currency 4 4 2 2" xfId="1632"/>
    <cellStyle name="Currency 4 4 2 2 2" xfId="12371"/>
    <cellStyle name="Currency 4 4 2 2 2 2" xfId="20396"/>
    <cellStyle name="Currency 4 4 2 2 2 2 2" xfId="34421"/>
    <cellStyle name="Currency 4 4 2 2 2 3" xfId="26410"/>
    <cellStyle name="Currency 4 4 2 2 3" xfId="14386"/>
    <cellStyle name="Currency 4 4 2 2 3 2" xfId="22401"/>
    <cellStyle name="Currency 4 4 2 2 3 2 2" xfId="36426"/>
    <cellStyle name="Currency 4 4 2 2 3 3" xfId="28415"/>
    <cellStyle name="Currency 4 4 2 2 4" xfId="16392"/>
    <cellStyle name="Currency 4 4 2 2 4 2" xfId="30417"/>
    <cellStyle name="Currency 4 4 2 2 5" xfId="18394"/>
    <cellStyle name="Currency 4 4 2 2 5 2" xfId="32419"/>
    <cellStyle name="Currency 4 4 2 2 6" xfId="24408"/>
    <cellStyle name="Currency 4 4 2 3" xfId="12370"/>
    <cellStyle name="Currency 4 4 2 3 2" xfId="20395"/>
    <cellStyle name="Currency 4 4 2 3 2 2" xfId="34420"/>
    <cellStyle name="Currency 4 4 2 3 3" xfId="26409"/>
    <cellStyle name="Currency 4 4 2 4" xfId="14385"/>
    <cellStyle name="Currency 4 4 2 4 2" xfId="22400"/>
    <cellStyle name="Currency 4 4 2 4 2 2" xfId="36425"/>
    <cellStyle name="Currency 4 4 2 4 3" xfId="28414"/>
    <cellStyle name="Currency 4 4 2 5" xfId="16391"/>
    <cellStyle name="Currency 4 4 2 5 2" xfId="30416"/>
    <cellStyle name="Currency 4 4 2 6" xfId="18393"/>
    <cellStyle name="Currency 4 4 2 6 2" xfId="32418"/>
    <cellStyle name="Currency 4 4 2 7" xfId="24407"/>
    <cellStyle name="Currency 4 4 3" xfId="1633"/>
    <cellStyle name="Currency 4 4 3 2" xfId="12372"/>
    <cellStyle name="Currency 4 4 3 2 2" xfId="20397"/>
    <cellStyle name="Currency 4 4 3 2 2 2" xfId="34422"/>
    <cellStyle name="Currency 4 4 3 2 3" xfId="26411"/>
    <cellStyle name="Currency 4 4 3 3" xfId="14387"/>
    <cellStyle name="Currency 4 4 3 3 2" xfId="22402"/>
    <cellStyle name="Currency 4 4 3 3 2 2" xfId="36427"/>
    <cellStyle name="Currency 4 4 3 3 3" xfId="28416"/>
    <cellStyle name="Currency 4 4 3 4" xfId="16393"/>
    <cellStyle name="Currency 4 4 3 4 2" xfId="30418"/>
    <cellStyle name="Currency 4 4 3 5" xfId="18395"/>
    <cellStyle name="Currency 4 4 3 5 2" xfId="32420"/>
    <cellStyle name="Currency 4 4 3 6" xfId="24409"/>
    <cellStyle name="Currency 4 4 4" xfId="12369"/>
    <cellStyle name="Currency 4 4 4 2" xfId="20394"/>
    <cellStyle name="Currency 4 4 4 2 2" xfId="34419"/>
    <cellStyle name="Currency 4 4 4 3" xfId="26408"/>
    <cellStyle name="Currency 4 4 5" xfId="14384"/>
    <cellStyle name="Currency 4 4 5 2" xfId="22399"/>
    <cellStyle name="Currency 4 4 5 2 2" xfId="36424"/>
    <cellStyle name="Currency 4 4 5 3" xfId="28413"/>
    <cellStyle name="Currency 4 4 6" xfId="16390"/>
    <cellStyle name="Currency 4 4 6 2" xfId="30415"/>
    <cellStyle name="Currency 4 4 7" xfId="18392"/>
    <cellStyle name="Currency 4 4 7 2" xfId="32417"/>
    <cellStyle name="Currency 4 4 8" xfId="24406"/>
    <cellStyle name="Currency 4 5" xfId="1634"/>
    <cellStyle name="Currency 4 5 2" xfId="1635"/>
    <cellStyle name="Currency 4 5 2 2" xfId="12374"/>
    <cellStyle name="Currency 4 5 2 2 2" xfId="20399"/>
    <cellStyle name="Currency 4 5 2 2 2 2" xfId="34424"/>
    <cellStyle name="Currency 4 5 2 2 3" xfId="26413"/>
    <cellStyle name="Currency 4 5 2 3" xfId="14389"/>
    <cellStyle name="Currency 4 5 2 3 2" xfId="22404"/>
    <cellStyle name="Currency 4 5 2 3 2 2" xfId="36429"/>
    <cellStyle name="Currency 4 5 2 3 3" xfId="28418"/>
    <cellStyle name="Currency 4 5 2 4" xfId="16395"/>
    <cellStyle name="Currency 4 5 2 4 2" xfId="30420"/>
    <cellStyle name="Currency 4 5 2 5" xfId="18397"/>
    <cellStyle name="Currency 4 5 2 5 2" xfId="32422"/>
    <cellStyle name="Currency 4 5 2 6" xfId="24411"/>
    <cellStyle name="Currency 4 5 3" xfId="12373"/>
    <cellStyle name="Currency 4 5 3 2" xfId="20398"/>
    <cellStyle name="Currency 4 5 3 2 2" xfId="34423"/>
    <cellStyle name="Currency 4 5 3 3" xfId="26412"/>
    <cellStyle name="Currency 4 5 4" xfId="14388"/>
    <cellStyle name="Currency 4 5 4 2" xfId="22403"/>
    <cellStyle name="Currency 4 5 4 2 2" xfId="36428"/>
    <cellStyle name="Currency 4 5 4 3" xfId="28417"/>
    <cellStyle name="Currency 4 5 5" xfId="16394"/>
    <cellStyle name="Currency 4 5 5 2" xfId="30419"/>
    <cellStyle name="Currency 4 5 6" xfId="18396"/>
    <cellStyle name="Currency 4 5 6 2" xfId="32421"/>
    <cellStyle name="Currency 4 5 7" xfId="24410"/>
    <cellStyle name="Currency 4 6" xfId="1636"/>
    <cellStyle name="Currency 4 6 2" xfId="1637"/>
    <cellStyle name="Currency 4 6 2 2" xfId="12376"/>
    <cellStyle name="Currency 4 6 2 2 2" xfId="20401"/>
    <cellStyle name="Currency 4 6 2 2 2 2" xfId="34426"/>
    <cellStyle name="Currency 4 6 2 2 3" xfId="26415"/>
    <cellStyle name="Currency 4 6 2 3" xfId="14391"/>
    <cellStyle name="Currency 4 6 2 3 2" xfId="22406"/>
    <cellStyle name="Currency 4 6 2 3 2 2" xfId="36431"/>
    <cellStyle name="Currency 4 6 2 3 3" xfId="28420"/>
    <cellStyle name="Currency 4 6 2 4" xfId="16397"/>
    <cellStyle name="Currency 4 6 2 4 2" xfId="30422"/>
    <cellStyle name="Currency 4 6 2 5" xfId="18399"/>
    <cellStyle name="Currency 4 6 2 5 2" xfId="32424"/>
    <cellStyle name="Currency 4 6 2 6" xfId="24413"/>
    <cellStyle name="Currency 4 6 3" xfId="12375"/>
    <cellStyle name="Currency 4 6 3 2" xfId="20400"/>
    <cellStyle name="Currency 4 6 3 2 2" xfId="34425"/>
    <cellStyle name="Currency 4 6 3 3" xfId="26414"/>
    <cellStyle name="Currency 4 6 4" xfId="14390"/>
    <cellStyle name="Currency 4 6 4 2" xfId="22405"/>
    <cellStyle name="Currency 4 6 4 2 2" xfId="36430"/>
    <cellStyle name="Currency 4 6 4 3" xfId="28419"/>
    <cellStyle name="Currency 4 6 5" xfId="16396"/>
    <cellStyle name="Currency 4 6 5 2" xfId="30421"/>
    <cellStyle name="Currency 4 6 6" xfId="18398"/>
    <cellStyle name="Currency 4 6 6 2" xfId="32423"/>
    <cellStyle name="Currency 4 6 7" xfId="24412"/>
    <cellStyle name="Currency 4 7" xfId="1638"/>
    <cellStyle name="Currency 4 7 2" xfId="12377"/>
    <cellStyle name="Currency 4 7 2 2" xfId="20402"/>
    <cellStyle name="Currency 4 7 2 2 2" xfId="34427"/>
    <cellStyle name="Currency 4 7 2 3" xfId="26416"/>
    <cellStyle name="Currency 4 7 3" xfId="14392"/>
    <cellStyle name="Currency 4 7 3 2" xfId="22407"/>
    <cellStyle name="Currency 4 7 3 2 2" xfId="36432"/>
    <cellStyle name="Currency 4 7 3 3" xfId="28421"/>
    <cellStyle name="Currency 4 7 4" xfId="16398"/>
    <cellStyle name="Currency 4 7 4 2" xfId="30423"/>
    <cellStyle name="Currency 4 7 5" xfId="18400"/>
    <cellStyle name="Currency 4 7 5 2" xfId="32425"/>
    <cellStyle name="Currency 4 7 6" xfId="24414"/>
    <cellStyle name="Currency 4 8" xfId="11624"/>
    <cellStyle name="Currency 5" xfId="442"/>
    <cellStyle name="Currency 5 2" xfId="1639"/>
    <cellStyle name="Currency 5 2 10" xfId="16399"/>
    <cellStyle name="Currency 5 2 10 2" xfId="30424"/>
    <cellStyle name="Currency 5 2 11" xfId="18401"/>
    <cellStyle name="Currency 5 2 11 2" xfId="32426"/>
    <cellStyle name="Currency 5 2 12" xfId="24415"/>
    <cellStyle name="Currency 5 2 2" xfId="1640"/>
    <cellStyle name="Currency 5 2 2 10" xfId="18402"/>
    <cellStyle name="Currency 5 2 2 10 2" xfId="32427"/>
    <cellStyle name="Currency 5 2 2 11" xfId="24416"/>
    <cellStyle name="Currency 5 2 2 2" xfId="1641"/>
    <cellStyle name="Currency 5 2 2 2 10" xfId="24417"/>
    <cellStyle name="Currency 5 2 2 2 2" xfId="1642"/>
    <cellStyle name="Currency 5 2 2 2 2 2" xfId="1643"/>
    <cellStyle name="Currency 5 2 2 2 2 2 2" xfId="1644"/>
    <cellStyle name="Currency 5 2 2 2 2 2 2 2" xfId="12383"/>
    <cellStyle name="Currency 5 2 2 2 2 2 2 2 2" xfId="20408"/>
    <cellStyle name="Currency 5 2 2 2 2 2 2 2 2 2" xfId="34433"/>
    <cellStyle name="Currency 5 2 2 2 2 2 2 2 3" xfId="26422"/>
    <cellStyle name="Currency 5 2 2 2 2 2 2 3" xfId="14398"/>
    <cellStyle name="Currency 5 2 2 2 2 2 2 3 2" xfId="22413"/>
    <cellStyle name="Currency 5 2 2 2 2 2 2 3 2 2" xfId="36438"/>
    <cellStyle name="Currency 5 2 2 2 2 2 2 3 3" xfId="28427"/>
    <cellStyle name="Currency 5 2 2 2 2 2 2 4" xfId="16404"/>
    <cellStyle name="Currency 5 2 2 2 2 2 2 4 2" xfId="30429"/>
    <cellStyle name="Currency 5 2 2 2 2 2 2 5" xfId="18406"/>
    <cellStyle name="Currency 5 2 2 2 2 2 2 5 2" xfId="32431"/>
    <cellStyle name="Currency 5 2 2 2 2 2 2 6" xfId="24420"/>
    <cellStyle name="Currency 5 2 2 2 2 2 3" xfId="12382"/>
    <cellStyle name="Currency 5 2 2 2 2 2 3 2" xfId="20407"/>
    <cellStyle name="Currency 5 2 2 2 2 2 3 2 2" xfId="34432"/>
    <cellStyle name="Currency 5 2 2 2 2 2 3 3" xfId="26421"/>
    <cellStyle name="Currency 5 2 2 2 2 2 4" xfId="14397"/>
    <cellStyle name="Currency 5 2 2 2 2 2 4 2" xfId="22412"/>
    <cellStyle name="Currency 5 2 2 2 2 2 4 2 2" xfId="36437"/>
    <cellStyle name="Currency 5 2 2 2 2 2 4 3" xfId="28426"/>
    <cellStyle name="Currency 5 2 2 2 2 2 5" xfId="16403"/>
    <cellStyle name="Currency 5 2 2 2 2 2 5 2" xfId="30428"/>
    <cellStyle name="Currency 5 2 2 2 2 2 6" xfId="18405"/>
    <cellStyle name="Currency 5 2 2 2 2 2 6 2" xfId="32430"/>
    <cellStyle name="Currency 5 2 2 2 2 2 7" xfId="24419"/>
    <cellStyle name="Currency 5 2 2 2 2 3" xfId="1645"/>
    <cellStyle name="Currency 5 2 2 2 2 3 2" xfId="12384"/>
    <cellStyle name="Currency 5 2 2 2 2 3 2 2" xfId="20409"/>
    <cellStyle name="Currency 5 2 2 2 2 3 2 2 2" xfId="34434"/>
    <cellStyle name="Currency 5 2 2 2 2 3 2 3" xfId="26423"/>
    <cellStyle name="Currency 5 2 2 2 2 3 3" xfId="14399"/>
    <cellStyle name="Currency 5 2 2 2 2 3 3 2" xfId="22414"/>
    <cellStyle name="Currency 5 2 2 2 2 3 3 2 2" xfId="36439"/>
    <cellStyle name="Currency 5 2 2 2 2 3 3 3" xfId="28428"/>
    <cellStyle name="Currency 5 2 2 2 2 3 4" xfId="16405"/>
    <cellStyle name="Currency 5 2 2 2 2 3 4 2" xfId="30430"/>
    <cellStyle name="Currency 5 2 2 2 2 3 5" xfId="18407"/>
    <cellStyle name="Currency 5 2 2 2 2 3 5 2" xfId="32432"/>
    <cellStyle name="Currency 5 2 2 2 2 3 6" xfId="24421"/>
    <cellStyle name="Currency 5 2 2 2 2 4" xfId="12381"/>
    <cellStyle name="Currency 5 2 2 2 2 4 2" xfId="20406"/>
    <cellStyle name="Currency 5 2 2 2 2 4 2 2" xfId="34431"/>
    <cellStyle name="Currency 5 2 2 2 2 4 3" xfId="26420"/>
    <cellStyle name="Currency 5 2 2 2 2 5" xfId="14396"/>
    <cellStyle name="Currency 5 2 2 2 2 5 2" xfId="22411"/>
    <cellStyle name="Currency 5 2 2 2 2 5 2 2" xfId="36436"/>
    <cellStyle name="Currency 5 2 2 2 2 5 3" xfId="28425"/>
    <cellStyle name="Currency 5 2 2 2 2 6" xfId="16402"/>
    <cellStyle name="Currency 5 2 2 2 2 6 2" xfId="30427"/>
    <cellStyle name="Currency 5 2 2 2 2 7" xfId="18404"/>
    <cellStyle name="Currency 5 2 2 2 2 7 2" xfId="32429"/>
    <cellStyle name="Currency 5 2 2 2 2 8" xfId="24418"/>
    <cellStyle name="Currency 5 2 2 2 3" xfId="1646"/>
    <cellStyle name="Currency 5 2 2 2 3 2" xfId="1647"/>
    <cellStyle name="Currency 5 2 2 2 3 2 2" xfId="12386"/>
    <cellStyle name="Currency 5 2 2 2 3 2 2 2" xfId="20411"/>
    <cellStyle name="Currency 5 2 2 2 3 2 2 2 2" xfId="34436"/>
    <cellStyle name="Currency 5 2 2 2 3 2 2 3" xfId="26425"/>
    <cellStyle name="Currency 5 2 2 2 3 2 3" xfId="14401"/>
    <cellStyle name="Currency 5 2 2 2 3 2 3 2" xfId="22416"/>
    <cellStyle name="Currency 5 2 2 2 3 2 3 2 2" xfId="36441"/>
    <cellStyle name="Currency 5 2 2 2 3 2 3 3" xfId="28430"/>
    <cellStyle name="Currency 5 2 2 2 3 2 4" xfId="16407"/>
    <cellStyle name="Currency 5 2 2 2 3 2 4 2" xfId="30432"/>
    <cellStyle name="Currency 5 2 2 2 3 2 5" xfId="18409"/>
    <cellStyle name="Currency 5 2 2 2 3 2 5 2" xfId="32434"/>
    <cellStyle name="Currency 5 2 2 2 3 2 6" xfId="24423"/>
    <cellStyle name="Currency 5 2 2 2 3 3" xfId="12385"/>
    <cellStyle name="Currency 5 2 2 2 3 3 2" xfId="20410"/>
    <cellStyle name="Currency 5 2 2 2 3 3 2 2" xfId="34435"/>
    <cellStyle name="Currency 5 2 2 2 3 3 3" xfId="26424"/>
    <cellStyle name="Currency 5 2 2 2 3 4" xfId="14400"/>
    <cellStyle name="Currency 5 2 2 2 3 4 2" xfId="22415"/>
    <cellStyle name="Currency 5 2 2 2 3 4 2 2" xfId="36440"/>
    <cellStyle name="Currency 5 2 2 2 3 4 3" xfId="28429"/>
    <cellStyle name="Currency 5 2 2 2 3 5" xfId="16406"/>
    <cellStyle name="Currency 5 2 2 2 3 5 2" xfId="30431"/>
    <cellStyle name="Currency 5 2 2 2 3 6" xfId="18408"/>
    <cellStyle name="Currency 5 2 2 2 3 6 2" xfId="32433"/>
    <cellStyle name="Currency 5 2 2 2 3 7" xfId="24422"/>
    <cellStyle name="Currency 5 2 2 2 4" xfId="1648"/>
    <cellStyle name="Currency 5 2 2 2 4 2" xfId="1649"/>
    <cellStyle name="Currency 5 2 2 2 4 2 2" xfId="12388"/>
    <cellStyle name="Currency 5 2 2 2 4 2 2 2" xfId="20413"/>
    <cellStyle name="Currency 5 2 2 2 4 2 2 2 2" xfId="34438"/>
    <cellStyle name="Currency 5 2 2 2 4 2 2 3" xfId="26427"/>
    <cellStyle name="Currency 5 2 2 2 4 2 3" xfId="14403"/>
    <cellStyle name="Currency 5 2 2 2 4 2 3 2" xfId="22418"/>
    <cellStyle name="Currency 5 2 2 2 4 2 3 2 2" xfId="36443"/>
    <cellStyle name="Currency 5 2 2 2 4 2 3 3" xfId="28432"/>
    <cellStyle name="Currency 5 2 2 2 4 2 4" xfId="16409"/>
    <cellStyle name="Currency 5 2 2 2 4 2 4 2" xfId="30434"/>
    <cellStyle name="Currency 5 2 2 2 4 2 5" xfId="18411"/>
    <cellStyle name="Currency 5 2 2 2 4 2 5 2" xfId="32436"/>
    <cellStyle name="Currency 5 2 2 2 4 2 6" xfId="24425"/>
    <cellStyle name="Currency 5 2 2 2 4 3" xfId="12387"/>
    <cellStyle name="Currency 5 2 2 2 4 3 2" xfId="20412"/>
    <cellStyle name="Currency 5 2 2 2 4 3 2 2" xfId="34437"/>
    <cellStyle name="Currency 5 2 2 2 4 3 3" xfId="26426"/>
    <cellStyle name="Currency 5 2 2 2 4 4" xfId="14402"/>
    <cellStyle name="Currency 5 2 2 2 4 4 2" xfId="22417"/>
    <cellStyle name="Currency 5 2 2 2 4 4 2 2" xfId="36442"/>
    <cellStyle name="Currency 5 2 2 2 4 4 3" xfId="28431"/>
    <cellStyle name="Currency 5 2 2 2 4 5" xfId="16408"/>
    <cellStyle name="Currency 5 2 2 2 4 5 2" xfId="30433"/>
    <cellStyle name="Currency 5 2 2 2 4 6" xfId="18410"/>
    <cellStyle name="Currency 5 2 2 2 4 6 2" xfId="32435"/>
    <cellStyle name="Currency 5 2 2 2 4 7" xfId="24424"/>
    <cellStyle name="Currency 5 2 2 2 5" xfId="1650"/>
    <cellStyle name="Currency 5 2 2 2 5 2" xfId="12389"/>
    <cellStyle name="Currency 5 2 2 2 5 2 2" xfId="20414"/>
    <cellStyle name="Currency 5 2 2 2 5 2 2 2" xfId="34439"/>
    <cellStyle name="Currency 5 2 2 2 5 2 3" xfId="26428"/>
    <cellStyle name="Currency 5 2 2 2 5 3" xfId="14404"/>
    <cellStyle name="Currency 5 2 2 2 5 3 2" xfId="22419"/>
    <cellStyle name="Currency 5 2 2 2 5 3 2 2" xfId="36444"/>
    <cellStyle name="Currency 5 2 2 2 5 3 3" xfId="28433"/>
    <cellStyle name="Currency 5 2 2 2 5 4" xfId="16410"/>
    <cellStyle name="Currency 5 2 2 2 5 4 2" xfId="30435"/>
    <cellStyle name="Currency 5 2 2 2 5 5" xfId="18412"/>
    <cellStyle name="Currency 5 2 2 2 5 5 2" xfId="32437"/>
    <cellStyle name="Currency 5 2 2 2 5 6" xfId="24426"/>
    <cellStyle name="Currency 5 2 2 2 6" xfId="12380"/>
    <cellStyle name="Currency 5 2 2 2 6 2" xfId="20405"/>
    <cellStyle name="Currency 5 2 2 2 6 2 2" xfId="34430"/>
    <cellStyle name="Currency 5 2 2 2 6 3" xfId="26419"/>
    <cellStyle name="Currency 5 2 2 2 7" xfId="14395"/>
    <cellStyle name="Currency 5 2 2 2 7 2" xfId="22410"/>
    <cellStyle name="Currency 5 2 2 2 7 2 2" xfId="36435"/>
    <cellStyle name="Currency 5 2 2 2 7 3" xfId="28424"/>
    <cellStyle name="Currency 5 2 2 2 8" xfId="16401"/>
    <cellStyle name="Currency 5 2 2 2 8 2" xfId="30426"/>
    <cellStyle name="Currency 5 2 2 2 9" xfId="18403"/>
    <cellStyle name="Currency 5 2 2 2 9 2" xfId="32428"/>
    <cellStyle name="Currency 5 2 2 3" xfId="1651"/>
    <cellStyle name="Currency 5 2 2 3 2" xfId="1652"/>
    <cellStyle name="Currency 5 2 2 3 2 2" xfId="1653"/>
    <cellStyle name="Currency 5 2 2 3 2 2 2" xfId="12392"/>
    <cellStyle name="Currency 5 2 2 3 2 2 2 2" xfId="20417"/>
    <cellStyle name="Currency 5 2 2 3 2 2 2 2 2" xfId="34442"/>
    <cellStyle name="Currency 5 2 2 3 2 2 2 3" xfId="26431"/>
    <cellStyle name="Currency 5 2 2 3 2 2 3" xfId="14407"/>
    <cellStyle name="Currency 5 2 2 3 2 2 3 2" xfId="22422"/>
    <cellStyle name="Currency 5 2 2 3 2 2 3 2 2" xfId="36447"/>
    <cellStyle name="Currency 5 2 2 3 2 2 3 3" xfId="28436"/>
    <cellStyle name="Currency 5 2 2 3 2 2 4" xfId="16413"/>
    <cellStyle name="Currency 5 2 2 3 2 2 4 2" xfId="30438"/>
    <cellStyle name="Currency 5 2 2 3 2 2 5" xfId="18415"/>
    <cellStyle name="Currency 5 2 2 3 2 2 5 2" xfId="32440"/>
    <cellStyle name="Currency 5 2 2 3 2 2 6" xfId="24429"/>
    <cellStyle name="Currency 5 2 2 3 2 3" xfId="12391"/>
    <cellStyle name="Currency 5 2 2 3 2 3 2" xfId="20416"/>
    <cellStyle name="Currency 5 2 2 3 2 3 2 2" xfId="34441"/>
    <cellStyle name="Currency 5 2 2 3 2 3 3" xfId="26430"/>
    <cellStyle name="Currency 5 2 2 3 2 4" xfId="14406"/>
    <cellStyle name="Currency 5 2 2 3 2 4 2" xfId="22421"/>
    <cellStyle name="Currency 5 2 2 3 2 4 2 2" xfId="36446"/>
    <cellStyle name="Currency 5 2 2 3 2 4 3" xfId="28435"/>
    <cellStyle name="Currency 5 2 2 3 2 5" xfId="16412"/>
    <cellStyle name="Currency 5 2 2 3 2 5 2" xfId="30437"/>
    <cellStyle name="Currency 5 2 2 3 2 6" xfId="18414"/>
    <cellStyle name="Currency 5 2 2 3 2 6 2" xfId="32439"/>
    <cellStyle name="Currency 5 2 2 3 2 7" xfId="24428"/>
    <cellStyle name="Currency 5 2 2 3 3" xfId="1654"/>
    <cellStyle name="Currency 5 2 2 3 3 2" xfId="12393"/>
    <cellStyle name="Currency 5 2 2 3 3 2 2" xfId="20418"/>
    <cellStyle name="Currency 5 2 2 3 3 2 2 2" xfId="34443"/>
    <cellStyle name="Currency 5 2 2 3 3 2 3" xfId="26432"/>
    <cellStyle name="Currency 5 2 2 3 3 3" xfId="14408"/>
    <cellStyle name="Currency 5 2 2 3 3 3 2" xfId="22423"/>
    <cellStyle name="Currency 5 2 2 3 3 3 2 2" xfId="36448"/>
    <cellStyle name="Currency 5 2 2 3 3 3 3" xfId="28437"/>
    <cellStyle name="Currency 5 2 2 3 3 4" xfId="16414"/>
    <cellStyle name="Currency 5 2 2 3 3 4 2" xfId="30439"/>
    <cellStyle name="Currency 5 2 2 3 3 5" xfId="18416"/>
    <cellStyle name="Currency 5 2 2 3 3 5 2" xfId="32441"/>
    <cellStyle name="Currency 5 2 2 3 3 6" xfId="24430"/>
    <cellStyle name="Currency 5 2 2 3 4" xfId="12390"/>
    <cellStyle name="Currency 5 2 2 3 4 2" xfId="20415"/>
    <cellStyle name="Currency 5 2 2 3 4 2 2" xfId="34440"/>
    <cellStyle name="Currency 5 2 2 3 4 3" xfId="26429"/>
    <cellStyle name="Currency 5 2 2 3 5" xfId="14405"/>
    <cellStyle name="Currency 5 2 2 3 5 2" xfId="22420"/>
    <cellStyle name="Currency 5 2 2 3 5 2 2" xfId="36445"/>
    <cellStyle name="Currency 5 2 2 3 5 3" xfId="28434"/>
    <cellStyle name="Currency 5 2 2 3 6" xfId="16411"/>
    <cellStyle name="Currency 5 2 2 3 6 2" xfId="30436"/>
    <cellStyle name="Currency 5 2 2 3 7" xfId="18413"/>
    <cellStyle name="Currency 5 2 2 3 7 2" xfId="32438"/>
    <cellStyle name="Currency 5 2 2 3 8" xfId="24427"/>
    <cellStyle name="Currency 5 2 2 4" xfId="1655"/>
    <cellStyle name="Currency 5 2 2 4 2" xfId="1656"/>
    <cellStyle name="Currency 5 2 2 4 2 2" xfId="12395"/>
    <cellStyle name="Currency 5 2 2 4 2 2 2" xfId="20420"/>
    <cellStyle name="Currency 5 2 2 4 2 2 2 2" xfId="34445"/>
    <cellStyle name="Currency 5 2 2 4 2 2 3" xfId="26434"/>
    <cellStyle name="Currency 5 2 2 4 2 3" xfId="14410"/>
    <cellStyle name="Currency 5 2 2 4 2 3 2" xfId="22425"/>
    <cellStyle name="Currency 5 2 2 4 2 3 2 2" xfId="36450"/>
    <cellStyle name="Currency 5 2 2 4 2 3 3" xfId="28439"/>
    <cellStyle name="Currency 5 2 2 4 2 4" xfId="16416"/>
    <cellStyle name="Currency 5 2 2 4 2 4 2" xfId="30441"/>
    <cellStyle name="Currency 5 2 2 4 2 5" xfId="18418"/>
    <cellStyle name="Currency 5 2 2 4 2 5 2" xfId="32443"/>
    <cellStyle name="Currency 5 2 2 4 2 6" xfId="24432"/>
    <cellStyle name="Currency 5 2 2 4 3" xfId="12394"/>
    <cellStyle name="Currency 5 2 2 4 3 2" xfId="20419"/>
    <cellStyle name="Currency 5 2 2 4 3 2 2" xfId="34444"/>
    <cellStyle name="Currency 5 2 2 4 3 3" xfId="26433"/>
    <cellStyle name="Currency 5 2 2 4 4" xfId="14409"/>
    <cellStyle name="Currency 5 2 2 4 4 2" xfId="22424"/>
    <cellStyle name="Currency 5 2 2 4 4 2 2" xfId="36449"/>
    <cellStyle name="Currency 5 2 2 4 4 3" xfId="28438"/>
    <cellStyle name="Currency 5 2 2 4 5" xfId="16415"/>
    <cellStyle name="Currency 5 2 2 4 5 2" xfId="30440"/>
    <cellStyle name="Currency 5 2 2 4 6" xfId="18417"/>
    <cellStyle name="Currency 5 2 2 4 6 2" xfId="32442"/>
    <cellStyle name="Currency 5 2 2 4 7" xfId="24431"/>
    <cellStyle name="Currency 5 2 2 5" xfId="1657"/>
    <cellStyle name="Currency 5 2 2 5 2" xfId="1658"/>
    <cellStyle name="Currency 5 2 2 5 2 2" xfId="12397"/>
    <cellStyle name="Currency 5 2 2 5 2 2 2" xfId="20422"/>
    <cellStyle name="Currency 5 2 2 5 2 2 2 2" xfId="34447"/>
    <cellStyle name="Currency 5 2 2 5 2 2 3" xfId="26436"/>
    <cellStyle name="Currency 5 2 2 5 2 3" xfId="14412"/>
    <cellStyle name="Currency 5 2 2 5 2 3 2" xfId="22427"/>
    <cellStyle name="Currency 5 2 2 5 2 3 2 2" xfId="36452"/>
    <cellStyle name="Currency 5 2 2 5 2 3 3" xfId="28441"/>
    <cellStyle name="Currency 5 2 2 5 2 4" xfId="16418"/>
    <cellStyle name="Currency 5 2 2 5 2 4 2" xfId="30443"/>
    <cellStyle name="Currency 5 2 2 5 2 5" xfId="18420"/>
    <cellStyle name="Currency 5 2 2 5 2 5 2" xfId="32445"/>
    <cellStyle name="Currency 5 2 2 5 2 6" xfId="24434"/>
    <cellStyle name="Currency 5 2 2 5 3" xfId="12396"/>
    <cellStyle name="Currency 5 2 2 5 3 2" xfId="20421"/>
    <cellStyle name="Currency 5 2 2 5 3 2 2" xfId="34446"/>
    <cellStyle name="Currency 5 2 2 5 3 3" xfId="26435"/>
    <cellStyle name="Currency 5 2 2 5 4" xfId="14411"/>
    <cellStyle name="Currency 5 2 2 5 4 2" xfId="22426"/>
    <cellStyle name="Currency 5 2 2 5 4 2 2" xfId="36451"/>
    <cellStyle name="Currency 5 2 2 5 4 3" xfId="28440"/>
    <cellStyle name="Currency 5 2 2 5 5" xfId="16417"/>
    <cellStyle name="Currency 5 2 2 5 5 2" xfId="30442"/>
    <cellStyle name="Currency 5 2 2 5 6" xfId="18419"/>
    <cellStyle name="Currency 5 2 2 5 6 2" xfId="32444"/>
    <cellStyle name="Currency 5 2 2 5 7" xfId="24433"/>
    <cellStyle name="Currency 5 2 2 6" xfId="1659"/>
    <cellStyle name="Currency 5 2 2 6 2" xfId="12398"/>
    <cellStyle name="Currency 5 2 2 6 2 2" xfId="20423"/>
    <cellStyle name="Currency 5 2 2 6 2 2 2" xfId="34448"/>
    <cellStyle name="Currency 5 2 2 6 2 3" xfId="26437"/>
    <cellStyle name="Currency 5 2 2 6 3" xfId="14413"/>
    <cellStyle name="Currency 5 2 2 6 3 2" xfId="22428"/>
    <cellStyle name="Currency 5 2 2 6 3 2 2" xfId="36453"/>
    <cellStyle name="Currency 5 2 2 6 3 3" xfId="28442"/>
    <cellStyle name="Currency 5 2 2 6 4" xfId="16419"/>
    <cellStyle name="Currency 5 2 2 6 4 2" xfId="30444"/>
    <cellStyle name="Currency 5 2 2 6 5" xfId="18421"/>
    <cellStyle name="Currency 5 2 2 6 5 2" xfId="32446"/>
    <cellStyle name="Currency 5 2 2 6 6" xfId="24435"/>
    <cellStyle name="Currency 5 2 2 7" xfId="12379"/>
    <cellStyle name="Currency 5 2 2 7 2" xfId="20404"/>
    <cellStyle name="Currency 5 2 2 7 2 2" xfId="34429"/>
    <cellStyle name="Currency 5 2 2 7 3" xfId="26418"/>
    <cellStyle name="Currency 5 2 2 8" xfId="14394"/>
    <cellStyle name="Currency 5 2 2 8 2" xfId="22409"/>
    <cellStyle name="Currency 5 2 2 8 2 2" xfId="36434"/>
    <cellStyle name="Currency 5 2 2 8 3" xfId="28423"/>
    <cellStyle name="Currency 5 2 2 9" xfId="16400"/>
    <cellStyle name="Currency 5 2 2 9 2" xfId="30425"/>
    <cellStyle name="Currency 5 2 3" xfId="1660"/>
    <cellStyle name="Currency 5 2 3 10" xfId="24436"/>
    <cellStyle name="Currency 5 2 3 2" xfId="1661"/>
    <cellStyle name="Currency 5 2 3 2 2" xfId="1662"/>
    <cellStyle name="Currency 5 2 3 2 2 2" xfId="1663"/>
    <cellStyle name="Currency 5 2 3 2 2 2 2" xfId="12402"/>
    <cellStyle name="Currency 5 2 3 2 2 2 2 2" xfId="20427"/>
    <cellStyle name="Currency 5 2 3 2 2 2 2 2 2" xfId="34452"/>
    <cellStyle name="Currency 5 2 3 2 2 2 2 3" xfId="26441"/>
    <cellStyle name="Currency 5 2 3 2 2 2 3" xfId="14417"/>
    <cellStyle name="Currency 5 2 3 2 2 2 3 2" xfId="22432"/>
    <cellStyle name="Currency 5 2 3 2 2 2 3 2 2" xfId="36457"/>
    <cellStyle name="Currency 5 2 3 2 2 2 3 3" xfId="28446"/>
    <cellStyle name="Currency 5 2 3 2 2 2 4" xfId="16423"/>
    <cellStyle name="Currency 5 2 3 2 2 2 4 2" xfId="30448"/>
    <cellStyle name="Currency 5 2 3 2 2 2 5" xfId="18425"/>
    <cellStyle name="Currency 5 2 3 2 2 2 5 2" xfId="32450"/>
    <cellStyle name="Currency 5 2 3 2 2 2 6" xfId="24439"/>
    <cellStyle name="Currency 5 2 3 2 2 3" xfId="12401"/>
    <cellStyle name="Currency 5 2 3 2 2 3 2" xfId="20426"/>
    <cellStyle name="Currency 5 2 3 2 2 3 2 2" xfId="34451"/>
    <cellStyle name="Currency 5 2 3 2 2 3 3" xfId="26440"/>
    <cellStyle name="Currency 5 2 3 2 2 4" xfId="14416"/>
    <cellStyle name="Currency 5 2 3 2 2 4 2" xfId="22431"/>
    <cellStyle name="Currency 5 2 3 2 2 4 2 2" xfId="36456"/>
    <cellStyle name="Currency 5 2 3 2 2 4 3" xfId="28445"/>
    <cellStyle name="Currency 5 2 3 2 2 5" xfId="16422"/>
    <cellStyle name="Currency 5 2 3 2 2 5 2" xfId="30447"/>
    <cellStyle name="Currency 5 2 3 2 2 6" xfId="18424"/>
    <cellStyle name="Currency 5 2 3 2 2 6 2" xfId="32449"/>
    <cellStyle name="Currency 5 2 3 2 2 7" xfId="24438"/>
    <cellStyle name="Currency 5 2 3 2 3" xfId="1664"/>
    <cellStyle name="Currency 5 2 3 2 3 2" xfId="12403"/>
    <cellStyle name="Currency 5 2 3 2 3 2 2" xfId="20428"/>
    <cellStyle name="Currency 5 2 3 2 3 2 2 2" xfId="34453"/>
    <cellStyle name="Currency 5 2 3 2 3 2 3" xfId="26442"/>
    <cellStyle name="Currency 5 2 3 2 3 3" xfId="14418"/>
    <cellStyle name="Currency 5 2 3 2 3 3 2" xfId="22433"/>
    <cellStyle name="Currency 5 2 3 2 3 3 2 2" xfId="36458"/>
    <cellStyle name="Currency 5 2 3 2 3 3 3" xfId="28447"/>
    <cellStyle name="Currency 5 2 3 2 3 4" xfId="16424"/>
    <cellStyle name="Currency 5 2 3 2 3 4 2" xfId="30449"/>
    <cellStyle name="Currency 5 2 3 2 3 5" xfId="18426"/>
    <cellStyle name="Currency 5 2 3 2 3 5 2" xfId="32451"/>
    <cellStyle name="Currency 5 2 3 2 3 6" xfId="24440"/>
    <cellStyle name="Currency 5 2 3 2 4" xfId="12400"/>
    <cellStyle name="Currency 5 2 3 2 4 2" xfId="20425"/>
    <cellStyle name="Currency 5 2 3 2 4 2 2" xfId="34450"/>
    <cellStyle name="Currency 5 2 3 2 4 3" xfId="26439"/>
    <cellStyle name="Currency 5 2 3 2 5" xfId="14415"/>
    <cellStyle name="Currency 5 2 3 2 5 2" xfId="22430"/>
    <cellStyle name="Currency 5 2 3 2 5 2 2" xfId="36455"/>
    <cellStyle name="Currency 5 2 3 2 5 3" xfId="28444"/>
    <cellStyle name="Currency 5 2 3 2 6" xfId="16421"/>
    <cellStyle name="Currency 5 2 3 2 6 2" xfId="30446"/>
    <cellStyle name="Currency 5 2 3 2 7" xfId="18423"/>
    <cellStyle name="Currency 5 2 3 2 7 2" xfId="32448"/>
    <cellStyle name="Currency 5 2 3 2 8" xfId="24437"/>
    <cellStyle name="Currency 5 2 3 3" xfId="1665"/>
    <cellStyle name="Currency 5 2 3 3 2" xfId="1666"/>
    <cellStyle name="Currency 5 2 3 3 2 2" xfId="12405"/>
    <cellStyle name="Currency 5 2 3 3 2 2 2" xfId="20430"/>
    <cellStyle name="Currency 5 2 3 3 2 2 2 2" xfId="34455"/>
    <cellStyle name="Currency 5 2 3 3 2 2 3" xfId="26444"/>
    <cellStyle name="Currency 5 2 3 3 2 3" xfId="14420"/>
    <cellStyle name="Currency 5 2 3 3 2 3 2" xfId="22435"/>
    <cellStyle name="Currency 5 2 3 3 2 3 2 2" xfId="36460"/>
    <cellStyle name="Currency 5 2 3 3 2 3 3" xfId="28449"/>
    <cellStyle name="Currency 5 2 3 3 2 4" xfId="16426"/>
    <cellStyle name="Currency 5 2 3 3 2 4 2" xfId="30451"/>
    <cellStyle name="Currency 5 2 3 3 2 5" xfId="18428"/>
    <cellStyle name="Currency 5 2 3 3 2 5 2" xfId="32453"/>
    <cellStyle name="Currency 5 2 3 3 2 6" xfId="24442"/>
    <cellStyle name="Currency 5 2 3 3 3" xfId="12404"/>
    <cellStyle name="Currency 5 2 3 3 3 2" xfId="20429"/>
    <cellStyle name="Currency 5 2 3 3 3 2 2" xfId="34454"/>
    <cellStyle name="Currency 5 2 3 3 3 3" xfId="26443"/>
    <cellStyle name="Currency 5 2 3 3 4" xfId="14419"/>
    <cellStyle name="Currency 5 2 3 3 4 2" xfId="22434"/>
    <cellStyle name="Currency 5 2 3 3 4 2 2" xfId="36459"/>
    <cellStyle name="Currency 5 2 3 3 4 3" xfId="28448"/>
    <cellStyle name="Currency 5 2 3 3 5" xfId="16425"/>
    <cellStyle name="Currency 5 2 3 3 5 2" xfId="30450"/>
    <cellStyle name="Currency 5 2 3 3 6" xfId="18427"/>
    <cellStyle name="Currency 5 2 3 3 6 2" xfId="32452"/>
    <cellStyle name="Currency 5 2 3 3 7" xfId="24441"/>
    <cellStyle name="Currency 5 2 3 4" xfId="1667"/>
    <cellStyle name="Currency 5 2 3 4 2" xfId="1668"/>
    <cellStyle name="Currency 5 2 3 4 2 2" xfId="12407"/>
    <cellStyle name="Currency 5 2 3 4 2 2 2" xfId="20432"/>
    <cellStyle name="Currency 5 2 3 4 2 2 2 2" xfId="34457"/>
    <cellStyle name="Currency 5 2 3 4 2 2 3" xfId="26446"/>
    <cellStyle name="Currency 5 2 3 4 2 3" xfId="14422"/>
    <cellStyle name="Currency 5 2 3 4 2 3 2" xfId="22437"/>
    <cellStyle name="Currency 5 2 3 4 2 3 2 2" xfId="36462"/>
    <cellStyle name="Currency 5 2 3 4 2 3 3" xfId="28451"/>
    <cellStyle name="Currency 5 2 3 4 2 4" xfId="16428"/>
    <cellStyle name="Currency 5 2 3 4 2 4 2" xfId="30453"/>
    <cellStyle name="Currency 5 2 3 4 2 5" xfId="18430"/>
    <cellStyle name="Currency 5 2 3 4 2 5 2" xfId="32455"/>
    <cellStyle name="Currency 5 2 3 4 2 6" xfId="24444"/>
    <cellStyle name="Currency 5 2 3 4 3" xfId="12406"/>
    <cellStyle name="Currency 5 2 3 4 3 2" xfId="20431"/>
    <cellStyle name="Currency 5 2 3 4 3 2 2" xfId="34456"/>
    <cellStyle name="Currency 5 2 3 4 3 3" xfId="26445"/>
    <cellStyle name="Currency 5 2 3 4 4" xfId="14421"/>
    <cellStyle name="Currency 5 2 3 4 4 2" xfId="22436"/>
    <cellStyle name="Currency 5 2 3 4 4 2 2" xfId="36461"/>
    <cellStyle name="Currency 5 2 3 4 4 3" xfId="28450"/>
    <cellStyle name="Currency 5 2 3 4 5" xfId="16427"/>
    <cellStyle name="Currency 5 2 3 4 5 2" xfId="30452"/>
    <cellStyle name="Currency 5 2 3 4 6" xfId="18429"/>
    <cellStyle name="Currency 5 2 3 4 6 2" xfId="32454"/>
    <cellStyle name="Currency 5 2 3 4 7" xfId="24443"/>
    <cellStyle name="Currency 5 2 3 5" xfId="1669"/>
    <cellStyle name="Currency 5 2 3 5 2" xfId="12408"/>
    <cellStyle name="Currency 5 2 3 5 2 2" xfId="20433"/>
    <cellStyle name="Currency 5 2 3 5 2 2 2" xfId="34458"/>
    <cellStyle name="Currency 5 2 3 5 2 3" xfId="26447"/>
    <cellStyle name="Currency 5 2 3 5 3" xfId="14423"/>
    <cellStyle name="Currency 5 2 3 5 3 2" xfId="22438"/>
    <cellStyle name="Currency 5 2 3 5 3 2 2" xfId="36463"/>
    <cellStyle name="Currency 5 2 3 5 3 3" xfId="28452"/>
    <cellStyle name="Currency 5 2 3 5 4" xfId="16429"/>
    <cellStyle name="Currency 5 2 3 5 4 2" xfId="30454"/>
    <cellStyle name="Currency 5 2 3 5 5" xfId="18431"/>
    <cellStyle name="Currency 5 2 3 5 5 2" xfId="32456"/>
    <cellStyle name="Currency 5 2 3 5 6" xfId="24445"/>
    <cellStyle name="Currency 5 2 3 6" xfId="12399"/>
    <cellStyle name="Currency 5 2 3 6 2" xfId="20424"/>
    <cellStyle name="Currency 5 2 3 6 2 2" xfId="34449"/>
    <cellStyle name="Currency 5 2 3 6 3" xfId="26438"/>
    <cellStyle name="Currency 5 2 3 7" xfId="14414"/>
    <cellStyle name="Currency 5 2 3 7 2" xfId="22429"/>
    <cellStyle name="Currency 5 2 3 7 2 2" xfId="36454"/>
    <cellStyle name="Currency 5 2 3 7 3" xfId="28443"/>
    <cellStyle name="Currency 5 2 3 8" xfId="16420"/>
    <cellStyle name="Currency 5 2 3 8 2" xfId="30445"/>
    <cellStyle name="Currency 5 2 3 9" xfId="18422"/>
    <cellStyle name="Currency 5 2 3 9 2" xfId="32447"/>
    <cellStyle name="Currency 5 2 4" xfId="1670"/>
    <cellStyle name="Currency 5 2 4 2" xfId="1671"/>
    <cellStyle name="Currency 5 2 4 2 2" xfId="1672"/>
    <cellStyle name="Currency 5 2 4 2 2 2" xfId="12411"/>
    <cellStyle name="Currency 5 2 4 2 2 2 2" xfId="20436"/>
    <cellStyle name="Currency 5 2 4 2 2 2 2 2" xfId="34461"/>
    <cellStyle name="Currency 5 2 4 2 2 2 3" xfId="26450"/>
    <cellStyle name="Currency 5 2 4 2 2 3" xfId="14426"/>
    <cellStyle name="Currency 5 2 4 2 2 3 2" xfId="22441"/>
    <cellStyle name="Currency 5 2 4 2 2 3 2 2" xfId="36466"/>
    <cellStyle name="Currency 5 2 4 2 2 3 3" xfId="28455"/>
    <cellStyle name="Currency 5 2 4 2 2 4" xfId="16432"/>
    <cellStyle name="Currency 5 2 4 2 2 4 2" xfId="30457"/>
    <cellStyle name="Currency 5 2 4 2 2 5" xfId="18434"/>
    <cellStyle name="Currency 5 2 4 2 2 5 2" xfId="32459"/>
    <cellStyle name="Currency 5 2 4 2 2 6" xfId="24448"/>
    <cellStyle name="Currency 5 2 4 2 3" xfId="12410"/>
    <cellStyle name="Currency 5 2 4 2 3 2" xfId="20435"/>
    <cellStyle name="Currency 5 2 4 2 3 2 2" xfId="34460"/>
    <cellStyle name="Currency 5 2 4 2 3 3" xfId="26449"/>
    <cellStyle name="Currency 5 2 4 2 4" xfId="14425"/>
    <cellStyle name="Currency 5 2 4 2 4 2" xfId="22440"/>
    <cellStyle name="Currency 5 2 4 2 4 2 2" xfId="36465"/>
    <cellStyle name="Currency 5 2 4 2 4 3" xfId="28454"/>
    <cellStyle name="Currency 5 2 4 2 5" xfId="16431"/>
    <cellStyle name="Currency 5 2 4 2 5 2" xfId="30456"/>
    <cellStyle name="Currency 5 2 4 2 6" xfId="18433"/>
    <cellStyle name="Currency 5 2 4 2 6 2" xfId="32458"/>
    <cellStyle name="Currency 5 2 4 2 7" xfId="24447"/>
    <cellStyle name="Currency 5 2 4 3" xfId="1673"/>
    <cellStyle name="Currency 5 2 4 3 2" xfId="12412"/>
    <cellStyle name="Currency 5 2 4 3 2 2" xfId="20437"/>
    <cellStyle name="Currency 5 2 4 3 2 2 2" xfId="34462"/>
    <cellStyle name="Currency 5 2 4 3 2 3" xfId="26451"/>
    <cellStyle name="Currency 5 2 4 3 3" xfId="14427"/>
    <cellStyle name="Currency 5 2 4 3 3 2" xfId="22442"/>
    <cellStyle name="Currency 5 2 4 3 3 2 2" xfId="36467"/>
    <cellStyle name="Currency 5 2 4 3 3 3" xfId="28456"/>
    <cellStyle name="Currency 5 2 4 3 4" xfId="16433"/>
    <cellStyle name="Currency 5 2 4 3 4 2" xfId="30458"/>
    <cellStyle name="Currency 5 2 4 3 5" xfId="18435"/>
    <cellStyle name="Currency 5 2 4 3 5 2" xfId="32460"/>
    <cellStyle name="Currency 5 2 4 3 6" xfId="24449"/>
    <cellStyle name="Currency 5 2 4 4" xfId="12409"/>
    <cellStyle name="Currency 5 2 4 4 2" xfId="20434"/>
    <cellStyle name="Currency 5 2 4 4 2 2" xfId="34459"/>
    <cellStyle name="Currency 5 2 4 4 3" xfId="26448"/>
    <cellStyle name="Currency 5 2 4 5" xfId="14424"/>
    <cellStyle name="Currency 5 2 4 5 2" xfId="22439"/>
    <cellStyle name="Currency 5 2 4 5 2 2" xfId="36464"/>
    <cellStyle name="Currency 5 2 4 5 3" xfId="28453"/>
    <cellStyle name="Currency 5 2 4 6" xfId="16430"/>
    <cellStyle name="Currency 5 2 4 6 2" xfId="30455"/>
    <cellStyle name="Currency 5 2 4 7" xfId="18432"/>
    <cellStyle name="Currency 5 2 4 7 2" xfId="32457"/>
    <cellStyle name="Currency 5 2 4 8" xfId="24446"/>
    <cellStyle name="Currency 5 2 5" xfId="1674"/>
    <cellStyle name="Currency 5 2 5 2" xfId="1675"/>
    <cellStyle name="Currency 5 2 5 2 2" xfId="12414"/>
    <cellStyle name="Currency 5 2 5 2 2 2" xfId="20439"/>
    <cellStyle name="Currency 5 2 5 2 2 2 2" xfId="34464"/>
    <cellStyle name="Currency 5 2 5 2 2 3" xfId="26453"/>
    <cellStyle name="Currency 5 2 5 2 3" xfId="14429"/>
    <cellStyle name="Currency 5 2 5 2 3 2" xfId="22444"/>
    <cellStyle name="Currency 5 2 5 2 3 2 2" xfId="36469"/>
    <cellStyle name="Currency 5 2 5 2 3 3" xfId="28458"/>
    <cellStyle name="Currency 5 2 5 2 4" xfId="16435"/>
    <cellStyle name="Currency 5 2 5 2 4 2" xfId="30460"/>
    <cellStyle name="Currency 5 2 5 2 5" xfId="18437"/>
    <cellStyle name="Currency 5 2 5 2 5 2" xfId="32462"/>
    <cellStyle name="Currency 5 2 5 2 6" xfId="24451"/>
    <cellStyle name="Currency 5 2 5 3" xfId="12413"/>
    <cellStyle name="Currency 5 2 5 3 2" xfId="20438"/>
    <cellStyle name="Currency 5 2 5 3 2 2" xfId="34463"/>
    <cellStyle name="Currency 5 2 5 3 3" xfId="26452"/>
    <cellStyle name="Currency 5 2 5 4" xfId="14428"/>
    <cellStyle name="Currency 5 2 5 4 2" xfId="22443"/>
    <cellStyle name="Currency 5 2 5 4 2 2" xfId="36468"/>
    <cellStyle name="Currency 5 2 5 4 3" xfId="28457"/>
    <cellStyle name="Currency 5 2 5 5" xfId="16434"/>
    <cellStyle name="Currency 5 2 5 5 2" xfId="30459"/>
    <cellStyle name="Currency 5 2 5 6" xfId="18436"/>
    <cellStyle name="Currency 5 2 5 6 2" xfId="32461"/>
    <cellStyle name="Currency 5 2 5 7" xfId="24450"/>
    <cellStyle name="Currency 5 2 6" xfId="1676"/>
    <cellStyle name="Currency 5 2 6 2" xfId="1677"/>
    <cellStyle name="Currency 5 2 6 2 2" xfId="12416"/>
    <cellStyle name="Currency 5 2 6 2 2 2" xfId="20441"/>
    <cellStyle name="Currency 5 2 6 2 2 2 2" xfId="34466"/>
    <cellStyle name="Currency 5 2 6 2 2 3" xfId="26455"/>
    <cellStyle name="Currency 5 2 6 2 3" xfId="14431"/>
    <cellStyle name="Currency 5 2 6 2 3 2" xfId="22446"/>
    <cellStyle name="Currency 5 2 6 2 3 2 2" xfId="36471"/>
    <cellStyle name="Currency 5 2 6 2 3 3" xfId="28460"/>
    <cellStyle name="Currency 5 2 6 2 4" xfId="16437"/>
    <cellStyle name="Currency 5 2 6 2 4 2" xfId="30462"/>
    <cellStyle name="Currency 5 2 6 2 5" xfId="18439"/>
    <cellStyle name="Currency 5 2 6 2 5 2" xfId="32464"/>
    <cellStyle name="Currency 5 2 6 2 6" xfId="24453"/>
    <cellStyle name="Currency 5 2 6 3" xfId="12415"/>
    <cellStyle name="Currency 5 2 6 3 2" xfId="20440"/>
    <cellStyle name="Currency 5 2 6 3 2 2" xfId="34465"/>
    <cellStyle name="Currency 5 2 6 3 3" xfId="26454"/>
    <cellStyle name="Currency 5 2 6 4" xfId="14430"/>
    <cellStyle name="Currency 5 2 6 4 2" xfId="22445"/>
    <cellStyle name="Currency 5 2 6 4 2 2" xfId="36470"/>
    <cellStyle name="Currency 5 2 6 4 3" xfId="28459"/>
    <cellStyle name="Currency 5 2 6 5" xfId="16436"/>
    <cellStyle name="Currency 5 2 6 5 2" xfId="30461"/>
    <cellStyle name="Currency 5 2 6 6" xfId="18438"/>
    <cellStyle name="Currency 5 2 6 6 2" xfId="32463"/>
    <cellStyle name="Currency 5 2 6 7" xfId="24452"/>
    <cellStyle name="Currency 5 2 7" xfId="1678"/>
    <cellStyle name="Currency 5 2 7 2" xfId="12417"/>
    <cellStyle name="Currency 5 2 7 2 2" xfId="20442"/>
    <cellStyle name="Currency 5 2 7 2 2 2" xfId="34467"/>
    <cellStyle name="Currency 5 2 7 2 3" xfId="26456"/>
    <cellStyle name="Currency 5 2 7 3" xfId="14432"/>
    <cellStyle name="Currency 5 2 7 3 2" xfId="22447"/>
    <cellStyle name="Currency 5 2 7 3 2 2" xfId="36472"/>
    <cellStyle name="Currency 5 2 7 3 3" xfId="28461"/>
    <cellStyle name="Currency 5 2 7 4" xfId="16438"/>
    <cellStyle name="Currency 5 2 7 4 2" xfId="30463"/>
    <cellStyle name="Currency 5 2 7 5" xfId="18440"/>
    <cellStyle name="Currency 5 2 7 5 2" xfId="32465"/>
    <cellStyle name="Currency 5 2 7 6" xfId="24454"/>
    <cellStyle name="Currency 5 2 8" xfId="12378"/>
    <cellStyle name="Currency 5 2 8 2" xfId="20403"/>
    <cellStyle name="Currency 5 2 8 2 2" xfId="34428"/>
    <cellStyle name="Currency 5 2 8 3" xfId="26417"/>
    <cellStyle name="Currency 5 2 9" xfId="14393"/>
    <cellStyle name="Currency 5 2 9 2" xfId="22408"/>
    <cellStyle name="Currency 5 2 9 2 2" xfId="36433"/>
    <cellStyle name="Currency 5 2 9 3" xfId="28422"/>
    <cellStyle name="Currency 5 3" xfId="1679"/>
    <cellStyle name="Currency 5 3 10" xfId="18441"/>
    <cellStyle name="Currency 5 3 10 2" xfId="32466"/>
    <cellStyle name="Currency 5 3 11" xfId="24455"/>
    <cellStyle name="Currency 5 3 2" xfId="1680"/>
    <cellStyle name="Currency 5 3 2 10" xfId="24456"/>
    <cellStyle name="Currency 5 3 2 2" xfId="1681"/>
    <cellStyle name="Currency 5 3 2 2 2" xfId="1682"/>
    <cellStyle name="Currency 5 3 2 2 2 2" xfId="1683"/>
    <cellStyle name="Currency 5 3 2 2 2 2 2" xfId="12422"/>
    <cellStyle name="Currency 5 3 2 2 2 2 2 2" xfId="20447"/>
    <cellStyle name="Currency 5 3 2 2 2 2 2 2 2" xfId="34472"/>
    <cellStyle name="Currency 5 3 2 2 2 2 2 3" xfId="26461"/>
    <cellStyle name="Currency 5 3 2 2 2 2 3" xfId="14437"/>
    <cellStyle name="Currency 5 3 2 2 2 2 3 2" xfId="22452"/>
    <cellStyle name="Currency 5 3 2 2 2 2 3 2 2" xfId="36477"/>
    <cellStyle name="Currency 5 3 2 2 2 2 3 3" xfId="28466"/>
    <cellStyle name="Currency 5 3 2 2 2 2 4" xfId="16443"/>
    <cellStyle name="Currency 5 3 2 2 2 2 4 2" xfId="30468"/>
    <cellStyle name="Currency 5 3 2 2 2 2 5" xfId="18445"/>
    <cellStyle name="Currency 5 3 2 2 2 2 5 2" xfId="32470"/>
    <cellStyle name="Currency 5 3 2 2 2 2 6" xfId="24459"/>
    <cellStyle name="Currency 5 3 2 2 2 3" xfId="12421"/>
    <cellStyle name="Currency 5 3 2 2 2 3 2" xfId="20446"/>
    <cellStyle name="Currency 5 3 2 2 2 3 2 2" xfId="34471"/>
    <cellStyle name="Currency 5 3 2 2 2 3 3" xfId="26460"/>
    <cellStyle name="Currency 5 3 2 2 2 4" xfId="14436"/>
    <cellStyle name="Currency 5 3 2 2 2 4 2" xfId="22451"/>
    <cellStyle name="Currency 5 3 2 2 2 4 2 2" xfId="36476"/>
    <cellStyle name="Currency 5 3 2 2 2 4 3" xfId="28465"/>
    <cellStyle name="Currency 5 3 2 2 2 5" xfId="16442"/>
    <cellStyle name="Currency 5 3 2 2 2 5 2" xfId="30467"/>
    <cellStyle name="Currency 5 3 2 2 2 6" xfId="18444"/>
    <cellStyle name="Currency 5 3 2 2 2 6 2" xfId="32469"/>
    <cellStyle name="Currency 5 3 2 2 2 7" xfId="24458"/>
    <cellStyle name="Currency 5 3 2 2 3" xfId="1684"/>
    <cellStyle name="Currency 5 3 2 2 3 2" xfId="12423"/>
    <cellStyle name="Currency 5 3 2 2 3 2 2" xfId="20448"/>
    <cellStyle name="Currency 5 3 2 2 3 2 2 2" xfId="34473"/>
    <cellStyle name="Currency 5 3 2 2 3 2 3" xfId="26462"/>
    <cellStyle name="Currency 5 3 2 2 3 3" xfId="14438"/>
    <cellStyle name="Currency 5 3 2 2 3 3 2" xfId="22453"/>
    <cellStyle name="Currency 5 3 2 2 3 3 2 2" xfId="36478"/>
    <cellStyle name="Currency 5 3 2 2 3 3 3" xfId="28467"/>
    <cellStyle name="Currency 5 3 2 2 3 4" xfId="16444"/>
    <cellStyle name="Currency 5 3 2 2 3 4 2" xfId="30469"/>
    <cellStyle name="Currency 5 3 2 2 3 5" xfId="18446"/>
    <cellStyle name="Currency 5 3 2 2 3 5 2" xfId="32471"/>
    <cellStyle name="Currency 5 3 2 2 3 6" xfId="24460"/>
    <cellStyle name="Currency 5 3 2 2 4" xfId="12420"/>
    <cellStyle name="Currency 5 3 2 2 4 2" xfId="20445"/>
    <cellStyle name="Currency 5 3 2 2 4 2 2" xfId="34470"/>
    <cellStyle name="Currency 5 3 2 2 4 3" xfId="26459"/>
    <cellStyle name="Currency 5 3 2 2 5" xfId="14435"/>
    <cellStyle name="Currency 5 3 2 2 5 2" xfId="22450"/>
    <cellStyle name="Currency 5 3 2 2 5 2 2" xfId="36475"/>
    <cellStyle name="Currency 5 3 2 2 5 3" xfId="28464"/>
    <cellStyle name="Currency 5 3 2 2 6" xfId="16441"/>
    <cellStyle name="Currency 5 3 2 2 6 2" xfId="30466"/>
    <cellStyle name="Currency 5 3 2 2 7" xfId="18443"/>
    <cellStyle name="Currency 5 3 2 2 7 2" xfId="32468"/>
    <cellStyle name="Currency 5 3 2 2 8" xfId="24457"/>
    <cellStyle name="Currency 5 3 2 3" xfId="1685"/>
    <cellStyle name="Currency 5 3 2 3 2" xfId="1686"/>
    <cellStyle name="Currency 5 3 2 3 2 2" xfId="12425"/>
    <cellStyle name="Currency 5 3 2 3 2 2 2" xfId="20450"/>
    <cellStyle name="Currency 5 3 2 3 2 2 2 2" xfId="34475"/>
    <cellStyle name="Currency 5 3 2 3 2 2 3" xfId="26464"/>
    <cellStyle name="Currency 5 3 2 3 2 3" xfId="14440"/>
    <cellStyle name="Currency 5 3 2 3 2 3 2" xfId="22455"/>
    <cellStyle name="Currency 5 3 2 3 2 3 2 2" xfId="36480"/>
    <cellStyle name="Currency 5 3 2 3 2 3 3" xfId="28469"/>
    <cellStyle name="Currency 5 3 2 3 2 4" xfId="16446"/>
    <cellStyle name="Currency 5 3 2 3 2 4 2" xfId="30471"/>
    <cellStyle name="Currency 5 3 2 3 2 5" xfId="18448"/>
    <cellStyle name="Currency 5 3 2 3 2 5 2" xfId="32473"/>
    <cellStyle name="Currency 5 3 2 3 2 6" xfId="24462"/>
    <cellStyle name="Currency 5 3 2 3 3" xfId="12424"/>
    <cellStyle name="Currency 5 3 2 3 3 2" xfId="20449"/>
    <cellStyle name="Currency 5 3 2 3 3 2 2" xfId="34474"/>
    <cellStyle name="Currency 5 3 2 3 3 3" xfId="26463"/>
    <cellStyle name="Currency 5 3 2 3 4" xfId="14439"/>
    <cellStyle name="Currency 5 3 2 3 4 2" xfId="22454"/>
    <cellStyle name="Currency 5 3 2 3 4 2 2" xfId="36479"/>
    <cellStyle name="Currency 5 3 2 3 4 3" xfId="28468"/>
    <cellStyle name="Currency 5 3 2 3 5" xfId="16445"/>
    <cellStyle name="Currency 5 3 2 3 5 2" xfId="30470"/>
    <cellStyle name="Currency 5 3 2 3 6" xfId="18447"/>
    <cellStyle name="Currency 5 3 2 3 6 2" xfId="32472"/>
    <cellStyle name="Currency 5 3 2 3 7" xfId="24461"/>
    <cellStyle name="Currency 5 3 2 4" xfId="1687"/>
    <cellStyle name="Currency 5 3 2 4 2" xfId="1688"/>
    <cellStyle name="Currency 5 3 2 4 2 2" xfId="12427"/>
    <cellStyle name="Currency 5 3 2 4 2 2 2" xfId="20452"/>
    <cellStyle name="Currency 5 3 2 4 2 2 2 2" xfId="34477"/>
    <cellStyle name="Currency 5 3 2 4 2 2 3" xfId="26466"/>
    <cellStyle name="Currency 5 3 2 4 2 3" xfId="14442"/>
    <cellStyle name="Currency 5 3 2 4 2 3 2" xfId="22457"/>
    <cellStyle name="Currency 5 3 2 4 2 3 2 2" xfId="36482"/>
    <cellStyle name="Currency 5 3 2 4 2 3 3" xfId="28471"/>
    <cellStyle name="Currency 5 3 2 4 2 4" xfId="16448"/>
    <cellStyle name="Currency 5 3 2 4 2 4 2" xfId="30473"/>
    <cellStyle name="Currency 5 3 2 4 2 5" xfId="18450"/>
    <cellStyle name="Currency 5 3 2 4 2 5 2" xfId="32475"/>
    <cellStyle name="Currency 5 3 2 4 2 6" xfId="24464"/>
    <cellStyle name="Currency 5 3 2 4 3" xfId="12426"/>
    <cellStyle name="Currency 5 3 2 4 3 2" xfId="20451"/>
    <cellStyle name="Currency 5 3 2 4 3 2 2" xfId="34476"/>
    <cellStyle name="Currency 5 3 2 4 3 3" xfId="26465"/>
    <cellStyle name="Currency 5 3 2 4 4" xfId="14441"/>
    <cellStyle name="Currency 5 3 2 4 4 2" xfId="22456"/>
    <cellStyle name="Currency 5 3 2 4 4 2 2" xfId="36481"/>
    <cellStyle name="Currency 5 3 2 4 4 3" xfId="28470"/>
    <cellStyle name="Currency 5 3 2 4 5" xfId="16447"/>
    <cellStyle name="Currency 5 3 2 4 5 2" xfId="30472"/>
    <cellStyle name="Currency 5 3 2 4 6" xfId="18449"/>
    <cellStyle name="Currency 5 3 2 4 6 2" xfId="32474"/>
    <cellStyle name="Currency 5 3 2 4 7" xfId="24463"/>
    <cellStyle name="Currency 5 3 2 5" xfId="1689"/>
    <cellStyle name="Currency 5 3 2 5 2" xfId="12428"/>
    <cellStyle name="Currency 5 3 2 5 2 2" xfId="20453"/>
    <cellStyle name="Currency 5 3 2 5 2 2 2" xfId="34478"/>
    <cellStyle name="Currency 5 3 2 5 2 3" xfId="26467"/>
    <cellStyle name="Currency 5 3 2 5 3" xfId="14443"/>
    <cellStyle name="Currency 5 3 2 5 3 2" xfId="22458"/>
    <cellStyle name="Currency 5 3 2 5 3 2 2" xfId="36483"/>
    <cellStyle name="Currency 5 3 2 5 3 3" xfId="28472"/>
    <cellStyle name="Currency 5 3 2 5 4" xfId="16449"/>
    <cellStyle name="Currency 5 3 2 5 4 2" xfId="30474"/>
    <cellStyle name="Currency 5 3 2 5 5" xfId="18451"/>
    <cellStyle name="Currency 5 3 2 5 5 2" xfId="32476"/>
    <cellStyle name="Currency 5 3 2 5 6" xfId="24465"/>
    <cellStyle name="Currency 5 3 2 6" xfId="12419"/>
    <cellStyle name="Currency 5 3 2 6 2" xfId="20444"/>
    <cellStyle name="Currency 5 3 2 6 2 2" xfId="34469"/>
    <cellStyle name="Currency 5 3 2 6 3" xfId="26458"/>
    <cellStyle name="Currency 5 3 2 7" xfId="14434"/>
    <cellStyle name="Currency 5 3 2 7 2" xfId="22449"/>
    <cellStyle name="Currency 5 3 2 7 2 2" xfId="36474"/>
    <cellStyle name="Currency 5 3 2 7 3" xfId="28463"/>
    <cellStyle name="Currency 5 3 2 8" xfId="16440"/>
    <cellStyle name="Currency 5 3 2 8 2" xfId="30465"/>
    <cellStyle name="Currency 5 3 2 9" xfId="18442"/>
    <cellStyle name="Currency 5 3 2 9 2" xfId="32467"/>
    <cellStyle name="Currency 5 3 3" xfId="1690"/>
    <cellStyle name="Currency 5 3 3 2" xfId="1691"/>
    <cellStyle name="Currency 5 3 3 2 2" xfId="1692"/>
    <cellStyle name="Currency 5 3 3 2 2 2" xfId="12431"/>
    <cellStyle name="Currency 5 3 3 2 2 2 2" xfId="20456"/>
    <cellStyle name="Currency 5 3 3 2 2 2 2 2" xfId="34481"/>
    <cellStyle name="Currency 5 3 3 2 2 2 3" xfId="26470"/>
    <cellStyle name="Currency 5 3 3 2 2 3" xfId="14446"/>
    <cellStyle name="Currency 5 3 3 2 2 3 2" xfId="22461"/>
    <cellStyle name="Currency 5 3 3 2 2 3 2 2" xfId="36486"/>
    <cellStyle name="Currency 5 3 3 2 2 3 3" xfId="28475"/>
    <cellStyle name="Currency 5 3 3 2 2 4" xfId="16452"/>
    <cellStyle name="Currency 5 3 3 2 2 4 2" xfId="30477"/>
    <cellStyle name="Currency 5 3 3 2 2 5" xfId="18454"/>
    <cellStyle name="Currency 5 3 3 2 2 5 2" xfId="32479"/>
    <cellStyle name="Currency 5 3 3 2 2 6" xfId="24468"/>
    <cellStyle name="Currency 5 3 3 2 3" xfId="12430"/>
    <cellStyle name="Currency 5 3 3 2 3 2" xfId="20455"/>
    <cellStyle name="Currency 5 3 3 2 3 2 2" xfId="34480"/>
    <cellStyle name="Currency 5 3 3 2 3 3" xfId="26469"/>
    <cellStyle name="Currency 5 3 3 2 4" xfId="14445"/>
    <cellStyle name="Currency 5 3 3 2 4 2" xfId="22460"/>
    <cellStyle name="Currency 5 3 3 2 4 2 2" xfId="36485"/>
    <cellStyle name="Currency 5 3 3 2 4 3" xfId="28474"/>
    <cellStyle name="Currency 5 3 3 2 5" xfId="16451"/>
    <cellStyle name="Currency 5 3 3 2 5 2" xfId="30476"/>
    <cellStyle name="Currency 5 3 3 2 6" xfId="18453"/>
    <cellStyle name="Currency 5 3 3 2 6 2" xfId="32478"/>
    <cellStyle name="Currency 5 3 3 2 7" xfId="24467"/>
    <cellStyle name="Currency 5 3 3 3" xfId="1693"/>
    <cellStyle name="Currency 5 3 3 3 2" xfId="12432"/>
    <cellStyle name="Currency 5 3 3 3 2 2" xfId="20457"/>
    <cellStyle name="Currency 5 3 3 3 2 2 2" xfId="34482"/>
    <cellStyle name="Currency 5 3 3 3 2 3" xfId="26471"/>
    <cellStyle name="Currency 5 3 3 3 3" xfId="14447"/>
    <cellStyle name="Currency 5 3 3 3 3 2" xfId="22462"/>
    <cellStyle name="Currency 5 3 3 3 3 2 2" xfId="36487"/>
    <cellStyle name="Currency 5 3 3 3 3 3" xfId="28476"/>
    <cellStyle name="Currency 5 3 3 3 4" xfId="16453"/>
    <cellStyle name="Currency 5 3 3 3 4 2" xfId="30478"/>
    <cellStyle name="Currency 5 3 3 3 5" xfId="18455"/>
    <cellStyle name="Currency 5 3 3 3 5 2" xfId="32480"/>
    <cellStyle name="Currency 5 3 3 3 6" xfId="24469"/>
    <cellStyle name="Currency 5 3 3 4" xfId="12429"/>
    <cellStyle name="Currency 5 3 3 4 2" xfId="20454"/>
    <cellStyle name="Currency 5 3 3 4 2 2" xfId="34479"/>
    <cellStyle name="Currency 5 3 3 4 3" xfId="26468"/>
    <cellStyle name="Currency 5 3 3 5" xfId="14444"/>
    <cellStyle name="Currency 5 3 3 5 2" xfId="22459"/>
    <cellStyle name="Currency 5 3 3 5 2 2" xfId="36484"/>
    <cellStyle name="Currency 5 3 3 5 3" xfId="28473"/>
    <cellStyle name="Currency 5 3 3 6" xfId="16450"/>
    <cellStyle name="Currency 5 3 3 6 2" xfId="30475"/>
    <cellStyle name="Currency 5 3 3 7" xfId="18452"/>
    <cellStyle name="Currency 5 3 3 7 2" xfId="32477"/>
    <cellStyle name="Currency 5 3 3 8" xfId="24466"/>
    <cellStyle name="Currency 5 3 4" xfId="1694"/>
    <cellStyle name="Currency 5 3 4 2" xfId="1695"/>
    <cellStyle name="Currency 5 3 4 2 2" xfId="12434"/>
    <cellStyle name="Currency 5 3 4 2 2 2" xfId="20459"/>
    <cellStyle name="Currency 5 3 4 2 2 2 2" xfId="34484"/>
    <cellStyle name="Currency 5 3 4 2 2 3" xfId="26473"/>
    <cellStyle name="Currency 5 3 4 2 3" xfId="14449"/>
    <cellStyle name="Currency 5 3 4 2 3 2" xfId="22464"/>
    <cellStyle name="Currency 5 3 4 2 3 2 2" xfId="36489"/>
    <cellStyle name="Currency 5 3 4 2 3 3" xfId="28478"/>
    <cellStyle name="Currency 5 3 4 2 4" xfId="16455"/>
    <cellStyle name="Currency 5 3 4 2 4 2" xfId="30480"/>
    <cellStyle name="Currency 5 3 4 2 5" xfId="18457"/>
    <cellStyle name="Currency 5 3 4 2 5 2" xfId="32482"/>
    <cellStyle name="Currency 5 3 4 2 6" xfId="24471"/>
    <cellStyle name="Currency 5 3 4 3" xfId="12433"/>
    <cellStyle name="Currency 5 3 4 3 2" xfId="20458"/>
    <cellStyle name="Currency 5 3 4 3 2 2" xfId="34483"/>
    <cellStyle name="Currency 5 3 4 3 3" xfId="26472"/>
    <cellStyle name="Currency 5 3 4 4" xfId="14448"/>
    <cellStyle name="Currency 5 3 4 4 2" xfId="22463"/>
    <cellStyle name="Currency 5 3 4 4 2 2" xfId="36488"/>
    <cellStyle name="Currency 5 3 4 4 3" xfId="28477"/>
    <cellStyle name="Currency 5 3 4 5" xfId="16454"/>
    <cellStyle name="Currency 5 3 4 5 2" xfId="30479"/>
    <cellStyle name="Currency 5 3 4 6" xfId="18456"/>
    <cellStyle name="Currency 5 3 4 6 2" xfId="32481"/>
    <cellStyle name="Currency 5 3 4 7" xfId="24470"/>
    <cellStyle name="Currency 5 3 5" xfId="1696"/>
    <cellStyle name="Currency 5 3 5 2" xfId="1697"/>
    <cellStyle name="Currency 5 3 5 2 2" xfId="12436"/>
    <cellStyle name="Currency 5 3 5 2 2 2" xfId="20461"/>
    <cellStyle name="Currency 5 3 5 2 2 2 2" xfId="34486"/>
    <cellStyle name="Currency 5 3 5 2 2 3" xfId="26475"/>
    <cellStyle name="Currency 5 3 5 2 3" xfId="14451"/>
    <cellStyle name="Currency 5 3 5 2 3 2" xfId="22466"/>
    <cellStyle name="Currency 5 3 5 2 3 2 2" xfId="36491"/>
    <cellStyle name="Currency 5 3 5 2 3 3" xfId="28480"/>
    <cellStyle name="Currency 5 3 5 2 4" xfId="16457"/>
    <cellStyle name="Currency 5 3 5 2 4 2" xfId="30482"/>
    <cellStyle name="Currency 5 3 5 2 5" xfId="18459"/>
    <cellStyle name="Currency 5 3 5 2 5 2" xfId="32484"/>
    <cellStyle name="Currency 5 3 5 2 6" xfId="24473"/>
    <cellStyle name="Currency 5 3 5 3" xfId="12435"/>
    <cellStyle name="Currency 5 3 5 3 2" xfId="20460"/>
    <cellStyle name="Currency 5 3 5 3 2 2" xfId="34485"/>
    <cellStyle name="Currency 5 3 5 3 3" xfId="26474"/>
    <cellStyle name="Currency 5 3 5 4" xfId="14450"/>
    <cellStyle name="Currency 5 3 5 4 2" xfId="22465"/>
    <cellStyle name="Currency 5 3 5 4 2 2" xfId="36490"/>
    <cellStyle name="Currency 5 3 5 4 3" xfId="28479"/>
    <cellStyle name="Currency 5 3 5 5" xfId="16456"/>
    <cellStyle name="Currency 5 3 5 5 2" xfId="30481"/>
    <cellStyle name="Currency 5 3 5 6" xfId="18458"/>
    <cellStyle name="Currency 5 3 5 6 2" xfId="32483"/>
    <cellStyle name="Currency 5 3 5 7" xfId="24472"/>
    <cellStyle name="Currency 5 3 6" xfId="1698"/>
    <cellStyle name="Currency 5 3 6 2" xfId="12437"/>
    <cellStyle name="Currency 5 3 6 2 2" xfId="20462"/>
    <cellStyle name="Currency 5 3 6 2 2 2" xfId="34487"/>
    <cellStyle name="Currency 5 3 6 2 3" xfId="26476"/>
    <cellStyle name="Currency 5 3 6 3" xfId="14452"/>
    <cellStyle name="Currency 5 3 6 3 2" xfId="22467"/>
    <cellStyle name="Currency 5 3 6 3 2 2" xfId="36492"/>
    <cellStyle name="Currency 5 3 6 3 3" xfId="28481"/>
    <cellStyle name="Currency 5 3 6 4" xfId="16458"/>
    <cellStyle name="Currency 5 3 6 4 2" xfId="30483"/>
    <cellStyle name="Currency 5 3 6 5" xfId="18460"/>
    <cellStyle name="Currency 5 3 6 5 2" xfId="32485"/>
    <cellStyle name="Currency 5 3 6 6" xfId="24474"/>
    <cellStyle name="Currency 5 3 7" xfId="12418"/>
    <cellStyle name="Currency 5 3 7 2" xfId="20443"/>
    <cellStyle name="Currency 5 3 7 2 2" xfId="34468"/>
    <cellStyle name="Currency 5 3 7 3" xfId="26457"/>
    <cellStyle name="Currency 5 3 8" xfId="14433"/>
    <cellStyle name="Currency 5 3 8 2" xfId="22448"/>
    <cellStyle name="Currency 5 3 8 2 2" xfId="36473"/>
    <cellStyle name="Currency 5 3 8 3" xfId="28462"/>
    <cellStyle name="Currency 5 3 9" xfId="16439"/>
    <cellStyle name="Currency 5 3 9 2" xfId="30464"/>
    <cellStyle name="Currency 5 4" xfId="1699"/>
    <cellStyle name="Currency 5 4 10" xfId="24475"/>
    <cellStyle name="Currency 5 4 2" xfId="1700"/>
    <cellStyle name="Currency 5 4 2 2" xfId="1701"/>
    <cellStyle name="Currency 5 4 2 2 2" xfId="1702"/>
    <cellStyle name="Currency 5 4 2 2 2 2" xfId="12441"/>
    <cellStyle name="Currency 5 4 2 2 2 2 2" xfId="20466"/>
    <cellStyle name="Currency 5 4 2 2 2 2 2 2" xfId="34491"/>
    <cellStyle name="Currency 5 4 2 2 2 2 3" xfId="26480"/>
    <cellStyle name="Currency 5 4 2 2 2 3" xfId="14456"/>
    <cellStyle name="Currency 5 4 2 2 2 3 2" xfId="22471"/>
    <cellStyle name="Currency 5 4 2 2 2 3 2 2" xfId="36496"/>
    <cellStyle name="Currency 5 4 2 2 2 3 3" xfId="28485"/>
    <cellStyle name="Currency 5 4 2 2 2 4" xfId="16462"/>
    <cellStyle name="Currency 5 4 2 2 2 4 2" xfId="30487"/>
    <cellStyle name="Currency 5 4 2 2 2 5" xfId="18464"/>
    <cellStyle name="Currency 5 4 2 2 2 5 2" xfId="32489"/>
    <cellStyle name="Currency 5 4 2 2 2 6" xfId="24478"/>
    <cellStyle name="Currency 5 4 2 2 3" xfId="12440"/>
    <cellStyle name="Currency 5 4 2 2 3 2" xfId="20465"/>
    <cellStyle name="Currency 5 4 2 2 3 2 2" xfId="34490"/>
    <cellStyle name="Currency 5 4 2 2 3 3" xfId="26479"/>
    <cellStyle name="Currency 5 4 2 2 4" xfId="14455"/>
    <cellStyle name="Currency 5 4 2 2 4 2" xfId="22470"/>
    <cellStyle name="Currency 5 4 2 2 4 2 2" xfId="36495"/>
    <cellStyle name="Currency 5 4 2 2 4 3" xfId="28484"/>
    <cellStyle name="Currency 5 4 2 2 5" xfId="16461"/>
    <cellStyle name="Currency 5 4 2 2 5 2" xfId="30486"/>
    <cellStyle name="Currency 5 4 2 2 6" xfId="18463"/>
    <cellStyle name="Currency 5 4 2 2 6 2" xfId="32488"/>
    <cellStyle name="Currency 5 4 2 2 7" xfId="24477"/>
    <cellStyle name="Currency 5 4 2 3" xfId="1703"/>
    <cellStyle name="Currency 5 4 2 3 2" xfId="12442"/>
    <cellStyle name="Currency 5 4 2 3 2 2" xfId="20467"/>
    <cellStyle name="Currency 5 4 2 3 2 2 2" xfId="34492"/>
    <cellStyle name="Currency 5 4 2 3 2 3" xfId="26481"/>
    <cellStyle name="Currency 5 4 2 3 3" xfId="14457"/>
    <cellStyle name="Currency 5 4 2 3 3 2" xfId="22472"/>
    <cellStyle name="Currency 5 4 2 3 3 2 2" xfId="36497"/>
    <cellStyle name="Currency 5 4 2 3 3 3" xfId="28486"/>
    <cellStyle name="Currency 5 4 2 3 4" xfId="16463"/>
    <cellStyle name="Currency 5 4 2 3 4 2" xfId="30488"/>
    <cellStyle name="Currency 5 4 2 3 5" xfId="18465"/>
    <cellStyle name="Currency 5 4 2 3 5 2" xfId="32490"/>
    <cellStyle name="Currency 5 4 2 3 6" xfId="24479"/>
    <cellStyle name="Currency 5 4 2 4" xfId="12439"/>
    <cellStyle name="Currency 5 4 2 4 2" xfId="20464"/>
    <cellStyle name="Currency 5 4 2 4 2 2" xfId="34489"/>
    <cellStyle name="Currency 5 4 2 4 3" xfId="26478"/>
    <cellStyle name="Currency 5 4 2 5" xfId="14454"/>
    <cellStyle name="Currency 5 4 2 5 2" xfId="22469"/>
    <cellStyle name="Currency 5 4 2 5 2 2" xfId="36494"/>
    <cellStyle name="Currency 5 4 2 5 3" xfId="28483"/>
    <cellStyle name="Currency 5 4 2 6" xfId="16460"/>
    <cellStyle name="Currency 5 4 2 6 2" xfId="30485"/>
    <cellStyle name="Currency 5 4 2 7" xfId="18462"/>
    <cellStyle name="Currency 5 4 2 7 2" xfId="32487"/>
    <cellStyle name="Currency 5 4 2 8" xfId="24476"/>
    <cellStyle name="Currency 5 4 3" xfId="1704"/>
    <cellStyle name="Currency 5 4 3 2" xfId="1705"/>
    <cellStyle name="Currency 5 4 3 2 2" xfId="12444"/>
    <cellStyle name="Currency 5 4 3 2 2 2" xfId="20469"/>
    <cellStyle name="Currency 5 4 3 2 2 2 2" xfId="34494"/>
    <cellStyle name="Currency 5 4 3 2 2 3" xfId="26483"/>
    <cellStyle name="Currency 5 4 3 2 3" xfId="14459"/>
    <cellStyle name="Currency 5 4 3 2 3 2" xfId="22474"/>
    <cellStyle name="Currency 5 4 3 2 3 2 2" xfId="36499"/>
    <cellStyle name="Currency 5 4 3 2 3 3" xfId="28488"/>
    <cellStyle name="Currency 5 4 3 2 4" xfId="16465"/>
    <cellStyle name="Currency 5 4 3 2 4 2" xfId="30490"/>
    <cellStyle name="Currency 5 4 3 2 5" xfId="18467"/>
    <cellStyle name="Currency 5 4 3 2 5 2" xfId="32492"/>
    <cellStyle name="Currency 5 4 3 2 6" xfId="24481"/>
    <cellStyle name="Currency 5 4 3 3" xfId="12443"/>
    <cellStyle name="Currency 5 4 3 3 2" xfId="20468"/>
    <cellStyle name="Currency 5 4 3 3 2 2" xfId="34493"/>
    <cellStyle name="Currency 5 4 3 3 3" xfId="26482"/>
    <cellStyle name="Currency 5 4 3 4" xfId="14458"/>
    <cellStyle name="Currency 5 4 3 4 2" xfId="22473"/>
    <cellStyle name="Currency 5 4 3 4 2 2" xfId="36498"/>
    <cellStyle name="Currency 5 4 3 4 3" xfId="28487"/>
    <cellStyle name="Currency 5 4 3 5" xfId="16464"/>
    <cellStyle name="Currency 5 4 3 5 2" xfId="30489"/>
    <cellStyle name="Currency 5 4 3 6" xfId="18466"/>
    <cellStyle name="Currency 5 4 3 6 2" xfId="32491"/>
    <cellStyle name="Currency 5 4 3 7" xfId="24480"/>
    <cellStyle name="Currency 5 4 4" xfId="1706"/>
    <cellStyle name="Currency 5 4 4 2" xfId="1707"/>
    <cellStyle name="Currency 5 4 4 2 2" xfId="12446"/>
    <cellStyle name="Currency 5 4 4 2 2 2" xfId="20471"/>
    <cellStyle name="Currency 5 4 4 2 2 2 2" xfId="34496"/>
    <cellStyle name="Currency 5 4 4 2 2 3" xfId="26485"/>
    <cellStyle name="Currency 5 4 4 2 3" xfId="14461"/>
    <cellStyle name="Currency 5 4 4 2 3 2" xfId="22476"/>
    <cellStyle name="Currency 5 4 4 2 3 2 2" xfId="36501"/>
    <cellStyle name="Currency 5 4 4 2 3 3" xfId="28490"/>
    <cellStyle name="Currency 5 4 4 2 4" xfId="16467"/>
    <cellStyle name="Currency 5 4 4 2 4 2" xfId="30492"/>
    <cellStyle name="Currency 5 4 4 2 5" xfId="18469"/>
    <cellStyle name="Currency 5 4 4 2 5 2" xfId="32494"/>
    <cellStyle name="Currency 5 4 4 2 6" xfId="24483"/>
    <cellStyle name="Currency 5 4 4 3" xfId="12445"/>
    <cellStyle name="Currency 5 4 4 3 2" xfId="20470"/>
    <cellStyle name="Currency 5 4 4 3 2 2" xfId="34495"/>
    <cellStyle name="Currency 5 4 4 3 3" xfId="26484"/>
    <cellStyle name="Currency 5 4 4 4" xfId="14460"/>
    <cellStyle name="Currency 5 4 4 4 2" xfId="22475"/>
    <cellStyle name="Currency 5 4 4 4 2 2" xfId="36500"/>
    <cellStyle name="Currency 5 4 4 4 3" xfId="28489"/>
    <cellStyle name="Currency 5 4 4 5" xfId="16466"/>
    <cellStyle name="Currency 5 4 4 5 2" xfId="30491"/>
    <cellStyle name="Currency 5 4 4 6" xfId="18468"/>
    <cellStyle name="Currency 5 4 4 6 2" xfId="32493"/>
    <cellStyle name="Currency 5 4 4 7" xfId="24482"/>
    <cellStyle name="Currency 5 4 5" xfId="1708"/>
    <cellStyle name="Currency 5 4 5 2" xfId="12447"/>
    <cellStyle name="Currency 5 4 5 2 2" xfId="20472"/>
    <cellStyle name="Currency 5 4 5 2 2 2" xfId="34497"/>
    <cellStyle name="Currency 5 4 5 2 3" xfId="26486"/>
    <cellStyle name="Currency 5 4 5 3" xfId="14462"/>
    <cellStyle name="Currency 5 4 5 3 2" xfId="22477"/>
    <cellStyle name="Currency 5 4 5 3 2 2" xfId="36502"/>
    <cellStyle name="Currency 5 4 5 3 3" xfId="28491"/>
    <cellStyle name="Currency 5 4 5 4" xfId="16468"/>
    <cellStyle name="Currency 5 4 5 4 2" xfId="30493"/>
    <cellStyle name="Currency 5 4 5 5" xfId="18470"/>
    <cellStyle name="Currency 5 4 5 5 2" xfId="32495"/>
    <cellStyle name="Currency 5 4 5 6" xfId="24484"/>
    <cellStyle name="Currency 5 4 6" xfId="12438"/>
    <cellStyle name="Currency 5 4 6 2" xfId="20463"/>
    <cellStyle name="Currency 5 4 6 2 2" xfId="34488"/>
    <cellStyle name="Currency 5 4 6 3" xfId="26477"/>
    <cellStyle name="Currency 5 4 7" xfId="14453"/>
    <cellStyle name="Currency 5 4 7 2" xfId="22468"/>
    <cellStyle name="Currency 5 4 7 2 2" xfId="36493"/>
    <cellStyle name="Currency 5 4 7 3" xfId="28482"/>
    <cellStyle name="Currency 5 4 8" xfId="16459"/>
    <cellStyle name="Currency 5 4 8 2" xfId="30484"/>
    <cellStyle name="Currency 5 4 9" xfId="18461"/>
    <cellStyle name="Currency 5 4 9 2" xfId="32486"/>
    <cellStyle name="Currency 5 5" xfId="1709"/>
    <cellStyle name="Currency 5 5 2" xfId="1710"/>
    <cellStyle name="Currency 5 5 2 2" xfId="1711"/>
    <cellStyle name="Currency 5 5 2 2 2" xfId="12450"/>
    <cellStyle name="Currency 5 5 2 2 2 2" xfId="20475"/>
    <cellStyle name="Currency 5 5 2 2 2 2 2" xfId="34500"/>
    <cellStyle name="Currency 5 5 2 2 2 3" xfId="26489"/>
    <cellStyle name="Currency 5 5 2 2 3" xfId="14465"/>
    <cellStyle name="Currency 5 5 2 2 3 2" xfId="22480"/>
    <cellStyle name="Currency 5 5 2 2 3 2 2" xfId="36505"/>
    <cellStyle name="Currency 5 5 2 2 3 3" xfId="28494"/>
    <cellStyle name="Currency 5 5 2 2 4" xfId="16471"/>
    <cellStyle name="Currency 5 5 2 2 4 2" xfId="30496"/>
    <cellStyle name="Currency 5 5 2 2 5" xfId="18473"/>
    <cellStyle name="Currency 5 5 2 2 5 2" xfId="32498"/>
    <cellStyle name="Currency 5 5 2 2 6" xfId="24487"/>
    <cellStyle name="Currency 5 5 2 3" xfId="12449"/>
    <cellStyle name="Currency 5 5 2 3 2" xfId="20474"/>
    <cellStyle name="Currency 5 5 2 3 2 2" xfId="34499"/>
    <cellStyle name="Currency 5 5 2 3 3" xfId="26488"/>
    <cellStyle name="Currency 5 5 2 4" xfId="14464"/>
    <cellStyle name="Currency 5 5 2 4 2" xfId="22479"/>
    <cellStyle name="Currency 5 5 2 4 2 2" xfId="36504"/>
    <cellStyle name="Currency 5 5 2 4 3" xfId="28493"/>
    <cellStyle name="Currency 5 5 2 5" xfId="16470"/>
    <cellStyle name="Currency 5 5 2 5 2" xfId="30495"/>
    <cellStyle name="Currency 5 5 2 6" xfId="18472"/>
    <cellStyle name="Currency 5 5 2 6 2" xfId="32497"/>
    <cellStyle name="Currency 5 5 2 7" xfId="24486"/>
    <cellStyle name="Currency 5 5 3" xfId="1712"/>
    <cellStyle name="Currency 5 5 3 2" xfId="12451"/>
    <cellStyle name="Currency 5 5 3 2 2" xfId="20476"/>
    <cellStyle name="Currency 5 5 3 2 2 2" xfId="34501"/>
    <cellStyle name="Currency 5 5 3 2 3" xfId="26490"/>
    <cellStyle name="Currency 5 5 3 3" xfId="14466"/>
    <cellStyle name="Currency 5 5 3 3 2" xfId="22481"/>
    <cellStyle name="Currency 5 5 3 3 2 2" xfId="36506"/>
    <cellStyle name="Currency 5 5 3 3 3" xfId="28495"/>
    <cellStyle name="Currency 5 5 3 4" xfId="16472"/>
    <cellStyle name="Currency 5 5 3 4 2" xfId="30497"/>
    <cellStyle name="Currency 5 5 3 5" xfId="18474"/>
    <cellStyle name="Currency 5 5 3 5 2" xfId="32499"/>
    <cellStyle name="Currency 5 5 3 6" xfId="24488"/>
    <cellStyle name="Currency 5 5 4" xfId="12448"/>
    <cellStyle name="Currency 5 5 4 2" xfId="20473"/>
    <cellStyle name="Currency 5 5 4 2 2" xfId="34498"/>
    <cellStyle name="Currency 5 5 4 3" xfId="26487"/>
    <cellStyle name="Currency 5 5 5" xfId="14463"/>
    <cellStyle name="Currency 5 5 5 2" xfId="22478"/>
    <cellStyle name="Currency 5 5 5 2 2" xfId="36503"/>
    <cellStyle name="Currency 5 5 5 3" xfId="28492"/>
    <cellStyle name="Currency 5 5 6" xfId="16469"/>
    <cellStyle name="Currency 5 5 6 2" xfId="30494"/>
    <cellStyle name="Currency 5 5 7" xfId="18471"/>
    <cellStyle name="Currency 5 5 7 2" xfId="32496"/>
    <cellStyle name="Currency 5 5 8" xfId="24485"/>
    <cellStyle name="Currency 5 6" xfId="1713"/>
    <cellStyle name="Currency 5 6 2" xfId="1714"/>
    <cellStyle name="Currency 5 6 2 2" xfId="12453"/>
    <cellStyle name="Currency 5 6 2 2 2" xfId="20478"/>
    <cellStyle name="Currency 5 6 2 2 2 2" xfId="34503"/>
    <cellStyle name="Currency 5 6 2 2 3" xfId="26492"/>
    <cellStyle name="Currency 5 6 2 3" xfId="14468"/>
    <cellStyle name="Currency 5 6 2 3 2" xfId="22483"/>
    <cellStyle name="Currency 5 6 2 3 2 2" xfId="36508"/>
    <cellStyle name="Currency 5 6 2 3 3" xfId="28497"/>
    <cellStyle name="Currency 5 6 2 4" xfId="16474"/>
    <cellStyle name="Currency 5 6 2 4 2" xfId="30499"/>
    <cellStyle name="Currency 5 6 2 5" xfId="18476"/>
    <cellStyle name="Currency 5 6 2 5 2" xfId="32501"/>
    <cellStyle name="Currency 5 6 2 6" xfId="24490"/>
    <cellStyle name="Currency 5 6 3" xfId="12452"/>
    <cellStyle name="Currency 5 6 3 2" xfId="20477"/>
    <cellStyle name="Currency 5 6 3 2 2" xfId="34502"/>
    <cellStyle name="Currency 5 6 3 3" xfId="26491"/>
    <cellStyle name="Currency 5 6 4" xfId="14467"/>
    <cellStyle name="Currency 5 6 4 2" xfId="22482"/>
    <cellStyle name="Currency 5 6 4 2 2" xfId="36507"/>
    <cellStyle name="Currency 5 6 4 3" xfId="28496"/>
    <cellStyle name="Currency 5 6 5" xfId="16473"/>
    <cellStyle name="Currency 5 6 5 2" xfId="30498"/>
    <cellStyle name="Currency 5 6 6" xfId="18475"/>
    <cellStyle name="Currency 5 6 6 2" xfId="32500"/>
    <cellStyle name="Currency 5 6 7" xfId="24489"/>
    <cellStyle name="Currency 5 7" xfId="1715"/>
    <cellStyle name="Currency 5 7 2" xfId="1716"/>
    <cellStyle name="Currency 5 7 2 2" xfId="12455"/>
    <cellStyle name="Currency 5 7 2 2 2" xfId="20480"/>
    <cellStyle name="Currency 5 7 2 2 2 2" xfId="34505"/>
    <cellStyle name="Currency 5 7 2 2 3" xfId="26494"/>
    <cellStyle name="Currency 5 7 2 3" xfId="14470"/>
    <cellStyle name="Currency 5 7 2 3 2" xfId="22485"/>
    <cellStyle name="Currency 5 7 2 3 2 2" xfId="36510"/>
    <cellStyle name="Currency 5 7 2 3 3" xfId="28499"/>
    <cellStyle name="Currency 5 7 2 4" xfId="16476"/>
    <cellStyle name="Currency 5 7 2 4 2" xfId="30501"/>
    <cellStyle name="Currency 5 7 2 5" xfId="18478"/>
    <cellStyle name="Currency 5 7 2 5 2" xfId="32503"/>
    <cellStyle name="Currency 5 7 2 6" xfId="24492"/>
    <cellStyle name="Currency 5 7 3" xfId="12454"/>
    <cellStyle name="Currency 5 7 3 2" xfId="20479"/>
    <cellStyle name="Currency 5 7 3 2 2" xfId="34504"/>
    <cellStyle name="Currency 5 7 3 3" xfId="26493"/>
    <cellStyle name="Currency 5 7 4" xfId="14469"/>
    <cellStyle name="Currency 5 7 4 2" xfId="22484"/>
    <cellStyle name="Currency 5 7 4 2 2" xfId="36509"/>
    <cellStyle name="Currency 5 7 4 3" xfId="28498"/>
    <cellStyle name="Currency 5 7 5" xfId="16475"/>
    <cellStyle name="Currency 5 7 5 2" xfId="30500"/>
    <cellStyle name="Currency 5 7 6" xfId="18477"/>
    <cellStyle name="Currency 5 7 6 2" xfId="32502"/>
    <cellStyle name="Currency 5 7 7" xfId="24491"/>
    <cellStyle name="Currency 5 8" xfId="1717"/>
    <cellStyle name="Currency 5 8 2" xfId="12456"/>
    <cellStyle name="Currency 5 8 2 2" xfId="20481"/>
    <cellStyle name="Currency 5 8 2 2 2" xfId="34506"/>
    <cellStyle name="Currency 5 8 2 3" xfId="26495"/>
    <cellStyle name="Currency 5 8 3" xfId="14471"/>
    <cellStyle name="Currency 5 8 3 2" xfId="22486"/>
    <cellStyle name="Currency 5 8 3 2 2" xfId="36511"/>
    <cellStyle name="Currency 5 8 3 3" xfId="28500"/>
    <cellStyle name="Currency 5 8 4" xfId="16477"/>
    <cellStyle name="Currency 5 8 4 2" xfId="30502"/>
    <cellStyle name="Currency 5 8 5" xfId="18479"/>
    <cellStyle name="Currency 5 8 5 2" xfId="32504"/>
    <cellStyle name="Currency 5 8 6" xfId="24493"/>
    <cellStyle name="Currency 6" xfId="1718"/>
    <cellStyle name="Currency 6 2" xfId="1719"/>
    <cellStyle name="Currency 7" xfId="1720"/>
    <cellStyle name="Currency 8" xfId="11278"/>
    <cellStyle name="Currency No Comma" xfId="1721"/>
    <cellStyle name="Currency0" xfId="443"/>
    <cellStyle name="Date" xfId="444"/>
    <cellStyle name="Explanatory Text 2" xfId="445"/>
    <cellStyle name="Fixed" xfId="446"/>
    <cellStyle name="Formula" xfId="447"/>
    <cellStyle name="fred" xfId="448"/>
    <cellStyle name="Fred%" xfId="449"/>
    <cellStyle name="fred_EGSI_TX_LA_SPLIT_BS_12_05_rev" xfId="450"/>
    <cellStyle name="Good 2" xfId="451"/>
    <cellStyle name="Grey" xfId="452"/>
    <cellStyle name="Header" xfId="453"/>
    <cellStyle name="Header1" xfId="454"/>
    <cellStyle name="Header2" xfId="455"/>
    <cellStyle name="Heading" xfId="456"/>
    <cellStyle name="Heading 1 2" xfId="457"/>
    <cellStyle name="Heading 2 2" xfId="458"/>
    <cellStyle name="Heading 3 2" xfId="459"/>
    <cellStyle name="Heading 4 2" xfId="460"/>
    <cellStyle name="Hyperlink 2" xfId="461"/>
    <cellStyle name="Hyperlink 3" xfId="462"/>
    <cellStyle name="Hyperlink 4" xfId="463"/>
    <cellStyle name="Hyperlink 5" xfId="464"/>
    <cellStyle name="Hyperlink 6" xfId="465"/>
    <cellStyle name="Input [yellow]" xfId="466"/>
    <cellStyle name="Input 10" xfId="11309"/>
    <cellStyle name="Input 11" xfId="11298"/>
    <cellStyle name="Input 12" xfId="11311"/>
    <cellStyle name="Input 2" xfId="467"/>
    <cellStyle name="Input 2 10" xfId="1722"/>
    <cellStyle name="Input 2 10 2" xfId="1723"/>
    <cellStyle name="Input 2 11" xfId="1724"/>
    <cellStyle name="Input 2 11 2" xfId="1725"/>
    <cellStyle name="Input 2 12" xfId="1726"/>
    <cellStyle name="Input 2 12 2" xfId="1727"/>
    <cellStyle name="Input 2 13" xfId="1728"/>
    <cellStyle name="Input 2 13 2" xfId="1729"/>
    <cellStyle name="Input 2 14" xfId="1730"/>
    <cellStyle name="Input 2 14 2" xfId="1731"/>
    <cellStyle name="Input 2 15" xfId="1732"/>
    <cellStyle name="Input 2 15 2" xfId="1733"/>
    <cellStyle name="Input 2 16" xfId="1734"/>
    <cellStyle name="Input 2 2" xfId="1735"/>
    <cellStyle name="Input 2 2 10" xfId="1736"/>
    <cellStyle name="Input 2 2 10 2" xfId="1737"/>
    <cellStyle name="Input 2 2 11" xfId="1738"/>
    <cellStyle name="Input 2 2 2" xfId="1739"/>
    <cellStyle name="Input 2 2 2 2" xfId="1740"/>
    <cellStyle name="Input 2 2 2 2 2" xfId="1741"/>
    <cellStyle name="Input 2 2 2 3" xfId="1742"/>
    <cellStyle name="Input 2 2 3" xfId="1743"/>
    <cellStyle name="Input 2 2 3 2" xfId="1744"/>
    <cellStyle name="Input 2 2 4" xfId="1745"/>
    <cellStyle name="Input 2 2 4 2" xfId="1746"/>
    <cellStyle name="Input 2 2 5" xfId="1747"/>
    <cellStyle name="Input 2 2 5 2" xfId="1748"/>
    <cellStyle name="Input 2 2 6" xfId="1749"/>
    <cellStyle name="Input 2 2 6 2" xfId="1750"/>
    <cellStyle name="Input 2 2 7" xfId="1751"/>
    <cellStyle name="Input 2 2 7 2" xfId="1752"/>
    <cellStyle name="Input 2 2 8" xfId="1753"/>
    <cellStyle name="Input 2 2 8 2" xfId="1754"/>
    <cellStyle name="Input 2 2 9" xfId="1755"/>
    <cellStyle name="Input 2 2 9 2" xfId="1756"/>
    <cellStyle name="Input 2 3" xfId="1757"/>
    <cellStyle name="Input 2 3 10" xfId="1758"/>
    <cellStyle name="Input 2 3 10 2" xfId="1759"/>
    <cellStyle name="Input 2 3 11" xfId="1760"/>
    <cellStyle name="Input 2 3 2" xfId="1761"/>
    <cellStyle name="Input 2 3 2 2" xfId="1762"/>
    <cellStyle name="Input 2 3 2 2 2" xfId="1763"/>
    <cellStyle name="Input 2 3 2 3" xfId="1764"/>
    <cellStyle name="Input 2 3 3" xfId="1765"/>
    <cellStyle name="Input 2 3 3 2" xfId="1766"/>
    <cellStyle name="Input 2 3 4" xfId="1767"/>
    <cellStyle name="Input 2 3 4 2" xfId="1768"/>
    <cellStyle name="Input 2 3 5" xfId="1769"/>
    <cellStyle name="Input 2 3 5 2" xfId="1770"/>
    <cellStyle name="Input 2 3 6" xfId="1771"/>
    <cellStyle name="Input 2 3 6 2" xfId="1772"/>
    <cellStyle name="Input 2 3 7" xfId="1773"/>
    <cellStyle name="Input 2 3 7 2" xfId="1774"/>
    <cellStyle name="Input 2 3 8" xfId="1775"/>
    <cellStyle name="Input 2 3 8 2" xfId="1776"/>
    <cellStyle name="Input 2 3 9" xfId="1777"/>
    <cellStyle name="Input 2 3 9 2" xfId="1778"/>
    <cellStyle name="Input 2 4" xfId="1779"/>
    <cellStyle name="Input 2 4 10" xfId="1780"/>
    <cellStyle name="Input 2 4 10 2" xfId="1781"/>
    <cellStyle name="Input 2 4 11" xfId="1782"/>
    <cellStyle name="Input 2 4 2" xfId="1783"/>
    <cellStyle name="Input 2 4 2 2" xfId="1784"/>
    <cellStyle name="Input 2 4 2 2 2" xfId="1785"/>
    <cellStyle name="Input 2 4 2 3" xfId="1786"/>
    <cellStyle name="Input 2 4 3" xfId="1787"/>
    <cellStyle name="Input 2 4 3 2" xfId="1788"/>
    <cellStyle name="Input 2 4 4" xfId="1789"/>
    <cellStyle name="Input 2 4 4 2" xfId="1790"/>
    <cellStyle name="Input 2 4 5" xfId="1791"/>
    <cellStyle name="Input 2 4 5 2" xfId="1792"/>
    <cellStyle name="Input 2 4 6" xfId="1793"/>
    <cellStyle name="Input 2 4 6 2" xfId="1794"/>
    <cellStyle name="Input 2 4 7" xfId="1795"/>
    <cellStyle name="Input 2 4 7 2" xfId="1796"/>
    <cellStyle name="Input 2 4 8" xfId="1797"/>
    <cellStyle name="Input 2 4 8 2" xfId="1798"/>
    <cellStyle name="Input 2 4 9" xfId="1799"/>
    <cellStyle name="Input 2 4 9 2" xfId="1800"/>
    <cellStyle name="Input 2 5" xfId="1801"/>
    <cellStyle name="Input 2 5 10" xfId="1802"/>
    <cellStyle name="Input 2 5 10 2" xfId="1803"/>
    <cellStyle name="Input 2 5 11" xfId="1804"/>
    <cellStyle name="Input 2 5 2" xfId="1805"/>
    <cellStyle name="Input 2 5 2 2" xfId="1806"/>
    <cellStyle name="Input 2 5 2 2 2" xfId="1807"/>
    <cellStyle name="Input 2 5 2 3" xfId="1808"/>
    <cellStyle name="Input 2 5 3" xfId="1809"/>
    <cellStyle name="Input 2 5 3 2" xfId="1810"/>
    <cellStyle name="Input 2 5 4" xfId="1811"/>
    <cellStyle name="Input 2 5 4 2" xfId="1812"/>
    <cellStyle name="Input 2 5 5" xfId="1813"/>
    <cellStyle name="Input 2 5 5 2" xfId="1814"/>
    <cellStyle name="Input 2 5 6" xfId="1815"/>
    <cellStyle name="Input 2 5 6 2" xfId="1816"/>
    <cellStyle name="Input 2 5 7" xfId="1817"/>
    <cellStyle name="Input 2 5 7 2" xfId="1818"/>
    <cellStyle name="Input 2 5 8" xfId="1819"/>
    <cellStyle name="Input 2 5 8 2" xfId="1820"/>
    <cellStyle name="Input 2 5 9" xfId="1821"/>
    <cellStyle name="Input 2 5 9 2" xfId="1822"/>
    <cellStyle name="Input 2 6" xfId="1823"/>
    <cellStyle name="Input 2 6 10" xfId="1824"/>
    <cellStyle name="Input 2 6 10 2" xfId="1825"/>
    <cellStyle name="Input 2 6 11" xfId="1826"/>
    <cellStyle name="Input 2 6 2" xfId="1827"/>
    <cellStyle name="Input 2 6 2 2" xfId="1828"/>
    <cellStyle name="Input 2 6 2 2 2" xfId="1829"/>
    <cellStyle name="Input 2 6 2 3" xfId="1830"/>
    <cellStyle name="Input 2 6 3" xfId="1831"/>
    <cellStyle name="Input 2 6 3 2" xfId="1832"/>
    <cellStyle name="Input 2 6 4" xfId="1833"/>
    <cellStyle name="Input 2 6 4 2" xfId="1834"/>
    <cellStyle name="Input 2 6 5" xfId="1835"/>
    <cellStyle name="Input 2 6 5 2" xfId="1836"/>
    <cellStyle name="Input 2 6 6" xfId="1837"/>
    <cellStyle name="Input 2 6 6 2" xfId="1838"/>
    <cellStyle name="Input 2 6 7" xfId="1839"/>
    <cellStyle name="Input 2 6 7 2" xfId="1840"/>
    <cellStyle name="Input 2 6 8" xfId="1841"/>
    <cellStyle name="Input 2 6 8 2" xfId="1842"/>
    <cellStyle name="Input 2 6 9" xfId="1843"/>
    <cellStyle name="Input 2 6 9 2" xfId="1844"/>
    <cellStyle name="Input 2 7" xfId="1845"/>
    <cellStyle name="Input 2 7 2" xfId="1846"/>
    <cellStyle name="Input 2 7 2 2" xfId="1847"/>
    <cellStyle name="Input 2 7 3" xfId="1848"/>
    <cellStyle name="Input 2 8" xfId="1849"/>
    <cellStyle name="Input 2 8 2" xfId="1850"/>
    <cellStyle name="Input 2 9" xfId="1851"/>
    <cellStyle name="Input 2 9 2" xfId="1852"/>
    <cellStyle name="Input 3" xfId="11303"/>
    <cellStyle name="Input 4" xfId="11306"/>
    <cellStyle name="Input 5" xfId="11295"/>
    <cellStyle name="Input 6" xfId="11307"/>
    <cellStyle name="Input 7" xfId="11296"/>
    <cellStyle name="Input 8" xfId="11308"/>
    <cellStyle name="Input 9" xfId="11297"/>
    <cellStyle name="kwh_centered" xfId="468"/>
    <cellStyle name="Linked Cell 2" xfId="469"/>
    <cellStyle name="MCP" xfId="1853"/>
    <cellStyle name="Neutral 2" xfId="470"/>
    <cellStyle name="no dec" xfId="471"/>
    <cellStyle name="nONE" xfId="1854"/>
    <cellStyle name="noninput" xfId="1855"/>
    <cellStyle name="Normal" xfId="0" builtinId="0"/>
    <cellStyle name="Normal - Style1" xfId="472"/>
    <cellStyle name="Normal 10" xfId="473"/>
    <cellStyle name="Normal 10 10" xfId="1856"/>
    <cellStyle name="Normal 10 10 2" xfId="12457"/>
    <cellStyle name="Normal 10 10 2 2" xfId="20482"/>
    <cellStyle name="Normal 10 10 2 2 2" xfId="34507"/>
    <cellStyle name="Normal 10 10 2 2 2 2" xfId="37702"/>
    <cellStyle name="Normal 10 10 2 3" xfId="26496"/>
    <cellStyle name="Normal 10 10 3" xfId="14472"/>
    <cellStyle name="Normal 10 10 3 2" xfId="22487"/>
    <cellStyle name="Normal 10 10 3 2 2" xfId="36512"/>
    <cellStyle name="Normal 10 10 3 3" xfId="28501"/>
    <cellStyle name="Normal 10 10 4" xfId="16478"/>
    <cellStyle name="Normal 10 10 4 2" xfId="30503"/>
    <cellStyle name="Normal 10 10 5" xfId="18480"/>
    <cellStyle name="Normal 10 10 5 2" xfId="32505"/>
    <cellStyle name="Normal 10 10 6" xfId="24494"/>
    <cellStyle name="Normal 10 11" xfId="11625"/>
    <cellStyle name="Normal 10 2" xfId="474"/>
    <cellStyle name="Normal 10 2 2" xfId="475"/>
    <cellStyle name="Normal 10 3" xfId="476"/>
    <cellStyle name="Normal 10 4" xfId="1857"/>
    <cellStyle name="Normal 10 4 10" xfId="16479"/>
    <cellStyle name="Normal 10 4 10 2" xfId="30504"/>
    <cellStyle name="Normal 10 4 11" xfId="18481"/>
    <cellStyle name="Normal 10 4 11 2" xfId="32506"/>
    <cellStyle name="Normal 10 4 12" xfId="24495"/>
    <cellStyle name="Normal 10 4 2" xfId="1858"/>
    <cellStyle name="Normal 10 4 2 10" xfId="18482"/>
    <cellStyle name="Normal 10 4 2 10 2" xfId="32507"/>
    <cellStyle name="Normal 10 4 2 11" xfId="24496"/>
    <cellStyle name="Normal 10 4 2 2" xfId="1859"/>
    <cellStyle name="Normal 10 4 2 2 10" xfId="24497"/>
    <cellStyle name="Normal 10 4 2 2 2" xfId="1860"/>
    <cellStyle name="Normal 10 4 2 2 2 2" xfId="1861"/>
    <cellStyle name="Normal 10 4 2 2 2 2 2" xfId="1862"/>
    <cellStyle name="Normal 10 4 2 2 2 2 2 2" xfId="12463"/>
    <cellStyle name="Normal 10 4 2 2 2 2 2 2 2" xfId="20488"/>
    <cellStyle name="Normal 10 4 2 2 2 2 2 2 2 2" xfId="34513"/>
    <cellStyle name="Normal 10 4 2 2 2 2 2 2 3" xfId="26502"/>
    <cellStyle name="Normal 10 4 2 2 2 2 2 3" xfId="14478"/>
    <cellStyle name="Normal 10 4 2 2 2 2 2 3 2" xfId="22493"/>
    <cellStyle name="Normal 10 4 2 2 2 2 2 3 2 2" xfId="36518"/>
    <cellStyle name="Normal 10 4 2 2 2 2 2 3 3" xfId="28507"/>
    <cellStyle name="Normal 10 4 2 2 2 2 2 4" xfId="16484"/>
    <cellStyle name="Normal 10 4 2 2 2 2 2 4 2" xfId="30509"/>
    <cellStyle name="Normal 10 4 2 2 2 2 2 5" xfId="18486"/>
    <cellStyle name="Normal 10 4 2 2 2 2 2 5 2" xfId="32511"/>
    <cellStyle name="Normal 10 4 2 2 2 2 2 6" xfId="24500"/>
    <cellStyle name="Normal 10 4 2 2 2 2 3" xfId="12462"/>
    <cellStyle name="Normal 10 4 2 2 2 2 3 2" xfId="20487"/>
    <cellStyle name="Normal 10 4 2 2 2 2 3 2 2" xfId="34512"/>
    <cellStyle name="Normal 10 4 2 2 2 2 3 3" xfId="26501"/>
    <cellStyle name="Normal 10 4 2 2 2 2 4" xfId="14477"/>
    <cellStyle name="Normal 10 4 2 2 2 2 4 2" xfId="22492"/>
    <cellStyle name="Normal 10 4 2 2 2 2 4 2 2" xfId="36517"/>
    <cellStyle name="Normal 10 4 2 2 2 2 4 3" xfId="28506"/>
    <cellStyle name="Normal 10 4 2 2 2 2 5" xfId="16483"/>
    <cellStyle name="Normal 10 4 2 2 2 2 5 2" xfId="30508"/>
    <cellStyle name="Normal 10 4 2 2 2 2 6" xfId="18485"/>
    <cellStyle name="Normal 10 4 2 2 2 2 6 2" xfId="32510"/>
    <cellStyle name="Normal 10 4 2 2 2 2 7" xfId="24499"/>
    <cellStyle name="Normal 10 4 2 2 2 3" xfId="1863"/>
    <cellStyle name="Normal 10 4 2 2 2 3 2" xfId="12464"/>
    <cellStyle name="Normal 10 4 2 2 2 3 2 2" xfId="20489"/>
    <cellStyle name="Normal 10 4 2 2 2 3 2 2 2" xfId="34514"/>
    <cellStyle name="Normal 10 4 2 2 2 3 2 3" xfId="26503"/>
    <cellStyle name="Normal 10 4 2 2 2 3 3" xfId="14479"/>
    <cellStyle name="Normal 10 4 2 2 2 3 3 2" xfId="22494"/>
    <cellStyle name="Normal 10 4 2 2 2 3 3 2 2" xfId="36519"/>
    <cellStyle name="Normal 10 4 2 2 2 3 3 3" xfId="28508"/>
    <cellStyle name="Normal 10 4 2 2 2 3 4" xfId="16485"/>
    <cellStyle name="Normal 10 4 2 2 2 3 4 2" xfId="30510"/>
    <cellStyle name="Normal 10 4 2 2 2 3 5" xfId="18487"/>
    <cellStyle name="Normal 10 4 2 2 2 3 5 2" xfId="32512"/>
    <cellStyle name="Normal 10 4 2 2 2 3 6" xfId="24501"/>
    <cellStyle name="Normal 10 4 2 2 2 4" xfId="12461"/>
    <cellStyle name="Normal 10 4 2 2 2 4 2" xfId="20486"/>
    <cellStyle name="Normal 10 4 2 2 2 4 2 2" xfId="34511"/>
    <cellStyle name="Normal 10 4 2 2 2 4 3" xfId="26500"/>
    <cellStyle name="Normal 10 4 2 2 2 5" xfId="14476"/>
    <cellStyle name="Normal 10 4 2 2 2 5 2" xfId="22491"/>
    <cellStyle name="Normal 10 4 2 2 2 5 2 2" xfId="36516"/>
    <cellStyle name="Normal 10 4 2 2 2 5 3" xfId="28505"/>
    <cellStyle name="Normal 10 4 2 2 2 6" xfId="16482"/>
    <cellStyle name="Normal 10 4 2 2 2 6 2" xfId="30507"/>
    <cellStyle name="Normal 10 4 2 2 2 7" xfId="18484"/>
    <cellStyle name="Normal 10 4 2 2 2 7 2" xfId="32509"/>
    <cellStyle name="Normal 10 4 2 2 2 8" xfId="24498"/>
    <cellStyle name="Normal 10 4 2 2 3" xfId="1864"/>
    <cellStyle name="Normal 10 4 2 2 3 2" xfId="1865"/>
    <cellStyle name="Normal 10 4 2 2 3 2 2" xfId="12466"/>
    <cellStyle name="Normal 10 4 2 2 3 2 2 2" xfId="20491"/>
    <cellStyle name="Normal 10 4 2 2 3 2 2 2 2" xfId="34516"/>
    <cellStyle name="Normal 10 4 2 2 3 2 2 3" xfId="26505"/>
    <cellStyle name="Normal 10 4 2 2 3 2 3" xfId="14481"/>
    <cellStyle name="Normal 10 4 2 2 3 2 3 2" xfId="22496"/>
    <cellStyle name="Normal 10 4 2 2 3 2 3 2 2" xfId="36521"/>
    <cellStyle name="Normal 10 4 2 2 3 2 3 3" xfId="28510"/>
    <cellStyle name="Normal 10 4 2 2 3 2 4" xfId="16487"/>
    <cellStyle name="Normal 10 4 2 2 3 2 4 2" xfId="30512"/>
    <cellStyle name="Normal 10 4 2 2 3 2 5" xfId="18489"/>
    <cellStyle name="Normal 10 4 2 2 3 2 5 2" xfId="32514"/>
    <cellStyle name="Normal 10 4 2 2 3 2 6" xfId="24503"/>
    <cellStyle name="Normal 10 4 2 2 3 3" xfId="12465"/>
    <cellStyle name="Normal 10 4 2 2 3 3 2" xfId="20490"/>
    <cellStyle name="Normal 10 4 2 2 3 3 2 2" xfId="34515"/>
    <cellStyle name="Normal 10 4 2 2 3 3 3" xfId="26504"/>
    <cellStyle name="Normal 10 4 2 2 3 4" xfId="14480"/>
    <cellStyle name="Normal 10 4 2 2 3 4 2" xfId="22495"/>
    <cellStyle name="Normal 10 4 2 2 3 4 2 2" xfId="36520"/>
    <cellStyle name="Normal 10 4 2 2 3 4 3" xfId="28509"/>
    <cellStyle name="Normal 10 4 2 2 3 5" xfId="16486"/>
    <cellStyle name="Normal 10 4 2 2 3 5 2" xfId="30511"/>
    <cellStyle name="Normal 10 4 2 2 3 6" xfId="18488"/>
    <cellStyle name="Normal 10 4 2 2 3 6 2" xfId="32513"/>
    <cellStyle name="Normal 10 4 2 2 3 7" xfId="24502"/>
    <cellStyle name="Normal 10 4 2 2 4" xfId="1866"/>
    <cellStyle name="Normal 10 4 2 2 4 2" xfId="1867"/>
    <cellStyle name="Normal 10 4 2 2 4 2 2" xfId="12468"/>
    <cellStyle name="Normal 10 4 2 2 4 2 2 2" xfId="20493"/>
    <cellStyle name="Normal 10 4 2 2 4 2 2 2 2" xfId="34518"/>
    <cellStyle name="Normal 10 4 2 2 4 2 2 3" xfId="26507"/>
    <cellStyle name="Normal 10 4 2 2 4 2 3" xfId="14483"/>
    <cellStyle name="Normal 10 4 2 2 4 2 3 2" xfId="22498"/>
    <cellStyle name="Normal 10 4 2 2 4 2 3 2 2" xfId="36523"/>
    <cellStyle name="Normal 10 4 2 2 4 2 3 3" xfId="28512"/>
    <cellStyle name="Normal 10 4 2 2 4 2 4" xfId="16489"/>
    <cellStyle name="Normal 10 4 2 2 4 2 4 2" xfId="30514"/>
    <cellStyle name="Normal 10 4 2 2 4 2 5" xfId="18491"/>
    <cellStyle name="Normal 10 4 2 2 4 2 5 2" xfId="32516"/>
    <cellStyle name="Normal 10 4 2 2 4 2 6" xfId="24505"/>
    <cellStyle name="Normal 10 4 2 2 4 3" xfId="12467"/>
    <cellStyle name="Normal 10 4 2 2 4 3 2" xfId="20492"/>
    <cellStyle name="Normal 10 4 2 2 4 3 2 2" xfId="34517"/>
    <cellStyle name="Normal 10 4 2 2 4 3 3" xfId="26506"/>
    <cellStyle name="Normal 10 4 2 2 4 4" xfId="14482"/>
    <cellStyle name="Normal 10 4 2 2 4 4 2" xfId="22497"/>
    <cellStyle name="Normal 10 4 2 2 4 4 2 2" xfId="36522"/>
    <cellStyle name="Normal 10 4 2 2 4 4 3" xfId="28511"/>
    <cellStyle name="Normal 10 4 2 2 4 5" xfId="16488"/>
    <cellStyle name="Normal 10 4 2 2 4 5 2" xfId="30513"/>
    <cellStyle name="Normal 10 4 2 2 4 6" xfId="18490"/>
    <cellStyle name="Normal 10 4 2 2 4 6 2" xfId="32515"/>
    <cellStyle name="Normal 10 4 2 2 4 7" xfId="24504"/>
    <cellStyle name="Normal 10 4 2 2 5" xfId="1868"/>
    <cellStyle name="Normal 10 4 2 2 5 2" xfId="12469"/>
    <cellStyle name="Normal 10 4 2 2 5 2 2" xfId="20494"/>
    <cellStyle name="Normal 10 4 2 2 5 2 2 2" xfId="34519"/>
    <cellStyle name="Normal 10 4 2 2 5 2 3" xfId="26508"/>
    <cellStyle name="Normal 10 4 2 2 5 3" xfId="14484"/>
    <cellStyle name="Normal 10 4 2 2 5 3 2" xfId="22499"/>
    <cellStyle name="Normal 10 4 2 2 5 3 2 2" xfId="36524"/>
    <cellStyle name="Normal 10 4 2 2 5 3 3" xfId="28513"/>
    <cellStyle name="Normal 10 4 2 2 5 4" xfId="16490"/>
    <cellStyle name="Normal 10 4 2 2 5 4 2" xfId="30515"/>
    <cellStyle name="Normal 10 4 2 2 5 5" xfId="18492"/>
    <cellStyle name="Normal 10 4 2 2 5 5 2" xfId="32517"/>
    <cellStyle name="Normal 10 4 2 2 5 6" xfId="24506"/>
    <cellStyle name="Normal 10 4 2 2 6" xfId="12460"/>
    <cellStyle name="Normal 10 4 2 2 6 2" xfId="20485"/>
    <cellStyle name="Normal 10 4 2 2 6 2 2" xfId="34510"/>
    <cellStyle name="Normal 10 4 2 2 6 3" xfId="26499"/>
    <cellStyle name="Normal 10 4 2 2 7" xfId="14475"/>
    <cellStyle name="Normal 10 4 2 2 7 2" xfId="22490"/>
    <cellStyle name="Normal 10 4 2 2 7 2 2" xfId="36515"/>
    <cellStyle name="Normal 10 4 2 2 7 3" xfId="28504"/>
    <cellStyle name="Normal 10 4 2 2 8" xfId="16481"/>
    <cellStyle name="Normal 10 4 2 2 8 2" xfId="30506"/>
    <cellStyle name="Normal 10 4 2 2 9" xfId="18483"/>
    <cellStyle name="Normal 10 4 2 2 9 2" xfId="32508"/>
    <cellStyle name="Normal 10 4 2 3" xfId="1869"/>
    <cellStyle name="Normal 10 4 2 3 2" xfId="1870"/>
    <cellStyle name="Normal 10 4 2 3 2 2" xfId="1871"/>
    <cellStyle name="Normal 10 4 2 3 2 2 2" xfId="12472"/>
    <cellStyle name="Normal 10 4 2 3 2 2 2 2" xfId="20497"/>
    <cellStyle name="Normal 10 4 2 3 2 2 2 2 2" xfId="34522"/>
    <cellStyle name="Normal 10 4 2 3 2 2 2 3" xfId="26511"/>
    <cellStyle name="Normal 10 4 2 3 2 2 3" xfId="14487"/>
    <cellStyle name="Normal 10 4 2 3 2 2 3 2" xfId="22502"/>
    <cellStyle name="Normal 10 4 2 3 2 2 3 2 2" xfId="36527"/>
    <cellStyle name="Normal 10 4 2 3 2 2 3 3" xfId="28516"/>
    <cellStyle name="Normal 10 4 2 3 2 2 4" xfId="16493"/>
    <cellStyle name="Normal 10 4 2 3 2 2 4 2" xfId="30518"/>
    <cellStyle name="Normal 10 4 2 3 2 2 5" xfId="18495"/>
    <cellStyle name="Normal 10 4 2 3 2 2 5 2" xfId="32520"/>
    <cellStyle name="Normal 10 4 2 3 2 2 6" xfId="24509"/>
    <cellStyle name="Normal 10 4 2 3 2 3" xfId="12471"/>
    <cellStyle name="Normal 10 4 2 3 2 3 2" xfId="20496"/>
    <cellStyle name="Normal 10 4 2 3 2 3 2 2" xfId="34521"/>
    <cellStyle name="Normal 10 4 2 3 2 3 3" xfId="26510"/>
    <cellStyle name="Normal 10 4 2 3 2 4" xfId="14486"/>
    <cellStyle name="Normal 10 4 2 3 2 4 2" xfId="22501"/>
    <cellStyle name="Normal 10 4 2 3 2 4 2 2" xfId="36526"/>
    <cellStyle name="Normal 10 4 2 3 2 4 3" xfId="28515"/>
    <cellStyle name="Normal 10 4 2 3 2 5" xfId="16492"/>
    <cellStyle name="Normal 10 4 2 3 2 5 2" xfId="30517"/>
    <cellStyle name="Normal 10 4 2 3 2 6" xfId="18494"/>
    <cellStyle name="Normal 10 4 2 3 2 6 2" xfId="32519"/>
    <cellStyle name="Normal 10 4 2 3 2 7" xfId="24508"/>
    <cellStyle name="Normal 10 4 2 3 3" xfId="1872"/>
    <cellStyle name="Normal 10 4 2 3 3 2" xfId="12473"/>
    <cellStyle name="Normal 10 4 2 3 3 2 2" xfId="20498"/>
    <cellStyle name="Normal 10 4 2 3 3 2 2 2" xfId="34523"/>
    <cellStyle name="Normal 10 4 2 3 3 2 3" xfId="26512"/>
    <cellStyle name="Normal 10 4 2 3 3 3" xfId="14488"/>
    <cellStyle name="Normal 10 4 2 3 3 3 2" xfId="22503"/>
    <cellStyle name="Normal 10 4 2 3 3 3 2 2" xfId="36528"/>
    <cellStyle name="Normal 10 4 2 3 3 3 3" xfId="28517"/>
    <cellStyle name="Normal 10 4 2 3 3 4" xfId="16494"/>
    <cellStyle name="Normal 10 4 2 3 3 4 2" xfId="30519"/>
    <cellStyle name="Normal 10 4 2 3 3 5" xfId="18496"/>
    <cellStyle name="Normal 10 4 2 3 3 5 2" xfId="32521"/>
    <cellStyle name="Normal 10 4 2 3 3 6" xfId="24510"/>
    <cellStyle name="Normal 10 4 2 3 4" xfId="12470"/>
    <cellStyle name="Normal 10 4 2 3 4 2" xfId="20495"/>
    <cellStyle name="Normal 10 4 2 3 4 2 2" xfId="34520"/>
    <cellStyle name="Normal 10 4 2 3 4 3" xfId="26509"/>
    <cellStyle name="Normal 10 4 2 3 5" xfId="14485"/>
    <cellStyle name="Normal 10 4 2 3 5 2" xfId="22500"/>
    <cellStyle name="Normal 10 4 2 3 5 2 2" xfId="36525"/>
    <cellStyle name="Normal 10 4 2 3 5 3" xfId="28514"/>
    <cellStyle name="Normal 10 4 2 3 6" xfId="16491"/>
    <cellStyle name="Normal 10 4 2 3 6 2" xfId="30516"/>
    <cellStyle name="Normal 10 4 2 3 7" xfId="18493"/>
    <cellStyle name="Normal 10 4 2 3 7 2" xfId="32518"/>
    <cellStyle name="Normal 10 4 2 3 8" xfId="24507"/>
    <cellStyle name="Normal 10 4 2 4" xfId="1873"/>
    <cellStyle name="Normal 10 4 2 4 2" xfId="1874"/>
    <cellStyle name="Normal 10 4 2 4 2 2" xfId="12475"/>
    <cellStyle name="Normal 10 4 2 4 2 2 2" xfId="20500"/>
    <cellStyle name="Normal 10 4 2 4 2 2 2 2" xfId="34525"/>
    <cellStyle name="Normal 10 4 2 4 2 2 3" xfId="26514"/>
    <cellStyle name="Normal 10 4 2 4 2 3" xfId="14490"/>
    <cellStyle name="Normal 10 4 2 4 2 3 2" xfId="22505"/>
    <cellStyle name="Normal 10 4 2 4 2 3 2 2" xfId="36530"/>
    <cellStyle name="Normal 10 4 2 4 2 3 3" xfId="28519"/>
    <cellStyle name="Normal 10 4 2 4 2 4" xfId="16496"/>
    <cellStyle name="Normal 10 4 2 4 2 4 2" xfId="30521"/>
    <cellStyle name="Normal 10 4 2 4 2 5" xfId="18498"/>
    <cellStyle name="Normal 10 4 2 4 2 5 2" xfId="32523"/>
    <cellStyle name="Normal 10 4 2 4 2 6" xfId="24512"/>
    <cellStyle name="Normal 10 4 2 4 3" xfId="12474"/>
    <cellStyle name="Normal 10 4 2 4 3 2" xfId="20499"/>
    <cellStyle name="Normal 10 4 2 4 3 2 2" xfId="34524"/>
    <cellStyle name="Normal 10 4 2 4 3 3" xfId="26513"/>
    <cellStyle name="Normal 10 4 2 4 4" xfId="14489"/>
    <cellStyle name="Normal 10 4 2 4 4 2" xfId="22504"/>
    <cellStyle name="Normal 10 4 2 4 4 2 2" xfId="36529"/>
    <cellStyle name="Normal 10 4 2 4 4 3" xfId="28518"/>
    <cellStyle name="Normal 10 4 2 4 5" xfId="16495"/>
    <cellStyle name="Normal 10 4 2 4 5 2" xfId="30520"/>
    <cellStyle name="Normal 10 4 2 4 6" xfId="18497"/>
    <cellStyle name="Normal 10 4 2 4 6 2" xfId="32522"/>
    <cellStyle name="Normal 10 4 2 4 7" xfId="24511"/>
    <cellStyle name="Normal 10 4 2 5" xfId="1875"/>
    <cellStyle name="Normal 10 4 2 5 2" xfId="1876"/>
    <cellStyle name="Normal 10 4 2 5 2 2" xfId="12477"/>
    <cellStyle name="Normal 10 4 2 5 2 2 2" xfId="20502"/>
    <cellStyle name="Normal 10 4 2 5 2 2 2 2" xfId="34527"/>
    <cellStyle name="Normal 10 4 2 5 2 2 3" xfId="26516"/>
    <cellStyle name="Normal 10 4 2 5 2 3" xfId="14492"/>
    <cellStyle name="Normal 10 4 2 5 2 3 2" xfId="22507"/>
    <cellStyle name="Normal 10 4 2 5 2 3 2 2" xfId="36532"/>
    <cellStyle name="Normal 10 4 2 5 2 3 3" xfId="28521"/>
    <cellStyle name="Normal 10 4 2 5 2 4" xfId="16498"/>
    <cellStyle name="Normal 10 4 2 5 2 4 2" xfId="30523"/>
    <cellStyle name="Normal 10 4 2 5 2 5" xfId="18500"/>
    <cellStyle name="Normal 10 4 2 5 2 5 2" xfId="32525"/>
    <cellStyle name="Normal 10 4 2 5 2 6" xfId="24514"/>
    <cellStyle name="Normal 10 4 2 5 3" xfId="12476"/>
    <cellStyle name="Normal 10 4 2 5 3 2" xfId="20501"/>
    <cellStyle name="Normal 10 4 2 5 3 2 2" xfId="34526"/>
    <cellStyle name="Normal 10 4 2 5 3 3" xfId="26515"/>
    <cellStyle name="Normal 10 4 2 5 4" xfId="14491"/>
    <cellStyle name="Normal 10 4 2 5 4 2" xfId="22506"/>
    <cellStyle name="Normal 10 4 2 5 4 2 2" xfId="36531"/>
    <cellStyle name="Normal 10 4 2 5 4 3" xfId="28520"/>
    <cellStyle name="Normal 10 4 2 5 5" xfId="16497"/>
    <cellStyle name="Normal 10 4 2 5 5 2" xfId="30522"/>
    <cellStyle name="Normal 10 4 2 5 6" xfId="18499"/>
    <cellStyle name="Normal 10 4 2 5 6 2" xfId="32524"/>
    <cellStyle name="Normal 10 4 2 5 7" xfId="24513"/>
    <cellStyle name="Normal 10 4 2 6" xfId="1877"/>
    <cellStyle name="Normal 10 4 2 6 2" xfId="12478"/>
    <cellStyle name="Normal 10 4 2 6 2 2" xfId="20503"/>
    <cellStyle name="Normal 10 4 2 6 2 2 2" xfId="34528"/>
    <cellStyle name="Normal 10 4 2 6 2 3" xfId="26517"/>
    <cellStyle name="Normal 10 4 2 6 3" xfId="14493"/>
    <cellStyle name="Normal 10 4 2 6 3 2" xfId="22508"/>
    <cellStyle name="Normal 10 4 2 6 3 2 2" xfId="36533"/>
    <cellStyle name="Normal 10 4 2 6 3 3" xfId="28522"/>
    <cellStyle name="Normal 10 4 2 6 4" xfId="16499"/>
    <cellStyle name="Normal 10 4 2 6 4 2" xfId="30524"/>
    <cellStyle name="Normal 10 4 2 6 5" xfId="18501"/>
    <cellStyle name="Normal 10 4 2 6 5 2" xfId="32526"/>
    <cellStyle name="Normal 10 4 2 6 6" xfId="24515"/>
    <cellStyle name="Normal 10 4 2 7" xfId="12459"/>
    <cellStyle name="Normal 10 4 2 7 2" xfId="20484"/>
    <cellStyle name="Normal 10 4 2 7 2 2" xfId="34509"/>
    <cellStyle name="Normal 10 4 2 7 3" xfId="26498"/>
    <cellStyle name="Normal 10 4 2 8" xfId="14474"/>
    <cellStyle name="Normal 10 4 2 8 2" xfId="22489"/>
    <cellStyle name="Normal 10 4 2 8 2 2" xfId="36514"/>
    <cellStyle name="Normal 10 4 2 8 3" xfId="28503"/>
    <cellStyle name="Normal 10 4 2 9" xfId="16480"/>
    <cellStyle name="Normal 10 4 2 9 2" xfId="30505"/>
    <cellStyle name="Normal 10 4 3" xfId="1878"/>
    <cellStyle name="Normal 10 4 3 10" xfId="24516"/>
    <cellStyle name="Normal 10 4 3 2" xfId="1879"/>
    <cellStyle name="Normal 10 4 3 2 2" xfId="1880"/>
    <cellStyle name="Normal 10 4 3 2 2 2" xfId="1881"/>
    <cellStyle name="Normal 10 4 3 2 2 2 2" xfId="12482"/>
    <cellStyle name="Normal 10 4 3 2 2 2 2 2" xfId="20507"/>
    <cellStyle name="Normal 10 4 3 2 2 2 2 2 2" xfId="34532"/>
    <cellStyle name="Normal 10 4 3 2 2 2 2 3" xfId="26521"/>
    <cellStyle name="Normal 10 4 3 2 2 2 3" xfId="14497"/>
    <cellStyle name="Normal 10 4 3 2 2 2 3 2" xfId="22512"/>
    <cellStyle name="Normal 10 4 3 2 2 2 3 2 2" xfId="36537"/>
    <cellStyle name="Normal 10 4 3 2 2 2 3 3" xfId="28526"/>
    <cellStyle name="Normal 10 4 3 2 2 2 4" xfId="16503"/>
    <cellStyle name="Normal 10 4 3 2 2 2 4 2" xfId="30528"/>
    <cellStyle name="Normal 10 4 3 2 2 2 5" xfId="18505"/>
    <cellStyle name="Normal 10 4 3 2 2 2 5 2" xfId="32530"/>
    <cellStyle name="Normal 10 4 3 2 2 2 6" xfId="24519"/>
    <cellStyle name="Normal 10 4 3 2 2 3" xfId="12481"/>
    <cellStyle name="Normal 10 4 3 2 2 3 2" xfId="20506"/>
    <cellStyle name="Normal 10 4 3 2 2 3 2 2" xfId="34531"/>
    <cellStyle name="Normal 10 4 3 2 2 3 3" xfId="26520"/>
    <cellStyle name="Normal 10 4 3 2 2 4" xfId="14496"/>
    <cellStyle name="Normal 10 4 3 2 2 4 2" xfId="22511"/>
    <cellStyle name="Normal 10 4 3 2 2 4 2 2" xfId="36536"/>
    <cellStyle name="Normal 10 4 3 2 2 4 3" xfId="28525"/>
    <cellStyle name="Normal 10 4 3 2 2 5" xfId="16502"/>
    <cellStyle name="Normal 10 4 3 2 2 5 2" xfId="30527"/>
    <cellStyle name="Normal 10 4 3 2 2 6" xfId="18504"/>
    <cellStyle name="Normal 10 4 3 2 2 6 2" xfId="32529"/>
    <cellStyle name="Normal 10 4 3 2 2 7" xfId="24518"/>
    <cellStyle name="Normal 10 4 3 2 3" xfId="1882"/>
    <cellStyle name="Normal 10 4 3 2 3 2" xfId="12483"/>
    <cellStyle name="Normal 10 4 3 2 3 2 2" xfId="20508"/>
    <cellStyle name="Normal 10 4 3 2 3 2 2 2" xfId="34533"/>
    <cellStyle name="Normal 10 4 3 2 3 2 3" xfId="26522"/>
    <cellStyle name="Normal 10 4 3 2 3 3" xfId="14498"/>
    <cellStyle name="Normal 10 4 3 2 3 3 2" xfId="22513"/>
    <cellStyle name="Normal 10 4 3 2 3 3 2 2" xfId="36538"/>
    <cellStyle name="Normal 10 4 3 2 3 3 3" xfId="28527"/>
    <cellStyle name="Normal 10 4 3 2 3 4" xfId="16504"/>
    <cellStyle name="Normal 10 4 3 2 3 4 2" xfId="30529"/>
    <cellStyle name="Normal 10 4 3 2 3 5" xfId="18506"/>
    <cellStyle name="Normal 10 4 3 2 3 5 2" xfId="32531"/>
    <cellStyle name="Normal 10 4 3 2 3 6" xfId="24520"/>
    <cellStyle name="Normal 10 4 3 2 4" xfId="12480"/>
    <cellStyle name="Normal 10 4 3 2 4 2" xfId="20505"/>
    <cellStyle name="Normal 10 4 3 2 4 2 2" xfId="34530"/>
    <cellStyle name="Normal 10 4 3 2 4 3" xfId="26519"/>
    <cellStyle name="Normal 10 4 3 2 5" xfId="14495"/>
    <cellStyle name="Normal 10 4 3 2 5 2" xfId="22510"/>
    <cellStyle name="Normal 10 4 3 2 5 2 2" xfId="36535"/>
    <cellStyle name="Normal 10 4 3 2 5 3" xfId="28524"/>
    <cellStyle name="Normal 10 4 3 2 6" xfId="16501"/>
    <cellStyle name="Normal 10 4 3 2 6 2" xfId="30526"/>
    <cellStyle name="Normal 10 4 3 2 7" xfId="18503"/>
    <cellStyle name="Normal 10 4 3 2 7 2" xfId="32528"/>
    <cellStyle name="Normal 10 4 3 2 8" xfId="24517"/>
    <cellStyle name="Normal 10 4 3 3" xfId="1883"/>
    <cellStyle name="Normal 10 4 3 3 2" xfId="1884"/>
    <cellStyle name="Normal 10 4 3 3 2 2" xfId="12485"/>
    <cellStyle name="Normal 10 4 3 3 2 2 2" xfId="20510"/>
    <cellStyle name="Normal 10 4 3 3 2 2 2 2" xfId="34535"/>
    <cellStyle name="Normal 10 4 3 3 2 2 3" xfId="26524"/>
    <cellStyle name="Normal 10 4 3 3 2 3" xfId="14500"/>
    <cellStyle name="Normal 10 4 3 3 2 3 2" xfId="22515"/>
    <cellStyle name="Normal 10 4 3 3 2 3 2 2" xfId="36540"/>
    <cellStyle name="Normal 10 4 3 3 2 3 3" xfId="28529"/>
    <cellStyle name="Normal 10 4 3 3 2 4" xfId="16506"/>
    <cellStyle name="Normal 10 4 3 3 2 4 2" xfId="30531"/>
    <cellStyle name="Normal 10 4 3 3 2 5" xfId="18508"/>
    <cellStyle name="Normal 10 4 3 3 2 5 2" xfId="32533"/>
    <cellStyle name="Normal 10 4 3 3 2 6" xfId="24522"/>
    <cellStyle name="Normal 10 4 3 3 3" xfId="12484"/>
    <cellStyle name="Normal 10 4 3 3 3 2" xfId="20509"/>
    <cellStyle name="Normal 10 4 3 3 3 2 2" xfId="34534"/>
    <cellStyle name="Normal 10 4 3 3 3 3" xfId="26523"/>
    <cellStyle name="Normal 10 4 3 3 4" xfId="14499"/>
    <cellStyle name="Normal 10 4 3 3 4 2" xfId="22514"/>
    <cellStyle name="Normal 10 4 3 3 4 2 2" xfId="36539"/>
    <cellStyle name="Normal 10 4 3 3 4 3" xfId="28528"/>
    <cellStyle name="Normal 10 4 3 3 5" xfId="16505"/>
    <cellStyle name="Normal 10 4 3 3 5 2" xfId="30530"/>
    <cellStyle name="Normal 10 4 3 3 6" xfId="18507"/>
    <cellStyle name="Normal 10 4 3 3 6 2" xfId="32532"/>
    <cellStyle name="Normal 10 4 3 3 7" xfId="24521"/>
    <cellStyle name="Normal 10 4 3 4" xfId="1885"/>
    <cellStyle name="Normal 10 4 3 4 2" xfId="1886"/>
    <cellStyle name="Normal 10 4 3 4 2 2" xfId="12487"/>
    <cellStyle name="Normal 10 4 3 4 2 2 2" xfId="20512"/>
    <cellStyle name="Normal 10 4 3 4 2 2 2 2" xfId="34537"/>
    <cellStyle name="Normal 10 4 3 4 2 2 3" xfId="26526"/>
    <cellStyle name="Normal 10 4 3 4 2 3" xfId="14502"/>
    <cellStyle name="Normal 10 4 3 4 2 3 2" xfId="22517"/>
    <cellStyle name="Normal 10 4 3 4 2 3 2 2" xfId="36542"/>
    <cellStyle name="Normal 10 4 3 4 2 3 3" xfId="28531"/>
    <cellStyle name="Normal 10 4 3 4 2 4" xfId="16508"/>
    <cellStyle name="Normal 10 4 3 4 2 4 2" xfId="30533"/>
    <cellStyle name="Normal 10 4 3 4 2 5" xfId="18510"/>
    <cellStyle name="Normal 10 4 3 4 2 5 2" xfId="32535"/>
    <cellStyle name="Normal 10 4 3 4 2 6" xfId="24524"/>
    <cellStyle name="Normal 10 4 3 4 3" xfId="12486"/>
    <cellStyle name="Normal 10 4 3 4 3 2" xfId="20511"/>
    <cellStyle name="Normal 10 4 3 4 3 2 2" xfId="34536"/>
    <cellStyle name="Normal 10 4 3 4 3 3" xfId="26525"/>
    <cellStyle name="Normal 10 4 3 4 4" xfId="14501"/>
    <cellStyle name="Normal 10 4 3 4 4 2" xfId="22516"/>
    <cellStyle name="Normal 10 4 3 4 4 2 2" xfId="36541"/>
    <cellStyle name="Normal 10 4 3 4 4 3" xfId="28530"/>
    <cellStyle name="Normal 10 4 3 4 5" xfId="16507"/>
    <cellStyle name="Normal 10 4 3 4 5 2" xfId="30532"/>
    <cellStyle name="Normal 10 4 3 4 6" xfId="18509"/>
    <cellStyle name="Normal 10 4 3 4 6 2" xfId="32534"/>
    <cellStyle name="Normal 10 4 3 4 7" xfId="24523"/>
    <cellStyle name="Normal 10 4 3 5" xfId="1887"/>
    <cellStyle name="Normal 10 4 3 5 2" xfId="12488"/>
    <cellStyle name="Normal 10 4 3 5 2 2" xfId="20513"/>
    <cellStyle name="Normal 10 4 3 5 2 2 2" xfId="34538"/>
    <cellStyle name="Normal 10 4 3 5 2 3" xfId="26527"/>
    <cellStyle name="Normal 10 4 3 5 3" xfId="14503"/>
    <cellStyle name="Normal 10 4 3 5 3 2" xfId="22518"/>
    <cellStyle name="Normal 10 4 3 5 3 2 2" xfId="36543"/>
    <cellStyle name="Normal 10 4 3 5 3 3" xfId="28532"/>
    <cellStyle name="Normal 10 4 3 5 4" xfId="16509"/>
    <cellStyle name="Normal 10 4 3 5 4 2" xfId="30534"/>
    <cellStyle name="Normal 10 4 3 5 5" xfId="18511"/>
    <cellStyle name="Normal 10 4 3 5 5 2" xfId="32536"/>
    <cellStyle name="Normal 10 4 3 5 6" xfId="24525"/>
    <cellStyle name="Normal 10 4 3 6" xfId="12479"/>
    <cellStyle name="Normal 10 4 3 6 2" xfId="20504"/>
    <cellStyle name="Normal 10 4 3 6 2 2" xfId="34529"/>
    <cellStyle name="Normal 10 4 3 6 3" xfId="26518"/>
    <cellStyle name="Normal 10 4 3 7" xfId="14494"/>
    <cellStyle name="Normal 10 4 3 7 2" xfId="22509"/>
    <cellStyle name="Normal 10 4 3 7 2 2" xfId="36534"/>
    <cellStyle name="Normal 10 4 3 7 3" xfId="28523"/>
    <cellStyle name="Normal 10 4 3 8" xfId="16500"/>
    <cellStyle name="Normal 10 4 3 8 2" xfId="30525"/>
    <cellStyle name="Normal 10 4 3 9" xfId="18502"/>
    <cellStyle name="Normal 10 4 3 9 2" xfId="32527"/>
    <cellStyle name="Normal 10 4 4" xfId="1888"/>
    <cellStyle name="Normal 10 4 4 2" xfId="1889"/>
    <cellStyle name="Normal 10 4 4 2 2" xfId="1890"/>
    <cellStyle name="Normal 10 4 4 2 2 2" xfId="12491"/>
    <cellStyle name="Normal 10 4 4 2 2 2 2" xfId="20516"/>
    <cellStyle name="Normal 10 4 4 2 2 2 2 2" xfId="34541"/>
    <cellStyle name="Normal 10 4 4 2 2 2 3" xfId="26530"/>
    <cellStyle name="Normal 10 4 4 2 2 3" xfId="14506"/>
    <cellStyle name="Normal 10 4 4 2 2 3 2" xfId="22521"/>
    <cellStyle name="Normal 10 4 4 2 2 3 2 2" xfId="36546"/>
    <cellStyle name="Normal 10 4 4 2 2 3 3" xfId="28535"/>
    <cellStyle name="Normal 10 4 4 2 2 4" xfId="16512"/>
    <cellStyle name="Normal 10 4 4 2 2 4 2" xfId="30537"/>
    <cellStyle name="Normal 10 4 4 2 2 5" xfId="18514"/>
    <cellStyle name="Normal 10 4 4 2 2 5 2" xfId="32539"/>
    <cellStyle name="Normal 10 4 4 2 2 6" xfId="24528"/>
    <cellStyle name="Normal 10 4 4 2 3" xfId="12490"/>
    <cellStyle name="Normal 10 4 4 2 3 2" xfId="20515"/>
    <cellStyle name="Normal 10 4 4 2 3 2 2" xfId="34540"/>
    <cellStyle name="Normal 10 4 4 2 3 3" xfId="26529"/>
    <cellStyle name="Normal 10 4 4 2 4" xfId="14505"/>
    <cellStyle name="Normal 10 4 4 2 4 2" xfId="22520"/>
    <cellStyle name="Normal 10 4 4 2 4 2 2" xfId="36545"/>
    <cellStyle name="Normal 10 4 4 2 4 3" xfId="28534"/>
    <cellStyle name="Normal 10 4 4 2 5" xfId="16511"/>
    <cellStyle name="Normal 10 4 4 2 5 2" xfId="30536"/>
    <cellStyle name="Normal 10 4 4 2 6" xfId="18513"/>
    <cellStyle name="Normal 10 4 4 2 6 2" xfId="32538"/>
    <cellStyle name="Normal 10 4 4 2 7" xfId="24527"/>
    <cellStyle name="Normal 10 4 4 3" xfId="1891"/>
    <cellStyle name="Normal 10 4 4 3 2" xfId="12492"/>
    <cellStyle name="Normal 10 4 4 3 2 2" xfId="20517"/>
    <cellStyle name="Normal 10 4 4 3 2 2 2" xfId="34542"/>
    <cellStyle name="Normal 10 4 4 3 2 3" xfId="26531"/>
    <cellStyle name="Normal 10 4 4 3 3" xfId="14507"/>
    <cellStyle name="Normal 10 4 4 3 3 2" xfId="22522"/>
    <cellStyle name="Normal 10 4 4 3 3 2 2" xfId="36547"/>
    <cellStyle name="Normal 10 4 4 3 3 3" xfId="28536"/>
    <cellStyle name="Normal 10 4 4 3 4" xfId="16513"/>
    <cellStyle name="Normal 10 4 4 3 4 2" xfId="30538"/>
    <cellStyle name="Normal 10 4 4 3 5" xfId="18515"/>
    <cellStyle name="Normal 10 4 4 3 5 2" xfId="32540"/>
    <cellStyle name="Normal 10 4 4 3 6" xfId="24529"/>
    <cellStyle name="Normal 10 4 4 4" xfId="12489"/>
    <cellStyle name="Normal 10 4 4 4 2" xfId="20514"/>
    <cellStyle name="Normal 10 4 4 4 2 2" xfId="34539"/>
    <cellStyle name="Normal 10 4 4 4 3" xfId="26528"/>
    <cellStyle name="Normal 10 4 4 5" xfId="14504"/>
    <cellStyle name="Normal 10 4 4 5 2" xfId="22519"/>
    <cellStyle name="Normal 10 4 4 5 2 2" xfId="36544"/>
    <cellStyle name="Normal 10 4 4 5 3" xfId="28533"/>
    <cellStyle name="Normal 10 4 4 6" xfId="16510"/>
    <cellStyle name="Normal 10 4 4 6 2" xfId="30535"/>
    <cellStyle name="Normal 10 4 4 7" xfId="18512"/>
    <cellStyle name="Normal 10 4 4 7 2" xfId="32537"/>
    <cellStyle name="Normal 10 4 4 8" xfId="24526"/>
    <cellStyle name="Normal 10 4 5" xfId="1892"/>
    <cellStyle name="Normal 10 4 5 2" xfId="1893"/>
    <cellStyle name="Normal 10 4 5 2 2" xfId="12494"/>
    <cellStyle name="Normal 10 4 5 2 2 2" xfId="20519"/>
    <cellStyle name="Normal 10 4 5 2 2 2 2" xfId="34544"/>
    <cellStyle name="Normal 10 4 5 2 2 3" xfId="26533"/>
    <cellStyle name="Normal 10 4 5 2 3" xfId="14509"/>
    <cellStyle name="Normal 10 4 5 2 3 2" xfId="22524"/>
    <cellStyle name="Normal 10 4 5 2 3 2 2" xfId="36549"/>
    <cellStyle name="Normal 10 4 5 2 3 3" xfId="28538"/>
    <cellStyle name="Normal 10 4 5 2 4" xfId="16515"/>
    <cellStyle name="Normal 10 4 5 2 4 2" xfId="30540"/>
    <cellStyle name="Normal 10 4 5 2 5" xfId="18517"/>
    <cellStyle name="Normal 10 4 5 2 5 2" xfId="32542"/>
    <cellStyle name="Normal 10 4 5 2 6" xfId="24531"/>
    <cellStyle name="Normal 10 4 5 3" xfId="12493"/>
    <cellStyle name="Normal 10 4 5 3 2" xfId="20518"/>
    <cellStyle name="Normal 10 4 5 3 2 2" xfId="34543"/>
    <cellStyle name="Normal 10 4 5 3 3" xfId="26532"/>
    <cellStyle name="Normal 10 4 5 4" xfId="14508"/>
    <cellStyle name="Normal 10 4 5 4 2" xfId="22523"/>
    <cellStyle name="Normal 10 4 5 4 2 2" xfId="36548"/>
    <cellStyle name="Normal 10 4 5 4 3" xfId="28537"/>
    <cellStyle name="Normal 10 4 5 5" xfId="16514"/>
    <cellStyle name="Normal 10 4 5 5 2" xfId="30539"/>
    <cellStyle name="Normal 10 4 5 6" xfId="18516"/>
    <cellStyle name="Normal 10 4 5 6 2" xfId="32541"/>
    <cellStyle name="Normal 10 4 5 7" xfId="24530"/>
    <cellStyle name="Normal 10 4 6" xfId="1894"/>
    <cellStyle name="Normal 10 4 6 2" xfId="1895"/>
    <cellStyle name="Normal 10 4 6 2 2" xfId="12496"/>
    <cellStyle name="Normal 10 4 6 2 2 2" xfId="20521"/>
    <cellStyle name="Normal 10 4 6 2 2 2 2" xfId="34546"/>
    <cellStyle name="Normal 10 4 6 2 2 3" xfId="26535"/>
    <cellStyle name="Normal 10 4 6 2 3" xfId="14511"/>
    <cellStyle name="Normal 10 4 6 2 3 2" xfId="22526"/>
    <cellStyle name="Normal 10 4 6 2 3 2 2" xfId="36551"/>
    <cellStyle name="Normal 10 4 6 2 3 3" xfId="28540"/>
    <cellStyle name="Normal 10 4 6 2 4" xfId="16517"/>
    <cellStyle name="Normal 10 4 6 2 4 2" xfId="30542"/>
    <cellStyle name="Normal 10 4 6 2 5" xfId="18519"/>
    <cellStyle name="Normal 10 4 6 2 5 2" xfId="32544"/>
    <cellStyle name="Normal 10 4 6 2 6" xfId="24533"/>
    <cellStyle name="Normal 10 4 6 3" xfId="12495"/>
    <cellStyle name="Normal 10 4 6 3 2" xfId="20520"/>
    <cellStyle name="Normal 10 4 6 3 2 2" xfId="34545"/>
    <cellStyle name="Normal 10 4 6 3 3" xfId="26534"/>
    <cellStyle name="Normal 10 4 6 4" xfId="14510"/>
    <cellStyle name="Normal 10 4 6 4 2" xfId="22525"/>
    <cellStyle name="Normal 10 4 6 4 2 2" xfId="36550"/>
    <cellStyle name="Normal 10 4 6 4 3" xfId="28539"/>
    <cellStyle name="Normal 10 4 6 5" xfId="16516"/>
    <cellStyle name="Normal 10 4 6 5 2" xfId="30541"/>
    <cellStyle name="Normal 10 4 6 6" xfId="18518"/>
    <cellStyle name="Normal 10 4 6 6 2" xfId="32543"/>
    <cellStyle name="Normal 10 4 6 7" xfId="24532"/>
    <cellStyle name="Normal 10 4 7" xfId="1896"/>
    <cellStyle name="Normal 10 4 7 2" xfId="12497"/>
    <cellStyle name="Normal 10 4 7 2 2" xfId="20522"/>
    <cellStyle name="Normal 10 4 7 2 2 2" xfId="34547"/>
    <cellStyle name="Normal 10 4 7 2 3" xfId="26536"/>
    <cellStyle name="Normal 10 4 7 3" xfId="14512"/>
    <cellStyle name="Normal 10 4 7 3 2" xfId="22527"/>
    <cellStyle name="Normal 10 4 7 3 2 2" xfId="36552"/>
    <cellStyle name="Normal 10 4 7 3 3" xfId="28541"/>
    <cellStyle name="Normal 10 4 7 4" xfId="16518"/>
    <cellStyle name="Normal 10 4 7 4 2" xfId="30543"/>
    <cellStyle name="Normal 10 4 7 5" xfId="18520"/>
    <cellStyle name="Normal 10 4 7 5 2" xfId="32545"/>
    <cellStyle name="Normal 10 4 7 6" xfId="24534"/>
    <cellStyle name="Normal 10 4 8" xfId="12458"/>
    <cellStyle name="Normal 10 4 8 2" xfId="20483"/>
    <cellStyle name="Normal 10 4 8 2 2" xfId="34508"/>
    <cellStyle name="Normal 10 4 8 3" xfId="26497"/>
    <cellStyle name="Normal 10 4 9" xfId="14473"/>
    <cellStyle name="Normal 10 4 9 2" xfId="22488"/>
    <cellStyle name="Normal 10 4 9 2 2" xfId="36513"/>
    <cellStyle name="Normal 10 4 9 3" xfId="28502"/>
    <cellStyle name="Normal 10 5" xfId="1897"/>
    <cellStyle name="Normal 10 5 10" xfId="18521"/>
    <cellStyle name="Normal 10 5 10 2" xfId="32546"/>
    <cellStyle name="Normal 10 5 11" xfId="24535"/>
    <cellStyle name="Normal 10 5 2" xfId="1898"/>
    <cellStyle name="Normal 10 5 2 10" xfId="24536"/>
    <cellStyle name="Normal 10 5 2 2" xfId="1899"/>
    <cellStyle name="Normal 10 5 2 2 2" xfId="1900"/>
    <cellStyle name="Normal 10 5 2 2 2 2" xfId="1901"/>
    <cellStyle name="Normal 10 5 2 2 2 2 2" xfId="12502"/>
    <cellStyle name="Normal 10 5 2 2 2 2 2 2" xfId="20527"/>
    <cellStyle name="Normal 10 5 2 2 2 2 2 2 2" xfId="34552"/>
    <cellStyle name="Normal 10 5 2 2 2 2 2 3" xfId="26541"/>
    <cellStyle name="Normal 10 5 2 2 2 2 3" xfId="14517"/>
    <cellStyle name="Normal 10 5 2 2 2 2 3 2" xfId="22532"/>
    <cellStyle name="Normal 10 5 2 2 2 2 3 2 2" xfId="36557"/>
    <cellStyle name="Normal 10 5 2 2 2 2 3 3" xfId="28546"/>
    <cellStyle name="Normal 10 5 2 2 2 2 4" xfId="16523"/>
    <cellStyle name="Normal 10 5 2 2 2 2 4 2" xfId="30548"/>
    <cellStyle name="Normal 10 5 2 2 2 2 5" xfId="18525"/>
    <cellStyle name="Normal 10 5 2 2 2 2 5 2" xfId="32550"/>
    <cellStyle name="Normal 10 5 2 2 2 2 6" xfId="24539"/>
    <cellStyle name="Normal 10 5 2 2 2 3" xfId="12501"/>
    <cellStyle name="Normal 10 5 2 2 2 3 2" xfId="20526"/>
    <cellStyle name="Normal 10 5 2 2 2 3 2 2" xfId="34551"/>
    <cellStyle name="Normal 10 5 2 2 2 3 3" xfId="26540"/>
    <cellStyle name="Normal 10 5 2 2 2 4" xfId="14516"/>
    <cellStyle name="Normal 10 5 2 2 2 4 2" xfId="22531"/>
    <cellStyle name="Normal 10 5 2 2 2 4 2 2" xfId="36556"/>
    <cellStyle name="Normal 10 5 2 2 2 4 3" xfId="28545"/>
    <cellStyle name="Normal 10 5 2 2 2 5" xfId="16522"/>
    <cellStyle name="Normal 10 5 2 2 2 5 2" xfId="30547"/>
    <cellStyle name="Normal 10 5 2 2 2 6" xfId="18524"/>
    <cellStyle name="Normal 10 5 2 2 2 6 2" xfId="32549"/>
    <cellStyle name="Normal 10 5 2 2 2 7" xfId="24538"/>
    <cellStyle name="Normal 10 5 2 2 3" xfId="1902"/>
    <cellStyle name="Normal 10 5 2 2 3 2" xfId="12503"/>
    <cellStyle name="Normal 10 5 2 2 3 2 2" xfId="20528"/>
    <cellStyle name="Normal 10 5 2 2 3 2 2 2" xfId="34553"/>
    <cellStyle name="Normal 10 5 2 2 3 2 3" xfId="26542"/>
    <cellStyle name="Normal 10 5 2 2 3 3" xfId="14518"/>
    <cellStyle name="Normal 10 5 2 2 3 3 2" xfId="22533"/>
    <cellStyle name="Normal 10 5 2 2 3 3 2 2" xfId="36558"/>
    <cellStyle name="Normal 10 5 2 2 3 3 3" xfId="28547"/>
    <cellStyle name="Normal 10 5 2 2 3 4" xfId="16524"/>
    <cellStyle name="Normal 10 5 2 2 3 4 2" xfId="30549"/>
    <cellStyle name="Normal 10 5 2 2 3 5" xfId="18526"/>
    <cellStyle name="Normal 10 5 2 2 3 5 2" xfId="32551"/>
    <cellStyle name="Normal 10 5 2 2 3 6" xfId="24540"/>
    <cellStyle name="Normal 10 5 2 2 4" xfId="12500"/>
    <cellStyle name="Normal 10 5 2 2 4 2" xfId="20525"/>
    <cellStyle name="Normal 10 5 2 2 4 2 2" xfId="34550"/>
    <cellStyle name="Normal 10 5 2 2 4 3" xfId="26539"/>
    <cellStyle name="Normal 10 5 2 2 5" xfId="14515"/>
    <cellStyle name="Normal 10 5 2 2 5 2" xfId="22530"/>
    <cellStyle name="Normal 10 5 2 2 5 2 2" xfId="36555"/>
    <cellStyle name="Normal 10 5 2 2 5 3" xfId="28544"/>
    <cellStyle name="Normal 10 5 2 2 6" xfId="16521"/>
    <cellStyle name="Normal 10 5 2 2 6 2" xfId="30546"/>
    <cellStyle name="Normal 10 5 2 2 7" xfId="18523"/>
    <cellStyle name="Normal 10 5 2 2 7 2" xfId="32548"/>
    <cellStyle name="Normal 10 5 2 2 8" xfId="24537"/>
    <cellStyle name="Normal 10 5 2 3" xfId="1903"/>
    <cellStyle name="Normal 10 5 2 3 2" xfId="1904"/>
    <cellStyle name="Normal 10 5 2 3 2 2" xfId="12505"/>
    <cellStyle name="Normal 10 5 2 3 2 2 2" xfId="20530"/>
    <cellStyle name="Normal 10 5 2 3 2 2 2 2" xfId="34555"/>
    <cellStyle name="Normal 10 5 2 3 2 2 3" xfId="26544"/>
    <cellStyle name="Normal 10 5 2 3 2 3" xfId="14520"/>
    <cellStyle name="Normal 10 5 2 3 2 3 2" xfId="22535"/>
    <cellStyle name="Normal 10 5 2 3 2 3 2 2" xfId="36560"/>
    <cellStyle name="Normal 10 5 2 3 2 3 3" xfId="28549"/>
    <cellStyle name="Normal 10 5 2 3 2 4" xfId="16526"/>
    <cellStyle name="Normal 10 5 2 3 2 4 2" xfId="30551"/>
    <cellStyle name="Normal 10 5 2 3 2 5" xfId="18528"/>
    <cellStyle name="Normal 10 5 2 3 2 5 2" xfId="32553"/>
    <cellStyle name="Normal 10 5 2 3 2 6" xfId="24542"/>
    <cellStyle name="Normal 10 5 2 3 3" xfId="12504"/>
    <cellStyle name="Normal 10 5 2 3 3 2" xfId="20529"/>
    <cellStyle name="Normal 10 5 2 3 3 2 2" xfId="34554"/>
    <cellStyle name="Normal 10 5 2 3 3 3" xfId="26543"/>
    <cellStyle name="Normal 10 5 2 3 4" xfId="14519"/>
    <cellStyle name="Normal 10 5 2 3 4 2" xfId="22534"/>
    <cellStyle name="Normal 10 5 2 3 4 2 2" xfId="36559"/>
    <cellStyle name="Normal 10 5 2 3 4 3" xfId="28548"/>
    <cellStyle name="Normal 10 5 2 3 5" xfId="16525"/>
    <cellStyle name="Normal 10 5 2 3 5 2" xfId="30550"/>
    <cellStyle name="Normal 10 5 2 3 6" xfId="18527"/>
    <cellStyle name="Normal 10 5 2 3 6 2" xfId="32552"/>
    <cellStyle name="Normal 10 5 2 3 7" xfId="24541"/>
    <cellStyle name="Normal 10 5 2 4" xfId="1905"/>
    <cellStyle name="Normal 10 5 2 4 2" xfId="1906"/>
    <cellStyle name="Normal 10 5 2 4 2 2" xfId="12507"/>
    <cellStyle name="Normal 10 5 2 4 2 2 2" xfId="20532"/>
    <cellStyle name="Normal 10 5 2 4 2 2 2 2" xfId="34557"/>
    <cellStyle name="Normal 10 5 2 4 2 2 3" xfId="26546"/>
    <cellStyle name="Normal 10 5 2 4 2 3" xfId="14522"/>
    <cellStyle name="Normal 10 5 2 4 2 3 2" xfId="22537"/>
    <cellStyle name="Normal 10 5 2 4 2 3 2 2" xfId="36562"/>
    <cellStyle name="Normal 10 5 2 4 2 3 3" xfId="28551"/>
    <cellStyle name="Normal 10 5 2 4 2 4" xfId="16528"/>
    <cellStyle name="Normal 10 5 2 4 2 4 2" xfId="30553"/>
    <cellStyle name="Normal 10 5 2 4 2 5" xfId="18530"/>
    <cellStyle name="Normal 10 5 2 4 2 5 2" xfId="32555"/>
    <cellStyle name="Normal 10 5 2 4 2 6" xfId="24544"/>
    <cellStyle name="Normal 10 5 2 4 3" xfId="12506"/>
    <cellStyle name="Normal 10 5 2 4 3 2" xfId="20531"/>
    <cellStyle name="Normal 10 5 2 4 3 2 2" xfId="34556"/>
    <cellStyle name="Normal 10 5 2 4 3 3" xfId="26545"/>
    <cellStyle name="Normal 10 5 2 4 4" xfId="14521"/>
    <cellStyle name="Normal 10 5 2 4 4 2" xfId="22536"/>
    <cellStyle name="Normal 10 5 2 4 4 2 2" xfId="36561"/>
    <cellStyle name="Normal 10 5 2 4 4 3" xfId="28550"/>
    <cellStyle name="Normal 10 5 2 4 5" xfId="16527"/>
    <cellStyle name="Normal 10 5 2 4 5 2" xfId="30552"/>
    <cellStyle name="Normal 10 5 2 4 6" xfId="18529"/>
    <cellStyle name="Normal 10 5 2 4 6 2" xfId="32554"/>
    <cellStyle name="Normal 10 5 2 4 7" xfId="24543"/>
    <cellStyle name="Normal 10 5 2 5" xfId="1907"/>
    <cellStyle name="Normal 10 5 2 5 2" xfId="12508"/>
    <cellStyle name="Normal 10 5 2 5 2 2" xfId="20533"/>
    <cellStyle name="Normal 10 5 2 5 2 2 2" xfId="34558"/>
    <cellStyle name="Normal 10 5 2 5 2 3" xfId="26547"/>
    <cellStyle name="Normal 10 5 2 5 3" xfId="14523"/>
    <cellStyle name="Normal 10 5 2 5 3 2" xfId="22538"/>
    <cellStyle name="Normal 10 5 2 5 3 2 2" xfId="36563"/>
    <cellStyle name="Normal 10 5 2 5 3 3" xfId="28552"/>
    <cellStyle name="Normal 10 5 2 5 4" xfId="16529"/>
    <cellStyle name="Normal 10 5 2 5 4 2" xfId="30554"/>
    <cellStyle name="Normal 10 5 2 5 5" xfId="18531"/>
    <cellStyle name="Normal 10 5 2 5 5 2" xfId="32556"/>
    <cellStyle name="Normal 10 5 2 5 6" xfId="24545"/>
    <cellStyle name="Normal 10 5 2 6" xfId="12499"/>
    <cellStyle name="Normal 10 5 2 6 2" xfId="20524"/>
    <cellStyle name="Normal 10 5 2 6 2 2" xfId="34549"/>
    <cellStyle name="Normal 10 5 2 6 3" xfId="26538"/>
    <cellStyle name="Normal 10 5 2 7" xfId="14514"/>
    <cellStyle name="Normal 10 5 2 7 2" xfId="22529"/>
    <cellStyle name="Normal 10 5 2 7 2 2" xfId="36554"/>
    <cellStyle name="Normal 10 5 2 7 3" xfId="28543"/>
    <cellStyle name="Normal 10 5 2 8" xfId="16520"/>
    <cellStyle name="Normal 10 5 2 8 2" xfId="30545"/>
    <cellStyle name="Normal 10 5 2 9" xfId="18522"/>
    <cellStyle name="Normal 10 5 2 9 2" xfId="32547"/>
    <cellStyle name="Normal 10 5 3" xfId="1908"/>
    <cellStyle name="Normal 10 5 3 2" xfId="1909"/>
    <cellStyle name="Normal 10 5 3 2 2" xfId="1910"/>
    <cellStyle name="Normal 10 5 3 2 2 2" xfId="12511"/>
    <cellStyle name="Normal 10 5 3 2 2 2 2" xfId="20536"/>
    <cellStyle name="Normal 10 5 3 2 2 2 2 2" xfId="34561"/>
    <cellStyle name="Normal 10 5 3 2 2 2 3" xfId="26550"/>
    <cellStyle name="Normal 10 5 3 2 2 3" xfId="14526"/>
    <cellStyle name="Normal 10 5 3 2 2 3 2" xfId="22541"/>
    <cellStyle name="Normal 10 5 3 2 2 3 2 2" xfId="36566"/>
    <cellStyle name="Normal 10 5 3 2 2 3 3" xfId="28555"/>
    <cellStyle name="Normal 10 5 3 2 2 4" xfId="16532"/>
    <cellStyle name="Normal 10 5 3 2 2 4 2" xfId="30557"/>
    <cellStyle name="Normal 10 5 3 2 2 5" xfId="18534"/>
    <cellStyle name="Normal 10 5 3 2 2 5 2" xfId="32559"/>
    <cellStyle name="Normal 10 5 3 2 2 6" xfId="24548"/>
    <cellStyle name="Normal 10 5 3 2 3" xfId="12510"/>
    <cellStyle name="Normal 10 5 3 2 3 2" xfId="20535"/>
    <cellStyle name="Normal 10 5 3 2 3 2 2" xfId="34560"/>
    <cellStyle name="Normal 10 5 3 2 3 3" xfId="26549"/>
    <cellStyle name="Normal 10 5 3 2 4" xfId="14525"/>
    <cellStyle name="Normal 10 5 3 2 4 2" xfId="22540"/>
    <cellStyle name="Normal 10 5 3 2 4 2 2" xfId="36565"/>
    <cellStyle name="Normal 10 5 3 2 4 3" xfId="28554"/>
    <cellStyle name="Normal 10 5 3 2 5" xfId="16531"/>
    <cellStyle name="Normal 10 5 3 2 5 2" xfId="30556"/>
    <cellStyle name="Normal 10 5 3 2 6" xfId="18533"/>
    <cellStyle name="Normal 10 5 3 2 6 2" xfId="32558"/>
    <cellStyle name="Normal 10 5 3 2 7" xfId="24547"/>
    <cellStyle name="Normal 10 5 3 3" xfId="1911"/>
    <cellStyle name="Normal 10 5 3 3 2" xfId="12512"/>
    <cellStyle name="Normal 10 5 3 3 2 2" xfId="20537"/>
    <cellStyle name="Normal 10 5 3 3 2 2 2" xfId="34562"/>
    <cellStyle name="Normal 10 5 3 3 2 3" xfId="26551"/>
    <cellStyle name="Normal 10 5 3 3 3" xfId="14527"/>
    <cellStyle name="Normal 10 5 3 3 3 2" xfId="22542"/>
    <cellStyle name="Normal 10 5 3 3 3 2 2" xfId="36567"/>
    <cellStyle name="Normal 10 5 3 3 3 3" xfId="28556"/>
    <cellStyle name="Normal 10 5 3 3 4" xfId="16533"/>
    <cellStyle name="Normal 10 5 3 3 4 2" xfId="30558"/>
    <cellStyle name="Normal 10 5 3 3 5" xfId="18535"/>
    <cellStyle name="Normal 10 5 3 3 5 2" xfId="32560"/>
    <cellStyle name="Normal 10 5 3 3 6" xfId="24549"/>
    <cellStyle name="Normal 10 5 3 4" xfId="12509"/>
    <cellStyle name="Normal 10 5 3 4 2" xfId="20534"/>
    <cellStyle name="Normal 10 5 3 4 2 2" xfId="34559"/>
    <cellStyle name="Normal 10 5 3 4 3" xfId="26548"/>
    <cellStyle name="Normal 10 5 3 5" xfId="14524"/>
    <cellStyle name="Normal 10 5 3 5 2" xfId="22539"/>
    <cellStyle name="Normal 10 5 3 5 2 2" xfId="36564"/>
    <cellStyle name="Normal 10 5 3 5 3" xfId="28553"/>
    <cellStyle name="Normal 10 5 3 6" xfId="16530"/>
    <cellStyle name="Normal 10 5 3 6 2" xfId="30555"/>
    <cellStyle name="Normal 10 5 3 7" xfId="18532"/>
    <cellStyle name="Normal 10 5 3 7 2" xfId="32557"/>
    <cellStyle name="Normal 10 5 3 8" xfId="24546"/>
    <cellStyle name="Normal 10 5 4" xfId="1912"/>
    <cellStyle name="Normal 10 5 4 2" xfId="1913"/>
    <cellStyle name="Normal 10 5 4 2 2" xfId="12514"/>
    <cellStyle name="Normal 10 5 4 2 2 2" xfId="20539"/>
    <cellStyle name="Normal 10 5 4 2 2 2 2" xfId="34564"/>
    <cellStyle name="Normal 10 5 4 2 2 3" xfId="26553"/>
    <cellStyle name="Normal 10 5 4 2 3" xfId="14529"/>
    <cellStyle name="Normal 10 5 4 2 3 2" xfId="22544"/>
    <cellStyle name="Normal 10 5 4 2 3 2 2" xfId="36569"/>
    <cellStyle name="Normal 10 5 4 2 3 3" xfId="28558"/>
    <cellStyle name="Normal 10 5 4 2 4" xfId="16535"/>
    <cellStyle name="Normal 10 5 4 2 4 2" xfId="30560"/>
    <cellStyle name="Normal 10 5 4 2 5" xfId="18537"/>
    <cellStyle name="Normal 10 5 4 2 5 2" xfId="32562"/>
    <cellStyle name="Normal 10 5 4 2 6" xfId="24551"/>
    <cellStyle name="Normal 10 5 4 3" xfId="12513"/>
    <cellStyle name="Normal 10 5 4 3 2" xfId="20538"/>
    <cellStyle name="Normal 10 5 4 3 2 2" xfId="34563"/>
    <cellStyle name="Normal 10 5 4 3 3" xfId="26552"/>
    <cellStyle name="Normal 10 5 4 4" xfId="14528"/>
    <cellStyle name="Normal 10 5 4 4 2" xfId="22543"/>
    <cellStyle name="Normal 10 5 4 4 2 2" xfId="36568"/>
    <cellStyle name="Normal 10 5 4 4 3" xfId="28557"/>
    <cellStyle name="Normal 10 5 4 5" xfId="16534"/>
    <cellStyle name="Normal 10 5 4 5 2" xfId="30559"/>
    <cellStyle name="Normal 10 5 4 6" xfId="18536"/>
    <cellStyle name="Normal 10 5 4 6 2" xfId="32561"/>
    <cellStyle name="Normal 10 5 4 7" xfId="24550"/>
    <cellStyle name="Normal 10 5 5" xfId="1914"/>
    <cellStyle name="Normal 10 5 5 2" xfId="1915"/>
    <cellStyle name="Normal 10 5 5 2 2" xfId="12516"/>
    <cellStyle name="Normal 10 5 5 2 2 2" xfId="20541"/>
    <cellStyle name="Normal 10 5 5 2 2 2 2" xfId="34566"/>
    <cellStyle name="Normal 10 5 5 2 2 3" xfId="26555"/>
    <cellStyle name="Normal 10 5 5 2 3" xfId="14531"/>
    <cellStyle name="Normal 10 5 5 2 3 2" xfId="22546"/>
    <cellStyle name="Normal 10 5 5 2 3 2 2" xfId="36571"/>
    <cellStyle name="Normal 10 5 5 2 3 3" xfId="28560"/>
    <cellStyle name="Normal 10 5 5 2 4" xfId="16537"/>
    <cellStyle name="Normal 10 5 5 2 4 2" xfId="30562"/>
    <cellStyle name="Normal 10 5 5 2 5" xfId="18539"/>
    <cellStyle name="Normal 10 5 5 2 5 2" xfId="32564"/>
    <cellStyle name="Normal 10 5 5 2 6" xfId="24553"/>
    <cellStyle name="Normal 10 5 5 3" xfId="12515"/>
    <cellStyle name="Normal 10 5 5 3 2" xfId="20540"/>
    <cellStyle name="Normal 10 5 5 3 2 2" xfId="34565"/>
    <cellStyle name="Normal 10 5 5 3 3" xfId="26554"/>
    <cellStyle name="Normal 10 5 5 4" xfId="14530"/>
    <cellStyle name="Normal 10 5 5 4 2" xfId="22545"/>
    <cellStyle name="Normal 10 5 5 4 2 2" xfId="36570"/>
    <cellStyle name="Normal 10 5 5 4 3" xfId="28559"/>
    <cellStyle name="Normal 10 5 5 5" xfId="16536"/>
    <cellStyle name="Normal 10 5 5 5 2" xfId="30561"/>
    <cellStyle name="Normal 10 5 5 6" xfId="18538"/>
    <cellStyle name="Normal 10 5 5 6 2" xfId="32563"/>
    <cellStyle name="Normal 10 5 5 7" xfId="24552"/>
    <cellStyle name="Normal 10 5 6" xfId="1916"/>
    <cellStyle name="Normal 10 5 6 2" xfId="12517"/>
    <cellStyle name="Normal 10 5 6 2 2" xfId="20542"/>
    <cellStyle name="Normal 10 5 6 2 2 2" xfId="34567"/>
    <cellStyle name="Normal 10 5 6 2 3" xfId="26556"/>
    <cellStyle name="Normal 10 5 6 3" xfId="14532"/>
    <cellStyle name="Normal 10 5 6 3 2" xfId="22547"/>
    <cellStyle name="Normal 10 5 6 3 2 2" xfId="36572"/>
    <cellStyle name="Normal 10 5 6 3 3" xfId="28561"/>
    <cellStyle name="Normal 10 5 6 4" xfId="16538"/>
    <cellStyle name="Normal 10 5 6 4 2" xfId="30563"/>
    <cellStyle name="Normal 10 5 6 5" xfId="18540"/>
    <cellStyle name="Normal 10 5 6 5 2" xfId="32565"/>
    <cellStyle name="Normal 10 5 6 6" xfId="24554"/>
    <cellStyle name="Normal 10 5 7" xfId="12498"/>
    <cellStyle name="Normal 10 5 7 2" xfId="20523"/>
    <cellStyle name="Normal 10 5 7 2 2" xfId="34548"/>
    <cellStyle name="Normal 10 5 7 3" xfId="26537"/>
    <cellStyle name="Normal 10 5 8" xfId="14513"/>
    <cellStyle name="Normal 10 5 8 2" xfId="22528"/>
    <cellStyle name="Normal 10 5 8 2 2" xfId="36553"/>
    <cellStyle name="Normal 10 5 8 3" xfId="28542"/>
    <cellStyle name="Normal 10 5 9" xfId="16519"/>
    <cellStyle name="Normal 10 5 9 2" xfId="30544"/>
    <cellStyle name="Normal 10 6" xfId="1917"/>
    <cellStyle name="Normal 10 6 10" xfId="24555"/>
    <cellStyle name="Normal 10 6 2" xfId="1918"/>
    <cellStyle name="Normal 10 6 2 2" xfId="1919"/>
    <cellStyle name="Normal 10 6 2 2 2" xfId="1920"/>
    <cellStyle name="Normal 10 6 2 2 2 2" xfId="12521"/>
    <cellStyle name="Normal 10 6 2 2 2 2 2" xfId="20546"/>
    <cellStyle name="Normal 10 6 2 2 2 2 2 2" xfId="34571"/>
    <cellStyle name="Normal 10 6 2 2 2 2 3" xfId="26560"/>
    <cellStyle name="Normal 10 6 2 2 2 3" xfId="14536"/>
    <cellStyle name="Normal 10 6 2 2 2 3 2" xfId="22551"/>
    <cellStyle name="Normal 10 6 2 2 2 3 2 2" xfId="36576"/>
    <cellStyle name="Normal 10 6 2 2 2 3 3" xfId="28565"/>
    <cellStyle name="Normal 10 6 2 2 2 4" xfId="16542"/>
    <cellStyle name="Normal 10 6 2 2 2 4 2" xfId="30567"/>
    <cellStyle name="Normal 10 6 2 2 2 5" xfId="18544"/>
    <cellStyle name="Normal 10 6 2 2 2 5 2" xfId="32569"/>
    <cellStyle name="Normal 10 6 2 2 2 6" xfId="24558"/>
    <cellStyle name="Normal 10 6 2 2 3" xfId="12520"/>
    <cellStyle name="Normal 10 6 2 2 3 2" xfId="20545"/>
    <cellStyle name="Normal 10 6 2 2 3 2 2" xfId="34570"/>
    <cellStyle name="Normal 10 6 2 2 3 3" xfId="26559"/>
    <cellStyle name="Normal 10 6 2 2 4" xfId="14535"/>
    <cellStyle name="Normal 10 6 2 2 4 2" xfId="22550"/>
    <cellStyle name="Normal 10 6 2 2 4 2 2" xfId="36575"/>
    <cellStyle name="Normal 10 6 2 2 4 3" xfId="28564"/>
    <cellStyle name="Normal 10 6 2 2 5" xfId="16541"/>
    <cellStyle name="Normal 10 6 2 2 5 2" xfId="30566"/>
    <cellStyle name="Normal 10 6 2 2 6" xfId="18543"/>
    <cellStyle name="Normal 10 6 2 2 6 2" xfId="32568"/>
    <cellStyle name="Normal 10 6 2 2 7" xfId="24557"/>
    <cellStyle name="Normal 10 6 2 3" xfId="1921"/>
    <cellStyle name="Normal 10 6 2 3 2" xfId="12522"/>
    <cellStyle name="Normal 10 6 2 3 2 2" xfId="20547"/>
    <cellStyle name="Normal 10 6 2 3 2 2 2" xfId="34572"/>
    <cellStyle name="Normal 10 6 2 3 2 3" xfId="26561"/>
    <cellStyle name="Normal 10 6 2 3 3" xfId="14537"/>
    <cellStyle name="Normal 10 6 2 3 3 2" xfId="22552"/>
    <cellStyle name="Normal 10 6 2 3 3 2 2" xfId="36577"/>
    <cellStyle name="Normal 10 6 2 3 3 3" xfId="28566"/>
    <cellStyle name="Normal 10 6 2 3 4" xfId="16543"/>
    <cellStyle name="Normal 10 6 2 3 4 2" xfId="30568"/>
    <cellStyle name="Normal 10 6 2 3 5" xfId="18545"/>
    <cellStyle name="Normal 10 6 2 3 5 2" xfId="32570"/>
    <cellStyle name="Normal 10 6 2 3 6" xfId="24559"/>
    <cellStyle name="Normal 10 6 2 4" xfId="12519"/>
    <cellStyle name="Normal 10 6 2 4 2" xfId="20544"/>
    <cellStyle name="Normal 10 6 2 4 2 2" xfId="34569"/>
    <cellStyle name="Normal 10 6 2 4 3" xfId="26558"/>
    <cellStyle name="Normal 10 6 2 5" xfId="14534"/>
    <cellStyle name="Normal 10 6 2 5 2" xfId="22549"/>
    <cellStyle name="Normal 10 6 2 5 2 2" xfId="36574"/>
    <cellStyle name="Normal 10 6 2 5 3" xfId="28563"/>
    <cellStyle name="Normal 10 6 2 6" xfId="16540"/>
    <cellStyle name="Normal 10 6 2 6 2" xfId="30565"/>
    <cellStyle name="Normal 10 6 2 7" xfId="18542"/>
    <cellStyle name="Normal 10 6 2 7 2" xfId="32567"/>
    <cellStyle name="Normal 10 6 2 8" xfId="24556"/>
    <cellStyle name="Normal 10 6 3" xfId="1922"/>
    <cellStyle name="Normal 10 6 3 2" xfId="1923"/>
    <cellStyle name="Normal 10 6 3 2 2" xfId="12524"/>
    <cellStyle name="Normal 10 6 3 2 2 2" xfId="20549"/>
    <cellStyle name="Normal 10 6 3 2 2 2 2" xfId="34574"/>
    <cellStyle name="Normal 10 6 3 2 2 3" xfId="26563"/>
    <cellStyle name="Normal 10 6 3 2 3" xfId="14539"/>
    <cellStyle name="Normal 10 6 3 2 3 2" xfId="22554"/>
    <cellStyle name="Normal 10 6 3 2 3 2 2" xfId="36579"/>
    <cellStyle name="Normal 10 6 3 2 3 3" xfId="28568"/>
    <cellStyle name="Normal 10 6 3 2 4" xfId="16545"/>
    <cellStyle name="Normal 10 6 3 2 4 2" xfId="30570"/>
    <cellStyle name="Normal 10 6 3 2 5" xfId="18547"/>
    <cellStyle name="Normal 10 6 3 2 5 2" xfId="32572"/>
    <cellStyle name="Normal 10 6 3 2 6" xfId="24561"/>
    <cellStyle name="Normal 10 6 3 3" xfId="12523"/>
    <cellStyle name="Normal 10 6 3 3 2" xfId="20548"/>
    <cellStyle name="Normal 10 6 3 3 2 2" xfId="34573"/>
    <cellStyle name="Normal 10 6 3 3 3" xfId="26562"/>
    <cellStyle name="Normal 10 6 3 4" xfId="14538"/>
    <cellStyle name="Normal 10 6 3 4 2" xfId="22553"/>
    <cellStyle name="Normal 10 6 3 4 2 2" xfId="36578"/>
    <cellStyle name="Normal 10 6 3 4 3" xfId="28567"/>
    <cellStyle name="Normal 10 6 3 5" xfId="16544"/>
    <cellStyle name="Normal 10 6 3 5 2" xfId="30569"/>
    <cellStyle name="Normal 10 6 3 6" xfId="18546"/>
    <cellStyle name="Normal 10 6 3 6 2" xfId="32571"/>
    <cellStyle name="Normal 10 6 3 7" xfId="24560"/>
    <cellStyle name="Normal 10 6 4" xfId="1924"/>
    <cellStyle name="Normal 10 6 4 2" xfId="1925"/>
    <cellStyle name="Normal 10 6 4 2 2" xfId="12526"/>
    <cellStyle name="Normal 10 6 4 2 2 2" xfId="20551"/>
    <cellStyle name="Normal 10 6 4 2 2 2 2" xfId="34576"/>
    <cellStyle name="Normal 10 6 4 2 2 3" xfId="26565"/>
    <cellStyle name="Normal 10 6 4 2 3" xfId="14541"/>
    <cellStyle name="Normal 10 6 4 2 3 2" xfId="22556"/>
    <cellStyle name="Normal 10 6 4 2 3 2 2" xfId="36581"/>
    <cellStyle name="Normal 10 6 4 2 3 3" xfId="28570"/>
    <cellStyle name="Normal 10 6 4 2 4" xfId="16547"/>
    <cellStyle name="Normal 10 6 4 2 4 2" xfId="30572"/>
    <cellStyle name="Normal 10 6 4 2 5" xfId="18549"/>
    <cellStyle name="Normal 10 6 4 2 5 2" xfId="32574"/>
    <cellStyle name="Normal 10 6 4 2 6" xfId="24563"/>
    <cellStyle name="Normal 10 6 4 3" xfId="12525"/>
    <cellStyle name="Normal 10 6 4 3 2" xfId="20550"/>
    <cellStyle name="Normal 10 6 4 3 2 2" xfId="34575"/>
    <cellStyle name="Normal 10 6 4 3 3" xfId="26564"/>
    <cellStyle name="Normal 10 6 4 4" xfId="14540"/>
    <cellStyle name="Normal 10 6 4 4 2" xfId="22555"/>
    <cellStyle name="Normal 10 6 4 4 2 2" xfId="36580"/>
    <cellStyle name="Normal 10 6 4 4 3" xfId="28569"/>
    <cellStyle name="Normal 10 6 4 5" xfId="16546"/>
    <cellStyle name="Normal 10 6 4 5 2" xfId="30571"/>
    <cellStyle name="Normal 10 6 4 6" xfId="18548"/>
    <cellStyle name="Normal 10 6 4 6 2" xfId="32573"/>
    <cellStyle name="Normal 10 6 4 7" xfId="24562"/>
    <cellStyle name="Normal 10 6 5" xfId="1926"/>
    <cellStyle name="Normal 10 6 5 2" xfId="12527"/>
    <cellStyle name="Normal 10 6 5 2 2" xfId="20552"/>
    <cellStyle name="Normal 10 6 5 2 2 2" xfId="34577"/>
    <cellStyle name="Normal 10 6 5 2 3" xfId="26566"/>
    <cellStyle name="Normal 10 6 5 3" xfId="14542"/>
    <cellStyle name="Normal 10 6 5 3 2" xfId="22557"/>
    <cellStyle name="Normal 10 6 5 3 2 2" xfId="36582"/>
    <cellStyle name="Normal 10 6 5 3 3" xfId="28571"/>
    <cellStyle name="Normal 10 6 5 4" xfId="16548"/>
    <cellStyle name="Normal 10 6 5 4 2" xfId="30573"/>
    <cellStyle name="Normal 10 6 5 5" xfId="18550"/>
    <cellStyle name="Normal 10 6 5 5 2" xfId="32575"/>
    <cellStyle name="Normal 10 6 5 6" xfId="24564"/>
    <cellStyle name="Normal 10 6 6" xfId="12518"/>
    <cellStyle name="Normal 10 6 6 2" xfId="20543"/>
    <cellStyle name="Normal 10 6 6 2 2" xfId="34568"/>
    <cellStyle name="Normal 10 6 6 3" xfId="26557"/>
    <cellStyle name="Normal 10 6 7" xfId="14533"/>
    <cellStyle name="Normal 10 6 7 2" xfId="22548"/>
    <cellStyle name="Normal 10 6 7 2 2" xfId="36573"/>
    <cellStyle name="Normal 10 6 7 3" xfId="28562"/>
    <cellStyle name="Normal 10 6 8" xfId="16539"/>
    <cellStyle name="Normal 10 6 8 2" xfId="30564"/>
    <cellStyle name="Normal 10 6 9" xfId="18541"/>
    <cellStyle name="Normal 10 6 9 2" xfId="32566"/>
    <cellStyle name="Normal 10 7" xfId="1927"/>
    <cellStyle name="Normal 10 7 2" xfId="1928"/>
    <cellStyle name="Normal 10 7 2 2" xfId="1929"/>
    <cellStyle name="Normal 10 7 2 2 2" xfId="12530"/>
    <cellStyle name="Normal 10 7 2 2 2 2" xfId="20555"/>
    <cellStyle name="Normal 10 7 2 2 2 2 2" xfId="34580"/>
    <cellStyle name="Normal 10 7 2 2 2 3" xfId="26569"/>
    <cellStyle name="Normal 10 7 2 2 3" xfId="14545"/>
    <cellStyle name="Normal 10 7 2 2 3 2" xfId="22560"/>
    <cellStyle name="Normal 10 7 2 2 3 2 2" xfId="36585"/>
    <cellStyle name="Normal 10 7 2 2 3 3" xfId="28574"/>
    <cellStyle name="Normal 10 7 2 2 4" xfId="16551"/>
    <cellStyle name="Normal 10 7 2 2 4 2" xfId="30576"/>
    <cellStyle name="Normal 10 7 2 2 5" xfId="18553"/>
    <cellStyle name="Normal 10 7 2 2 5 2" xfId="32578"/>
    <cellStyle name="Normal 10 7 2 2 6" xfId="24567"/>
    <cellStyle name="Normal 10 7 2 3" xfId="12529"/>
    <cellStyle name="Normal 10 7 2 3 2" xfId="20554"/>
    <cellStyle name="Normal 10 7 2 3 2 2" xfId="34579"/>
    <cellStyle name="Normal 10 7 2 3 3" xfId="26568"/>
    <cellStyle name="Normal 10 7 2 4" xfId="14544"/>
    <cellStyle name="Normal 10 7 2 4 2" xfId="22559"/>
    <cellStyle name="Normal 10 7 2 4 2 2" xfId="36584"/>
    <cellStyle name="Normal 10 7 2 4 3" xfId="28573"/>
    <cellStyle name="Normal 10 7 2 5" xfId="16550"/>
    <cellStyle name="Normal 10 7 2 5 2" xfId="30575"/>
    <cellStyle name="Normal 10 7 2 6" xfId="18552"/>
    <cellStyle name="Normal 10 7 2 6 2" xfId="32577"/>
    <cellStyle name="Normal 10 7 2 7" xfId="24566"/>
    <cellStyle name="Normal 10 7 3" xfId="1930"/>
    <cellStyle name="Normal 10 7 3 2" xfId="12531"/>
    <cellStyle name="Normal 10 7 3 2 2" xfId="20556"/>
    <cellStyle name="Normal 10 7 3 2 2 2" xfId="34581"/>
    <cellStyle name="Normal 10 7 3 2 3" xfId="26570"/>
    <cellStyle name="Normal 10 7 3 3" xfId="14546"/>
    <cellStyle name="Normal 10 7 3 3 2" xfId="22561"/>
    <cellStyle name="Normal 10 7 3 3 2 2" xfId="36586"/>
    <cellStyle name="Normal 10 7 3 3 3" xfId="28575"/>
    <cellStyle name="Normal 10 7 3 4" xfId="16552"/>
    <cellStyle name="Normal 10 7 3 4 2" xfId="30577"/>
    <cellStyle name="Normal 10 7 3 5" xfId="18554"/>
    <cellStyle name="Normal 10 7 3 5 2" xfId="32579"/>
    <cellStyle name="Normal 10 7 3 6" xfId="24568"/>
    <cellStyle name="Normal 10 7 4" xfId="12528"/>
    <cellStyle name="Normal 10 7 4 2" xfId="20553"/>
    <cellStyle name="Normal 10 7 4 2 2" xfId="34578"/>
    <cellStyle name="Normal 10 7 4 3" xfId="26567"/>
    <cellStyle name="Normal 10 7 5" xfId="14543"/>
    <cellStyle name="Normal 10 7 5 2" xfId="22558"/>
    <cellStyle name="Normal 10 7 5 2 2" xfId="36583"/>
    <cellStyle name="Normal 10 7 5 3" xfId="28572"/>
    <cellStyle name="Normal 10 7 6" xfId="16549"/>
    <cellStyle name="Normal 10 7 6 2" xfId="30574"/>
    <cellStyle name="Normal 10 7 7" xfId="18551"/>
    <cellStyle name="Normal 10 7 7 2" xfId="32576"/>
    <cellStyle name="Normal 10 7 8" xfId="24565"/>
    <cellStyle name="Normal 10 8" xfId="1931"/>
    <cellStyle name="Normal 10 8 2" xfId="1932"/>
    <cellStyle name="Normal 10 8 2 2" xfId="12533"/>
    <cellStyle name="Normal 10 8 2 2 2" xfId="20558"/>
    <cellStyle name="Normal 10 8 2 2 2 2" xfId="34583"/>
    <cellStyle name="Normal 10 8 2 2 3" xfId="26572"/>
    <cellStyle name="Normal 10 8 2 3" xfId="14548"/>
    <cellStyle name="Normal 10 8 2 3 2" xfId="22563"/>
    <cellStyle name="Normal 10 8 2 3 2 2" xfId="36588"/>
    <cellStyle name="Normal 10 8 2 3 3" xfId="28577"/>
    <cellStyle name="Normal 10 8 2 4" xfId="16554"/>
    <cellStyle name="Normal 10 8 2 4 2" xfId="30579"/>
    <cellStyle name="Normal 10 8 2 5" xfId="18556"/>
    <cellStyle name="Normal 10 8 2 5 2" xfId="32581"/>
    <cellStyle name="Normal 10 8 2 6" xfId="24570"/>
    <cellStyle name="Normal 10 8 3" xfId="12532"/>
    <cellStyle name="Normal 10 8 3 2" xfId="20557"/>
    <cellStyle name="Normal 10 8 3 2 2" xfId="34582"/>
    <cellStyle name="Normal 10 8 3 3" xfId="26571"/>
    <cellStyle name="Normal 10 8 4" xfId="14547"/>
    <cellStyle name="Normal 10 8 4 2" xfId="22562"/>
    <cellStyle name="Normal 10 8 4 2 2" xfId="36587"/>
    <cellStyle name="Normal 10 8 4 3" xfId="28576"/>
    <cellStyle name="Normal 10 8 5" xfId="16553"/>
    <cellStyle name="Normal 10 8 5 2" xfId="30578"/>
    <cellStyle name="Normal 10 8 6" xfId="18555"/>
    <cellStyle name="Normal 10 8 6 2" xfId="32580"/>
    <cellStyle name="Normal 10 8 7" xfId="24569"/>
    <cellStyle name="Normal 10 9" xfId="1933"/>
    <cellStyle name="Normal 10 9 2" xfId="1934"/>
    <cellStyle name="Normal 10 9 2 2" xfId="12535"/>
    <cellStyle name="Normal 10 9 2 2 2" xfId="20560"/>
    <cellStyle name="Normal 10 9 2 2 2 2" xfId="34585"/>
    <cellStyle name="Normal 10 9 2 2 3" xfId="26574"/>
    <cellStyle name="Normal 10 9 2 3" xfId="14550"/>
    <cellStyle name="Normal 10 9 2 3 2" xfId="22565"/>
    <cellStyle name="Normal 10 9 2 3 2 2" xfId="36590"/>
    <cellStyle name="Normal 10 9 2 3 3" xfId="28579"/>
    <cellStyle name="Normal 10 9 2 4" xfId="16556"/>
    <cellStyle name="Normal 10 9 2 4 2" xfId="30581"/>
    <cellStyle name="Normal 10 9 2 5" xfId="18558"/>
    <cellStyle name="Normal 10 9 2 5 2" xfId="32583"/>
    <cellStyle name="Normal 10 9 2 6" xfId="24572"/>
    <cellStyle name="Normal 10 9 3" xfId="12534"/>
    <cellStyle name="Normal 10 9 3 2" xfId="20559"/>
    <cellStyle name="Normal 10 9 3 2 2" xfId="34584"/>
    <cellStyle name="Normal 10 9 3 3" xfId="26573"/>
    <cellStyle name="Normal 10 9 4" xfId="14549"/>
    <cellStyle name="Normal 10 9 4 2" xfId="22564"/>
    <cellStyle name="Normal 10 9 4 2 2" xfId="36589"/>
    <cellStyle name="Normal 10 9 4 3" xfId="28578"/>
    <cellStyle name="Normal 10 9 5" xfId="16555"/>
    <cellStyle name="Normal 10 9 5 2" xfId="30580"/>
    <cellStyle name="Normal 10 9 6" xfId="18557"/>
    <cellStyle name="Normal 10 9 6 2" xfId="32582"/>
    <cellStyle name="Normal 10 9 7" xfId="24571"/>
    <cellStyle name="Normal 10_10-15-10-Stmt AU - Period I - Working 1 0" xfId="477"/>
    <cellStyle name="Normal 11" xfId="478"/>
    <cellStyle name="Normal 11 10" xfId="11266"/>
    <cellStyle name="Normal 11 2" xfId="479"/>
    <cellStyle name="Normal 11 3" xfId="1935"/>
    <cellStyle name="Normal 11 3 10" xfId="16557"/>
    <cellStyle name="Normal 11 3 10 2" xfId="30582"/>
    <cellStyle name="Normal 11 3 11" xfId="18559"/>
    <cellStyle name="Normal 11 3 11 2" xfId="32584"/>
    <cellStyle name="Normal 11 3 12" xfId="24573"/>
    <cellStyle name="Normal 11 3 2" xfId="1936"/>
    <cellStyle name="Normal 11 3 2 10" xfId="18560"/>
    <cellStyle name="Normal 11 3 2 10 2" xfId="32585"/>
    <cellStyle name="Normal 11 3 2 11" xfId="24574"/>
    <cellStyle name="Normal 11 3 2 2" xfId="1937"/>
    <cellStyle name="Normal 11 3 2 2 10" xfId="24575"/>
    <cellStyle name="Normal 11 3 2 2 2" xfId="1938"/>
    <cellStyle name="Normal 11 3 2 2 2 2" xfId="1939"/>
    <cellStyle name="Normal 11 3 2 2 2 2 2" xfId="1940"/>
    <cellStyle name="Normal 11 3 2 2 2 2 2 2" xfId="12541"/>
    <cellStyle name="Normal 11 3 2 2 2 2 2 2 2" xfId="20566"/>
    <cellStyle name="Normal 11 3 2 2 2 2 2 2 2 2" xfId="34591"/>
    <cellStyle name="Normal 11 3 2 2 2 2 2 2 3" xfId="26580"/>
    <cellStyle name="Normal 11 3 2 2 2 2 2 3" xfId="14556"/>
    <cellStyle name="Normal 11 3 2 2 2 2 2 3 2" xfId="22571"/>
    <cellStyle name="Normal 11 3 2 2 2 2 2 3 2 2" xfId="36596"/>
    <cellStyle name="Normal 11 3 2 2 2 2 2 3 3" xfId="28585"/>
    <cellStyle name="Normal 11 3 2 2 2 2 2 4" xfId="16562"/>
    <cellStyle name="Normal 11 3 2 2 2 2 2 4 2" xfId="30587"/>
    <cellStyle name="Normal 11 3 2 2 2 2 2 5" xfId="18564"/>
    <cellStyle name="Normal 11 3 2 2 2 2 2 5 2" xfId="32589"/>
    <cellStyle name="Normal 11 3 2 2 2 2 2 6" xfId="24578"/>
    <cellStyle name="Normal 11 3 2 2 2 2 3" xfId="12540"/>
    <cellStyle name="Normal 11 3 2 2 2 2 3 2" xfId="20565"/>
    <cellStyle name="Normal 11 3 2 2 2 2 3 2 2" xfId="34590"/>
    <cellStyle name="Normal 11 3 2 2 2 2 3 3" xfId="26579"/>
    <cellStyle name="Normal 11 3 2 2 2 2 4" xfId="14555"/>
    <cellStyle name="Normal 11 3 2 2 2 2 4 2" xfId="22570"/>
    <cellStyle name="Normal 11 3 2 2 2 2 4 2 2" xfId="36595"/>
    <cellStyle name="Normal 11 3 2 2 2 2 4 3" xfId="28584"/>
    <cellStyle name="Normal 11 3 2 2 2 2 5" xfId="16561"/>
    <cellStyle name="Normal 11 3 2 2 2 2 5 2" xfId="30586"/>
    <cellStyle name="Normal 11 3 2 2 2 2 6" xfId="18563"/>
    <cellStyle name="Normal 11 3 2 2 2 2 6 2" xfId="32588"/>
    <cellStyle name="Normal 11 3 2 2 2 2 7" xfId="24577"/>
    <cellStyle name="Normal 11 3 2 2 2 3" xfId="1941"/>
    <cellStyle name="Normal 11 3 2 2 2 3 2" xfId="12542"/>
    <cellStyle name="Normal 11 3 2 2 2 3 2 2" xfId="20567"/>
    <cellStyle name="Normal 11 3 2 2 2 3 2 2 2" xfId="34592"/>
    <cellStyle name="Normal 11 3 2 2 2 3 2 3" xfId="26581"/>
    <cellStyle name="Normal 11 3 2 2 2 3 3" xfId="14557"/>
    <cellStyle name="Normal 11 3 2 2 2 3 3 2" xfId="22572"/>
    <cellStyle name="Normal 11 3 2 2 2 3 3 2 2" xfId="36597"/>
    <cellStyle name="Normal 11 3 2 2 2 3 3 3" xfId="28586"/>
    <cellStyle name="Normal 11 3 2 2 2 3 4" xfId="16563"/>
    <cellStyle name="Normal 11 3 2 2 2 3 4 2" xfId="30588"/>
    <cellStyle name="Normal 11 3 2 2 2 3 5" xfId="18565"/>
    <cellStyle name="Normal 11 3 2 2 2 3 5 2" xfId="32590"/>
    <cellStyle name="Normal 11 3 2 2 2 3 6" xfId="24579"/>
    <cellStyle name="Normal 11 3 2 2 2 4" xfId="12539"/>
    <cellStyle name="Normal 11 3 2 2 2 4 2" xfId="20564"/>
    <cellStyle name="Normal 11 3 2 2 2 4 2 2" xfId="34589"/>
    <cellStyle name="Normal 11 3 2 2 2 4 3" xfId="26578"/>
    <cellStyle name="Normal 11 3 2 2 2 5" xfId="14554"/>
    <cellStyle name="Normal 11 3 2 2 2 5 2" xfId="22569"/>
    <cellStyle name="Normal 11 3 2 2 2 5 2 2" xfId="36594"/>
    <cellStyle name="Normal 11 3 2 2 2 5 3" xfId="28583"/>
    <cellStyle name="Normal 11 3 2 2 2 6" xfId="16560"/>
    <cellStyle name="Normal 11 3 2 2 2 6 2" xfId="30585"/>
    <cellStyle name="Normal 11 3 2 2 2 7" xfId="18562"/>
    <cellStyle name="Normal 11 3 2 2 2 7 2" xfId="32587"/>
    <cellStyle name="Normal 11 3 2 2 2 8" xfId="24576"/>
    <cellStyle name="Normal 11 3 2 2 3" xfId="1942"/>
    <cellStyle name="Normal 11 3 2 2 3 2" xfId="1943"/>
    <cellStyle name="Normal 11 3 2 2 3 2 2" xfId="12544"/>
    <cellStyle name="Normal 11 3 2 2 3 2 2 2" xfId="20569"/>
    <cellStyle name="Normal 11 3 2 2 3 2 2 2 2" xfId="34594"/>
    <cellStyle name="Normal 11 3 2 2 3 2 2 3" xfId="26583"/>
    <cellStyle name="Normal 11 3 2 2 3 2 3" xfId="14559"/>
    <cellStyle name="Normal 11 3 2 2 3 2 3 2" xfId="22574"/>
    <cellStyle name="Normal 11 3 2 2 3 2 3 2 2" xfId="36599"/>
    <cellStyle name="Normal 11 3 2 2 3 2 3 3" xfId="28588"/>
    <cellStyle name="Normal 11 3 2 2 3 2 4" xfId="16565"/>
    <cellStyle name="Normal 11 3 2 2 3 2 4 2" xfId="30590"/>
    <cellStyle name="Normal 11 3 2 2 3 2 5" xfId="18567"/>
    <cellStyle name="Normal 11 3 2 2 3 2 5 2" xfId="32592"/>
    <cellStyle name="Normal 11 3 2 2 3 2 6" xfId="24581"/>
    <cellStyle name="Normal 11 3 2 2 3 3" xfId="12543"/>
    <cellStyle name="Normal 11 3 2 2 3 3 2" xfId="20568"/>
    <cellStyle name="Normal 11 3 2 2 3 3 2 2" xfId="34593"/>
    <cellStyle name="Normal 11 3 2 2 3 3 3" xfId="26582"/>
    <cellStyle name="Normal 11 3 2 2 3 4" xfId="14558"/>
    <cellStyle name="Normal 11 3 2 2 3 4 2" xfId="22573"/>
    <cellStyle name="Normal 11 3 2 2 3 4 2 2" xfId="36598"/>
    <cellStyle name="Normal 11 3 2 2 3 4 3" xfId="28587"/>
    <cellStyle name="Normal 11 3 2 2 3 5" xfId="16564"/>
    <cellStyle name="Normal 11 3 2 2 3 5 2" xfId="30589"/>
    <cellStyle name="Normal 11 3 2 2 3 6" xfId="18566"/>
    <cellStyle name="Normal 11 3 2 2 3 6 2" xfId="32591"/>
    <cellStyle name="Normal 11 3 2 2 3 7" xfId="24580"/>
    <cellStyle name="Normal 11 3 2 2 4" xfId="1944"/>
    <cellStyle name="Normal 11 3 2 2 4 2" xfId="1945"/>
    <cellStyle name="Normal 11 3 2 2 4 2 2" xfId="12546"/>
    <cellStyle name="Normal 11 3 2 2 4 2 2 2" xfId="20571"/>
    <cellStyle name="Normal 11 3 2 2 4 2 2 2 2" xfId="34596"/>
    <cellStyle name="Normal 11 3 2 2 4 2 2 3" xfId="26585"/>
    <cellStyle name="Normal 11 3 2 2 4 2 3" xfId="14561"/>
    <cellStyle name="Normal 11 3 2 2 4 2 3 2" xfId="22576"/>
    <cellStyle name="Normal 11 3 2 2 4 2 3 2 2" xfId="36601"/>
    <cellStyle name="Normal 11 3 2 2 4 2 3 3" xfId="28590"/>
    <cellStyle name="Normal 11 3 2 2 4 2 4" xfId="16567"/>
    <cellStyle name="Normal 11 3 2 2 4 2 4 2" xfId="30592"/>
    <cellStyle name="Normal 11 3 2 2 4 2 5" xfId="18569"/>
    <cellStyle name="Normal 11 3 2 2 4 2 5 2" xfId="32594"/>
    <cellStyle name="Normal 11 3 2 2 4 2 6" xfId="24583"/>
    <cellStyle name="Normal 11 3 2 2 4 3" xfId="12545"/>
    <cellStyle name="Normal 11 3 2 2 4 3 2" xfId="20570"/>
    <cellStyle name="Normal 11 3 2 2 4 3 2 2" xfId="34595"/>
    <cellStyle name="Normal 11 3 2 2 4 3 3" xfId="26584"/>
    <cellStyle name="Normal 11 3 2 2 4 4" xfId="14560"/>
    <cellStyle name="Normal 11 3 2 2 4 4 2" xfId="22575"/>
    <cellStyle name="Normal 11 3 2 2 4 4 2 2" xfId="36600"/>
    <cellStyle name="Normal 11 3 2 2 4 4 3" xfId="28589"/>
    <cellStyle name="Normal 11 3 2 2 4 5" xfId="16566"/>
    <cellStyle name="Normal 11 3 2 2 4 5 2" xfId="30591"/>
    <cellStyle name="Normal 11 3 2 2 4 6" xfId="18568"/>
    <cellStyle name="Normal 11 3 2 2 4 6 2" xfId="32593"/>
    <cellStyle name="Normal 11 3 2 2 4 7" xfId="24582"/>
    <cellStyle name="Normal 11 3 2 2 5" xfId="1946"/>
    <cellStyle name="Normal 11 3 2 2 5 2" xfId="12547"/>
    <cellStyle name="Normal 11 3 2 2 5 2 2" xfId="20572"/>
    <cellStyle name="Normal 11 3 2 2 5 2 2 2" xfId="34597"/>
    <cellStyle name="Normal 11 3 2 2 5 2 3" xfId="26586"/>
    <cellStyle name="Normal 11 3 2 2 5 3" xfId="14562"/>
    <cellStyle name="Normal 11 3 2 2 5 3 2" xfId="22577"/>
    <cellStyle name="Normal 11 3 2 2 5 3 2 2" xfId="36602"/>
    <cellStyle name="Normal 11 3 2 2 5 3 3" xfId="28591"/>
    <cellStyle name="Normal 11 3 2 2 5 4" xfId="16568"/>
    <cellStyle name="Normal 11 3 2 2 5 4 2" xfId="30593"/>
    <cellStyle name="Normal 11 3 2 2 5 5" xfId="18570"/>
    <cellStyle name="Normal 11 3 2 2 5 5 2" xfId="32595"/>
    <cellStyle name="Normal 11 3 2 2 5 6" xfId="24584"/>
    <cellStyle name="Normal 11 3 2 2 6" xfId="12538"/>
    <cellStyle name="Normal 11 3 2 2 6 2" xfId="20563"/>
    <cellStyle name="Normal 11 3 2 2 6 2 2" xfId="34588"/>
    <cellStyle name="Normal 11 3 2 2 6 3" xfId="26577"/>
    <cellStyle name="Normal 11 3 2 2 7" xfId="14553"/>
    <cellStyle name="Normal 11 3 2 2 7 2" xfId="22568"/>
    <cellStyle name="Normal 11 3 2 2 7 2 2" xfId="36593"/>
    <cellStyle name="Normal 11 3 2 2 7 3" xfId="28582"/>
    <cellStyle name="Normal 11 3 2 2 8" xfId="16559"/>
    <cellStyle name="Normal 11 3 2 2 8 2" xfId="30584"/>
    <cellStyle name="Normal 11 3 2 2 9" xfId="18561"/>
    <cellStyle name="Normal 11 3 2 2 9 2" xfId="32586"/>
    <cellStyle name="Normal 11 3 2 3" xfId="1947"/>
    <cellStyle name="Normal 11 3 2 3 2" xfId="1948"/>
    <cellStyle name="Normal 11 3 2 3 2 2" xfId="1949"/>
    <cellStyle name="Normal 11 3 2 3 2 2 2" xfId="12550"/>
    <cellStyle name="Normal 11 3 2 3 2 2 2 2" xfId="20575"/>
    <cellStyle name="Normal 11 3 2 3 2 2 2 2 2" xfId="34600"/>
    <cellStyle name="Normal 11 3 2 3 2 2 2 3" xfId="26589"/>
    <cellStyle name="Normal 11 3 2 3 2 2 3" xfId="14565"/>
    <cellStyle name="Normal 11 3 2 3 2 2 3 2" xfId="22580"/>
    <cellStyle name="Normal 11 3 2 3 2 2 3 2 2" xfId="36605"/>
    <cellStyle name="Normal 11 3 2 3 2 2 3 3" xfId="28594"/>
    <cellStyle name="Normal 11 3 2 3 2 2 4" xfId="16571"/>
    <cellStyle name="Normal 11 3 2 3 2 2 4 2" xfId="30596"/>
    <cellStyle name="Normal 11 3 2 3 2 2 5" xfId="18573"/>
    <cellStyle name="Normal 11 3 2 3 2 2 5 2" xfId="32598"/>
    <cellStyle name="Normal 11 3 2 3 2 2 6" xfId="24587"/>
    <cellStyle name="Normal 11 3 2 3 2 3" xfId="12549"/>
    <cellStyle name="Normal 11 3 2 3 2 3 2" xfId="20574"/>
    <cellStyle name="Normal 11 3 2 3 2 3 2 2" xfId="34599"/>
    <cellStyle name="Normal 11 3 2 3 2 3 3" xfId="26588"/>
    <cellStyle name="Normal 11 3 2 3 2 4" xfId="14564"/>
    <cellStyle name="Normal 11 3 2 3 2 4 2" xfId="22579"/>
    <cellStyle name="Normal 11 3 2 3 2 4 2 2" xfId="36604"/>
    <cellStyle name="Normal 11 3 2 3 2 4 3" xfId="28593"/>
    <cellStyle name="Normal 11 3 2 3 2 5" xfId="16570"/>
    <cellStyle name="Normal 11 3 2 3 2 5 2" xfId="30595"/>
    <cellStyle name="Normal 11 3 2 3 2 6" xfId="18572"/>
    <cellStyle name="Normal 11 3 2 3 2 6 2" xfId="32597"/>
    <cellStyle name="Normal 11 3 2 3 2 7" xfId="24586"/>
    <cellStyle name="Normal 11 3 2 3 3" xfId="1950"/>
    <cellStyle name="Normal 11 3 2 3 3 2" xfId="12551"/>
    <cellStyle name="Normal 11 3 2 3 3 2 2" xfId="20576"/>
    <cellStyle name="Normal 11 3 2 3 3 2 2 2" xfId="34601"/>
    <cellStyle name="Normal 11 3 2 3 3 2 3" xfId="26590"/>
    <cellStyle name="Normal 11 3 2 3 3 3" xfId="14566"/>
    <cellStyle name="Normal 11 3 2 3 3 3 2" xfId="22581"/>
    <cellStyle name="Normal 11 3 2 3 3 3 2 2" xfId="36606"/>
    <cellStyle name="Normal 11 3 2 3 3 3 3" xfId="28595"/>
    <cellStyle name="Normal 11 3 2 3 3 4" xfId="16572"/>
    <cellStyle name="Normal 11 3 2 3 3 4 2" xfId="30597"/>
    <cellStyle name="Normal 11 3 2 3 3 5" xfId="18574"/>
    <cellStyle name="Normal 11 3 2 3 3 5 2" xfId="32599"/>
    <cellStyle name="Normal 11 3 2 3 3 6" xfId="24588"/>
    <cellStyle name="Normal 11 3 2 3 4" xfId="12548"/>
    <cellStyle name="Normal 11 3 2 3 4 2" xfId="20573"/>
    <cellStyle name="Normal 11 3 2 3 4 2 2" xfId="34598"/>
    <cellStyle name="Normal 11 3 2 3 4 3" xfId="26587"/>
    <cellStyle name="Normal 11 3 2 3 5" xfId="14563"/>
    <cellStyle name="Normal 11 3 2 3 5 2" xfId="22578"/>
    <cellStyle name="Normal 11 3 2 3 5 2 2" xfId="36603"/>
    <cellStyle name="Normal 11 3 2 3 5 3" xfId="28592"/>
    <cellStyle name="Normal 11 3 2 3 6" xfId="16569"/>
    <cellStyle name="Normal 11 3 2 3 6 2" xfId="30594"/>
    <cellStyle name="Normal 11 3 2 3 7" xfId="18571"/>
    <cellStyle name="Normal 11 3 2 3 7 2" xfId="32596"/>
    <cellStyle name="Normal 11 3 2 3 8" xfId="24585"/>
    <cellStyle name="Normal 11 3 2 4" xfId="1951"/>
    <cellStyle name="Normal 11 3 2 4 2" xfId="1952"/>
    <cellStyle name="Normal 11 3 2 4 2 2" xfId="12553"/>
    <cellStyle name="Normal 11 3 2 4 2 2 2" xfId="20578"/>
    <cellStyle name="Normal 11 3 2 4 2 2 2 2" xfId="34603"/>
    <cellStyle name="Normal 11 3 2 4 2 2 3" xfId="26592"/>
    <cellStyle name="Normal 11 3 2 4 2 3" xfId="14568"/>
    <cellStyle name="Normal 11 3 2 4 2 3 2" xfId="22583"/>
    <cellStyle name="Normal 11 3 2 4 2 3 2 2" xfId="36608"/>
    <cellStyle name="Normal 11 3 2 4 2 3 3" xfId="28597"/>
    <cellStyle name="Normal 11 3 2 4 2 4" xfId="16574"/>
    <cellStyle name="Normal 11 3 2 4 2 4 2" xfId="30599"/>
    <cellStyle name="Normal 11 3 2 4 2 5" xfId="18576"/>
    <cellStyle name="Normal 11 3 2 4 2 5 2" xfId="32601"/>
    <cellStyle name="Normal 11 3 2 4 2 6" xfId="24590"/>
    <cellStyle name="Normal 11 3 2 4 3" xfId="12552"/>
    <cellStyle name="Normal 11 3 2 4 3 2" xfId="20577"/>
    <cellStyle name="Normal 11 3 2 4 3 2 2" xfId="34602"/>
    <cellStyle name="Normal 11 3 2 4 3 3" xfId="26591"/>
    <cellStyle name="Normal 11 3 2 4 4" xfId="14567"/>
    <cellStyle name="Normal 11 3 2 4 4 2" xfId="22582"/>
    <cellStyle name="Normal 11 3 2 4 4 2 2" xfId="36607"/>
    <cellStyle name="Normal 11 3 2 4 4 3" xfId="28596"/>
    <cellStyle name="Normal 11 3 2 4 5" xfId="16573"/>
    <cellStyle name="Normal 11 3 2 4 5 2" xfId="30598"/>
    <cellStyle name="Normal 11 3 2 4 6" xfId="18575"/>
    <cellStyle name="Normal 11 3 2 4 6 2" xfId="32600"/>
    <cellStyle name="Normal 11 3 2 4 7" xfId="24589"/>
    <cellStyle name="Normal 11 3 2 5" xfId="1953"/>
    <cellStyle name="Normal 11 3 2 5 2" xfId="1954"/>
    <cellStyle name="Normal 11 3 2 5 2 2" xfId="12555"/>
    <cellStyle name="Normal 11 3 2 5 2 2 2" xfId="20580"/>
    <cellStyle name="Normal 11 3 2 5 2 2 2 2" xfId="34605"/>
    <cellStyle name="Normal 11 3 2 5 2 2 3" xfId="26594"/>
    <cellStyle name="Normal 11 3 2 5 2 3" xfId="14570"/>
    <cellStyle name="Normal 11 3 2 5 2 3 2" xfId="22585"/>
    <cellStyle name="Normal 11 3 2 5 2 3 2 2" xfId="36610"/>
    <cellStyle name="Normal 11 3 2 5 2 3 3" xfId="28599"/>
    <cellStyle name="Normal 11 3 2 5 2 4" xfId="16576"/>
    <cellStyle name="Normal 11 3 2 5 2 4 2" xfId="30601"/>
    <cellStyle name="Normal 11 3 2 5 2 5" xfId="18578"/>
    <cellStyle name="Normal 11 3 2 5 2 5 2" xfId="32603"/>
    <cellStyle name="Normal 11 3 2 5 2 6" xfId="24592"/>
    <cellStyle name="Normal 11 3 2 5 3" xfId="12554"/>
    <cellStyle name="Normal 11 3 2 5 3 2" xfId="20579"/>
    <cellStyle name="Normal 11 3 2 5 3 2 2" xfId="34604"/>
    <cellStyle name="Normal 11 3 2 5 3 3" xfId="26593"/>
    <cellStyle name="Normal 11 3 2 5 4" xfId="14569"/>
    <cellStyle name="Normal 11 3 2 5 4 2" xfId="22584"/>
    <cellStyle name="Normal 11 3 2 5 4 2 2" xfId="36609"/>
    <cellStyle name="Normal 11 3 2 5 4 3" xfId="28598"/>
    <cellStyle name="Normal 11 3 2 5 5" xfId="16575"/>
    <cellStyle name="Normal 11 3 2 5 5 2" xfId="30600"/>
    <cellStyle name="Normal 11 3 2 5 6" xfId="18577"/>
    <cellStyle name="Normal 11 3 2 5 6 2" xfId="32602"/>
    <cellStyle name="Normal 11 3 2 5 7" xfId="24591"/>
    <cellStyle name="Normal 11 3 2 6" xfId="1955"/>
    <cellStyle name="Normal 11 3 2 6 2" xfId="12556"/>
    <cellStyle name="Normal 11 3 2 6 2 2" xfId="20581"/>
    <cellStyle name="Normal 11 3 2 6 2 2 2" xfId="34606"/>
    <cellStyle name="Normal 11 3 2 6 2 3" xfId="26595"/>
    <cellStyle name="Normal 11 3 2 6 3" xfId="14571"/>
    <cellStyle name="Normal 11 3 2 6 3 2" xfId="22586"/>
    <cellStyle name="Normal 11 3 2 6 3 2 2" xfId="36611"/>
    <cellStyle name="Normal 11 3 2 6 3 3" xfId="28600"/>
    <cellStyle name="Normal 11 3 2 6 4" xfId="16577"/>
    <cellStyle name="Normal 11 3 2 6 4 2" xfId="30602"/>
    <cellStyle name="Normal 11 3 2 6 5" xfId="18579"/>
    <cellStyle name="Normal 11 3 2 6 5 2" xfId="32604"/>
    <cellStyle name="Normal 11 3 2 6 6" xfId="24593"/>
    <cellStyle name="Normal 11 3 2 7" xfId="12537"/>
    <cellStyle name="Normal 11 3 2 7 2" xfId="20562"/>
    <cellStyle name="Normal 11 3 2 7 2 2" xfId="34587"/>
    <cellStyle name="Normal 11 3 2 7 3" xfId="26576"/>
    <cellStyle name="Normal 11 3 2 8" xfId="14552"/>
    <cellStyle name="Normal 11 3 2 8 2" xfId="22567"/>
    <cellStyle name="Normal 11 3 2 8 2 2" xfId="36592"/>
    <cellStyle name="Normal 11 3 2 8 3" xfId="28581"/>
    <cellStyle name="Normal 11 3 2 9" xfId="16558"/>
    <cellStyle name="Normal 11 3 2 9 2" xfId="30583"/>
    <cellStyle name="Normal 11 3 3" xfId="1956"/>
    <cellStyle name="Normal 11 3 3 10" xfId="24594"/>
    <cellStyle name="Normal 11 3 3 2" xfId="1957"/>
    <cellStyle name="Normal 11 3 3 2 2" xfId="1958"/>
    <cellStyle name="Normal 11 3 3 2 2 2" xfId="1959"/>
    <cellStyle name="Normal 11 3 3 2 2 2 2" xfId="12560"/>
    <cellStyle name="Normal 11 3 3 2 2 2 2 2" xfId="20585"/>
    <cellStyle name="Normal 11 3 3 2 2 2 2 2 2" xfId="34610"/>
    <cellStyle name="Normal 11 3 3 2 2 2 2 3" xfId="26599"/>
    <cellStyle name="Normal 11 3 3 2 2 2 3" xfId="14575"/>
    <cellStyle name="Normal 11 3 3 2 2 2 3 2" xfId="22590"/>
    <cellStyle name="Normal 11 3 3 2 2 2 3 2 2" xfId="36615"/>
    <cellStyle name="Normal 11 3 3 2 2 2 3 3" xfId="28604"/>
    <cellStyle name="Normal 11 3 3 2 2 2 4" xfId="16581"/>
    <cellStyle name="Normal 11 3 3 2 2 2 4 2" xfId="30606"/>
    <cellStyle name="Normal 11 3 3 2 2 2 5" xfId="18583"/>
    <cellStyle name="Normal 11 3 3 2 2 2 5 2" xfId="32608"/>
    <cellStyle name="Normal 11 3 3 2 2 2 6" xfId="24597"/>
    <cellStyle name="Normal 11 3 3 2 2 3" xfId="12559"/>
    <cellStyle name="Normal 11 3 3 2 2 3 2" xfId="20584"/>
    <cellStyle name="Normal 11 3 3 2 2 3 2 2" xfId="34609"/>
    <cellStyle name="Normal 11 3 3 2 2 3 3" xfId="26598"/>
    <cellStyle name="Normal 11 3 3 2 2 4" xfId="14574"/>
    <cellStyle name="Normal 11 3 3 2 2 4 2" xfId="22589"/>
    <cellStyle name="Normal 11 3 3 2 2 4 2 2" xfId="36614"/>
    <cellStyle name="Normal 11 3 3 2 2 4 3" xfId="28603"/>
    <cellStyle name="Normal 11 3 3 2 2 5" xfId="16580"/>
    <cellStyle name="Normal 11 3 3 2 2 5 2" xfId="30605"/>
    <cellStyle name="Normal 11 3 3 2 2 6" xfId="18582"/>
    <cellStyle name="Normal 11 3 3 2 2 6 2" xfId="32607"/>
    <cellStyle name="Normal 11 3 3 2 2 7" xfId="24596"/>
    <cellStyle name="Normal 11 3 3 2 3" xfId="1960"/>
    <cellStyle name="Normal 11 3 3 2 3 2" xfId="12561"/>
    <cellStyle name="Normal 11 3 3 2 3 2 2" xfId="20586"/>
    <cellStyle name="Normal 11 3 3 2 3 2 2 2" xfId="34611"/>
    <cellStyle name="Normal 11 3 3 2 3 2 3" xfId="26600"/>
    <cellStyle name="Normal 11 3 3 2 3 3" xfId="14576"/>
    <cellStyle name="Normal 11 3 3 2 3 3 2" xfId="22591"/>
    <cellStyle name="Normal 11 3 3 2 3 3 2 2" xfId="36616"/>
    <cellStyle name="Normal 11 3 3 2 3 3 3" xfId="28605"/>
    <cellStyle name="Normal 11 3 3 2 3 4" xfId="16582"/>
    <cellStyle name="Normal 11 3 3 2 3 4 2" xfId="30607"/>
    <cellStyle name="Normal 11 3 3 2 3 5" xfId="18584"/>
    <cellStyle name="Normal 11 3 3 2 3 5 2" xfId="32609"/>
    <cellStyle name="Normal 11 3 3 2 3 6" xfId="24598"/>
    <cellStyle name="Normal 11 3 3 2 4" xfId="12558"/>
    <cellStyle name="Normal 11 3 3 2 4 2" xfId="20583"/>
    <cellStyle name="Normal 11 3 3 2 4 2 2" xfId="34608"/>
    <cellStyle name="Normal 11 3 3 2 4 3" xfId="26597"/>
    <cellStyle name="Normal 11 3 3 2 5" xfId="14573"/>
    <cellStyle name="Normal 11 3 3 2 5 2" xfId="22588"/>
    <cellStyle name="Normal 11 3 3 2 5 2 2" xfId="36613"/>
    <cellStyle name="Normal 11 3 3 2 5 3" xfId="28602"/>
    <cellStyle name="Normal 11 3 3 2 6" xfId="16579"/>
    <cellStyle name="Normal 11 3 3 2 6 2" xfId="30604"/>
    <cellStyle name="Normal 11 3 3 2 7" xfId="18581"/>
    <cellStyle name="Normal 11 3 3 2 7 2" xfId="32606"/>
    <cellStyle name="Normal 11 3 3 2 8" xfId="24595"/>
    <cellStyle name="Normal 11 3 3 3" xfId="1961"/>
    <cellStyle name="Normal 11 3 3 3 2" xfId="1962"/>
    <cellStyle name="Normal 11 3 3 3 2 2" xfId="12563"/>
    <cellStyle name="Normal 11 3 3 3 2 2 2" xfId="20588"/>
    <cellStyle name="Normal 11 3 3 3 2 2 2 2" xfId="34613"/>
    <cellStyle name="Normal 11 3 3 3 2 2 3" xfId="26602"/>
    <cellStyle name="Normal 11 3 3 3 2 3" xfId="14578"/>
    <cellStyle name="Normal 11 3 3 3 2 3 2" xfId="22593"/>
    <cellStyle name="Normal 11 3 3 3 2 3 2 2" xfId="36618"/>
    <cellStyle name="Normal 11 3 3 3 2 3 3" xfId="28607"/>
    <cellStyle name="Normal 11 3 3 3 2 4" xfId="16584"/>
    <cellStyle name="Normal 11 3 3 3 2 4 2" xfId="30609"/>
    <cellStyle name="Normal 11 3 3 3 2 5" xfId="18586"/>
    <cellStyle name="Normal 11 3 3 3 2 5 2" xfId="32611"/>
    <cellStyle name="Normal 11 3 3 3 2 6" xfId="24600"/>
    <cellStyle name="Normal 11 3 3 3 3" xfId="12562"/>
    <cellStyle name="Normal 11 3 3 3 3 2" xfId="20587"/>
    <cellStyle name="Normal 11 3 3 3 3 2 2" xfId="34612"/>
    <cellStyle name="Normal 11 3 3 3 3 3" xfId="26601"/>
    <cellStyle name="Normal 11 3 3 3 4" xfId="14577"/>
    <cellStyle name="Normal 11 3 3 3 4 2" xfId="22592"/>
    <cellStyle name="Normal 11 3 3 3 4 2 2" xfId="36617"/>
    <cellStyle name="Normal 11 3 3 3 4 3" xfId="28606"/>
    <cellStyle name="Normal 11 3 3 3 5" xfId="16583"/>
    <cellStyle name="Normal 11 3 3 3 5 2" xfId="30608"/>
    <cellStyle name="Normal 11 3 3 3 6" xfId="18585"/>
    <cellStyle name="Normal 11 3 3 3 6 2" xfId="32610"/>
    <cellStyle name="Normal 11 3 3 3 7" xfId="24599"/>
    <cellStyle name="Normal 11 3 3 4" xfId="1963"/>
    <cellStyle name="Normal 11 3 3 4 2" xfId="1964"/>
    <cellStyle name="Normal 11 3 3 4 2 2" xfId="12565"/>
    <cellStyle name="Normal 11 3 3 4 2 2 2" xfId="20590"/>
    <cellStyle name="Normal 11 3 3 4 2 2 2 2" xfId="34615"/>
    <cellStyle name="Normal 11 3 3 4 2 2 3" xfId="26604"/>
    <cellStyle name="Normal 11 3 3 4 2 3" xfId="14580"/>
    <cellStyle name="Normal 11 3 3 4 2 3 2" xfId="22595"/>
    <cellStyle name="Normal 11 3 3 4 2 3 2 2" xfId="36620"/>
    <cellStyle name="Normal 11 3 3 4 2 3 3" xfId="28609"/>
    <cellStyle name="Normal 11 3 3 4 2 4" xfId="16586"/>
    <cellStyle name="Normal 11 3 3 4 2 4 2" xfId="30611"/>
    <cellStyle name="Normal 11 3 3 4 2 5" xfId="18588"/>
    <cellStyle name="Normal 11 3 3 4 2 5 2" xfId="32613"/>
    <cellStyle name="Normal 11 3 3 4 2 6" xfId="24602"/>
    <cellStyle name="Normal 11 3 3 4 3" xfId="12564"/>
    <cellStyle name="Normal 11 3 3 4 3 2" xfId="20589"/>
    <cellStyle name="Normal 11 3 3 4 3 2 2" xfId="34614"/>
    <cellStyle name="Normal 11 3 3 4 3 3" xfId="26603"/>
    <cellStyle name="Normal 11 3 3 4 4" xfId="14579"/>
    <cellStyle name="Normal 11 3 3 4 4 2" xfId="22594"/>
    <cellStyle name="Normal 11 3 3 4 4 2 2" xfId="36619"/>
    <cellStyle name="Normal 11 3 3 4 4 3" xfId="28608"/>
    <cellStyle name="Normal 11 3 3 4 5" xfId="16585"/>
    <cellStyle name="Normal 11 3 3 4 5 2" xfId="30610"/>
    <cellStyle name="Normal 11 3 3 4 6" xfId="18587"/>
    <cellStyle name="Normal 11 3 3 4 6 2" xfId="32612"/>
    <cellStyle name="Normal 11 3 3 4 7" xfId="24601"/>
    <cellStyle name="Normal 11 3 3 5" xfId="1965"/>
    <cellStyle name="Normal 11 3 3 5 2" xfId="12566"/>
    <cellStyle name="Normal 11 3 3 5 2 2" xfId="20591"/>
    <cellStyle name="Normal 11 3 3 5 2 2 2" xfId="34616"/>
    <cellStyle name="Normal 11 3 3 5 2 3" xfId="26605"/>
    <cellStyle name="Normal 11 3 3 5 3" xfId="14581"/>
    <cellStyle name="Normal 11 3 3 5 3 2" xfId="22596"/>
    <cellStyle name="Normal 11 3 3 5 3 2 2" xfId="36621"/>
    <cellStyle name="Normal 11 3 3 5 3 3" xfId="28610"/>
    <cellStyle name="Normal 11 3 3 5 4" xfId="16587"/>
    <cellStyle name="Normal 11 3 3 5 4 2" xfId="30612"/>
    <cellStyle name="Normal 11 3 3 5 5" xfId="18589"/>
    <cellStyle name="Normal 11 3 3 5 5 2" xfId="32614"/>
    <cellStyle name="Normal 11 3 3 5 6" xfId="24603"/>
    <cellStyle name="Normal 11 3 3 6" xfId="12557"/>
    <cellStyle name="Normal 11 3 3 6 2" xfId="20582"/>
    <cellStyle name="Normal 11 3 3 6 2 2" xfId="34607"/>
    <cellStyle name="Normal 11 3 3 6 3" xfId="26596"/>
    <cellStyle name="Normal 11 3 3 7" xfId="14572"/>
    <cellStyle name="Normal 11 3 3 7 2" xfId="22587"/>
    <cellStyle name="Normal 11 3 3 7 2 2" xfId="36612"/>
    <cellStyle name="Normal 11 3 3 7 3" xfId="28601"/>
    <cellStyle name="Normal 11 3 3 8" xfId="16578"/>
    <cellStyle name="Normal 11 3 3 8 2" xfId="30603"/>
    <cellStyle name="Normal 11 3 3 9" xfId="18580"/>
    <cellStyle name="Normal 11 3 3 9 2" xfId="32605"/>
    <cellStyle name="Normal 11 3 4" xfId="1966"/>
    <cellStyle name="Normal 11 3 4 2" xfId="1967"/>
    <cellStyle name="Normal 11 3 4 2 2" xfId="1968"/>
    <cellStyle name="Normal 11 3 4 2 2 2" xfId="12569"/>
    <cellStyle name="Normal 11 3 4 2 2 2 2" xfId="20594"/>
    <cellStyle name="Normal 11 3 4 2 2 2 2 2" xfId="34619"/>
    <cellStyle name="Normal 11 3 4 2 2 2 3" xfId="26608"/>
    <cellStyle name="Normal 11 3 4 2 2 3" xfId="14584"/>
    <cellStyle name="Normal 11 3 4 2 2 3 2" xfId="22599"/>
    <cellStyle name="Normal 11 3 4 2 2 3 2 2" xfId="36624"/>
    <cellStyle name="Normal 11 3 4 2 2 3 3" xfId="28613"/>
    <cellStyle name="Normal 11 3 4 2 2 4" xfId="16590"/>
    <cellStyle name="Normal 11 3 4 2 2 4 2" xfId="30615"/>
    <cellStyle name="Normal 11 3 4 2 2 5" xfId="18592"/>
    <cellStyle name="Normal 11 3 4 2 2 5 2" xfId="32617"/>
    <cellStyle name="Normal 11 3 4 2 2 6" xfId="24606"/>
    <cellStyle name="Normal 11 3 4 2 3" xfId="12568"/>
    <cellStyle name="Normal 11 3 4 2 3 2" xfId="20593"/>
    <cellStyle name="Normal 11 3 4 2 3 2 2" xfId="34618"/>
    <cellStyle name="Normal 11 3 4 2 3 3" xfId="26607"/>
    <cellStyle name="Normal 11 3 4 2 4" xfId="14583"/>
    <cellStyle name="Normal 11 3 4 2 4 2" xfId="22598"/>
    <cellStyle name="Normal 11 3 4 2 4 2 2" xfId="36623"/>
    <cellStyle name="Normal 11 3 4 2 4 3" xfId="28612"/>
    <cellStyle name="Normal 11 3 4 2 5" xfId="16589"/>
    <cellStyle name="Normal 11 3 4 2 5 2" xfId="30614"/>
    <cellStyle name="Normal 11 3 4 2 6" xfId="18591"/>
    <cellStyle name="Normal 11 3 4 2 6 2" xfId="32616"/>
    <cellStyle name="Normal 11 3 4 2 7" xfId="24605"/>
    <cellStyle name="Normal 11 3 4 3" xfId="1969"/>
    <cellStyle name="Normal 11 3 4 3 2" xfId="12570"/>
    <cellStyle name="Normal 11 3 4 3 2 2" xfId="20595"/>
    <cellStyle name="Normal 11 3 4 3 2 2 2" xfId="34620"/>
    <cellStyle name="Normal 11 3 4 3 2 3" xfId="26609"/>
    <cellStyle name="Normal 11 3 4 3 3" xfId="14585"/>
    <cellStyle name="Normal 11 3 4 3 3 2" xfId="22600"/>
    <cellStyle name="Normal 11 3 4 3 3 2 2" xfId="36625"/>
    <cellStyle name="Normal 11 3 4 3 3 3" xfId="28614"/>
    <cellStyle name="Normal 11 3 4 3 4" xfId="16591"/>
    <cellStyle name="Normal 11 3 4 3 4 2" xfId="30616"/>
    <cellStyle name="Normal 11 3 4 3 5" xfId="18593"/>
    <cellStyle name="Normal 11 3 4 3 5 2" xfId="32618"/>
    <cellStyle name="Normal 11 3 4 3 6" xfId="24607"/>
    <cellStyle name="Normal 11 3 4 4" xfId="12567"/>
    <cellStyle name="Normal 11 3 4 4 2" xfId="20592"/>
    <cellStyle name="Normal 11 3 4 4 2 2" xfId="34617"/>
    <cellStyle name="Normal 11 3 4 4 3" xfId="26606"/>
    <cellStyle name="Normal 11 3 4 5" xfId="14582"/>
    <cellStyle name="Normal 11 3 4 5 2" xfId="22597"/>
    <cellStyle name="Normal 11 3 4 5 2 2" xfId="36622"/>
    <cellStyle name="Normal 11 3 4 5 3" xfId="28611"/>
    <cellStyle name="Normal 11 3 4 6" xfId="16588"/>
    <cellStyle name="Normal 11 3 4 6 2" xfId="30613"/>
    <cellStyle name="Normal 11 3 4 7" xfId="18590"/>
    <cellStyle name="Normal 11 3 4 7 2" xfId="32615"/>
    <cellStyle name="Normal 11 3 4 8" xfId="24604"/>
    <cellStyle name="Normal 11 3 5" xfId="1970"/>
    <cellStyle name="Normal 11 3 5 2" xfId="1971"/>
    <cellStyle name="Normal 11 3 5 2 2" xfId="12572"/>
    <cellStyle name="Normal 11 3 5 2 2 2" xfId="20597"/>
    <cellStyle name="Normal 11 3 5 2 2 2 2" xfId="34622"/>
    <cellStyle name="Normal 11 3 5 2 2 3" xfId="26611"/>
    <cellStyle name="Normal 11 3 5 2 3" xfId="14587"/>
    <cellStyle name="Normal 11 3 5 2 3 2" xfId="22602"/>
    <cellStyle name="Normal 11 3 5 2 3 2 2" xfId="36627"/>
    <cellStyle name="Normal 11 3 5 2 3 3" xfId="28616"/>
    <cellStyle name="Normal 11 3 5 2 4" xfId="16593"/>
    <cellStyle name="Normal 11 3 5 2 4 2" xfId="30618"/>
    <cellStyle name="Normal 11 3 5 2 5" xfId="18595"/>
    <cellStyle name="Normal 11 3 5 2 5 2" xfId="32620"/>
    <cellStyle name="Normal 11 3 5 2 6" xfId="24609"/>
    <cellStyle name="Normal 11 3 5 3" xfId="12571"/>
    <cellStyle name="Normal 11 3 5 3 2" xfId="20596"/>
    <cellStyle name="Normal 11 3 5 3 2 2" xfId="34621"/>
    <cellStyle name="Normal 11 3 5 3 3" xfId="26610"/>
    <cellStyle name="Normal 11 3 5 4" xfId="14586"/>
    <cellStyle name="Normal 11 3 5 4 2" xfId="22601"/>
    <cellStyle name="Normal 11 3 5 4 2 2" xfId="36626"/>
    <cellStyle name="Normal 11 3 5 4 3" xfId="28615"/>
    <cellStyle name="Normal 11 3 5 5" xfId="16592"/>
    <cellStyle name="Normal 11 3 5 5 2" xfId="30617"/>
    <cellStyle name="Normal 11 3 5 6" xfId="18594"/>
    <cellStyle name="Normal 11 3 5 6 2" xfId="32619"/>
    <cellStyle name="Normal 11 3 5 7" xfId="24608"/>
    <cellStyle name="Normal 11 3 6" xfId="1972"/>
    <cellStyle name="Normal 11 3 6 2" xfId="1973"/>
    <cellStyle name="Normal 11 3 6 2 2" xfId="12574"/>
    <cellStyle name="Normal 11 3 6 2 2 2" xfId="20599"/>
    <cellStyle name="Normal 11 3 6 2 2 2 2" xfId="34624"/>
    <cellStyle name="Normal 11 3 6 2 2 3" xfId="26613"/>
    <cellStyle name="Normal 11 3 6 2 3" xfId="14589"/>
    <cellStyle name="Normal 11 3 6 2 3 2" xfId="22604"/>
    <cellStyle name="Normal 11 3 6 2 3 2 2" xfId="36629"/>
    <cellStyle name="Normal 11 3 6 2 3 3" xfId="28618"/>
    <cellStyle name="Normal 11 3 6 2 4" xfId="16595"/>
    <cellStyle name="Normal 11 3 6 2 4 2" xfId="30620"/>
    <cellStyle name="Normal 11 3 6 2 5" xfId="18597"/>
    <cellStyle name="Normal 11 3 6 2 5 2" xfId="32622"/>
    <cellStyle name="Normal 11 3 6 2 6" xfId="24611"/>
    <cellStyle name="Normal 11 3 6 3" xfId="12573"/>
    <cellStyle name="Normal 11 3 6 3 2" xfId="20598"/>
    <cellStyle name="Normal 11 3 6 3 2 2" xfId="34623"/>
    <cellStyle name="Normal 11 3 6 3 3" xfId="26612"/>
    <cellStyle name="Normal 11 3 6 4" xfId="14588"/>
    <cellStyle name="Normal 11 3 6 4 2" xfId="22603"/>
    <cellStyle name="Normal 11 3 6 4 2 2" xfId="36628"/>
    <cellStyle name="Normal 11 3 6 4 3" xfId="28617"/>
    <cellStyle name="Normal 11 3 6 5" xfId="16594"/>
    <cellStyle name="Normal 11 3 6 5 2" xfId="30619"/>
    <cellStyle name="Normal 11 3 6 6" xfId="18596"/>
    <cellStyle name="Normal 11 3 6 6 2" xfId="32621"/>
    <cellStyle name="Normal 11 3 6 7" xfId="24610"/>
    <cellStyle name="Normal 11 3 7" xfId="1974"/>
    <cellStyle name="Normal 11 3 7 2" xfId="12575"/>
    <cellStyle name="Normal 11 3 7 2 2" xfId="20600"/>
    <cellStyle name="Normal 11 3 7 2 2 2" xfId="34625"/>
    <cellStyle name="Normal 11 3 7 2 3" xfId="26614"/>
    <cellStyle name="Normal 11 3 7 3" xfId="14590"/>
    <cellStyle name="Normal 11 3 7 3 2" xfId="22605"/>
    <cellStyle name="Normal 11 3 7 3 2 2" xfId="36630"/>
    <cellStyle name="Normal 11 3 7 3 3" xfId="28619"/>
    <cellStyle name="Normal 11 3 7 4" xfId="16596"/>
    <cellStyle name="Normal 11 3 7 4 2" xfId="30621"/>
    <cellStyle name="Normal 11 3 7 5" xfId="18598"/>
    <cellStyle name="Normal 11 3 7 5 2" xfId="32623"/>
    <cellStyle name="Normal 11 3 7 6" xfId="24612"/>
    <cellStyle name="Normal 11 3 8" xfId="12536"/>
    <cellStyle name="Normal 11 3 8 2" xfId="20561"/>
    <cellStyle name="Normal 11 3 8 2 2" xfId="34586"/>
    <cellStyle name="Normal 11 3 8 3" xfId="26575"/>
    <cellStyle name="Normal 11 3 9" xfId="14551"/>
    <cellStyle name="Normal 11 3 9 2" xfId="22566"/>
    <cellStyle name="Normal 11 3 9 2 2" xfId="36591"/>
    <cellStyle name="Normal 11 3 9 3" xfId="28580"/>
    <cellStyle name="Normal 11 4" xfId="1975"/>
    <cellStyle name="Normal 11 4 10" xfId="18599"/>
    <cellStyle name="Normal 11 4 10 2" xfId="32624"/>
    <cellStyle name="Normal 11 4 11" xfId="24613"/>
    <cellStyle name="Normal 11 4 2" xfId="1976"/>
    <cellStyle name="Normal 11 4 2 10" xfId="24614"/>
    <cellStyle name="Normal 11 4 2 2" xfId="1977"/>
    <cellStyle name="Normal 11 4 2 2 2" xfId="1978"/>
    <cellStyle name="Normal 11 4 2 2 2 2" xfId="1979"/>
    <cellStyle name="Normal 11 4 2 2 2 2 2" xfId="12580"/>
    <cellStyle name="Normal 11 4 2 2 2 2 2 2" xfId="20605"/>
    <cellStyle name="Normal 11 4 2 2 2 2 2 2 2" xfId="34630"/>
    <cellStyle name="Normal 11 4 2 2 2 2 2 3" xfId="26619"/>
    <cellStyle name="Normal 11 4 2 2 2 2 3" xfId="14595"/>
    <cellStyle name="Normal 11 4 2 2 2 2 3 2" xfId="22610"/>
    <cellStyle name="Normal 11 4 2 2 2 2 3 2 2" xfId="36635"/>
    <cellStyle name="Normal 11 4 2 2 2 2 3 3" xfId="28624"/>
    <cellStyle name="Normal 11 4 2 2 2 2 4" xfId="16601"/>
    <cellStyle name="Normal 11 4 2 2 2 2 4 2" xfId="30626"/>
    <cellStyle name="Normal 11 4 2 2 2 2 5" xfId="18603"/>
    <cellStyle name="Normal 11 4 2 2 2 2 5 2" xfId="32628"/>
    <cellStyle name="Normal 11 4 2 2 2 2 6" xfId="24617"/>
    <cellStyle name="Normal 11 4 2 2 2 3" xfId="12579"/>
    <cellStyle name="Normal 11 4 2 2 2 3 2" xfId="20604"/>
    <cellStyle name="Normal 11 4 2 2 2 3 2 2" xfId="34629"/>
    <cellStyle name="Normal 11 4 2 2 2 3 3" xfId="26618"/>
    <cellStyle name="Normal 11 4 2 2 2 4" xfId="14594"/>
    <cellStyle name="Normal 11 4 2 2 2 4 2" xfId="22609"/>
    <cellStyle name="Normal 11 4 2 2 2 4 2 2" xfId="36634"/>
    <cellStyle name="Normal 11 4 2 2 2 4 3" xfId="28623"/>
    <cellStyle name="Normal 11 4 2 2 2 5" xfId="16600"/>
    <cellStyle name="Normal 11 4 2 2 2 5 2" xfId="30625"/>
    <cellStyle name="Normal 11 4 2 2 2 6" xfId="18602"/>
    <cellStyle name="Normal 11 4 2 2 2 6 2" xfId="32627"/>
    <cellStyle name="Normal 11 4 2 2 2 7" xfId="24616"/>
    <cellStyle name="Normal 11 4 2 2 3" xfId="1980"/>
    <cellStyle name="Normal 11 4 2 2 3 2" xfId="12581"/>
    <cellStyle name="Normal 11 4 2 2 3 2 2" xfId="20606"/>
    <cellStyle name="Normal 11 4 2 2 3 2 2 2" xfId="34631"/>
    <cellStyle name="Normal 11 4 2 2 3 2 3" xfId="26620"/>
    <cellStyle name="Normal 11 4 2 2 3 3" xfId="14596"/>
    <cellStyle name="Normal 11 4 2 2 3 3 2" xfId="22611"/>
    <cellStyle name="Normal 11 4 2 2 3 3 2 2" xfId="36636"/>
    <cellStyle name="Normal 11 4 2 2 3 3 3" xfId="28625"/>
    <cellStyle name="Normal 11 4 2 2 3 4" xfId="16602"/>
    <cellStyle name="Normal 11 4 2 2 3 4 2" xfId="30627"/>
    <cellStyle name="Normal 11 4 2 2 3 5" xfId="18604"/>
    <cellStyle name="Normal 11 4 2 2 3 5 2" xfId="32629"/>
    <cellStyle name="Normal 11 4 2 2 3 6" xfId="24618"/>
    <cellStyle name="Normal 11 4 2 2 4" xfId="12578"/>
    <cellStyle name="Normal 11 4 2 2 4 2" xfId="20603"/>
    <cellStyle name="Normal 11 4 2 2 4 2 2" xfId="34628"/>
    <cellStyle name="Normal 11 4 2 2 4 3" xfId="26617"/>
    <cellStyle name="Normal 11 4 2 2 5" xfId="14593"/>
    <cellStyle name="Normal 11 4 2 2 5 2" xfId="22608"/>
    <cellStyle name="Normal 11 4 2 2 5 2 2" xfId="36633"/>
    <cellStyle name="Normal 11 4 2 2 5 3" xfId="28622"/>
    <cellStyle name="Normal 11 4 2 2 6" xfId="16599"/>
    <cellStyle name="Normal 11 4 2 2 6 2" xfId="30624"/>
    <cellStyle name="Normal 11 4 2 2 7" xfId="18601"/>
    <cellStyle name="Normal 11 4 2 2 7 2" xfId="32626"/>
    <cellStyle name="Normal 11 4 2 2 8" xfId="24615"/>
    <cellStyle name="Normal 11 4 2 3" xfId="1981"/>
    <cellStyle name="Normal 11 4 2 3 2" xfId="1982"/>
    <cellStyle name="Normal 11 4 2 3 2 2" xfId="12583"/>
    <cellStyle name="Normal 11 4 2 3 2 2 2" xfId="20608"/>
    <cellStyle name="Normal 11 4 2 3 2 2 2 2" xfId="34633"/>
    <cellStyle name="Normal 11 4 2 3 2 2 3" xfId="26622"/>
    <cellStyle name="Normal 11 4 2 3 2 3" xfId="14598"/>
    <cellStyle name="Normal 11 4 2 3 2 3 2" xfId="22613"/>
    <cellStyle name="Normal 11 4 2 3 2 3 2 2" xfId="36638"/>
    <cellStyle name="Normal 11 4 2 3 2 3 3" xfId="28627"/>
    <cellStyle name="Normal 11 4 2 3 2 4" xfId="16604"/>
    <cellStyle name="Normal 11 4 2 3 2 4 2" xfId="30629"/>
    <cellStyle name="Normal 11 4 2 3 2 5" xfId="18606"/>
    <cellStyle name="Normal 11 4 2 3 2 5 2" xfId="32631"/>
    <cellStyle name="Normal 11 4 2 3 2 6" xfId="24620"/>
    <cellStyle name="Normal 11 4 2 3 3" xfId="12582"/>
    <cellStyle name="Normal 11 4 2 3 3 2" xfId="20607"/>
    <cellStyle name="Normal 11 4 2 3 3 2 2" xfId="34632"/>
    <cellStyle name="Normal 11 4 2 3 3 3" xfId="26621"/>
    <cellStyle name="Normal 11 4 2 3 4" xfId="14597"/>
    <cellStyle name="Normal 11 4 2 3 4 2" xfId="22612"/>
    <cellStyle name="Normal 11 4 2 3 4 2 2" xfId="36637"/>
    <cellStyle name="Normal 11 4 2 3 4 3" xfId="28626"/>
    <cellStyle name="Normal 11 4 2 3 5" xfId="16603"/>
    <cellStyle name="Normal 11 4 2 3 5 2" xfId="30628"/>
    <cellStyle name="Normal 11 4 2 3 6" xfId="18605"/>
    <cellStyle name="Normal 11 4 2 3 6 2" xfId="32630"/>
    <cellStyle name="Normal 11 4 2 3 7" xfId="24619"/>
    <cellStyle name="Normal 11 4 2 4" xfId="1983"/>
    <cellStyle name="Normal 11 4 2 4 2" xfId="1984"/>
    <cellStyle name="Normal 11 4 2 4 2 2" xfId="12585"/>
    <cellStyle name="Normal 11 4 2 4 2 2 2" xfId="20610"/>
    <cellStyle name="Normal 11 4 2 4 2 2 2 2" xfId="34635"/>
    <cellStyle name="Normal 11 4 2 4 2 2 3" xfId="26624"/>
    <cellStyle name="Normal 11 4 2 4 2 3" xfId="14600"/>
    <cellStyle name="Normal 11 4 2 4 2 3 2" xfId="22615"/>
    <cellStyle name="Normal 11 4 2 4 2 3 2 2" xfId="36640"/>
    <cellStyle name="Normal 11 4 2 4 2 3 3" xfId="28629"/>
    <cellStyle name="Normal 11 4 2 4 2 4" xfId="16606"/>
    <cellStyle name="Normal 11 4 2 4 2 4 2" xfId="30631"/>
    <cellStyle name="Normal 11 4 2 4 2 5" xfId="18608"/>
    <cellStyle name="Normal 11 4 2 4 2 5 2" xfId="32633"/>
    <cellStyle name="Normal 11 4 2 4 2 6" xfId="24622"/>
    <cellStyle name="Normal 11 4 2 4 3" xfId="12584"/>
    <cellStyle name="Normal 11 4 2 4 3 2" xfId="20609"/>
    <cellStyle name="Normal 11 4 2 4 3 2 2" xfId="34634"/>
    <cellStyle name="Normal 11 4 2 4 3 3" xfId="26623"/>
    <cellStyle name="Normal 11 4 2 4 4" xfId="14599"/>
    <cellStyle name="Normal 11 4 2 4 4 2" xfId="22614"/>
    <cellStyle name="Normal 11 4 2 4 4 2 2" xfId="36639"/>
    <cellStyle name="Normal 11 4 2 4 4 3" xfId="28628"/>
    <cellStyle name="Normal 11 4 2 4 5" xfId="16605"/>
    <cellStyle name="Normal 11 4 2 4 5 2" xfId="30630"/>
    <cellStyle name="Normal 11 4 2 4 6" xfId="18607"/>
    <cellStyle name="Normal 11 4 2 4 6 2" xfId="32632"/>
    <cellStyle name="Normal 11 4 2 4 7" xfId="24621"/>
    <cellStyle name="Normal 11 4 2 5" xfId="1985"/>
    <cellStyle name="Normal 11 4 2 5 2" xfId="12586"/>
    <cellStyle name="Normal 11 4 2 5 2 2" xfId="20611"/>
    <cellStyle name="Normal 11 4 2 5 2 2 2" xfId="34636"/>
    <cellStyle name="Normal 11 4 2 5 2 3" xfId="26625"/>
    <cellStyle name="Normal 11 4 2 5 3" xfId="14601"/>
    <cellStyle name="Normal 11 4 2 5 3 2" xfId="22616"/>
    <cellStyle name="Normal 11 4 2 5 3 2 2" xfId="36641"/>
    <cellStyle name="Normal 11 4 2 5 3 3" xfId="28630"/>
    <cellStyle name="Normal 11 4 2 5 4" xfId="16607"/>
    <cellStyle name="Normal 11 4 2 5 4 2" xfId="30632"/>
    <cellStyle name="Normal 11 4 2 5 5" xfId="18609"/>
    <cellStyle name="Normal 11 4 2 5 5 2" xfId="32634"/>
    <cellStyle name="Normal 11 4 2 5 6" xfId="24623"/>
    <cellStyle name="Normal 11 4 2 6" xfId="12577"/>
    <cellStyle name="Normal 11 4 2 6 2" xfId="20602"/>
    <cellStyle name="Normal 11 4 2 6 2 2" xfId="34627"/>
    <cellStyle name="Normal 11 4 2 6 3" xfId="26616"/>
    <cellStyle name="Normal 11 4 2 7" xfId="14592"/>
    <cellStyle name="Normal 11 4 2 7 2" xfId="22607"/>
    <cellStyle name="Normal 11 4 2 7 2 2" xfId="36632"/>
    <cellStyle name="Normal 11 4 2 7 3" xfId="28621"/>
    <cellStyle name="Normal 11 4 2 8" xfId="16598"/>
    <cellStyle name="Normal 11 4 2 8 2" xfId="30623"/>
    <cellStyle name="Normal 11 4 2 9" xfId="18600"/>
    <cellStyle name="Normal 11 4 2 9 2" xfId="32625"/>
    <cellStyle name="Normal 11 4 3" xfId="1986"/>
    <cellStyle name="Normal 11 4 3 2" xfId="1987"/>
    <cellStyle name="Normal 11 4 3 2 2" xfId="1988"/>
    <cellStyle name="Normal 11 4 3 2 2 2" xfId="12589"/>
    <cellStyle name="Normal 11 4 3 2 2 2 2" xfId="20614"/>
    <cellStyle name="Normal 11 4 3 2 2 2 2 2" xfId="34639"/>
    <cellStyle name="Normal 11 4 3 2 2 2 3" xfId="26628"/>
    <cellStyle name="Normal 11 4 3 2 2 3" xfId="14604"/>
    <cellStyle name="Normal 11 4 3 2 2 3 2" xfId="22619"/>
    <cellStyle name="Normal 11 4 3 2 2 3 2 2" xfId="36644"/>
    <cellStyle name="Normal 11 4 3 2 2 3 3" xfId="28633"/>
    <cellStyle name="Normal 11 4 3 2 2 4" xfId="16610"/>
    <cellStyle name="Normal 11 4 3 2 2 4 2" xfId="30635"/>
    <cellStyle name="Normal 11 4 3 2 2 5" xfId="18612"/>
    <cellStyle name="Normal 11 4 3 2 2 5 2" xfId="32637"/>
    <cellStyle name="Normal 11 4 3 2 2 6" xfId="24626"/>
    <cellStyle name="Normal 11 4 3 2 3" xfId="12588"/>
    <cellStyle name="Normal 11 4 3 2 3 2" xfId="20613"/>
    <cellStyle name="Normal 11 4 3 2 3 2 2" xfId="34638"/>
    <cellStyle name="Normal 11 4 3 2 3 3" xfId="26627"/>
    <cellStyle name="Normal 11 4 3 2 4" xfId="14603"/>
    <cellStyle name="Normal 11 4 3 2 4 2" xfId="22618"/>
    <cellStyle name="Normal 11 4 3 2 4 2 2" xfId="36643"/>
    <cellStyle name="Normal 11 4 3 2 4 3" xfId="28632"/>
    <cellStyle name="Normal 11 4 3 2 5" xfId="16609"/>
    <cellStyle name="Normal 11 4 3 2 5 2" xfId="30634"/>
    <cellStyle name="Normal 11 4 3 2 6" xfId="18611"/>
    <cellStyle name="Normal 11 4 3 2 6 2" xfId="32636"/>
    <cellStyle name="Normal 11 4 3 2 7" xfId="24625"/>
    <cellStyle name="Normal 11 4 3 3" xfId="1989"/>
    <cellStyle name="Normal 11 4 3 3 2" xfId="12590"/>
    <cellStyle name="Normal 11 4 3 3 2 2" xfId="20615"/>
    <cellStyle name="Normal 11 4 3 3 2 2 2" xfId="34640"/>
    <cellStyle name="Normal 11 4 3 3 2 3" xfId="26629"/>
    <cellStyle name="Normal 11 4 3 3 3" xfId="14605"/>
    <cellStyle name="Normal 11 4 3 3 3 2" xfId="22620"/>
    <cellStyle name="Normal 11 4 3 3 3 2 2" xfId="36645"/>
    <cellStyle name="Normal 11 4 3 3 3 3" xfId="28634"/>
    <cellStyle name="Normal 11 4 3 3 4" xfId="16611"/>
    <cellStyle name="Normal 11 4 3 3 4 2" xfId="30636"/>
    <cellStyle name="Normal 11 4 3 3 5" xfId="18613"/>
    <cellStyle name="Normal 11 4 3 3 5 2" xfId="32638"/>
    <cellStyle name="Normal 11 4 3 3 6" xfId="24627"/>
    <cellStyle name="Normal 11 4 3 4" xfId="12587"/>
    <cellStyle name="Normal 11 4 3 4 2" xfId="20612"/>
    <cellStyle name="Normal 11 4 3 4 2 2" xfId="34637"/>
    <cellStyle name="Normal 11 4 3 4 3" xfId="26626"/>
    <cellStyle name="Normal 11 4 3 5" xfId="14602"/>
    <cellStyle name="Normal 11 4 3 5 2" xfId="22617"/>
    <cellStyle name="Normal 11 4 3 5 2 2" xfId="36642"/>
    <cellStyle name="Normal 11 4 3 5 3" xfId="28631"/>
    <cellStyle name="Normal 11 4 3 6" xfId="16608"/>
    <cellStyle name="Normal 11 4 3 6 2" xfId="30633"/>
    <cellStyle name="Normal 11 4 3 7" xfId="18610"/>
    <cellStyle name="Normal 11 4 3 7 2" xfId="32635"/>
    <cellStyle name="Normal 11 4 3 8" xfId="24624"/>
    <cellStyle name="Normal 11 4 4" xfId="1990"/>
    <cellStyle name="Normal 11 4 4 2" xfId="1991"/>
    <cellStyle name="Normal 11 4 4 2 2" xfId="12592"/>
    <cellStyle name="Normal 11 4 4 2 2 2" xfId="20617"/>
    <cellStyle name="Normal 11 4 4 2 2 2 2" xfId="34642"/>
    <cellStyle name="Normal 11 4 4 2 2 3" xfId="26631"/>
    <cellStyle name="Normal 11 4 4 2 3" xfId="14607"/>
    <cellStyle name="Normal 11 4 4 2 3 2" xfId="22622"/>
    <cellStyle name="Normal 11 4 4 2 3 2 2" xfId="36647"/>
    <cellStyle name="Normal 11 4 4 2 3 3" xfId="28636"/>
    <cellStyle name="Normal 11 4 4 2 4" xfId="16613"/>
    <cellStyle name="Normal 11 4 4 2 4 2" xfId="30638"/>
    <cellStyle name="Normal 11 4 4 2 5" xfId="18615"/>
    <cellStyle name="Normal 11 4 4 2 5 2" xfId="32640"/>
    <cellStyle name="Normal 11 4 4 2 6" xfId="24629"/>
    <cellStyle name="Normal 11 4 4 3" xfId="12591"/>
    <cellStyle name="Normal 11 4 4 3 2" xfId="20616"/>
    <cellStyle name="Normal 11 4 4 3 2 2" xfId="34641"/>
    <cellStyle name="Normal 11 4 4 3 3" xfId="26630"/>
    <cellStyle name="Normal 11 4 4 4" xfId="14606"/>
    <cellStyle name="Normal 11 4 4 4 2" xfId="22621"/>
    <cellStyle name="Normal 11 4 4 4 2 2" xfId="36646"/>
    <cellStyle name="Normal 11 4 4 4 3" xfId="28635"/>
    <cellStyle name="Normal 11 4 4 5" xfId="16612"/>
    <cellStyle name="Normal 11 4 4 5 2" xfId="30637"/>
    <cellStyle name="Normal 11 4 4 6" xfId="18614"/>
    <cellStyle name="Normal 11 4 4 6 2" xfId="32639"/>
    <cellStyle name="Normal 11 4 4 7" xfId="24628"/>
    <cellStyle name="Normal 11 4 5" xfId="1992"/>
    <cellStyle name="Normal 11 4 5 2" xfId="1993"/>
    <cellStyle name="Normal 11 4 5 2 2" xfId="12594"/>
    <cellStyle name="Normal 11 4 5 2 2 2" xfId="20619"/>
    <cellStyle name="Normal 11 4 5 2 2 2 2" xfId="34644"/>
    <cellStyle name="Normal 11 4 5 2 2 3" xfId="26633"/>
    <cellStyle name="Normal 11 4 5 2 3" xfId="14609"/>
    <cellStyle name="Normal 11 4 5 2 3 2" xfId="22624"/>
    <cellStyle name="Normal 11 4 5 2 3 2 2" xfId="36649"/>
    <cellStyle name="Normal 11 4 5 2 3 3" xfId="28638"/>
    <cellStyle name="Normal 11 4 5 2 4" xfId="16615"/>
    <cellStyle name="Normal 11 4 5 2 4 2" xfId="30640"/>
    <cellStyle name="Normal 11 4 5 2 5" xfId="18617"/>
    <cellStyle name="Normal 11 4 5 2 5 2" xfId="32642"/>
    <cellStyle name="Normal 11 4 5 2 6" xfId="24631"/>
    <cellStyle name="Normal 11 4 5 3" xfId="12593"/>
    <cellStyle name="Normal 11 4 5 3 2" xfId="20618"/>
    <cellStyle name="Normal 11 4 5 3 2 2" xfId="34643"/>
    <cellStyle name="Normal 11 4 5 3 3" xfId="26632"/>
    <cellStyle name="Normal 11 4 5 4" xfId="14608"/>
    <cellStyle name="Normal 11 4 5 4 2" xfId="22623"/>
    <cellStyle name="Normal 11 4 5 4 2 2" xfId="36648"/>
    <cellStyle name="Normal 11 4 5 4 3" xfId="28637"/>
    <cellStyle name="Normal 11 4 5 5" xfId="16614"/>
    <cellStyle name="Normal 11 4 5 5 2" xfId="30639"/>
    <cellStyle name="Normal 11 4 5 6" xfId="18616"/>
    <cellStyle name="Normal 11 4 5 6 2" xfId="32641"/>
    <cellStyle name="Normal 11 4 5 7" xfId="24630"/>
    <cellStyle name="Normal 11 4 6" xfId="1994"/>
    <cellStyle name="Normal 11 4 6 2" xfId="12595"/>
    <cellStyle name="Normal 11 4 6 2 2" xfId="20620"/>
    <cellStyle name="Normal 11 4 6 2 2 2" xfId="34645"/>
    <cellStyle name="Normal 11 4 6 2 3" xfId="26634"/>
    <cellStyle name="Normal 11 4 6 3" xfId="14610"/>
    <cellStyle name="Normal 11 4 6 3 2" xfId="22625"/>
    <cellStyle name="Normal 11 4 6 3 2 2" xfId="36650"/>
    <cellStyle name="Normal 11 4 6 3 3" xfId="28639"/>
    <cellStyle name="Normal 11 4 6 4" xfId="16616"/>
    <cellStyle name="Normal 11 4 6 4 2" xfId="30641"/>
    <cellStyle name="Normal 11 4 6 5" xfId="18618"/>
    <cellStyle name="Normal 11 4 6 5 2" xfId="32643"/>
    <cellStyle name="Normal 11 4 6 6" xfId="24632"/>
    <cellStyle name="Normal 11 4 7" xfId="12576"/>
    <cellStyle name="Normal 11 4 7 2" xfId="20601"/>
    <cellStyle name="Normal 11 4 7 2 2" xfId="34626"/>
    <cellStyle name="Normal 11 4 7 3" xfId="26615"/>
    <cellStyle name="Normal 11 4 8" xfId="14591"/>
    <cellStyle name="Normal 11 4 8 2" xfId="22606"/>
    <cellStyle name="Normal 11 4 8 2 2" xfId="36631"/>
    <cellStyle name="Normal 11 4 8 3" xfId="28620"/>
    <cellStyle name="Normal 11 4 9" xfId="16597"/>
    <cellStyle name="Normal 11 4 9 2" xfId="30622"/>
    <cellStyle name="Normal 11 5" xfId="1995"/>
    <cellStyle name="Normal 11 5 10" xfId="24633"/>
    <cellStyle name="Normal 11 5 2" xfId="1996"/>
    <cellStyle name="Normal 11 5 2 2" xfId="1997"/>
    <cellStyle name="Normal 11 5 2 2 2" xfId="1998"/>
    <cellStyle name="Normal 11 5 2 2 2 2" xfId="12599"/>
    <cellStyle name="Normal 11 5 2 2 2 2 2" xfId="20624"/>
    <cellStyle name="Normal 11 5 2 2 2 2 2 2" xfId="34649"/>
    <cellStyle name="Normal 11 5 2 2 2 2 3" xfId="26638"/>
    <cellStyle name="Normal 11 5 2 2 2 3" xfId="14614"/>
    <cellStyle name="Normal 11 5 2 2 2 3 2" xfId="22629"/>
    <cellStyle name="Normal 11 5 2 2 2 3 2 2" xfId="36654"/>
    <cellStyle name="Normal 11 5 2 2 2 3 3" xfId="28643"/>
    <cellStyle name="Normal 11 5 2 2 2 4" xfId="16620"/>
    <cellStyle name="Normal 11 5 2 2 2 4 2" xfId="30645"/>
    <cellStyle name="Normal 11 5 2 2 2 5" xfId="18622"/>
    <cellStyle name="Normal 11 5 2 2 2 5 2" xfId="32647"/>
    <cellStyle name="Normal 11 5 2 2 2 6" xfId="24636"/>
    <cellStyle name="Normal 11 5 2 2 3" xfId="12598"/>
    <cellStyle name="Normal 11 5 2 2 3 2" xfId="20623"/>
    <cellStyle name="Normal 11 5 2 2 3 2 2" xfId="34648"/>
    <cellStyle name="Normal 11 5 2 2 3 3" xfId="26637"/>
    <cellStyle name="Normal 11 5 2 2 4" xfId="14613"/>
    <cellStyle name="Normal 11 5 2 2 4 2" xfId="22628"/>
    <cellStyle name="Normal 11 5 2 2 4 2 2" xfId="36653"/>
    <cellStyle name="Normal 11 5 2 2 4 3" xfId="28642"/>
    <cellStyle name="Normal 11 5 2 2 5" xfId="16619"/>
    <cellStyle name="Normal 11 5 2 2 5 2" xfId="30644"/>
    <cellStyle name="Normal 11 5 2 2 6" xfId="18621"/>
    <cellStyle name="Normal 11 5 2 2 6 2" xfId="32646"/>
    <cellStyle name="Normal 11 5 2 2 7" xfId="24635"/>
    <cellStyle name="Normal 11 5 2 3" xfId="1999"/>
    <cellStyle name="Normal 11 5 2 3 2" xfId="12600"/>
    <cellStyle name="Normal 11 5 2 3 2 2" xfId="20625"/>
    <cellStyle name="Normal 11 5 2 3 2 2 2" xfId="34650"/>
    <cellStyle name="Normal 11 5 2 3 2 3" xfId="26639"/>
    <cellStyle name="Normal 11 5 2 3 3" xfId="14615"/>
    <cellStyle name="Normal 11 5 2 3 3 2" xfId="22630"/>
    <cellStyle name="Normal 11 5 2 3 3 2 2" xfId="36655"/>
    <cellStyle name="Normal 11 5 2 3 3 3" xfId="28644"/>
    <cellStyle name="Normal 11 5 2 3 4" xfId="16621"/>
    <cellStyle name="Normal 11 5 2 3 4 2" xfId="30646"/>
    <cellStyle name="Normal 11 5 2 3 5" xfId="18623"/>
    <cellStyle name="Normal 11 5 2 3 5 2" xfId="32648"/>
    <cellStyle name="Normal 11 5 2 3 6" xfId="24637"/>
    <cellStyle name="Normal 11 5 2 4" xfId="12597"/>
    <cellStyle name="Normal 11 5 2 4 2" xfId="20622"/>
    <cellStyle name="Normal 11 5 2 4 2 2" xfId="34647"/>
    <cellStyle name="Normal 11 5 2 4 3" xfId="26636"/>
    <cellStyle name="Normal 11 5 2 5" xfId="14612"/>
    <cellStyle name="Normal 11 5 2 5 2" xfId="22627"/>
    <cellStyle name="Normal 11 5 2 5 2 2" xfId="36652"/>
    <cellStyle name="Normal 11 5 2 5 3" xfId="28641"/>
    <cellStyle name="Normal 11 5 2 6" xfId="16618"/>
    <cellStyle name="Normal 11 5 2 6 2" xfId="30643"/>
    <cellStyle name="Normal 11 5 2 7" xfId="18620"/>
    <cellStyle name="Normal 11 5 2 7 2" xfId="32645"/>
    <cellStyle name="Normal 11 5 2 8" xfId="24634"/>
    <cellStyle name="Normal 11 5 3" xfId="2000"/>
    <cellStyle name="Normal 11 5 3 2" xfId="2001"/>
    <cellStyle name="Normal 11 5 3 2 2" xfId="12602"/>
    <cellStyle name="Normal 11 5 3 2 2 2" xfId="20627"/>
    <cellStyle name="Normal 11 5 3 2 2 2 2" xfId="34652"/>
    <cellStyle name="Normal 11 5 3 2 2 3" xfId="26641"/>
    <cellStyle name="Normal 11 5 3 2 3" xfId="14617"/>
    <cellStyle name="Normal 11 5 3 2 3 2" xfId="22632"/>
    <cellStyle name="Normal 11 5 3 2 3 2 2" xfId="36657"/>
    <cellStyle name="Normal 11 5 3 2 3 3" xfId="28646"/>
    <cellStyle name="Normal 11 5 3 2 4" xfId="16623"/>
    <cellStyle name="Normal 11 5 3 2 4 2" xfId="30648"/>
    <cellStyle name="Normal 11 5 3 2 5" xfId="18625"/>
    <cellStyle name="Normal 11 5 3 2 5 2" xfId="32650"/>
    <cellStyle name="Normal 11 5 3 2 6" xfId="24639"/>
    <cellStyle name="Normal 11 5 3 3" xfId="12601"/>
    <cellStyle name="Normal 11 5 3 3 2" xfId="20626"/>
    <cellStyle name="Normal 11 5 3 3 2 2" xfId="34651"/>
    <cellStyle name="Normal 11 5 3 3 3" xfId="26640"/>
    <cellStyle name="Normal 11 5 3 4" xfId="14616"/>
    <cellStyle name="Normal 11 5 3 4 2" xfId="22631"/>
    <cellStyle name="Normal 11 5 3 4 2 2" xfId="36656"/>
    <cellStyle name="Normal 11 5 3 4 3" xfId="28645"/>
    <cellStyle name="Normal 11 5 3 5" xfId="16622"/>
    <cellStyle name="Normal 11 5 3 5 2" xfId="30647"/>
    <cellStyle name="Normal 11 5 3 6" xfId="18624"/>
    <cellStyle name="Normal 11 5 3 6 2" xfId="32649"/>
    <cellStyle name="Normal 11 5 3 7" xfId="24638"/>
    <cellStyle name="Normal 11 5 4" xfId="2002"/>
    <cellStyle name="Normal 11 5 4 2" xfId="2003"/>
    <cellStyle name="Normal 11 5 4 2 2" xfId="12604"/>
    <cellStyle name="Normal 11 5 4 2 2 2" xfId="20629"/>
    <cellStyle name="Normal 11 5 4 2 2 2 2" xfId="34654"/>
    <cellStyle name="Normal 11 5 4 2 2 3" xfId="26643"/>
    <cellStyle name="Normal 11 5 4 2 3" xfId="14619"/>
    <cellStyle name="Normal 11 5 4 2 3 2" xfId="22634"/>
    <cellStyle name="Normal 11 5 4 2 3 2 2" xfId="36659"/>
    <cellStyle name="Normal 11 5 4 2 3 3" xfId="28648"/>
    <cellStyle name="Normal 11 5 4 2 4" xfId="16625"/>
    <cellStyle name="Normal 11 5 4 2 4 2" xfId="30650"/>
    <cellStyle name="Normal 11 5 4 2 5" xfId="18627"/>
    <cellStyle name="Normal 11 5 4 2 5 2" xfId="32652"/>
    <cellStyle name="Normal 11 5 4 2 6" xfId="24641"/>
    <cellStyle name="Normal 11 5 4 3" xfId="12603"/>
    <cellStyle name="Normal 11 5 4 3 2" xfId="20628"/>
    <cellStyle name="Normal 11 5 4 3 2 2" xfId="34653"/>
    <cellStyle name="Normal 11 5 4 3 3" xfId="26642"/>
    <cellStyle name="Normal 11 5 4 4" xfId="14618"/>
    <cellStyle name="Normal 11 5 4 4 2" xfId="22633"/>
    <cellStyle name="Normal 11 5 4 4 2 2" xfId="36658"/>
    <cellStyle name="Normal 11 5 4 4 3" xfId="28647"/>
    <cellStyle name="Normal 11 5 4 5" xfId="16624"/>
    <cellStyle name="Normal 11 5 4 5 2" xfId="30649"/>
    <cellStyle name="Normal 11 5 4 6" xfId="18626"/>
    <cellStyle name="Normal 11 5 4 6 2" xfId="32651"/>
    <cellStyle name="Normal 11 5 4 7" xfId="24640"/>
    <cellStyle name="Normal 11 5 5" xfId="2004"/>
    <cellStyle name="Normal 11 5 5 2" xfId="12605"/>
    <cellStyle name="Normal 11 5 5 2 2" xfId="20630"/>
    <cellStyle name="Normal 11 5 5 2 2 2" xfId="34655"/>
    <cellStyle name="Normal 11 5 5 2 3" xfId="26644"/>
    <cellStyle name="Normal 11 5 5 3" xfId="14620"/>
    <cellStyle name="Normal 11 5 5 3 2" xfId="22635"/>
    <cellStyle name="Normal 11 5 5 3 2 2" xfId="36660"/>
    <cellStyle name="Normal 11 5 5 3 3" xfId="28649"/>
    <cellStyle name="Normal 11 5 5 4" xfId="16626"/>
    <cellStyle name="Normal 11 5 5 4 2" xfId="30651"/>
    <cellStyle name="Normal 11 5 5 5" xfId="18628"/>
    <cellStyle name="Normal 11 5 5 5 2" xfId="32653"/>
    <cellStyle name="Normal 11 5 5 6" xfId="24642"/>
    <cellStyle name="Normal 11 5 6" xfId="12596"/>
    <cellStyle name="Normal 11 5 6 2" xfId="20621"/>
    <cellStyle name="Normal 11 5 6 2 2" xfId="34646"/>
    <cellStyle name="Normal 11 5 6 3" xfId="26635"/>
    <cellStyle name="Normal 11 5 7" xfId="14611"/>
    <cellStyle name="Normal 11 5 7 2" xfId="22626"/>
    <cellStyle name="Normal 11 5 7 2 2" xfId="36651"/>
    <cellStyle name="Normal 11 5 7 3" xfId="28640"/>
    <cellStyle name="Normal 11 5 8" xfId="16617"/>
    <cellStyle name="Normal 11 5 8 2" xfId="30642"/>
    <cellStyle name="Normal 11 5 9" xfId="18619"/>
    <cellStyle name="Normal 11 5 9 2" xfId="32644"/>
    <cellStyle name="Normal 11 6" xfId="2005"/>
    <cellStyle name="Normal 11 6 2" xfId="2006"/>
    <cellStyle name="Normal 11 6 2 2" xfId="2007"/>
    <cellStyle name="Normal 11 6 2 2 2" xfId="12608"/>
    <cellStyle name="Normal 11 6 2 2 2 2" xfId="20633"/>
    <cellStyle name="Normal 11 6 2 2 2 2 2" xfId="34658"/>
    <cellStyle name="Normal 11 6 2 2 2 3" xfId="26647"/>
    <cellStyle name="Normal 11 6 2 2 3" xfId="14623"/>
    <cellStyle name="Normal 11 6 2 2 3 2" xfId="22638"/>
    <cellStyle name="Normal 11 6 2 2 3 2 2" xfId="36663"/>
    <cellStyle name="Normal 11 6 2 2 3 3" xfId="28652"/>
    <cellStyle name="Normal 11 6 2 2 4" xfId="16629"/>
    <cellStyle name="Normal 11 6 2 2 4 2" xfId="30654"/>
    <cellStyle name="Normal 11 6 2 2 5" xfId="18631"/>
    <cellStyle name="Normal 11 6 2 2 5 2" xfId="32656"/>
    <cellStyle name="Normal 11 6 2 2 6" xfId="24645"/>
    <cellStyle name="Normal 11 6 2 3" xfId="12607"/>
    <cellStyle name="Normal 11 6 2 3 2" xfId="20632"/>
    <cellStyle name="Normal 11 6 2 3 2 2" xfId="34657"/>
    <cellStyle name="Normal 11 6 2 3 3" xfId="26646"/>
    <cellStyle name="Normal 11 6 2 4" xfId="14622"/>
    <cellStyle name="Normal 11 6 2 4 2" xfId="22637"/>
    <cellStyle name="Normal 11 6 2 4 2 2" xfId="36662"/>
    <cellStyle name="Normal 11 6 2 4 3" xfId="28651"/>
    <cellStyle name="Normal 11 6 2 5" xfId="16628"/>
    <cellStyle name="Normal 11 6 2 5 2" xfId="30653"/>
    <cellStyle name="Normal 11 6 2 6" xfId="18630"/>
    <cellStyle name="Normal 11 6 2 6 2" xfId="32655"/>
    <cellStyle name="Normal 11 6 2 7" xfId="24644"/>
    <cellStyle name="Normal 11 6 3" xfId="2008"/>
    <cellStyle name="Normal 11 6 3 2" xfId="12609"/>
    <cellStyle name="Normal 11 6 3 2 2" xfId="20634"/>
    <cellStyle name="Normal 11 6 3 2 2 2" xfId="34659"/>
    <cellStyle name="Normal 11 6 3 2 3" xfId="26648"/>
    <cellStyle name="Normal 11 6 3 3" xfId="14624"/>
    <cellStyle name="Normal 11 6 3 3 2" xfId="22639"/>
    <cellStyle name="Normal 11 6 3 3 2 2" xfId="36664"/>
    <cellStyle name="Normal 11 6 3 3 3" xfId="28653"/>
    <cellStyle name="Normal 11 6 3 4" xfId="16630"/>
    <cellStyle name="Normal 11 6 3 4 2" xfId="30655"/>
    <cellStyle name="Normal 11 6 3 5" xfId="18632"/>
    <cellStyle name="Normal 11 6 3 5 2" xfId="32657"/>
    <cellStyle name="Normal 11 6 3 6" xfId="24646"/>
    <cellStyle name="Normal 11 6 4" xfId="12606"/>
    <cellStyle name="Normal 11 6 4 2" xfId="20631"/>
    <cellStyle name="Normal 11 6 4 2 2" xfId="34656"/>
    <cellStyle name="Normal 11 6 4 3" xfId="26645"/>
    <cellStyle name="Normal 11 6 5" xfId="14621"/>
    <cellStyle name="Normal 11 6 5 2" xfId="22636"/>
    <cellStyle name="Normal 11 6 5 2 2" xfId="36661"/>
    <cellStyle name="Normal 11 6 5 3" xfId="28650"/>
    <cellStyle name="Normal 11 6 6" xfId="16627"/>
    <cellStyle name="Normal 11 6 6 2" xfId="30652"/>
    <cellStyle name="Normal 11 6 7" xfId="18629"/>
    <cellStyle name="Normal 11 6 7 2" xfId="32654"/>
    <cellStyle name="Normal 11 6 8" xfId="24643"/>
    <cellStyle name="Normal 11 7" xfId="2009"/>
    <cellStyle name="Normal 11 7 2" xfId="2010"/>
    <cellStyle name="Normal 11 7 2 2" xfId="12611"/>
    <cellStyle name="Normal 11 7 2 2 2" xfId="20636"/>
    <cellStyle name="Normal 11 7 2 2 2 2" xfId="34661"/>
    <cellStyle name="Normal 11 7 2 2 3" xfId="26650"/>
    <cellStyle name="Normal 11 7 2 3" xfId="14626"/>
    <cellStyle name="Normal 11 7 2 3 2" xfId="22641"/>
    <cellStyle name="Normal 11 7 2 3 2 2" xfId="36666"/>
    <cellStyle name="Normal 11 7 2 3 3" xfId="28655"/>
    <cellStyle name="Normal 11 7 2 4" xfId="16632"/>
    <cellStyle name="Normal 11 7 2 4 2" xfId="30657"/>
    <cellStyle name="Normal 11 7 2 5" xfId="18634"/>
    <cellStyle name="Normal 11 7 2 5 2" xfId="32659"/>
    <cellStyle name="Normal 11 7 2 6" xfId="24648"/>
    <cellStyle name="Normal 11 7 3" xfId="12610"/>
    <cellStyle name="Normal 11 7 3 2" xfId="20635"/>
    <cellStyle name="Normal 11 7 3 2 2" xfId="34660"/>
    <cellStyle name="Normal 11 7 3 3" xfId="26649"/>
    <cellStyle name="Normal 11 7 4" xfId="14625"/>
    <cellStyle name="Normal 11 7 4 2" xfId="22640"/>
    <cellStyle name="Normal 11 7 4 2 2" xfId="36665"/>
    <cellStyle name="Normal 11 7 4 3" xfId="28654"/>
    <cellStyle name="Normal 11 7 5" xfId="16631"/>
    <cellStyle name="Normal 11 7 5 2" xfId="30656"/>
    <cellStyle name="Normal 11 7 6" xfId="18633"/>
    <cellStyle name="Normal 11 7 6 2" xfId="32658"/>
    <cellStyle name="Normal 11 7 7" xfId="24647"/>
    <cellStyle name="Normal 11 8" xfId="2011"/>
    <cellStyle name="Normal 11 8 2" xfId="2012"/>
    <cellStyle name="Normal 11 8 2 2" xfId="12613"/>
    <cellStyle name="Normal 11 8 2 2 2" xfId="20638"/>
    <cellStyle name="Normal 11 8 2 2 2 2" xfId="34663"/>
    <cellStyle name="Normal 11 8 2 2 3" xfId="26652"/>
    <cellStyle name="Normal 11 8 2 3" xfId="14628"/>
    <cellStyle name="Normal 11 8 2 3 2" xfId="22643"/>
    <cellStyle name="Normal 11 8 2 3 2 2" xfId="36668"/>
    <cellStyle name="Normal 11 8 2 3 3" xfId="28657"/>
    <cellStyle name="Normal 11 8 2 4" xfId="16634"/>
    <cellStyle name="Normal 11 8 2 4 2" xfId="30659"/>
    <cellStyle name="Normal 11 8 2 5" xfId="18636"/>
    <cellStyle name="Normal 11 8 2 5 2" xfId="32661"/>
    <cellStyle name="Normal 11 8 2 6" xfId="24650"/>
    <cellStyle name="Normal 11 8 3" xfId="12612"/>
    <cellStyle name="Normal 11 8 3 2" xfId="20637"/>
    <cellStyle name="Normal 11 8 3 2 2" xfId="34662"/>
    <cellStyle name="Normal 11 8 3 3" xfId="26651"/>
    <cellStyle name="Normal 11 8 4" xfId="14627"/>
    <cellStyle name="Normal 11 8 4 2" xfId="22642"/>
    <cellStyle name="Normal 11 8 4 2 2" xfId="36667"/>
    <cellStyle name="Normal 11 8 4 3" xfId="28656"/>
    <cellStyle name="Normal 11 8 5" xfId="16633"/>
    <cellStyle name="Normal 11 8 5 2" xfId="30658"/>
    <cellStyle name="Normal 11 8 6" xfId="18635"/>
    <cellStyle name="Normal 11 8 6 2" xfId="32660"/>
    <cellStyle name="Normal 11 8 7" xfId="24649"/>
    <cellStyle name="Normal 11 9" xfId="2013"/>
    <cellStyle name="Normal 11 9 2" xfId="12614"/>
    <cellStyle name="Normal 11 9 2 2" xfId="20639"/>
    <cellStyle name="Normal 11 9 2 2 2" xfId="34664"/>
    <cellStyle name="Normal 11 9 2 3" xfId="26653"/>
    <cellStyle name="Normal 11 9 3" xfId="14629"/>
    <cellStyle name="Normal 11 9 3 2" xfId="22644"/>
    <cellStyle name="Normal 11 9 3 2 2" xfId="36669"/>
    <cellStyle name="Normal 11 9 3 3" xfId="28658"/>
    <cellStyle name="Normal 11 9 4" xfId="16635"/>
    <cellStyle name="Normal 11 9 4 2" xfId="30660"/>
    <cellStyle name="Normal 11 9 5" xfId="18637"/>
    <cellStyle name="Normal 11 9 5 2" xfId="32662"/>
    <cellStyle name="Normal 11 9 6" xfId="24651"/>
    <cellStyle name="Normal 11_3 - Revenue Credits" xfId="480"/>
    <cellStyle name="Normal 12" xfId="481"/>
    <cellStyle name="Normal 12 10" xfId="2014"/>
    <cellStyle name="Normal 12 10 2" xfId="12615"/>
    <cellStyle name="Normal 12 10 2 2" xfId="20640"/>
    <cellStyle name="Normal 12 10 2 2 2" xfId="34665"/>
    <cellStyle name="Normal 12 10 2 3" xfId="26654"/>
    <cellStyle name="Normal 12 10 3" xfId="14630"/>
    <cellStyle name="Normal 12 10 3 2" xfId="22645"/>
    <cellStyle name="Normal 12 10 3 2 2" xfId="36670"/>
    <cellStyle name="Normal 12 10 3 3" xfId="28659"/>
    <cellStyle name="Normal 12 10 4" xfId="16636"/>
    <cellStyle name="Normal 12 10 4 2" xfId="30661"/>
    <cellStyle name="Normal 12 10 5" xfId="18638"/>
    <cellStyle name="Normal 12 10 5 2" xfId="32663"/>
    <cellStyle name="Normal 12 10 6" xfId="24652"/>
    <cellStyle name="Normal 12 11" xfId="11626"/>
    <cellStyle name="Normal 12 2" xfId="482"/>
    <cellStyle name="Normal 12 2 2" xfId="483"/>
    <cellStyle name="Normal 12 2 2 2" xfId="11628"/>
    <cellStyle name="Normal 12 2 3" xfId="484"/>
    <cellStyle name="Normal 12 2 4" xfId="11627"/>
    <cellStyle name="Normal 12 3" xfId="485"/>
    <cellStyle name="Normal 12 4" xfId="486"/>
    <cellStyle name="Normal 12 4 2" xfId="2015"/>
    <cellStyle name="Normal 12 4 2 10" xfId="18639"/>
    <cellStyle name="Normal 12 4 2 10 2" xfId="32664"/>
    <cellStyle name="Normal 12 4 2 11" xfId="24653"/>
    <cellStyle name="Normal 12 4 2 2" xfId="2016"/>
    <cellStyle name="Normal 12 4 2 2 10" xfId="24654"/>
    <cellStyle name="Normal 12 4 2 2 2" xfId="2017"/>
    <cellStyle name="Normal 12 4 2 2 2 2" xfId="2018"/>
    <cellStyle name="Normal 12 4 2 2 2 2 2" xfId="2019"/>
    <cellStyle name="Normal 12 4 2 2 2 2 2 2" xfId="12620"/>
    <cellStyle name="Normal 12 4 2 2 2 2 2 2 2" xfId="20645"/>
    <cellStyle name="Normal 12 4 2 2 2 2 2 2 2 2" xfId="34670"/>
    <cellStyle name="Normal 12 4 2 2 2 2 2 2 3" xfId="26659"/>
    <cellStyle name="Normal 12 4 2 2 2 2 2 3" xfId="14635"/>
    <cellStyle name="Normal 12 4 2 2 2 2 2 3 2" xfId="22650"/>
    <cellStyle name="Normal 12 4 2 2 2 2 2 3 2 2" xfId="36675"/>
    <cellStyle name="Normal 12 4 2 2 2 2 2 3 3" xfId="28664"/>
    <cellStyle name="Normal 12 4 2 2 2 2 2 4" xfId="16641"/>
    <cellStyle name="Normal 12 4 2 2 2 2 2 4 2" xfId="30666"/>
    <cellStyle name="Normal 12 4 2 2 2 2 2 5" xfId="18643"/>
    <cellStyle name="Normal 12 4 2 2 2 2 2 5 2" xfId="32668"/>
    <cellStyle name="Normal 12 4 2 2 2 2 2 6" xfId="24657"/>
    <cellStyle name="Normal 12 4 2 2 2 2 3" xfId="12619"/>
    <cellStyle name="Normal 12 4 2 2 2 2 3 2" xfId="20644"/>
    <cellStyle name="Normal 12 4 2 2 2 2 3 2 2" xfId="34669"/>
    <cellStyle name="Normal 12 4 2 2 2 2 3 3" xfId="26658"/>
    <cellStyle name="Normal 12 4 2 2 2 2 4" xfId="14634"/>
    <cellStyle name="Normal 12 4 2 2 2 2 4 2" xfId="22649"/>
    <cellStyle name="Normal 12 4 2 2 2 2 4 2 2" xfId="36674"/>
    <cellStyle name="Normal 12 4 2 2 2 2 4 3" xfId="28663"/>
    <cellStyle name="Normal 12 4 2 2 2 2 5" xfId="16640"/>
    <cellStyle name="Normal 12 4 2 2 2 2 5 2" xfId="30665"/>
    <cellStyle name="Normal 12 4 2 2 2 2 6" xfId="18642"/>
    <cellStyle name="Normal 12 4 2 2 2 2 6 2" xfId="32667"/>
    <cellStyle name="Normal 12 4 2 2 2 2 7" xfId="24656"/>
    <cellStyle name="Normal 12 4 2 2 2 3" xfId="2020"/>
    <cellStyle name="Normal 12 4 2 2 2 3 2" xfId="12621"/>
    <cellStyle name="Normal 12 4 2 2 2 3 2 2" xfId="20646"/>
    <cellStyle name="Normal 12 4 2 2 2 3 2 2 2" xfId="34671"/>
    <cellStyle name="Normal 12 4 2 2 2 3 2 3" xfId="26660"/>
    <cellStyle name="Normal 12 4 2 2 2 3 3" xfId="14636"/>
    <cellStyle name="Normal 12 4 2 2 2 3 3 2" xfId="22651"/>
    <cellStyle name="Normal 12 4 2 2 2 3 3 2 2" xfId="36676"/>
    <cellStyle name="Normal 12 4 2 2 2 3 3 3" xfId="28665"/>
    <cellStyle name="Normal 12 4 2 2 2 3 4" xfId="16642"/>
    <cellStyle name="Normal 12 4 2 2 2 3 4 2" xfId="30667"/>
    <cellStyle name="Normal 12 4 2 2 2 3 5" xfId="18644"/>
    <cellStyle name="Normal 12 4 2 2 2 3 5 2" xfId="32669"/>
    <cellStyle name="Normal 12 4 2 2 2 3 6" xfId="24658"/>
    <cellStyle name="Normal 12 4 2 2 2 4" xfId="12618"/>
    <cellStyle name="Normal 12 4 2 2 2 4 2" xfId="20643"/>
    <cellStyle name="Normal 12 4 2 2 2 4 2 2" xfId="34668"/>
    <cellStyle name="Normal 12 4 2 2 2 4 3" xfId="26657"/>
    <cellStyle name="Normal 12 4 2 2 2 5" xfId="14633"/>
    <cellStyle name="Normal 12 4 2 2 2 5 2" xfId="22648"/>
    <cellStyle name="Normal 12 4 2 2 2 5 2 2" xfId="36673"/>
    <cellStyle name="Normal 12 4 2 2 2 5 3" xfId="28662"/>
    <cellStyle name="Normal 12 4 2 2 2 6" xfId="16639"/>
    <cellStyle name="Normal 12 4 2 2 2 6 2" xfId="30664"/>
    <cellStyle name="Normal 12 4 2 2 2 7" xfId="18641"/>
    <cellStyle name="Normal 12 4 2 2 2 7 2" xfId="32666"/>
    <cellStyle name="Normal 12 4 2 2 2 8" xfId="24655"/>
    <cellStyle name="Normal 12 4 2 2 3" xfId="2021"/>
    <cellStyle name="Normal 12 4 2 2 3 2" xfId="2022"/>
    <cellStyle name="Normal 12 4 2 2 3 2 2" xfId="12623"/>
    <cellStyle name="Normal 12 4 2 2 3 2 2 2" xfId="20648"/>
    <cellStyle name="Normal 12 4 2 2 3 2 2 2 2" xfId="34673"/>
    <cellStyle name="Normal 12 4 2 2 3 2 2 3" xfId="26662"/>
    <cellStyle name="Normal 12 4 2 2 3 2 3" xfId="14638"/>
    <cellStyle name="Normal 12 4 2 2 3 2 3 2" xfId="22653"/>
    <cellStyle name="Normal 12 4 2 2 3 2 3 2 2" xfId="36678"/>
    <cellStyle name="Normal 12 4 2 2 3 2 3 3" xfId="28667"/>
    <cellStyle name="Normal 12 4 2 2 3 2 4" xfId="16644"/>
    <cellStyle name="Normal 12 4 2 2 3 2 4 2" xfId="30669"/>
    <cellStyle name="Normal 12 4 2 2 3 2 5" xfId="18646"/>
    <cellStyle name="Normal 12 4 2 2 3 2 5 2" xfId="32671"/>
    <cellStyle name="Normal 12 4 2 2 3 2 6" xfId="24660"/>
    <cellStyle name="Normal 12 4 2 2 3 3" xfId="12622"/>
    <cellStyle name="Normal 12 4 2 2 3 3 2" xfId="20647"/>
    <cellStyle name="Normal 12 4 2 2 3 3 2 2" xfId="34672"/>
    <cellStyle name="Normal 12 4 2 2 3 3 3" xfId="26661"/>
    <cellStyle name="Normal 12 4 2 2 3 4" xfId="14637"/>
    <cellStyle name="Normal 12 4 2 2 3 4 2" xfId="22652"/>
    <cellStyle name="Normal 12 4 2 2 3 4 2 2" xfId="36677"/>
    <cellStyle name="Normal 12 4 2 2 3 4 3" xfId="28666"/>
    <cellStyle name="Normal 12 4 2 2 3 5" xfId="16643"/>
    <cellStyle name="Normal 12 4 2 2 3 5 2" xfId="30668"/>
    <cellStyle name="Normal 12 4 2 2 3 6" xfId="18645"/>
    <cellStyle name="Normal 12 4 2 2 3 6 2" xfId="32670"/>
    <cellStyle name="Normal 12 4 2 2 3 7" xfId="24659"/>
    <cellStyle name="Normal 12 4 2 2 4" xfId="2023"/>
    <cellStyle name="Normal 12 4 2 2 4 2" xfId="2024"/>
    <cellStyle name="Normal 12 4 2 2 4 2 2" xfId="12625"/>
    <cellStyle name="Normal 12 4 2 2 4 2 2 2" xfId="20650"/>
    <cellStyle name="Normal 12 4 2 2 4 2 2 2 2" xfId="34675"/>
    <cellStyle name="Normal 12 4 2 2 4 2 2 3" xfId="26664"/>
    <cellStyle name="Normal 12 4 2 2 4 2 3" xfId="14640"/>
    <cellStyle name="Normal 12 4 2 2 4 2 3 2" xfId="22655"/>
    <cellStyle name="Normal 12 4 2 2 4 2 3 2 2" xfId="36680"/>
    <cellStyle name="Normal 12 4 2 2 4 2 3 3" xfId="28669"/>
    <cellStyle name="Normal 12 4 2 2 4 2 4" xfId="16646"/>
    <cellStyle name="Normal 12 4 2 2 4 2 4 2" xfId="30671"/>
    <cellStyle name="Normal 12 4 2 2 4 2 5" xfId="18648"/>
    <cellStyle name="Normal 12 4 2 2 4 2 5 2" xfId="32673"/>
    <cellStyle name="Normal 12 4 2 2 4 2 6" xfId="24662"/>
    <cellStyle name="Normal 12 4 2 2 4 3" xfId="12624"/>
    <cellStyle name="Normal 12 4 2 2 4 3 2" xfId="20649"/>
    <cellStyle name="Normal 12 4 2 2 4 3 2 2" xfId="34674"/>
    <cellStyle name="Normal 12 4 2 2 4 3 3" xfId="26663"/>
    <cellStyle name="Normal 12 4 2 2 4 4" xfId="14639"/>
    <cellStyle name="Normal 12 4 2 2 4 4 2" xfId="22654"/>
    <cellStyle name="Normal 12 4 2 2 4 4 2 2" xfId="36679"/>
    <cellStyle name="Normal 12 4 2 2 4 4 3" xfId="28668"/>
    <cellStyle name="Normal 12 4 2 2 4 5" xfId="16645"/>
    <cellStyle name="Normal 12 4 2 2 4 5 2" xfId="30670"/>
    <cellStyle name="Normal 12 4 2 2 4 6" xfId="18647"/>
    <cellStyle name="Normal 12 4 2 2 4 6 2" xfId="32672"/>
    <cellStyle name="Normal 12 4 2 2 4 7" xfId="24661"/>
    <cellStyle name="Normal 12 4 2 2 5" xfId="2025"/>
    <cellStyle name="Normal 12 4 2 2 5 2" xfId="12626"/>
    <cellStyle name="Normal 12 4 2 2 5 2 2" xfId="20651"/>
    <cellStyle name="Normal 12 4 2 2 5 2 2 2" xfId="34676"/>
    <cellStyle name="Normal 12 4 2 2 5 2 3" xfId="26665"/>
    <cellStyle name="Normal 12 4 2 2 5 3" xfId="14641"/>
    <cellStyle name="Normal 12 4 2 2 5 3 2" xfId="22656"/>
    <cellStyle name="Normal 12 4 2 2 5 3 2 2" xfId="36681"/>
    <cellStyle name="Normal 12 4 2 2 5 3 3" xfId="28670"/>
    <cellStyle name="Normal 12 4 2 2 5 4" xfId="16647"/>
    <cellStyle name="Normal 12 4 2 2 5 4 2" xfId="30672"/>
    <cellStyle name="Normal 12 4 2 2 5 5" xfId="18649"/>
    <cellStyle name="Normal 12 4 2 2 5 5 2" xfId="32674"/>
    <cellStyle name="Normal 12 4 2 2 5 6" xfId="24663"/>
    <cellStyle name="Normal 12 4 2 2 6" xfId="12617"/>
    <cellStyle name="Normal 12 4 2 2 6 2" xfId="20642"/>
    <cellStyle name="Normal 12 4 2 2 6 2 2" xfId="34667"/>
    <cellStyle name="Normal 12 4 2 2 6 3" xfId="26656"/>
    <cellStyle name="Normal 12 4 2 2 7" xfId="14632"/>
    <cellStyle name="Normal 12 4 2 2 7 2" xfId="22647"/>
    <cellStyle name="Normal 12 4 2 2 7 2 2" xfId="36672"/>
    <cellStyle name="Normal 12 4 2 2 7 3" xfId="28661"/>
    <cellStyle name="Normal 12 4 2 2 8" xfId="16638"/>
    <cellStyle name="Normal 12 4 2 2 8 2" xfId="30663"/>
    <cellStyle name="Normal 12 4 2 2 9" xfId="18640"/>
    <cellStyle name="Normal 12 4 2 2 9 2" xfId="32665"/>
    <cellStyle name="Normal 12 4 2 3" xfId="2026"/>
    <cellStyle name="Normal 12 4 2 3 2" xfId="2027"/>
    <cellStyle name="Normal 12 4 2 3 2 2" xfId="2028"/>
    <cellStyle name="Normal 12 4 2 3 2 2 2" xfId="12629"/>
    <cellStyle name="Normal 12 4 2 3 2 2 2 2" xfId="20654"/>
    <cellStyle name="Normal 12 4 2 3 2 2 2 2 2" xfId="34679"/>
    <cellStyle name="Normal 12 4 2 3 2 2 2 3" xfId="26668"/>
    <cellStyle name="Normal 12 4 2 3 2 2 3" xfId="14644"/>
    <cellStyle name="Normal 12 4 2 3 2 2 3 2" xfId="22659"/>
    <cellStyle name="Normal 12 4 2 3 2 2 3 2 2" xfId="36684"/>
    <cellStyle name="Normal 12 4 2 3 2 2 3 3" xfId="28673"/>
    <cellStyle name="Normal 12 4 2 3 2 2 4" xfId="16650"/>
    <cellStyle name="Normal 12 4 2 3 2 2 4 2" xfId="30675"/>
    <cellStyle name="Normal 12 4 2 3 2 2 5" xfId="18652"/>
    <cellStyle name="Normal 12 4 2 3 2 2 5 2" xfId="32677"/>
    <cellStyle name="Normal 12 4 2 3 2 2 6" xfId="24666"/>
    <cellStyle name="Normal 12 4 2 3 2 3" xfId="12628"/>
    <cellStyle name="Normal 12 4 2 3 2 3 2" xfId="20653"/>
    <cellStyle name="Normal 12 4 2 3 2 3 2 2" xfId="34678"/>
    <cellStyle name="Normal 12 4 2 3 2 3 3" xfId="26667"/>
    <cellStyle name="Normal 12 4 2 3 2 4" xfId="14643"/>
    <cellStyle name="Normal 12 4 2 3 2 4 2" xfId="22658"/>
    <cellStyle name="Normal 12 4 2 3 2 4 2 2" xfId="36683"/>
    <cellStyle name="Normal 12 4 2 3 2 4 3" xfId="28672"/>
    <cellStyle name="Normal 12 4 2 3 2 5" xfId="16649"/>
    <cellStyle name="Normal 12 4 2 3 2 5 2" xfId="30674"/>
    <cellStyle name="Normal 12 4 2 3 2 6" xfId="18651"/>
    <cellStyle name="Normal 12 4 2 3 2 6 2" xfId="32676"/>
    <cellStyle name="Normal 12 4 2 3 2 7" xfId="24665"/>
    <cellStyle name="Normal 12 4 2 3 3" xfId="2029"/>
    <cellStyle name="Normal 12 4 2 3 3 2" xfId="12630"/>
    <cellStyle name="Normal 12 4 2 3 3 2 2" xfId="20655"/>
    <cellStyle name="Normal 12 4 2 3 3 2 2 2" xfId="34680"/>
    <cellStyle name="Normal 12 4 2 3 3 2 3" xfId="26669"/>
    <cellStyle name="Normal 12 4 2 3 3 3" xfId="14645"/>
    <cellStyle name="Normal 12 4 2 3 3 3 2" xfId="22660"/>
    <cellStyle name="Normal 12 4 2 3 3 3 2 2" xfId="36685"/>
    <cellStyle name="Normal 12 4 2 3 3 3 3" xfId="28674"/>
    <cellStyle name="Normal 12 4 2 3 3 4" xfId="16651"/>
    <cellStyle name="Normal 12 4 2 3 3 4 2" xfId="30676"/>
    <cellStyle name="Normal 12 4 2 3 3 5" xfId="18653"/>
    <cellStyle name="Normal 12 4 2 3 3 5 2" xfId="32678"/>
    <cellStyle name="Normal 12 4 2 3 3 6" xfId="24667"/>
    <cellStyle name="Normal 12 4 2 3 4" xfId="12627"/>
    <cellStyle name="Normal 12 4 2 3 4 2" xfId="20652"/>
    <cellStyle name="Normal 12 4 2 3 4 2 2" xfId="34677"/>
    <cellStyle name="Normal 12 4 2 3 4 3" xfId="26666"/>
    <cellStyle name="Normal 12 4 2 3 5" xfId="14642"/>
    <cellStyle name="Normal 12 4 2 3 5 2" xfId="22657"/>
    <cellStyle name="Normal 12 4 2 3 5 2 2" xfId="36682"/>
    <cellStyle name="Normal 12 4 2 3 5 3" xfId="28671"/>
    <cellStyle name="Normal 12 4 2 3 6" xfId="16648"/>
    <cellStyle name="Normal 12 4 2 3 6 2" xfId="30673"/>
    <cellStyle name="Normal 12 4 2 3 7" xfId="18650"/>
    <cellStyle name="Normal 12 4 2 3 7 2" xfId="32675"/>
    <cellStyle name="Normal 12 4 2 3 8" xfId="24664"/>
    <cellStyle name="Normal 12 4 2 4" xfId="2030"/>
    <cellStyle name="Normal 12 4 2 4 2" xfId="2031"/>
    <cellStyle name="Normal 12 4 2 4 2 2" xfId="12632"/>
    <cellStyle name="Normal 12 4 2 4 2 2 2" xfId="20657"/>
    <cellStyle name="Normal 12 4 2 4 2 2 2 2" xfId="34682"/>
    <cellStyle name="Normal 12 4 2 4 2 2 3" xfId="26671"/>
    <cellStyle name="Normal 12 4 2 4 2 3" xfId="14647"/>
    <cellStyle name="Normal 12 4 2 4 2 3 2" xfId="22662"/>
    <cellStyle name="Normal 12 4 2 4 2 3 2 2" xfId="36687"/>
    <cellStyle name="Normal 12 4 2 4 2 3 3" xfId="28676"/>
    <cellStyle name="Normal 12 4 2 4 2 4" xfId="16653"/>
    <cellStyle name="Normal 12 4 2 4 2 4 2" xfId="30678"/>
    <cellStyle name="Normal 12 4 2 4 2 5" xfId="18655"/>
    <cellStyle name="Normal 12 4 2 4 2 5 2" xfId="32680"/>
    <cellStyle name="Normal 12 4 2 4 2 6" xfId="24669"/>
    <cellStyle name="Normal 12 4 2 4 3" xfId="12631"/>
    <cellStyle name="Normal 12 4 2 4 3 2" xfId="20656"/>
    <cellStyle name="Normal 12 4 2 4 3 2 2" xfId="34681"/>
    <cellStyle name="Normal 12 4 2 4 3 3" xfId="26670"/>
    <cellStyle name="Normal 12 4 2 4 4" xfId="14646"/>
    <cellStyle name="Normal 12 4 2 4 4 2" xfId="22661"/>
    <cellStyle name="Normal 12 4 2 4 4 2 2" xfId="36686"/>
    <cellStyle name="Normal 12 4 2 4 4 3" xfId="28675"/>
    <cellStyle name="Normal 12 4 2 4 5" xfId="16652"/>
    <cellStyle name="Normal 12 4 2 4 5 2" xfId="30677"/>
    <cellStyle name="Normal 12 4 2 4 6" xfId="18654"/>
    <cellStyle name="Normal 12 4 2 4 6 2" xfId="32679"/>
    <cellStyle name="Normal 12 4 2 4 7" xfId="24668"/>
    <cellStyle name="Normal 12 4 2 5" xfId="2032"/>
    <cellStyle name="Normal 12 4 2 5 2" xfId="2033"/>
    <cellStyle name="Normal 12 4 2 5 2 2" xfId="12634"/>
    <cellStyle name="Normal 12 4 2 5 2 2 2" xfId="20659"/>
    <cellStyle name="Normal 12 4 2 5 2 2 2 2" xfId="34684"/>
    <cellStyle name="Normal 12 4 2 5 2 2 3" xfId="26673"/>
    <cellStyle name="Normal 12 4 2 5 2 3" xfId="14649"/>
    <cellStyle name="Normal 12 4 2 5 2 3 2" xfId="22664"/>
    <cellStyle name="Normal 12 4 2 5 2 3 2 2" xfId="36689"/>
    <cellStyle name="Normal 12 4 2 5 2 3 3" xfId="28678"/>
    <cellStyle name="Normal 12 4 2 5 2 4" xfId="16655"/>
    <cellStyle name="Normal 12 4 2 5 2 4 2" xfId="30680"/>
    <cellStyle name="Normal 12 4 2 5 2 5" xfId="18657"/>
    <cellStyle name="Normal 12 4 2 5 2 5 2" xfId="32682"/>
    <cellStyle name="Normal 12 4 2 5 2 6" xfId="24671"/>
    <cellStyle name="Normal 12 4 2 5 3" xfId="12633"/>
    <cellStyle name="Normal 12 4 2 5 3 2" xfId="20658"/>
    <cellStyle name="Normal 12 4 2 5 3 2 2" xfId="34683"/>
    <cellStyle name="Normal 12 4 2 5 3 3" xfId="26672"/>
    <cellStyle name="Normal 12 4 2 5 4" xfId="14648"/>
    <cellStyle name="Normal 12 4 2 5 4 2" xfId="22663"/>
    <cellStyle name="Normal 12 4 2 5 4 2 2" xfId="36688"/>
    <cellStyle name="Normal 12 4 2 5 4 3" xfId="28677"/>
    <cellStyle name="Normal 12 4 2 5 5" xfId="16654"/>
    <cellStyle name="Normal 12 4 2 5 5 2" xfId="30679"/>
    <cellStyle name="Normal 12 4 2 5 6" xfId="18656"/>
    <cellStyle name="Normal 12 4 2 5 6 2" xfId="32681"/>
    <cellStyle name="Normal 12 4 2 5 7" xfId="24670"/>
    <cellStyle name="Normal 12 4 2 6" xfId="2034"/>
    <cellStyle name="Normal 12 4 2 6 2" xfId="12635"/>
    <cellStyle name="Normal 12 4 2 6 2 2" xfId="20660"/>
    <cellStyle name="Normal 12 4 2 6 2 2 2" xfId="34685"/>
    <cellStyle name="Normal 12 4 2 6 2 3" xfId="26674"/>
    <cellStyle name="Normal 12 4 2 6 3" xfId="14650"/>
    <cellStyle name="Normal 12 4 2 6 3 2" xfId="22665"/>
    <cellStyle name="Normal 12 4 2 6 3 2 2" xfId="36690"/>
    <cellStyle name="Normal 12 4 2 6 3 3" xfId="28679"/>
    <cellStyle name="Normal 12 4 2 6 4" xfId="16656"/>
    <cellStyle name="Normal 12 4 2 6 4 2" xfId="30681"/>
    <cellStyle name="Normal 12 4 2 6 5" xfId="18658"/>
    <cellStyle name="Normal 12 4 2 6 5 2" xfId="32683"/>
    <cellStyle name="Normal 12 4 2 6 6" xfId="24672"/>
    <cellStyle name="Normal 12 4 2 7" xfId="12616"/>
    <cellStyle name="Normal 12 4 2 7 2" xfId="20641"/>
    <cellStyle name="Normal 12 4 2 7 2 2" xfId="34666"/>
    <cellStyle name="Normal 12 4 2 7 3" xfId="26655"/>
    <cellStyle name="Normal 12 4 2 8" xfId="14631"/>
    <cellStyle name="Normal 12 4 2 8 2" xfId="22646"/>
    <cellStyle name="Normal 12 4 2 8 2 2" xfId="36671"/>
    <cellStyle name="Normal 12 4 2 8 3" xfId="28660"/>
    <cellStyle name="Normal 12 4 2 9" xfId="16637"/>
    <cellStyle name="Normal 12 4 2 9 2" xfId="30662"/>
    <cellStyle name="Normal 12 4 3" xfId="2035"/>
    <cellStyle name="Normal 12 4 3 10" xfId="24673"/>
    <cellStyle name="Normal 12 4 3 2" xfId="2036"/>
    <cellStyle name="Normal 12 4 3 2 2" xfId="2037"/>
    <cellStyle name="Normal 12 4 3 2 2 2" xfId="2038"/>
    <cellStyle name="Normal 12 4 3 2 2 2 2" xfId="12639"/>
    <cellStyle name="Normal 12 4 3 2 2 2 2 2" xfId="20664"/>
    <cellStyle name="Normal 12 4 3 2 2 2 2 2 2" xfId="34689"/>
    <cellStyle name="Normal 12 4 3 2 2 2 2 3" xfId="26678"/>
    <cellStyle name="Normal 12 4 3 2 2 2 3" xfId="14654"/>
    <cellStyle name="Normal 12 4 3 2 2 2 3 2" xfId="22669"/>
    <cellStyle name="Normal 12 4 3 2 2 2 3 2 2" xfId="36694"/>
    <cellStyle name="Normal 12 4 3 2 2 2 3 3" xfId="28683"/>
    <cellStyle name="Normal 12 4 3 2 2 2 4" xfId="16660"/>
    <cellStyle name="Normal 12 4 3 2 2 2 4 2" xfId="30685"/>
    <cellStyle name="Normal 12 4 3 2 2 2 5" xfId="18662"/>
    <cellStyle name="Normal 12 4 3 2 2 2 5 2" xfId="32687"/>
    <cellStyle name="Normal 12 4 3 2 2 2 6" xfId="24676"/>
    <cellStyle name="Normal 12 4 3 2 2 3" xfId="12638"/>
    <cellStyle name="Normal 12 4 3 2 2 3 2" xfId="20663"/>
    <cellStyle name="Normal 12 4 3 2 2 3 2 2" xfId="34688"/>
    <cellStyle name="Normal 12 4 3 2 2 3 3" xfId="26677"/>
    <cellStyle name="Normal 12 4 3 2 2 4" xfId="14653"/>
    <cellStyle name="Normal 12 4 3 2 2 4 2" xfId="22668"/>
    <cellStyle name="Normal 12 4 3 2 2 4 2 2" xfId="36693"/>
    <cellStyle name="Normal 12 4 3 2 2 4 3" xfId="28682"/>
    <cellStyle name="Normal 12 4 3 2 2 5" xfId="16659"/>
    <cellStyle name="Normal 12 4 3 2 2 5 2" xfId="30684"/>
    <cellStyle name="Normal 12 4 3 2 2 6" xfId="18661"/>
    <cellStyle name="Normal 12 4 3 2 2 6 2" xfId="32686"/>
    <cellStyle name="Normal 12 4 3 2 2 7" xfId="24675"/>
    <cellStyle name="Normal 12 4 3 2 3" xfId="2039"/>
    <cellStyle name="Normal 12 4 3 2 3 2" xfId="12640"/>
    <cellStyle name="Normal 12 4 3 2 3 2 2" xfId="20665"/>
    <cellStyle name="Normal 12 4 3 2 3 2 2 2" xfId="34690"/>
    <cellStyle name="Normal 12 4 3 2 3 2 3" xfId="26679"/>
    <cellStyle name="Normal 12 4 3 2 3 3" xfId="14655"/>
    <cellStyle name="Normal 12 4 3 2 3 3 2" xfId="22670"/>
    <cellStyle name="Normal 12 4 3 2 3 3 2 2" xfId="36695"/>
    <cellStyle name="Normal 12 4 3 2 3 3 3" xfId="28684"/>
    <cellStyle name="Normal 12 4 3 2 3 4" xfId="16661"/>
    <cellStyle name="Normal 12 4 3 2 3 4 2" xfId="30686"/>
    <cellStyle name="Normal 12 4 3 2 3 5" xfId="18663"/>
    <cellStyle name="Normal 12 4 3 2 3 5 2" xfId="32688"/>
    <cellStyle name="Normal 12 4 3 2 3 6" xfId="24677"/>
    <cellStyle name="Normal 12 4 3 2 4" xfId="12637"/>
    <cellStyle name="Normal 12 4 3 2 4 2" xfId="20662"/>
    <cellStyle name="Normal 12 4 3 2 4 2 2" xfId="34687"/>
    <cellStyle name="Normal 12 4 3 2 4 3" xfId="26676"/>
    <cellStyle name="Normal 12 4 3 2 5" xfId="14652"/>
    <cellStyle name="Normal 12 4 3 2 5 2" xfId="22667"/>
    <cellStyle name="Normal 12 4 3 2 5 2 2" xfId="36692"/>
    <cellStyle name="Normal 12 4 3 2 5 3" xfId="28681"/>
    <cellStyle name="Normal 12 4 3 2 6" xfId="16658"/>
    <cellStyle name="Normal 12 4 3 2 6 2" xfId="30683"/>
    <cellStyle name="Normal 12 4 3 2 7" xfId="18660"/>
    <cellStyle name="Normal 12 4 3 2 7 2" xfId="32685"/>
    <cellStyle name="Normal 12 4 3 2 8" xfId="24674"/>
    <cellStyle name="Normal 12 4 3 3" xfId="2040"/>
    <cellStyle name="Normal 12 4 3 3 2" xfId="2041"/>
    <cellStyle name="Normal 12 4 3 3 2 2" xfId="12642"/>
    <cellStyle name="Normal 12 4 3 3 2 2 2" xfId="20667"/>
    <cellStyle name="Normal 12 4 3 3 2 2 2 2" xfId="34692"/>
    <cellStyle name="Normal 12 4 3 3 2 2 3" xfId="26681"/>
    <cellStyle name="Normal 12 4 3 3 2 3" xfId="14657"/>
    <cellStyle name="Normal 12 4 3 3 2 3 2" xfId="22672"/>
    <cellStyle name="Normal 12 4 3 3 2 3 2 2" xfId="36697"/>
    <cellStyle name="Normal 12 4 3 3 2 3 3" xfId="28686"/>
    <cellStyle name="Normal 12 4 3 3 2 4" xfId="16663"/>
    <cellStyle name="Normal 12 4 3 3 2 4 2" xfId="30688"/>
    <cellStyle name="Normal 12 4 3 3 2 5" xfId="18665"/>
    <cellStyle name="Normal 12 4 3 3 2 5 2" xfId="32690"/>
    <cellStyle name="Normal 12 4 3 3 2 6" xfId="24679"/>
    <cellStyle name="Normal 12 4 3 3 3" xfId="12641"/>
    <cellStyle name="Normal 12 4 3 3 3 2" xfId="20666"/>
    <cellStyle name="Normal 12 4 3 3 3 2 2" xfId="34691"/>
    <cellStyle name="Normal 12 4 3 3 3 3" xfId="26680"/>
    <cellStyle name="Normal 12 4 3 3 4" xfId="14656"/>
    <cellStyle name="Normal 12 4 3 3 4 2" xfId="22671"/>
    <cellStyle name="Normal 12 4 3 3 4 2 2" xfId="36696"/>
    <cellStyle name="Normal 12 4 3 3 4 3" xfId="28685"/>
    <cellStyle name="Normal 12 4 3 3 5" xfId="16662"/>
    <cellStyle name="Normal 12 4 3 3 5 2" xfId="30687"/>
    <cellStyle name="Normal 12 4 3 3 6" xfId="18664"/>
    <cellStyle name="Normal 12 4 3 3 6 2" xfId="32689"/>
    <cellStyle name="Normal 12 4 3 3 7" xfId="24678"/>
    <cellStyle name="Normal 12 4 3 4" xfId="2042"/>
    <cellStyle name="Normal 12 4 3 4 2" xfId="2043"/>
    <cellStyle name="Normal 12 4 3 4 2 2" xfId="12644"/>
    <cellStyle name="Normal 12 4 3 4 2 2 2" xfId="20669"/>
    <cellStyle name="Normal 12 4 3 4 2 2 2 2" xfId="34694"/>
    <cellStyle name="Normal 12 4 3 4 2 2 3" xfId="26683"/>
    <cellStyle name="Normal 12 4 3 4 2 3" xfId="14659"/>
    <cellStyle name="Normal 12 4 3 4 2 3 2" xfId="22674"/>
    <cellStyle name="Normal 12 4 3 4 2 3 2 2" xfId="36699"/>
    <cellStyle name="Normal 12 4 3 4 2 3 3" xfId="28688"/>
    <cellStyle name="Normal 12 4 3 4 2 4" xfId="16665"/>
    <cellStyle name="Normal 12 4 3 4 2 4 2" xfId="30690"/>
    <cellStyle name="Normal 12 4 3 4 2 5" xfId="18667"/>
    <cellStyle name="Normal 12 4 3 4 2 5 2" xfId="32692"/>
    <cellStyle name="Normal 12 4 3 4 2 6" xfId="24681"/>
    <cellStyle name="Normal 12 4 3 4 3" xfId="12643"/>
    <cellStyle name="Normal 12 4 3 4 3 2" xfId="20668"/>
    <cellStyle name="Normal 12 4 3 4 3 2 2" xfId="34693"/>
    <cellStyle name="Normal 12 4 3 4 3 3" xfId="26682"/>
    <cellStyle name="Normal 12 4 3 4 4" xfId="14658"/>
    <cellStyle name="Normal 12 4 3 4 4 2" xfId="22673"/>
    <cellStyle name="Normal 12 4 3 4 4 2 2" xfId="36698"/>
    <cellStyle name="Normal 12 4 3 4 4 3" xfId="28687"/>
    <cellStyle name="Normal 12 4 3 4 5" xfId="16664"/>
    <cellStyle name="Normal 12 4 3 4 5 2" xfId="30689"/>
    <cellStyle name="Normal 12 4 3 4 6" xfId="18666"/>
    <cellStyle name="Normal 12 4 3 4 6 2" xfId="32691"/>
    <cellStyle name="Normal 12 4 3 4 7" xfId="24680"/>
    <cellStyle name="Normal 12 4 3 5" xfId="2044"/>
    <cellStyle name="Normal 12 4 3 5 2" xfId="12645"/>
    <cellStyle name="Normal 12 4 3 5 2 2" xfId="20670"/>
    <cellStyle name="Normal 12 4 3 5 2 2 2" xfId="34695"/>
    <cellStyle name="Normal 12 4 3 5 2 3" xfId="26684"/>
    <cellStyle name="Normal 12 4 3 5 3" xfId="14660"/>
    <cellStyle name="Normal 12 4 3 5 3 2" xfId="22675"/>
    <cellStyle name="Normal 12 4 3 5 3 2 2" xfId="36700"/>
    <cellStyle name="Normal 12 4 3 5 3 3" xfId="28689"/>
    <cellStyle name="Normal 12 4 3 5 4" xfId="16666"/>
    <cellStyle name="Normal 12 4 3 5 4 2" xfId="30691"/>
    <cellStyle name="Normal 12 4 3 5 5" xfId="18668"/>
    <cellStyle name="Normal 12 4 3 5 5 2" xfId="32693"/>
    <cellStyle name="Normal 12 4 3 5 6" xfId="24682"/>
    <cellStyle name="Normal 12 4 3 6" xfId="12636"/>
    <cellStyle name="Normal 12 4 3 6 2" xfId="20661"/>
    <cellStyle name="Normal 12 4 3 6 2 2" xfId="34686"/>
    <cellStyle name="Normal 12 4 3 6 3" xfId="26675"/>
    <cellStyle name="Normal 12 4 3 7" xfId="14651"/>
    <cellStyle name="Normal 12 4 3 7 2" xfId="22666"/>
    <cellStyle name="Normal 12 4 3 7 2 2" xfId="36691"/>
    <cellStyle name="Normal 12 4 3 7 3" xfId="28680"/>
    <cellStyle name="Normal 12 4 3 8" xfId="16657"/>
    <cellStyle name="Normal 12 4 3 8 2" xfId="30682"/>
    <cellStyle name="Normal 12 4 3 9" xfId="18659"/>
    <cellStyle name="Normal 12 4 3 9 2" xfId="32684"/>
    <cellStyle name="Normal 12 4 4" xfId="2045"/>
    <cellStyle name="Normal 12 4 4 2" xfId="2046"/>
    <cellStyle name="Normal 12 4 4 2 2" xfId="2047"/>
    <cellStyle name="Normal 12 4 4 2 2 2" xfId="12648"/>
    <cellStyle name="Normal 12 4 4 2 2 2 2" xfId="20673"/>
    <cellStyle name="Normal 12 4 4 2 2 2 2 2" xfId="34698"/>
    <cellStyle name="Normal 12 4 4 2 2 2 3" xfId="26687"/>
    <cellStyle name="Normal 12 4 4 2 2 3" xfId="14663"/>
    <cellStyle name="Normal 12 4 4 2 2 3 2" xfId="22678"/>
    <cellStyle name="Normal 12 4 4 2 2 3 2 2" xfId="36703"/>
    <cellStyle name="Normal 12 4 4 2 2 3 3" xfId="28692"/>
    <cellStyle name="Normal 12 4 4 2 2 4" xfId="16669"/>
    <cellStyle name="Normal 12 4 4 2 2 4 2" xfId="30694"/>
    <cellStyle name="Normal 12 4 4 2 2 5" xfId="18671"/>
    <cellStyle name="Normal 12 4 4 2 2 5 2" xfId="32696"/>
    <cellStyle name="Normal 12 4 4 2 2 6" xfId="24685"/>
    <cellStyle name="Normal 12 4 4 2 3" xfId="12647"/>
    <cellStyle name="Normal 12 4 4 2 3 2" xfId="20672"/>
    <cellStyle name="Normal 12 4 4 2 3 2 2" xfId="34697"/>
    <cellStyle name="Normal 12 4 4 2 3 3" xfId="26686"/>
    <cellStyle name="Normal 12 4 4 2 4" xfId="14662"/>
    <cellStyle name="Normal 12 4 4 2 4 2" xfId="22677"/>
    <cellStyle name="Normal 12 4 4 2 4 2 2" xfId="36702"/>
    <cellStyle name="Normal 12 4 4 2 4 3" xfId="28691"/>
    <cellStyle name="Normal 12 4 4 2 5" xfId="16668"/>
    <cellStyle name="Normal 12 4 4 2 5 2" xfId="30693"/>
    <cellStyle name="Normal 12 4 4 2 6" xfId="18670"/>
    <cellStyle name="Normal 12 4 4 2 6 2" xfId="32695"/>
    <cellStyle name="Normal 12 4 4 2 7" xfId="24684"/>
    <cellStyle name="Normal 12 4 4 3" xfId="2048"/>
    <cellStyle name="Normal 12 4 4 3 2" xfId="12649"/>
    <cellStyle name="Normal 12 4 4 3 2 2" xfId="20674"/>
    <cellStyle name="Normal 12 4 4 3 2 2 2" xfId="34699"/>
    <cellStyle name="Normal 12 4 4 3 2 3" xfId="26688"/>
    <cellStyle name="Normal 12 4 4 3 3" xfId="14664"/>
    <cellStyle name="Normal 12 4 4 3 3 2" xfId="22679"/>
    <cellStyle name="Normal 12 4 4 3 3 2 2" xfId="36704"/>
    <cellStyle name="Normal 12 4 4 3 3 3" xfId="28693"/>
    <cellStyle name="Normal 12 4 4 3 4" xfId="16670"/>
    <cellStyle name="Normal 12 4 4 3 4 2" xfId="30695"/>
    <cellStyle name="Normal 12 4 4 3 5" xfId="18672"/>
    <cellStyle name="Normal 12 4 4 3 5 2" xfId="32697"/>
    <cellStyle name="Normal 12 4 4 3 6" xfId="24686"/>
    <cellStyle name="Normal 12 4 4 4" xfId="12646"/>
    <cellStyle name="Normal 12 4 4 4 2" xfId="20671"/>
    <cellStyle name="Normal 12 4 4 4 2 2" xfId="34696"/>
    <cellStyle name="Normal 12 4 4 4 3" xfId="26685"/>
    <cellStyle name="Normal 12 4 4 5" xfId="14661"/>
    <cellStyle name="Normal 12 4 4 5 2" xfId="22676"/>
    <cellStyle name="Normal 12 4 4 5 2 2" xfId="36701"/>
    <cellStyle name="Normal 12 4 4 5 3" xfId="28690"/>
    <cellStyle name="Normal 12 4 4 6" xfId="16667"/>
    <cellStyle name="Normal 12 4 4 6 2" xfId="30692"/>
    <cellStyle name="Normal 12 4 4 7" xfId="18669"/>
    <cellStyle name="Normal 12 4 4 7 2" xfId="32694"/>
    <cellStyle name="Normal 12 4 4 8" xfId="24683"/>
    <cellStyle name="Normal 12 4 5" xfId="2049"/>
    <cellStyle name="Normal 12 4 5 2" xfId="2050"/>
    <cellStyle name="Normal 12 4 5 2 2" xfId="12651"/>
    <cellStyle name="Normal 12 4 5 2 2 2" xfId="20676"/>
    <cellStyle name="Normal 12 4 5 2 2 2 2" xfId="34701"/>
    <cellStyle name="Normal 12 4 5 2 2 3" xfId="26690"/>
    <cellStyle name="Normal 12 4 5 2 3" xfId="14666"/>
    <cellStyle name="Normal 12 4 5 2 3 2" xfId="22681"/>
    <cellStyle name="Normal 12 4 5 2 3 2 2" xfId="36706"/>
    <cellStyle name="Normal 12 4 5 2 3 3" xfId="28695"/>
    <cellStyle name="Normal 12 4 5 2 4" xfId="16672"/>
    <cellStyle name="Normal 12 4 5 2 4 2" xfId="30697"/>
    <cellStyle name="Normal 12 4 5 2 5" xfId="18674"/>
    <cellStyle name="Normal 12 4 5 2 5 2" xfId="32699"/>
    <cellStyle name="Normal 12 4 5 2 6" xfId="24688"/>
    <cellStyle name="Normal 12 4 5 3" xfId="12650"/>
    <cellStyle name="Normal 12 4 5 3 2" xfId="20675"/>
    <cellStyle name="Normal 12 4 5 3 2 2" xfId="34700"/>
    <cellStyle name="Normal 12 4 5 3 3" xfId="26689"/>
    <cellStyle name="Normal 12 4 5 4" xfId="14665"/>
    <cellStyle name="Normal 12 4 5 4 2" xfId="22680"/>
    <cellStyle name="Normal 12 4 5 4 2 2" xfId="36705"/>
    <cellStyle name="Normal 12 4 5 4 3" xfId="28694"/>
    <cellStyle name="Normal 12 4 5 5" xfId="16671"/>
    <cellStyle name="Normal 12 4 5 5 2" xfId="30696"/>
    <cellStyle name="Normal 12 4 5 6" xfId="18673"/>
    <cellStyle name="Normal 12 4 5 6 2" xfId="32698"/>
    <cellStyle name="Normal 12 4 5 7" xfId="24687"/>
    <cellStyle name="Normal 12 4 6" xfId="2051"/>
    <cellStyle name="Normal 12 4 6 2" xfId="2052"/>
    <cellStyle name="Normal 12 4 6 2 2" xfId="12653"/>
    <cellStyle name="Normal 12 4 6 2 2 2" xfId="20678"/>
    <cellStyle name="Normal 12 4 6 2 2 2 2" xfId="34703"/>
    <cellStyle name="Normal 12 4 6 2 2 3" xfId="26692"/>
    <cellStyle name="Normal 12 4 6 2 3" xfId="14668"/>
    <cellStyle name="Normal 12 4 6 2 3 2" xfId="22683"/>
    <cellStyle name="Normal 12 4 6 2 3 2 2" xfId="36708"/>
    <cellStyle name="Normal 12 4 6 2 3 3" xfId="28697"/>
    <cellStyle name="Normal 12 4 6 2 4" xfId="16674"/>
    <cellStyle name="Normal 12 4 6 2 4 2" xfId="30699"/>
    <cellStyle name="Normal 12 4 6 2 5" xfId="18676"/>
    <cellStyle name="Normal 12 4 6 2 5 2" xfId="32701"/>
    <cellStyle name="Normal 12 4 6 2 6" xfId="24690"/>
    <cellStyle name="Normal 12 4 6 3" xfId="12652"/>
    <cellStyle name="Normal 12 4 6 3 2" xfId="20677"/>
    <cellStyle name="Normal 12 4 6 3 2 2" xfId="34702"/>
    <cellStyle name="Normal 12 4 6 3 3" xfId="26691"/>
    <cellStyle name="Normal 12 4 6 4" xfId="14667"/>
    <cellStyle name="Normal 12 4 6 4 2" xfId="22682"/>
    <cellStyle name="Normal 12 4 6 4 2 2" xfId="36707"/>
    <cellStyle name="Normal 12 4 6 4 3" xfId="28696"/>
    <cellStyle name="Normal 12 4 6 5" xfId="16673"/>
    <cellStyle name="Normal 12 4 6 5 2" xfId="30698"/>
    <cellStyle name="Normal 12 4 6 6" xfId="18675"/>
    <cellStyle name="Normal 12 4 6 6 2" xfId="32700"/>
    <cellStyle name="Normal 12 4 6 7" xfId="24689"/>
    <cellStyle name="Normal 12 4 7" xfId="2053"/>
    <cellStyle name="Normal 12 4 7 2" xfId="12654"/>
    <cellStyle name="Normal 12 4 7 2 2" xfId="20679"/>
    <cellStyle name="Normal 12 4 7 2 2 2" xfId="34704"/>
    <cellStyle name="Normal 12 4 7 2 3" xfId="26693"/>
    <cellStyle name="Normal 12 4 7 3" xfId="14669"/>
    <cellStyle name="Normal 12 4 7 3 2" xfId="22684"/>
    <cellStyle name="Normal 12 4 7 3 2 2" xfId="36709"/>
    <cellStyle name="Normal 12 4 7 3 3" xfId="28698"/>
    <cellStyle name="Normal 12 4 7 4" xfId="16675"/>
    <cellStyle name="Normal 12 4 7 4 2" xfId="30700"/>
    <cellStyle name="Normal 12 4 7 5" xfId="18677"/>
    <cellStyle name="Normal 12 4 7 5 2" xfId="32702"/>
    <cellStyle name="Normal 12 4 7 6" xfId="24691"/>
    <cellStyle name="Normal 12 5" xfId="2054"/>
    <cellStyle name="Normal 12 5 10" xfId="18678"/>
    <cellStyle name="Normal 12 5 10 2" xfId="32703"/>
    <cellStyle name="Normal 12 5 11" xfId="24692"/>
    <cellStyle name="Normal 12 5 2" xfId="2055"/>
    <cellStyle name="Normal 12 5 2 10" xfId="24693"/>
    <cellStyle name="Normal 12 5 2 2" xfId="2056"/>
    <cellStyle name="Normal 12 5 2 2 2" xfId="2057"/>
    <cellStyle name="Normal 12 5 2 2 2 2" xfId="2058"/>
    <cellStyle name="Normal 12 5 2 2 2 2 2" xfId="12659"/>
    <cellStyle name="Normal 12 5 2 2 2 2 2 2" xfId="20684"/>
    <cellStyle name="Normal 12 5 2 2 2 2 2 2 2" xfId="34709"/>
    <cellStyle name="Normal 12 5 2 2 2 2 2 3" xfId="26698"/>
    <cellStyle name="Normal 12 5 2 2 2 2 3" xfId="14674"/>
    <cellStyle name="Normal 12 5 2 2 2 2 3 2" xfId="22689"/>
    <cellStyle name="Normal 12 5 2 2 2 2 3 2 2" xfId="36714"/>
    <cellStyle name="Normal 12 5 2 2 2 2 3 3" xfId="28703"/>
    <cellStyle name="Normal 12 5 2 2 2 2 4" xfId="16680"/>
    <cellStyle name="Normal 12 5 2 2 2 2 4 2" xfId="30705"/>
    <cellStyle name="Normal 12 5 2 2 2 2 5" xfId="18682"/>
    <cellStyle name="Normal 12 5 2 2 2 2 5 2" xfId="32707"/>
    <cellStyle name="Normal 12 5 2 2 2 2 6" xfId="24696"/>
    <cellStyle name="Normal 12 5 2 2 2 3" xfId="12658"/>
    <cellStyle name="Normal 12 5 2 2 2 3 2" xfId="20683"/>
    <cellStyle name="Normal 12 5 2 2 2 3 2 2" xfId="34708"/>
    <cellStyle name="Normal 12 5 2 2 2 3 3" xfId="26697"/>
    <cellStyle name="Normal 12 5 2 2 2 4" xfId="14673"/>
    <cellStyle name="Normal 12 5 2 2 2 4 2" xfId="22688"/>
    <cellStyle name="Normal 12 5 2 2 2 4 2 2" xfId="36713"/>
    <cellStyle name="Normal 12 5 2 2 2 4 3" xfId="28702"/>
    <cellStyle name="Normal 12 5 2 2 2 5" xfId="16679"/>
    <cellStyle name="Normal 12 5 2 2 2 5 2" xfId="30704"/>
    <cellStyle name="Normal 12 5 2 2 2 6" xfId="18681"/>
    <cellStyle name="Normal 12 5 2 2 2 6 2" xfId="32706"/>
    <cellStyle name="Normal 12 5 2 2 2 7" xfId="24695"/>
    <cellStyle name="Normal 12 5 2 2 3" xfId="2059"/>
    <cellStyle name="Normal 12 5 2 2 3 2" xfId="12660"/>
    <cellStyle name="Normal 12 5 2 2 3 2 2" xfId="20685"/>
    <cellStyle name="Normal 12 5 2 2 3 2 2 2" xfId="34710"/>
    <cellStyle name="Normal 12 5 2 2 3 2 3" xfId="26699"/>
    <cellStyle name="Normal 12 5 2 2 3 3" xfId="14675"/>
    <cellStyle name="Normal 12 5 2 2 3 3 2" xfId="22690"/>
    <cellStyle name="Normal 12 5 2 2 3 3 2 2" xfId="36715"/>
    <cellStyle name="Normal 12 5 2 2 3 3 3" xfId="28704"/>
    <cellStyle name="Normal 12 5 2 2 3 4" xfId="16681"/>
    <cellStyle name="Normal 12 5 2 2 3 4 2" xfId="30706"/>
    <cellStyle name="Normal 12 5 2 2 3 5" xfId="18683"/>
    <cellStyle name="Normal 12 5 2 2 3 5 2" xfId="32708"/>
    <cellStyle name="Normal 12 5 2 2 3 6" xfId="24697"/>
    <cellStyle name="Normal 12 5 2 2 4" xfId="12657"/>
    <cellStyle name="Normal 12 5 2 2 4 2" xfId="20682"/>
    <cellStyle name="Normal 12 5 2 2 4 2 2" xfId="34707"/>
    <cellStyle name="Normal 12 5 2 2 4 3" xfId="26696"/>
    <cellStyle name="Normal 12 5 2 2 5" xfId="14672"/>
    <cellStyle name="Normal 12 5 2 2 5 2" xfId="22687"/>
    <cellStyle name="Normal 12 5 2 2 5 2 2" xfId="36712"/>
    <cellStyle name="Normal 12 5 2 2 5 3" xfId="28701"/>
    <cellStyle name="Normal 12 5 2 2 6" xfId="16678"/>
    <cellStyle name="Normal 12 5 2 2 6 2" xfId="30703"/>
    <cellStyle name="Normal 12 5 2 2 7" xfId="18680"/>
    <cellStyle name="Normal 12 5 2 2 7 2" xfId="32705"/>
    <cellStyle name="Normal 12 5 2 2 8" xfId="24694"/>
    <cellStyle name="Normal 12 5 2 3" xfId="2060"/>
    <cellStyle name="Normal 12 5 2 3 2" xfId="2061"/>
    <cellStyle name="Normal 12 5 2 3 2 2" xfId="12662"/>
    <cellStyle name="Normal 12 5 2 3 2 2 2" xfId="20687"/>
    <cellStyle name="Normal 12 5 2 3 2 2 2 2" xfId="34712"/>
    <cellStyle name="Normal 12 5 2 3 2 2 3" xfId="26701"/>
    <cellStyle name="Normal 12 5 2 3 2 3" xfId="14677"/>
    <cellStyle name="Normal 12 5 2 3 2 3 2" xfId="22692"/>
    <cellStyle name="Normal 12 5 2 3 2 3 2 2" xfId="36717"/>
    <cellStyle name="Normal 12 5 2 3 2 3 3" xfId="28706"/>
    <cellStyle name="Normal 12 5 2 3 2 4" xfId="16683"/>
    <cellStyle name="Normal 12 5 2 3 2 4 2" xfId="30708"/>
    <cellStyle name="Normal 12 5 2 3 2 5" xfId="18685"/>
    <cellStyle name="Normal 12 5 2 3 2 5 2" xfId="32710"/>
    <cellStyle name="Normal 12 5 2 3 2 6" xfId="24699"/>
    <cellStyle name="Normal 12 5 2 3 3" xfId="12661"/>
    <cellStyle name="Normal 12 5 2 3 3 2" xfId="20686"/>
    <cellStyle name="Normal 12 5 2 3 3 2 2" xfId="34711"/>
    <cellStyle name="Normal 12 5 2 3 3 3" xfId="26700"/>
    <cellStyle name="Normal 12 5 2 3 4" xfId="14676"/>
    <cellStyle name="Normal 12 5 2 3 4 2" xfId="22691"/>
    <cellStyle name="Normal 12 5 2 3 4 2 2" xfId="36716"/>
    <cellStyle name="Normal 12 5 2 3 4 3" xfId="28705"/>
    <cellStyle name="Normal 12 5 2 3 5" xfId="16682"/>
    <cellStyle name="Normal 12 5 2 3 5 2" xfId="30707"/>
    <cellStyle name="Normal 12 5 2 3 6" xfId="18684"/>
    <cellStyle name="Normal 12 5 2 3 6 2" xfId="32709"/>
    <cellStyle name="Normal 12 5 2 3 7" xfId="24698"/>
    <cellStyle name="Normal 12 5 2 4" xfId="2062"/>
    <cellStyle name="Normal 12 5 2 4 2" xfId="2063"/>
    <cellStyle name="Normal 12 5 2 4 2 2" xfId="12664"/>
    <cellStyle name="Normal 12 5 2 4 2 2 2" xfId="20689"/>
    <cellStyle name="Normal 12 5 2 4 2 2 2 2" xfId="34714"/>
    <cellStyle name="Normal 12 5 2 4 2 2 3" xfId="26703"/>
    <cellStyle name="Normal 12 5 2 4 2 3" xfId="14679"/>
    <cellStyle name="Normal 12 5 2 4 2 3 2" xfId="22694"/>
    <cellStyle name="Normal 12 5 2 4 2 3 2 2" xfId="36719"/>
    <cellStyle name="Normal 12 5 2 4 2 3 3" xfId="28708"/>
    <cellStyle name="Normal 12 5 2 4 2 4" xfId="16685"/>
    <cellStyle name="Normal 12 5 2 4 2 4 2" xfId="30710"/>
    <cellStyle name="Normal 12 5 2 4 2 5" xfId="18687"/>
    <cellStyle name="Normal 12 5 2 4 2 5 2" xfId="32712"/>
    <cellStyle name="Normal 12 5 2 4 2 6" xfId="24701"/>
    <cellStyle name="Normal 12 5 2 4 3" xfId="12663"/>
    <cellStyle name="Normal 12 5 2 4 3 2" xfId="20688"/>
    <cellStyle name="Normal 12 5 2 4 3 2 2" xfId="34713"/>
    <cellStyle name="Normal 12 5 2 4 3 3" xfId="26702"/>
    <cellStyle name="Normal 12 5 2 4 4" xfId="14678"/>
    <cellStyle name="Normal 12 5 2 4 4 2" xfId="22693"/>
    <cellStyle name="Normal 12 5 2 4 4 2 2" xfId="36718"/>
    <cellStyle name="Normal 12 5 2 4 4 3" xfId="28707"/>
    <cellStyle name="Normal 12 5 2 4 5" xfId="16684"/>
    <cellStyle name="Normal 12 5 2 4 5 2" xfId="30709"/>
    <cellStyle name="Normal 12 5 2 4 6" xfId="18686"/>
    <cellStyle name="Normal 12 5 2 4 6 2" xfId="32711"/>
    <cellStyle name="Normal 12 5 2 4 7" xfId="24700"/>
    <cellStyle name="Normal 12 5 2 5" xfId="2064"/>
    <cellStyle name="Normal 12 5 2 5 2" xfId="12665"/>
    <cellStyle name="Normal 12 5 2 5 2 2" xfId="20690"/>
    <cellStyle name="Normal 12 5 2 5 2 2 2" xfId="34715"/>
    <cellStyle name="Normal 12 5 2 5 2 3" xfId="26704"/>
    <cellStyle name="Normal 12 5 2 5 3" xfId="14680"/>
    <cellStyle name="Normal 12 5 2 5 3 2" xfId="22695"/>
    <cellStyle name="Normal 12 5 2 5 3 2 2" xfId="36720"/>
    <cellStyle name="Normal 12 5 2 5 3 3" xfId="28709"/>
    <cellStyle name="Normal 12 5 2 5 4" xfId="16686"/>
    <cellStyle name="Normal 12 5 2 5 4 2" xfId="30711"/>
    <cellStyle name="Normal 12 5 2 5 5" xfId="18688"/>
    <cellStyle name="Normal 12 5 2 5 5 2" xfId="32713"/>
    <cellStyle name="Normal 12 5 2 5 6" xfId="24702"/>
    <cellStyle name="Normal 12 5 2 6" xfId="12656"/>
    <cellStyle name="Normal 12 5 2 6 2" xfId="20681"/>
    <cellStyle name="Normal 12 5 2 6 2 2" xfId="34706"/>
    <cellStyle name="Normal 12 5 2 6 3" xfId="26695"/>
    <cellStyle name="Normal 12 5 2 7" xfId="14671"/>
    <cellStyle name="Normal 12 5 2 7 2" xfId="22686"/>
    <cellStyle name="Normal 12 5 2 7 2 2" xfId="36711"/>
    <cellStyle name="Normal 12 5 2 7 3" xfId="28700"/>
    <cellStyle name="Normal 12 5 2 8" xfId="16677"/>
    <cellStyle name="Normal 12 5 2 8 2" xfId="30702"/>
    <cellStyle name="Normal 12 5 2 9" xfId="18679"/>
    <cellStyle name="Normal 12 5 2 9 2" xfId="32704"/>
    <cellStyle name="Normal 12 5 3" xfId="2065"/>
    <cellStyle name="Normal 12 5 3 2" xfId="2066"/>
    <cellStyle name="Normal 12 5 3 2 2" xfId="2067"/>
    <cellStyle name="Normal 12 5 3 2 2 2" xfId="12668"/>
    <cellStyle name="Normal 12 5 3 2 2 2 2" xfId="20693"/>
    <cellStyle name="Normal 12 5 3 2 2 2 2 2" xfId="34718"/>
    <cellStyle name="Normal 12 5 3 2 2 2 3" xfId="26707"/>
    <cellStyle name="Normal 12 5 3 2 2 3" xfId="14683"/>
    <cellStyle name="Normal 12 5 3 2 2 3 2" xfId="22698"/>
    <cellStyle name="Normal 12 5 3 2 2 3 2 2" xfId="36723"/>
    <cellStyle name="Normal 12 5 3 2 2 3 3" xfId="28712"/>
    <cellStyle name="Normal 12 5 3 2 2 4" xfId="16689"/>
    <cellStyle name="Normal 12 5 3 2 2 4 2" xfId="30714"/>
    <cellStyle name="Normal 12 5 3 2 2 5" xfId="18691"/>
    <cellStyle name="Normal 12 5 3 2 2 5 2" xfId="32716"/>
    <cellStyle name="Normal 12 5 3 2 2 6" xfId="24705"/>
    <cellStyle name="Normal 12 5 3 2 3" xfId="12667"/>
    <cellStyle name="Normal 12 5 3 2 3 2" xfId="20692"/>
    <cellStyle name="Normal 12 5 3 2 3 2 2" xfId="34717"/>
    <cellStyle name="Normal 12 5 3 2 3 3" xfId="26706"/>
    <cellStyle name="Normal 12 5 3 2 4" xfId="14682"/>
    <cellStyle name="Normal 12 5 3 2 4 2" xfId="22697"/>
    <cellStyle name="Normal 12 5 3 2 4 2 2" xfId="36722"/>
    <cellStyle name="Normal 12 5 3 2 4 3" xfId="28711"/>
    <cellStyle name="Normal 12 5 3 2 5" xfId="16688"/>
    <cellStyle name="Normal 12 5 3 2 5 2" xfId="30713"/>
    <cellStyle name="Normal 12 5 3 2 6" xfId="18690"/>
    <cellStyle name="Normal 12 5 3 2 6 2" xfId="32715"/>
    <cellStyle name="Normal 12 5 3 2 7" xfId="24704"/>
    <cellStyle name="Normal 12 5 3 3" xfId="2068"/>
    <cellStyle name="Normal 12 5 3 3 2" xfId="12669"/>
    <cellStyle name="Normal 12 5 3 3 2 2" xfId="20694"/>
    <cellStyle name="Normal 12 5 3 3 2 2 2" xfId="34719"/>
    <cellStyle name="Normal 12 5 3 3 2 3" xfId="26708"/>
    <cellStyle name="Normal 12 5 3 3 3" xfId="14684"/>
    <cellStyle name="Normal 12 5 3 3 3 2" xfId="22699"/>
    <cellStyle name="Normal 12 5 3 3 3 2 2" xfId="36724"/>
    <cellStyle name="Normal 12 5 3 3 3 3" xfId="28713"/>
    <cellStyle name="Normal 12 5 3 3 4" xfId="16690"/>
    <cellStyle name="Normal 12 5 3 3 4 2" xfId="30715"/>
    <cellStyle name="Normal 12 5 3 3 5" xfId="18692"/>
    <cellStyle name="Normal 12 5 3 3 5 2" xfId="32717"/>
    <cellStyle name="Normal 12 5 3 3 6" xfId="24706"/>
    <cellStyle name="Normal 12 5 3 4" xfId="12666"/>
    <cellStyle name="Normal 12 5 3 4 2" xfId="20691"/>
    <cellStyle name="Normal 12 5 3 4 2 2" xfId="34716"/>
    <cellStyle name="Normal 12 5 3 4 3" xfId="26705"/>
    <cellStyle name="Normal 12 5 3 5" xfId="14681"/>
    <cellStyle name="Normal 12 5 3 5 2" xfId="22696"/>
    <cellStyle name="Normal 12 5 3 5 2 2" xfId="36721"/>
    <cellStyle name="Normal 12 5 3 5 3" xfId="28710"/>
    <cellStyle name="Normal 12 5 3 6" xfId="16687"/>
    <cellStyle name="Normal 12 5 3 6 2" xfId="30712"/>
    <cellStyle name="Normal 12 5 3 7" xfId="18689"/>
    <cellStyle name="Normal 12 5 3 7 2" xfId="32714"/>
    <cellStyle name="Normal 12 5 3 8" xfId="24703"/>
    <cellStyle name="Normal 12 5 4" xfId="2069"/>
    <cellStyle name="Normal 12 5 4 2" xfId="2070"/>
    <cellStyle name="Normal 12 5 4 2 2" xfId="12671"/>
    <cellStyle name="Normal 12 5 4 2 2 2" xfId="20696"/>
    <cellStyle name="Normal 12 5 4 2 2 2 2" xfId="34721"/>
    <cellStyle name="Normal 12 5 4 2 2 3" xfId="26710"/>
    <cellStyle name="Normal 12 5 4 2 3" xfId="14686"/>
    <cellStyle name="Normal 12 5 4 2 3 2" xfId="22701"/>
    <cellStyle name="Normal 12 5 4 2 3 2 2" xfId="36726"/>
    <cellStyle name="Normal 12 5 4 2 3 3" xfId="28715"/>
    <cellStyle name="Normal 12 5 4 2 4" xfId="16692"/>
    <cellStyle name="Normal 12 5 4 2 4 2" xfId="30717"/>
    <cellStyle name="Normal 12 5 4 2 5" xfId="18694"/>
    <cellStyle name="Normal 12 5 4 2 5 2" xfId="32719"/>
    <cellStyle name="Normal 12 5 4 2 6" xfId="24708"/>
    <cellStyle name="Normal 12 5 4 3" xfId="12670"/>
    <cellStyle name="Normal 12 5 4 3 2" xfId="20695"/>
    <cellStyle name="Normal 12 5 4 3 2 2" xfId="34720"/>
    <cellStyle name="Normal 12 5 4 3 3" xfId="26709"/>
    <cellStyle name="Normal 12 5 4 4" xfId="14685"/>
    <cellStyle name="Normal 12 5 4 4 2" xfId="22700"/>
    <cellStyle name="Normal 12 5 4 4 2 2" xfId="36725"/>
    <cellStyle name="Normal 12 5 4 4 3" xfId="28714"/>
    <cellStyle name="Normal 12 5 4 5" xfId="16691"/>
    <cellStyle name="Normal 12 5 4 5 2" xfId="30716"/>
    <cellStyle name="Normal 12 5 4 6" xfId="18693"/>
    <cellStyle name="Normal 12 5 4 6 2" xfId="32718"/>
    <cellStyle name="Normal 12 5 4 7" xfId="24707"/>
    <cellStyle name="Normal 12 5 5" xfId="2071"/>
    <cellStyle name="Normal 12 5 5 2" xfId="2072"/>
    <cellStyle name="Normal 12 5 5 2 2" xfId="12673"/>
    <cellStyle name="Normal 12 5 5 2 2 2" xfId="20698"/>
    <cellStyle name="Normal 12 5 5 2 2 2 2" xfId="34723"/>
    <cellStyle name="Normal 12 5 5 2 2 3" xfId="26712"/>
    <cellStyle name="Normal 12 5 5 2 3" xfId="14688"/>
    <cellStyle name="Normal 12 5 5 2 3 2" xfId="22703"/>
    <cellStyle name="Normal 12 5 5 2 3 2 2" xfId="36728"/>
    <cellStyle name="Normal 12 5 5 2 3 3" xfId="28717"/>
    <cellStyle name="Normal 12 5 5 2 4" xfId="16694"/>
    <cellStyle name="Normal 12 5 5 2 4 2" xfId="30719"/>
    <cellStyle name="Normal 12 5 5 2 5" xfId="18696"/>
    <cellStyle name="Normal 12 5 5 2 5 2" xfId="32721"/>
    <cellStyle name="Normal 12 5 5 2 6" xfId="24710"/>
    <cellStyle name="Normal 12 5 5 3" xfId="12672"/>
    <cellStyle name="Normal 12 5 5 3 2" xfId="20697"/>
    <cellStyle name="Normal 12 5 5 3 2 2" xfId="34722"/>
    <cellStyle name="Normal 12 5 5 3 3" xfId="26711"/>
    <cellStyle name="Normal 12 5 5 4" xfId="14687"/>
    <cellStyle name="Normal 12 5 5 4 2" xfId="22702"/>
    <cellStyle name="Normal 12 5 5 4 2 2" xfId="36727"/>
    <cellStyle name="Normal 12 5 5 4 3" xfId="28716"/>
    <cellStyle name="Normal 12 5 5 5" xfId="16693"/>
    <cellStyle name="Normal 12 5 5 5 2" xfId="30718"/>
    <cellStyle name="Normal 12 5 5 6" xfId="18695"/>
    <cellStyle name="Normal 12 5 5 6 2" xfId="32720"/>
    <cellStyle name="Normal 12 5 5 7" xfId="24709"/>
    <cellStyle name="Normal 12 5 6" xfId="2073"/>
    <cellStyle name="Normal 12 5 6 2" xfId="12674"/>
    <cellStyle name="Normal 12 5 6 2 2" xfId="20699"/>
    <cellStyle name="Normal 12 5 6 2 2 2" xfId="34724"/>
    <cellStyle name="Normal 12 5 6 2 3" xfId="26713"/>
    <cellStyle name="Normal 12 5 6 3" xfId="14689"/>
    <cellStyle name="Normal 12 5 6 3 2" xfId="22704"/>
    <cellStyle name="Normal 12 5 6 3 2 2" xfId="36729"/>
    <cellStyle name="Normal 12 5 6 3 3" xfId="28718"/>
    <cellStyle name="Normal 12 5 6 4" xfId="16695"/>
    <cellStyle name="Normal 12 5 6 4 2" xfId="30720"/>
    <cellStyle name="Normal 12 5 6 5" xfId="18697"/>
    <cellStyle name="Normal 12 5 6 5 2" xfId="32722"/>
    <cellStyle name="Normal 12 5 6 6" xfId="24711"/>
    <cellStyle name="Normal 12 5 7" xfId="12655"/>
    <cellStyle name="Normal 12 5 7 2" xfId="20680"/>
    <cellStyle name="Normal 12 5 7 2 2" xfId="34705"/>
    <cellStyle name="Normal 12 5 7 3" xfId="26694"/>
    <cellStyle name="Normal 12 5 8" xfId="14670"/>
    <cellStyle name="Normal 12 5 8 2" xfId="22685"/>
    <cellStyle name="Normal 12 5 8 2 2" xfId="36710"/>
    <cellStyle name="Normal 12 5 8 3" xfId="28699"/>
    <cellStyle name="Normal 12 5 9" xfId="16676"/>
    <cellStyle name="Normal 12 5 9 2" xfId="30701"/>
    <cellStyle name="Normal 12 6" xfId="2074"/>
    <cellStyle name="Normal 12 6 10" xfId="24712"/>
    <cellStyle name="Normal 12 6 2" xfId="2075"/>
    <cellStyle name="Normal 12 6 2 2" xfId="2076"/>
    <cellStyle name="Normal 12 6 2 2 2" xfId="2077"/>
    <cellStyle name="Normal 12 6 2 2 2 2" xfId="12678"/>
    <cellStyle name="Normal 12 6 2 2 2 2 2" xfId="20703"/>
    <cellStyle name="Normal 12 6 2 2 2 2 2 2" xfId="34728"/>
    <cellStyle name="Normal 12 6 2 2 2 2 3" xfId="26717"/>
    <cellStyle name="Normal 12 6 2 2 2 3" xfId="14693"/>
    <cellStyle name="Normal 12 6 2 2 2 3 2" xfId="22708"/>
    <cellStyle name="Normal 12 6 2 2 2 3 2 2" xfId="36733"/>
    <cellStyle name="Normal 12 6 2 2 2 3 3" xfId="28722"/>
    <cellStyle name="Normal 12 6 2 2 2 4" xfId="16699"/>
    <cellStyle name="Normal 12 6 2 2 2 4 2" xfId="30724"/>
    <cellStyle name="Normal 12 6 2 2 2 5" xfId="18701"/>
    <cellStyle name="Normal 12 6 2 2 2 5 2" xfId="32726"/>
    <cellStyle name="Normal 12 6 2 2 2 6" xfId="24715"/>
    <cellStyle name="Normal 12 6 2 2 3" xfId="12677"/>
    <cellStyle name="Normal 12 6 2 2 3 2" xfId="20702"/>
    <cellStyle name="Normal 12 6 2 2 3 2 2" xfId="34727"/>
    <cellStyle name="Normal 12 6 2 2 3 3" xfId="26716"/>
    <cellStyle name="Normal 12 6 2 2 4" xfId="14692"/>
    <cellStyle name="Normal 12 6 2 2 4 2" xfId="22707"/>
    <cellStyle name="Normal 12 6 2 2 4 2 2" xfId="36732"/>
    <cellStyle name="Normal 12 6 2 2 4 3" xfId="28721"/>
    <cellStyle name="Normal 12 6 2 2 5" xfId="16698"/>
    <cellStyle name="Normal 12 6 2 2 5 2" xfId="30723"/>
    <cellStyle name="Normal 12 6 2 2 6" xfId="18700"/>
    <cellStyle name="Normal 12 6 2 2 6 2" xfId="32725"/>
    <cellStyle name="Normal 12 6 2 2 7" xfId="24714"/>
    <cellStyle name="Normal 12 6 2 3" xfId="2078"/>
    <cellStyle name="Normal 12 6 2 3 2" xfId="12679"/>
    <cellStyle name="Normal 12 6 2 3 2 2" xfId="20704"/>
    <cellStyle name="Normal 12 6 2 3 2 2 2" xfId="34729"/>
    <cellStyle name="Normal 12 6 2 3 2 3" xfId="26718"/>
    <cellStyle name="Normal 12 6 2 3 3" xfId="14694"/>
    <cellStyle name="Normal 12 6 2 3 3 2" xfId="22709"/>
    <cellStyle name="Normal 12 6 2 3 3 2 2" xfId="36734"/>
    <cellStyle name="Normal 12 6 2 3 3 3" xfId="28723"/>
    <cellStyle name="Normal 12 6 2 3 4" xfId="16700"/>
    <cellStyle name="Normal 12 6 2 3 4 2" xfId="30725"/>
    <cellStyle name="Normal 12 6 2 3 5" xfId="18702"/>
    <cellStyle name="Normal 12 6 2 3 5 2" xfId="32727"/>
    <cellStyle name="Normal 12 6 2 3 6" xfId="24716"/>
    <cellStyle name="Normal 12 6 2 4" xfId="12676"/>
    <cellStyle name="Normal 12 6 2 4 2" xfId="20701"/>
    <cellStyle name="Normal 12 6 2 4 2 2" xfId="34726"/>
    <cellStyle name="Normal 12 6 2 4 3" xfId="26715"/>
    <cellStyle name="Normal 12 6 2 5" xfId="14691"/>
    <cellStyle name="Normal 12 6 2 5 2" xfId="22706"/>
    <cellStyle name="Normal 12 6 2 5 2 2" xfId="36731"/>
    <cellStyle name="Normal 12 6 2 5 3" xfId="28720"/>
    <cellStyle name="Normal 12 6 2 6" xfId="16697"/>
    <cellStyle name="Normal 12 6 2 6 2" xfId="30722"/>
    <cellStyle name="Normal 12 6 2 7" xfId="18699"/>
    <cellStyle name="Normal 12 6 2 7 2" xfId="32724"/>
    <cellStyle name="Normal 12 6 2 8" xfId="24713"/>
    <cellStyle name="Normal 12 6 3" xfId="2079"/>
    <cellStyle name="Normal 12 6 3 2" xfId="2080"/>
    <cellStyle name="Normal 12 6 3 2 2" xfId="12681"/>
    <cellStyle name="Normal 12 6 3 2 2 2" xfId="20706"/>
    <cellStyle name="Normal 12 6 3 2 2 2 2" xfId="34731"/>
    <cellStyle name="Normal 12 6 3 2 2 3" xfId="26720"/>
    <cellStyle name="Normal 12 6 3 2 3" xfId="14696"/>
    <cellStyle name="Normal 12 6 3 2 3 2" xfId="22711"/>
    <cellStyle name="Normal 12 6 3 2 3 2 2" xfId="36736"/>
    <cellStyle name="Normal 12 6 3 2 3 3" xfId="28725"/>
    <cellStyle name="Normal 12 6 3 2 4" xfId="16702"/>
    <cellStyle name="Normal 12 6 3 2 4 2" xfId="30727"/>
    <cellStyle name="Normal 12 6 3 2 5" xfId="18704"/>
    <cellStyle name="Normal 12 6 3 2 5 2" xfId="32729"/>
    <cellStyle name="Normal 12 6 3 2 6" xfId="24718"/>
    <cellStyle name="Normal 12 6 3 3" xfId="12680"/>
    <cellStyle name="Normal 12 6 3 3 2" xfId="20705"/>
    <cellStyle name="Normal 12 6 3 3 2 2" xfId="34730"/>
    <cellStyle name="Normal 12 6 3 3 3" xfId="26719"/>
    <cellStyle name="Normal 12 6 3 4" xfId="14695"/>
    <cellStyle name="Normal 12 6 3 4 2" xfId="22710"/>
    <cellStyle name="Normal 12 6 3 4 2 2" xfId="36735"/>
    <cellStyle name="Normal 12 6 3 4 3" xfId="28724"/>
    <cellStyle name="Normal 12 6 3 5" xfId="16701"/>
    <cellStyle name="Normal 12 6 3 5 2" xfId="30726"/>
    <cellStyle name="Normal 12 6 3 6" xfId="18703"/>
    <cellStyle name="Normal 12 6 3 6 2" xfId="32728"/>
    <cellStyle name="Normal 12 6 3 7" xfId="24717"/>
    <cellStyle name="Normal 12 6 4" xfId="2081"/>
    <cellStyle name="Normal 12 6 4 2" xfId="2082"/>
    <cellStyle name="Normal 12 6 4 2 2" xfId="12683"/>
    <cellStyle name="Normal 12 6 4 2 2 2" xfId="20708"/>
    <cellStyle name="Normal 12 6 4 2 2 2 2" xfId="34733"/>
    <cellStyle name="Normal 12 6 4 2 2 3" xfId="26722"/>
    <cellStyle name="Normal 12 6 4 2 3" xfId="14698"/>
    <cellStyle name="Normal 12 6 4 2 3 2" xfId="22713"/>
    <cellStyle name="Normal 12 6 4 2 3 2 2" xfId="36738"/>
    <cellStyle name="Normal 12 6 4 2 3 3" xfId="28727"/>
    <cellStyle name="Normal 12 6 4 2 4" xfId="16704"/>
    <cellStyle name="Normal 12 6 4 2 4 2" xfId="30729"/>
    <cellStyle name="Normal 12 6 4 2 5" xfId="18706"/>
    <cellStyle name="Normal 12 6 4 2 5 2" xfId="32731"/>
    <cellStyle name="Normal 12 6 4 2 6" xfId="24720"/>
    <cellStyle name="Normal 12 6 4 3" xfId="12682"/>
    <cellStyle name="Normal 12 6 4 3 2" xfId="20707"/>
    <cellStyle name="Normal 12 6 4 3 2 2" xfId="34732"/>
    <cellStyle name="Normal 12 6 4 3 3" xfId="26721"/>
    <cellStyle name="Normal 12 6 4 4" xfId="14697"/>
    <cellStyle name="Normal 12 6 4 4 2" xfId="22712"/>
    <cellStyle name="Normal 12 6 4 4 2 2" xfId="36737"/>
    <cellStyle name="Normal 12 6 4 4 3" xfId="28726"/>
    <cellStyle name="Normal 12 6 4 5" xfId="16703"/>
    <cellStyle name="Normal 12 6 4 5 2" xfId="30728"/>
    <cellStyle name="Normal 12 6 4 6" xfId="18705"/>
    <cellStyle name="Normal 12 6 4 6 2" xfId="32730"/>
    <cellStyle name="Normal 12 6 4 7" xfId="24719"/>
    <cellStyle name="Normal 12 6 5" xfId="2083"/>
    <cellStyle name="Normal 12 6 5 2" xfId="12684"/>
    <cellStyle name="Normal 12 6 5 2 2" xfId="20709"/>
    <cellStyle name="Normal 12 6 5 2 2 2" xfId="34734"/>
    <cellStyle name="Normal 12 6 5 2 3" xfId="26723"/>
    <cellStyle name="Normal 12 6 5 3" xfId="14699"/>
    <cellStyle name="Normal 12 6 5 3 2" xfId="22714"/>
    <cellStyle name="Normal 12 6 5 3 2 2" xfId="36739"/>
    <cellStyle name="Normal 12 6 5 3 3" xfId="28728"/>
    <cellStyle name="Normal 12 6 5 4" xfId="16705"/>
    <cellStyle name="Normal 12 6 5 4 2" xfId="30730"/>
    <cellStyle name="Normal 12 6 5 5" xfId="18707"/>
    <cellStyle name="Normal 12 6 5 5 2" xfId="32732"/>
    <cellStyle name="Normal 12 6 5 6" xfId="24721"/>
    <cellStyle name="Normal 12 6 6" xfId="12675"/>
    <cellStyle name="Normal 12 6 6 2" xfId="20700"/>
    <cellStyle name="Normal 12 6 6 2 2" xfId="34725"/>
    <cellStyle name="Normal 12 6 6 3" xfId="26714"/>
    <cellStyle name="Normal 12 6 7" xfId="14690"/>
    <cellStyle name="Normal 12 6 7 2" xfId="22705"/>
    <cellStyle name="Normal 12 6 7 2 2" xfId="36730"/>
    <cellStyle name="Normal 12 6 7 3" xfId="28719"/>
    <cellStyle name="Normal 12 6 8" xfId="16696"/>
    <cellStyle name="Normal 12 6 8 2" xfId="30721"/>
    <cellStyle name="Normal 12 6 9" xfId="18698"/>
    <cellStyle name="Normal 12 6 9 2" xfId="32723"/>
    <cellStyle name="Normal 12 7" xfId="2084"/>
    <cellStyle name="Normal 12 7 2" xfId="2085"/>
    <cellStyle name="Normal 12 7 2 2" xfId="2086"/>
    <cellStyle name="Normal 12 7 2 2 2" xfId="12687"/>
    <cellStyle name="Normal 12 7 2 2 2 2" xfId="20712"/>
    <cellStyle name="Normal 12 7 2 2 2 2 2" xfId="34737"/>
    <cellStyle name="Normal 12 7 2 2 2 3" xfId="26726"/>
    <cellStyle name="Normal 12 7 2 2 3" xfId="14702"/>
    <cellStyle name="Normal 12 7 2 2 3 2" xfId="22717"/>
    <cellStyle name="Normal 12 7 2 2 3 2 2" xfId="36742"/>
    <cellStyle name="Normal 12 7 2 2 3 3" xfId="28731"/>
    <cellStyle name="Normal 12 7 2 2 4" xfId="16708"/>
    <cellStyle name="Normal 12 7 2 2 4 2" xfId="30733"/>
    <cellStyle name="Normal 12 7 2 2 5" xfId="18710"/>
    <cellStyle name="Normal 12 7 2 2 5 2" xfId="32735"/>
    <cellStyle name="Normal 12 7 2 2 6" xfId="24724"/>
    <cellStyle name="Normal 12 7 2 3" xfId="12686"/>
    <cellStyle name="Normal 12 7 2 3 2" xfId="20711"/>
    <cellStyle name="Normal 12 7 2 3 2 2" xfId="34736"/>
    <cellStyle name="Normal 12 7 2 3 3" xfId="26725"/>
    <cellStyle name="Normal 12 7 2 4" xfId="14701"/>
    <cellStyle name="Normal 12 7 2 4 2" xfId="22716"/>
    <cellStyle name="Normal 12 7 2 4 2 2" xfId="36741"/>
    <cellStyle name="Normal 12 7 2 4 3" xfId="28730"/>
    <cellStyle name="Normal 12 7 2 5" xfId="16707"/>
    <cellStyle name="Normal 12 7 2 5 2" xfId="30732"/>
    <cellStyle name="Normal 12 7 2 6" xfId="18709"/>
    <cellStyle name="Normal 12 7 2 6 2" xfId="32734"/>
    <cellStyle name="Normal 12 7 2 7" xfId="24723"/>
    <cellStyle name="Normal 12 7 3" xfId="2087"/>
    <cellStyle name="Normal 12 7 3 2" xfId="12688"/>
    <cellStyle name="Normal 12 7 3 2 2" xfId="20713"/>
    <cellStyle name="Normal 12 7 3 2 2 2" xfId="34738"/>
    <cellStyle name="Normal 12 7 3 2 3" xfId="26727"/>
    <cellStyle name="Normal 12 7 3 3" xfId="14703"/>
    <cellStyle name="Normal 12 7 3 3 2" xfId="22718"/>
    <cellStyle name="Normal 12 7 3 3 2 2" xfId="36743"/>
    <cellStyle name="Normal 12 7 3 3 3" xfId="28732"/>
    <cellStyle name="Normal 12 7 3 4" xfId="16709"/>
    <cellStyle name="Normal 12 7 3 4 2" xfId="30734"/>
    <cellStyle name="Normal 12 7 3 5" xfId="18711"/>
    <cellStyle name="Normal 12 7 3 5 2" xfId="32736"/>
    <cellStyle name="Normal 12 7 3 6" xfId="24725"/>
    <cellStyle name="Normal 12 7 4" xfId="12685"/>
    <cellStyle name="Normal 12 7 4 2" xfId="20710"/>
    <cellStyle name="Normal 12 7 4 2 2" xfId="34735"/>
    <cellStyle name="Normal 12 7 4 3" xfId="26724"/>
    <cellStyle name="Normal 12 7 5" xfId="14700"/>
    <cellStyle name="Normal 12 7 5 2" xfId="22715"/>
    <cellStyle name="Normal 12 7 5 2 2" xfId="36740"/>
    <cellStyle name="Normal 12 7 5 3" xfId="28729"/>
    <cellStyle name="Normal 12 7 6" xfId="16706"/>
    <cellStyle name="Normal 12 7 6 2" xfId="30731"/>
    <cellStyle name="Normal 12 7 7" xfId="18708"/>
    <cellStyle name="Normal 12 7 7 2" xfId="32733"/>
    <cellStyle name="Normal 12 7 8" xfId="24722"/>
    <cellStyle name="Normal 12 8" xfId="2088"/>
    <cellStyle name="Normal 12 8 2" xfId="2089"/>
    <cellStyle name="Normal 12 8 2 2" xfId="12690"/>
    <cellStyle name="Normal 12 8 2 2 2" xfId="20715"/>
    <cellStyle name="Normal 12 8 2 2 2 2" xfId="34740"/>
    <cellStyle name="Normal 12 8 2 2 3" xfId="26729"/>
    <cellStyle name="Normal 12 8 2 3" xfId="14705"/>
    <cellStyle name="Normal 12 8 2 3 2" xfId="22720"/>
    <cellStyle name="Normal 12 8 2 3 2 2" xfId="36745"/>
    <cellStyle name="Normal 12 8 2 3 3" xfId="28734"/>
    <cellStyle name="Normal 12 8 2 4" xfId="16711"/>
    <cellStyle name="Normal 12 8 2 4 2" xfId="30736"/>
    <cellStyle name="Normal 12 8 2 5" xfId="18713"/>
    <cellStyle name="Normal 12 8 2 5 2" xfId="32738"/>
    <cellStyle name="Normal 12 8 2 6" xfId="24727"/>
    <cellStyle name="Normal 12 8 3" xfId="12689"/>
    <cellStyle name="Normal 12 8 3 2" xfId="20714"/>
    <cellStyle name="Normal 12 8 3 2 2" xfId="34739"/>
    <cellStyle name="Normal 12 8 3 3" xfId="26728"/>
    <cellStyle name="Normal 12 8 4" xfId="14704"/>
    <cellStyle name="Normal 12 8 4 2" xfId="22719"/>
    <cellStyle name="Normal 12 8 4 2 2" xfId="36744"/>
    <cellStyle name="Normal 12 8 4 3" xfId="28733"/>
    <cellStyle name="Normal 12 8 5" xfId="16710"/>
    <cellStyle name="Normal 12 8 5 2" xfId="30735"/>
    <cellStyle name="Normal 12 8 6" xfId="18712"/>
    <cellStyle name="Normal 12 8 6 2" xfId="32737"/>
    <cellStyle name="Normal 12 8 7" xfId="24726"/>
    <cellStyle name="Normal 12 9" xfId="2090"/>
    <cellStyle name="Normal 12 9 2" xfId="2091"/>
    <cellStyle name="Normal 12 9 2 2" xfId="12692"/>
    <cellStyle name="Normal 12 9 2 2 2" xfId="20717"/>
    <cellStyle name="Normal 12 9 2 2 2 2" xfId="34742"/>
    <cellStyle name="Normal 12 9 2 2 3" xfId="26731"/>
    <cellStyle name="Normal 12 9 2 3" xfId="14707"/>
    <cellStyle name="Normal 12 9 2 3 2" xfId="22722"/>
    <cellStyle name="Normal 12 9 2 3 2 2" xfId="36747"/>
    <cellStyle name="Normal 12 9 2 3 3" xfId="28736"/>
    <cellStyle name="Normal 12 9 2 4" xfId="16713"/>
    <cellStyle name="Normal 12 9 2 4 2" xfId="30738"/>
    <cellStyle name="Normal 12 9 2 5" xfId="18715"/>
    <cellStyle name="Normal 12 9 2 5 2" xfId="32740"/>
    <cellStyle name="Normal 12 9 2 6" xfId="24729"/>
    <cellStyle name="Normal 12 9 3" xfId="12691"/>
    <cellStyle name="Normal 12 9 3 2" xfId="20716"/>
    <cellStyle name="Normal 12 9 3 2 2" xfId="34741"/>
    <cellStyle name="Normal 12 9 3 3" xfId="26730"/>
    <cellStyle name="Normal 12 9 4" xfId="14706"/>
    <cellStyle name="Normal 12 9 4 2" xfId="22721"/>
    <cellStyle name="Normal 12 9 4 2 2" xfId="36746"/>
    <cellStyle name="Normal 12 9 4 3" xfId="28735"/>
    <cellStyle name="Normal 12 9 5" xfId="16712"/>
    <cellStyle name="Normal 12 9 5 2" xfId="30737"/>
    <cellStyle name="Normal 12 9 6" xfId="18714"/>
    <cellStyle name="Normal 12 9 6 2" xfId="32739"/>
    <cellStyle name="Normal 12 9 7" xfId="24728"/>
    <cellStyle name="Normal 12_3 - Revenue Credits" xfId="487"/>
    <cellStyle name="Normal 13" xfId="488"/>
    <cellStyle name="Normal 13 10" xfId="11629"/>
    <cellStyle name="Normal 13 2" xfId="489"/>
    <cellStyle name="Normal 13 2 10" xfId="11630"/>
    <cellStyle name="Normal 13 2 2" xfId="490"/>
    <cellStyle name="Normal 13 2 2 2" xfId="2092"/>
    <cellStyle name="Normal 13 2 2 2 10" xfId="18716"/>
    <cellStyle name="Normal 13 2 2 2 10 2" xfId="32741"/>
    <cellStyle name="Normal 13 2 2 2 11" xfId="24730"/>
    <cellStyle name="Normal 13 2 2 2 2" xfId="2093"/>
    <cellStyle name="Normal 13 2 2 2 2 10" xfId="24731"/>
    <cellStyle name="Normal 13 2 2 2 2 2" xfId="2094"/>
    <cellStyle name="Normal 13 2 2 2 2 2 2" xfId="2095"/>
    <cellStyle name="Normal 13 2 2 2 2 2 2 2" xfId="2096"/>
    <cellStyle name="Normal 13 2 2 2 2 2 2 2 2" xfId="12697"/>
    <cellStyle name="Normal 13 2 2 2 2 2 2 2 2 2" xfId="20722"/>
    <cellStyle name="Normal 13 2 2 2 2 2 2 2 2 2 2" xfId="34747"/>
    <cellStyle name="Normal 13 2 2 2 2 2 2 2 2 3" xfId="26736"/>
    <cellStyle name="Normal 13 2 2 2 2 2 2 2 3" xfId="14712"/>
    <cellStyle name="Normal 13 2 2 2 2 2 2 2 3 2" xfId="22727"/>
    <cellStyle name="Normal 13 2 2 2 2 2 2 2 3 2 2" xfId="36752"/>
    <cellStyle name="Normal 13 2 2 2 2 2 2 2 3 3" xfId="28741"/>
    <cellStyle name="Normal 13 2 2 2 2 2 2 2 4" xfId="16718"/>
    <cellStyle name="Normal 13 2 2 2 2 2 2 2 4 2" xfId="30743"/>
    <cellStyle name="Normal 13 2 2 2 2 2 2 2 5" xfId="18720"/>
    <cellStyle name="Normal 13 2 2 2 2 2 2 2 5 2" xfId="32745"/>
    <cellStyle name="Normal 13 2 2 2 2 2 2 2 6" xfId="24734"/>
    <cellStyle name="Normal 13 2 2 2 2 2 2 3" xfId="12696"/>
    <cellStyle name="Normal 13 2 2 2 2 2 2 3 2" xfId="20721"/>
    <cellStyle name="Normal 13 2 2 2 2 2 2 3 2 2" xfId="34746"/>
    <cellStyle name="Normal 13 2 2 2 2 2 2 3 3" xfId="26735"/>
    <cellStyle name="Normal 13 2 2 2 2 2 2 4" xfId="14711"/>
    <cellStyle name="Normal 13 2 2 2 2 2 2 4 2" xfId="22726"/>
    <cellStyle name="Normal 13 2 2 2 2 2 2 4 2 2" xfId="36751"/>
    <cellStyle name="Normal 13 2 2 2 2 2 2 4 3" xfId="28740"/>
    <cellStyle name="Normal 13 2 2 2 2 2 2 5" xfId="16717"/>
    <cellStyle name="Normal 13 2 2 2 2 2 2 5 2" xfId="30742"/>
    <cellStyle name="Normal 13 2 2 2 2 2 2 6" xfId="18719"/>
    <cellStyle name="Normal 13 2 2 2 2 2 2 6 2" xfId="32744"/>
    <cellStyle name="Normal 13 2 2 2 2 2 2 7" xfId="24733"/>
    <cellStyle name="Normal 13 2 2 2 2 2 3" xfId="2097"/>
    <cellStyle name="Normal 13 2 2 2 2 2 3 2" xfId="12698"/>
    <cellStyle name="Normal 13 2 2 2 2 2 3 2 2" xfId="20723"/>
    <cellStyle name="Normal 13 2 2 2 2 2 3 2 2 2" xfId="34748"/>
    <cellStyle name="Normal 13 2 2 2 2 2 3 2 3" xfId="26737"/>
    <cellStyle name="Normal 13 2 2 2 2 2 3 3" xfId="14713"/>
    <cellStyle name="Normal 13 2 2 2 2 2 3 3 2" xfId="22728"/>
    <cellStyle name="Normal 13 2 2 2 2 2 3 3 2 2" xfId="36753"/>
    <cellStyle name="Normal 13 2 2 2 2 2 3 3 3" xfId="28742"/>
    <cellStyle name="Normal 13 2 2 2 2 2 3 4" xfId="16719"/>
    <cellStyle name="Normal 13 2 2 2 2 2 3 4 2" xfId="30744"/>
    <cellStyle name="Normal 13 2 2 2 2 2 3 5" xfId="18721"/>
    <cellStyle name="Normal 13 2 2 2 2 2 3 5 2" xfId="32746"/>
    <cellStyle name="Normal 13 2 2 2 2 2 3 6" xfId="24735"/>
    <cellStyle name="Normal 13 2 2 2 2 2 4" xfId="12695"/>
    <cellStyle name="Normal 13 2 2 2 2 2 4 2" xfId="20720"/>
    <cellStyle name="Normal 13 2 2 2 2 2 4 2 2" xfId="34745"/>
    <cellStyle name="Normal 13 2 2 2 2 2 4 3" xfId="26734"/>
    <cellStyle name="Normal 13 2 2 2 2 2 5" xfId="14710"/>
    <cellStyle name="Normal 13 2 2 2 2 2 5 2" xfId="22725"/>
    <cellStyle name="Normal 13 2 2 2 2 2 5 2 2" xfId="36750"/>
    <cellStyle name="Normal 13 2 2 2 2 2 5 3" xfId="28739"/>
    <cellStyle name="Normal 13 2 2 2 2 2 6" xfId="16716"/>
    <cellStyle name="Normal 13 2 2 2 2 2 6 2" xfId="30741"/>
    <cellStyle name="Normal 13 2 2 2 2 2 7" xfId="18718"/>
    <cellStyle name="Normal 13 2 2 2 2 2 7 2" xfId="32743"/>
    <cellStyle name="Normal 13 2 2 2 2 2 8" xfId="24732"/>
    <cellStyle name="Normal 13 2 2 2 2 3" xfId="2098"/>
    <cellStyle name="Normal 13 2 2 2 2 3 2" xfId="2099"/>
    <cellStyle name="Normal 13 2 2 2 2 3 2 2" xfId="12700"/>
    <cellStyle name="Normal 13 2 2 2 2 3 2 2 2" xfId="20725"/>
    <cellStyle name="Normal 13 2 2 2 2 3 2 2 2 2" xfId="34750"/>
    <cellStyle name="Normal 13 2 2 2 2 3 2 2 3" xfId="26739"/>
    <cellStyle name="Normal 13 2 2 2 2 3 2 3" xfId="14715"/>
    <cellStyle name="Normal 13 2 2 2 2 3 2 3 2" xfId="22730"/>
    <cellStyle name="Normal 13 2 2 2 2 3 2 3 2 2" xfId="36755"/>
    <cellStyle name="Normal 13 2 2 2 2 3 2 3 3" xfId="28744"/>
    <cellStyle name="Normal 13 2 2 2 2 3 2 4" xfId="16721"/>
    <cellStyle name="Normal 13 2 2 2 2 3 2 4 2" xfId="30746"/>
    <cellStyle name="Normal 13 2 2 2 2 3 2 5" xfId="18723"/>
    <cellStyle name="Normal 13 2 2 2 2 3 2 5 2" xfId="32748"/>
    <cellStyle name="Normal 13 2 2 2 2 3 2 6" xfId="24737"/>
    <cellStyle name="Normal 13 2 2 2 2 3 3" xfId="12699"/>
    <cellStyle name="Normal 13 2 2 2 2 3 3 2" xfId="20724"/>
    <cellStyle name="Normal 13 2 2 2 2 3 3 2 2" xfId="34749"/>
    <cellStyle name="Normal 13 2 2 2 2 3 3 3" xfId="26738"/>
    <cellStyle name="Normal 13 2 2 2 2 3 4" xfId="14714"/>
    <cellStyle name="Normal 13 2 2 2 2 3 4 2" xfId="22729"/>
    <cellStyle name="Normal 13 2 2 2 2 3 4 2 2" xfId="36754"/>
    <cellStyle name="Normal 13 2 2 2 2 3 4 3" xfId="28743"/>
    <cellStyle name="Normal 13 2 2 2 2 3 5" xfId="16720"/>
    <cellStyle name="Normal 13 2 2 2 2 3 5 2" xfId="30745"/>
    <cellStyle name="Normal 13 2 2 2 2 3 6" xfId="18722"/>
    <cellStyle name="Normal 13 2 2 2 2 3 6 2" xfId="32747"/>
    <cellStyle name="Normal 13 2 2 2 2 3 7" xfId="24736"/>
    <cellStyle name="Normal 13 2 2 2 2 4" xfId="2100"/>
    <cellStyle name="Normal 13 2 2 2 2 4 2" xfId="2101"/>
    <cellStyle name="Normal 13 2 2 2 2 4 2 2" xfId="12702"/>
    <cellStyle name="Normal 13 2 2 2 2 4 2 2 2" xfId="20727"/>
    <cellStyle name="Normal 13 2 2 2 2 4 2 2 2 2" xfId="34752"/>
    <cellStyle name="Normal 13 2 2 2 2 4 2 2 3" xfId="26741"/>
    <cellStyle name="Normal 13 2 2 2 2 4 2 3" xfId="14717"/>
    <cellStyle name="Normal 13 2 2 2 2 4 2 3 2" xfId="22732"/>
    <cellStyle name="Normal 13 2 2 2 2 4 2 3 2 2" xfId="36757"/>
    <cellStyle name="Normal 13 2 2 2 2 4 2 3 3" xfId="28746"/>
    <cellStyle name="Normal 13 2 2 2 2 4 2 4" xfId="16723"/>
    <cellStyle name="Normal 13 2 2 2 2 4 2 4 2" xfId="30748"/>
    <cellStyle name="Normal 13 2 2 2 2 4 2 5" xfId="18725"/>
    <cellStyle name="Normal 13 2 2 2 2 4 2 5 2" xfId="32750"/>
    <cellStyle name="Normal 13 2 2 2 2 4 2 6" xfId="24739"/>
    <cellStyle name="Normal 13 2 2 2 2 4 3" xfId="12701"/>
    <cellStyle name="Normal 13 2 2 2 2 4 3 2" xfId="20726"/>
    <cellStyle name="Normal 13 2 2 2 2 4 3 2 2" xfId="34751"/>
    <cellStyle name="Normal 13 2 2 2 2 4 3 3" xfId="26740"/>
    <cellStyle name="Normal 13 2 2 2 2 4 4" xfId="14716"/>
    <cellStyle name="Normal 13 2 2 2 2 4 4 2" xfId="22731"/>
    <cellStyle name="Normal 13 2 2 2 2 4 4 2 2" xfId="36756"/>
    <cellStyle name="Normal 13 2 2 2 2 4 4 3" xfId="28745"/>
    <cellStyle name="Normal 13 2 2 2 2 4 5" xfId="16722"/>
    <cellStyle name="Normal 13 2 2 2 2 4 5 2" xfId="30747"/>
    <cellStyle name="Normal 13 2 2 2 2 4 6" xfId="18724"/>
    <cellStyle name="Normal 13 2 2 2 2 4 6 2" xfId="32749"/>
    <cellStyle name="Normal 13 2 2 2 2 4 7" xfId="24738"/>
    <cellStyle name="Normal 13 2 2 2 2 5" xfId="2102"/>
    <cellStyle name="Normal 13 2 2 2 2 5 2" xfId="12703"/>
    <cellStyle name="Normal 13 2 2 2 2 5 2 2" xfId="20728"/>
    <cellStyle name="Normal 13 2 2 2 2 5 2 2 2" xfId="34753"/>
    <cellStyle name="Normal 13 2 2 2 2 5 2 3" xfId="26742"/>
    <cellStyle name="Normal 13 2 2 2 2 5 3" xfId="14718"/>
    <cellStyle name="Normal 13 2 2 2 2 5 3 2" xfId="22733"/>
    <cellStyle name="Normal 13 2 2 2 2 5 3 2 2" xfId="36758"/>
    <cellStyle name="Normal 13 2 2 2 2 5 3 3" xfId="28747"/>
    <cellStyle name="Normal 13 2 2 2 2 5 4" xfId="16724"/>
    <cellStyle name="Normal 13 2 2 2 2 5 4 2" xfId="30749"/>
    <cellStyle name="Normal 13 2 2 2 2 5 5" xfId="18726"/>
    <cellStyle name="Normal 13 2 2 2 2 5 5 2" xfId="32751"/>
    <cellStyle name="Normal 13 2 2 2 2 5 6" xfId="24740"/>
    <cellStyle name="Normal 13 2 2 2 2 6" xfId="12694"/>
    <cellStyle name="Normal 13 2 2 2 2 6 2" xfId="20719"/>
    <cellStyle name="Normal 13 2 2 2 2 6 2 2" xfId="34744"/>
    <cellStyle name="Normal 13 2 2 2 2 6 3" xfId="26733"/>
    <cellStyle name="Normal 13 2 2 2 2 7" xfId="14709"/>
    <cellStyle name="Normal 13 2 2 2 2 7 2" xfId="22724"/>
    <cellStyle name="Normal 13 2 2 2 2 7 2 2" xfId="36749"/>
    <cellStyle name="Normal 13 2 2 2 2 7 3" xfId="28738"/>
    <cellStyle name="Normal 13 2 2 2 2 8" xfId="16715"/>
    <cellStyle name="Normal 13 2 2 2 2 8 2" xfId="30740"/>
    <cellStyle name="Normal 13 2 2 2 2 9" xfId="18717"/>
    <cellStyle name="Normal 13 2 2 2 2 9 2" xfId="32742"/>
    <cellStyle name="Normal 13 2 2 2 3" xfId="2103"/>
    <cellStyle name="Normal 13 2 2 2 3 2" xfId="2104"/>
    <cellStyle name="Normal 13 2 2 2 3 2 2" xfId="2105"/>
    <cellStyle name="Normal 13 2 2 2 3 2 2 2" xfId="12706"/>
    <cellStyle name="Normal 13 2 2 2 3 2 2 2 2" xfId="20731"/>
    <cellStyle name="Normal 13 2 2 2 3 2 2 2 2 2" xfId="34756"/>
    <cellStyle name="Normal 13 2 2 2 3 2 2 2 3" xfId="26745"/>
    <cellStyle name="Normal 13 2 2 2 3 2 2 3" xfId="14721"/>
    <cellStyle name="Normal 13 2 2 2 3 2 2 3 2" xfId="22736"/>
    <cellStyle name="Normal 13 2 2 2 3 2 2 3 2 2" xfId="36761"/>
    <cellStyle name="Normal 13 2 2 2 3 2 2 3 3" xfId="28750"/>
    <cellStyle name="Normal 13 2 2 2 3 2 2 4" xfId="16727"/>
    <cellStyle name="Normal 13 2 2 2 3 2 2 4 2" xfId="30752"/>
    <cellStyle name="Normal 13 2 2 2 3 2 2 5" xfId="18729"/>
    <cellStyle name="Normal 13 2 2 2 3 2 2 5 2" xfId="32754"/>
    <cellStyle name="Normal 13 2 2 2 3 2 2 6" xfId="24743"/>
    <cellStyle name="Normal 13 2 2 2 3 2 3" xfId="12705"/>
    <cellStyle name="Normal 13 2 2 2 3 2 3 2" xfId="20730"/>
    <cellStyle name="Normal 13 2 2 2 3 2 3 2 2" xfId="34755"/>
    <cellStyle name="Normal 13 2 2 2 3 2 3 3" xfId="26744"/>
    <cellStyle name="Normal 13 2 2 2 3 2 4" xfId="14720"/>
    <cellStyle name="Normal 13 2 2 2 3 2 4 2" xfId="22735"/>
    <cellStyle name="Normal 13 2 2 2 3 2 4 2 2" xfId="36760"/>
    <cellStyle name="Normal 13 2 2 2 3 2 4 3" xfId="28749"/>
    <cellStyle name="Normal 13 2 2 2 3 2 5" xfId="16726"/>
    <cellStyle name="Normal 13 2 2 2 3 2 5 2" xfId="30751"/>
    <cellStyle name="Normal 13 2 2 2 3 2 6" xfId="18728"/>
    <cellStyle name="Normal 13 2 2 2 3 2 6 2" xfId="32753"/>
    <cellStyle name="Normal 13 2 2 2 3 2 7" xfId="24742"/>
    <cellStyle name="Normal 13 2 2 2 3 3" xfId="2106"/>
    <cellStyle name="Normal 13 2 2 2 3 3 2" xfId="12707"/>
    <cellStyle name="Normal 13 2 2 2 3 3 2 2" xfId="20732"/>
    <cellStyle name="Normal 13 2 2 2 3 3 2 2 2" xfId="34757"/>
    <cellStyle name="Normal 13 2 2 2 3 3 2 3" xfId="26746"/>
    <cellStyle name="Normal 13 2 2 2 3 3 3" xfId="14722"/>
    <cellStyle name="Normal 13 2 2 2 3 3 3 2" xfId="22737"/>
    <cellStyle name="Normal 13 2 2 2 3 3 3 2 2" xfId="36762"/>
    <cellStyle name="Normal 13 2 2 2 3 3 3 3" xfId="28751"/>
    <cellStyle name="Normal 13 2 2 2 3 3 4" xfId="16728"/>
    <cellStyle name="Normal 13 2 2 2 3 3 4 2" xfId="30753"/>
    <cellStyle name="Normal 13 2 2 2 3 3 5" xfId="18730"/>
    <cellStyle name="Normal 13 2 2 2 3 3 5 2" xfId="32755"/>
    <cellStyle name="Normal 13 2 2 2 3 3 6" xfId="24744"/>
    <cellStyle name="Normal 13 2 2 2 3 4" xfId="12704"/>
    <cellStyle name="Normal 13 2 2 2 3 4 2" xfId="20729"/>
    <cellStyle name="Normal 13 2 2 2 3 4 2 2" xfId="34754"/>
    <cellStyle name="Normal 13 2 2 2 3 4 3" xfId="26743"/>
    <cellStyle name="Normal 13 2 2 2 3 5" xfId="14719"/>
    <cellStyle name="Normal 13 2 2 2 3 5 2" xfId="22734"/>
    <cellStyle name="Normal 13 2 2 2 3 5 2 2" xfId="36759"/>
    <cellStyle name="Normal 13 2 2 2 3 5 3" xfId="28748"/>
    <cellStyle name="Normal 13 2 2 2 3 6" xfId="16725"/>
    <cellStyle name="Normal 13 2 2 2 3 6 2" xfId="30750"/>
    <cellStyle name="Normal 13 2 2 2 3 7" xfId="18727"/>
    <cellStyle name="Normal 13 2 2 2 3 7 2" xfId="32752"/>
    <cellStyle name="Normal 13 2 2 2 3 8" xfId="24741"/>
    <cellStyle name="Normal 13 2 2 2 4" xfId="2107"/>
    <cellStyle name="Normal 13 2 2 2 4 2" xfId="2108"/>
    <cellStyle name="Normal 13 2 2 2 4 2 2" xfId="12709"/>
    <cellStyle name="Normal 13 2 2 2 4 2 2 2" xfId="20734"/>
    <cellStyle name="Normal 13 2 2 2 4 2 2 2 2" xfId="34759"/>
    <cellStyle name="Normal 13 2 2 2 4 2 2 3" xfId="26748"/>
    <cellStyle name="Normal 13 2 2 2 4 2 3" xfId="14724"/>
    <cellStyle name="Normal 13 2 2 2 4 2 3 2" xfId="22739"/>
    <cellStyle name="Normal 13 2 2 2 4 2 3 2 2" xfId="36764"/>
    <cellStyle name="Normal 13 2 2 2 4 2 3 3" xfId="28753"/>
    <cellStyle name="Normal 13 2 2 2 4 2 4" xfId="16730"/>
    <cellStyle name="Normal 13 2 2 2 4 2 4 2" xfId="30755"/>
    <cellStyle name="Normal 13 2 2 2 4 2 5" xfId="18732"/>
    <cellStyle name="Normal 13 2 2 2 4 2 5 2" xfId="32757"/>
    <cellStyle name="Normal 13 2 2 2 4 2 6" xfId="24746"/>
    <cellStyle name="Normal 13 2 2 2 4 3" xfId="12708"/>
    <cellStyle name="Normal 13 2 2 2 4 3 2" xfId="20733"/>
    <cellStyle name="Normal 13 2 2 2 4 3 2 2" xfId="34758"/>
    <cellStyle name="Normal 13 2 2 2 4 3 3" xfId="26747"/>
    <cellStyle name="Normal 13 2 2 2 4 4" xfId="14723"/>
    <cellStyle name="Normal 13 2 2 2 4 4 2" xfId="22738"/>
    <cellStyle name="Normal 13 2 2 2 4 4 2 2" xfId="36763"/>
    <cellStyle name="Normal 13 2 2 2 4 4 3" xfId="28752"/>
    <cellStyle name="Normal 13 2 2 2 4 5" xfId="16729"/>
    <cellStyle name="Normal 13 2 2 2 4 5 2" xfId="30754"/>
    <cellStyle name="Normal 13 2 2 2 4 6" xfId="18731"/>
    <cellStyle name="Normal 13 2 2 2 4 6 2" xfId="32756"/>
    <cellStyle name="Normal 13 2 2 2 4 7" xfId="24745"/>
    <cellStyle name="Normal 13 2 2 2 5" xfId="2109"/>
    <cellStyle name="Normal 13 2 2 2 5 2" xfId="2110"/>
    <cellStyle name="Normal 13 2 2 2 5 2 2" xfId="12711"/>
    <cellStyle name="Normal 13 2 2 2 5 2 2 2" xfId="20736"/>
    <cellStyle name="Normal 13 2 2 2 5 2 2 2 2" xfId="34761"/>
    <cellStyle name="Normal 13 2 2 2 5 2 2 3" xfId="26750"/>
    <cellStyle name="Normal 13 2 2 2 5 2 3" xfId="14726"/>
    <cellStyle name="Normal 13 2 2 2 5 2 3 2" xfId="22741"/>
    <cellStyle name="Normal 13 2 2 2 5 2 3 2 2" xfId="36766"/>
    <cellStyle name="Normal 13 2 2 2 5 2 3 3" xfId="28755"/>
    <cellStyle name="Normal 13 2 2 2 5 2 4" xfId="16732"/>
    <cellStyle name="Normal 13 2 2 2 5 2 4 2" xfId="30757"/>
    <cellStyle name="Normal 13 2 2 2 5 2 5" xfId="18734"/>
    <cellStyle name="Normal 13 2 2 2 5 2 5 2" xfId="32759"/>
    <cellStyle name="Normal 13 2 2 2 5 2 6" xfId="24748"/>
    <cellStyle name="Normal 13 2 2 2 5 3" xfId="12710"/>
    <cellStyle name="Normal 13 2 2 2 5 3 2" xfId="20735"/>
    <cellStyle name="Normal 13 2 2 2 5 3 2 2" xfId="34760"/>
    <cellStyle name="Normal 13 2 2 2 5 3 3" xfId="26749"/>
    <cellStyle name="Normal 13 2 2 2 5 4" xfId="14725"/>
    <cellStyle name="Normal 13 2 2 2 5 4 2" xfId="22740"/>
    <cellStyle name="Normal 13 2 2 2 5 4 2 2" xfId="36765"/>
    <cellStyle name="Normal 13 2 2 2 5 4 3" xfId="28754"/>
    <cellStyle name="Normal 13 2 2 2 5 5" xfId="16731"/>
    <cellStyle name="Normal 13 2 2 2 5 5 2" xfId="30756"/>
    <cellStyle name="Normal 13 2 2 2 5 6" xfId="18733"/>
    <cellStyle name="Normal 13 2 2 2 5 6 2" xfId="32758"/>
    <cellStyle name="Normal 13 2 2 2 5 7" xfId="24747"/>
    <cellStyle name="Normal 13 2 2 2 6" xfId="2111"/>
    <cellStyle name="Normal 13 2 2 2 6 2" xfId="12712"/>
    <cellStyle name="Normal 13 2 2 2 6 2 2" xfId="20737"/>
    <cellStyle name="Normal 13 2 2 2 6 2 2 2" xfId="34762"/>
    <cellStyle name="Normal 13 2 2 2 6 2 3" xfId="26751"/>
    <cellStyle name="Normal 13 2 2 2 6 3" xfId="14727"/>
    <cellStyle name="Normal 13 2 2 2 6 3 2" xfId="22742"/>
    <cellStyle name="Normal 13 2 2 2 6 3 2 2" xfId="36767"/>
    <cellStyle name="Normal 13 2 2 2 6 3 3" xfId="28756"/>
    <cellStyle name="Normal 13 2 2 2 6 4" xfId="16733"/>
    <cellStyle name="Normal 13 2 2 2 6 4 2" xfId="30758"/>
    <cellStyle name="Normal 13 2 2 2 6 5" xfId="18735"/>
    <cellStyle name="Normal 13 2 2 2 6 5 2" xfId="32760"/>
    <cellStyle name="Normal 13 2 2 2 6 6" xfId="24749"/>
    <cellStyle name="Normal 13 2 2 2 7" xfId="12693"/>
    <cellStyle name="Normal 13 2 2 2 7 2" xfId="20718"/>
    <cellStyle name="Normal 13 2 2 2 7 2 2" xfId="34743"/>
    <cellStyle name="Normal 13 2 2 2 7 3" xfId="26732"/>
    <cellStyle name="Normal 13 2 2 2 8" xfId="14708"/>
    <cellStyle name="Normal 13 2 2 2 8 2" xfId="22723"/>
    <cellStyle name="Normal 13 2 2 2 8 2 2" xfId="36748"/>
    <cellStyle name="Normal 13 2 2 2 8 3" xfId="28737"/>
    <cellStyle name="Normal 13 2 2 2 9" xfId="16714"/>
    <cellStyle name="Normal 13 2 2 2 9 2" xfId="30739"/>
    <cellStyle name="Normal 13 2 2 3" xfId="2112"/>
    <cellStyle name="Normal 13 2 2 3 10" xfId="24750"/>
    <cellStyle name="Normal 13 2 2 3 2" xfId="2113"/>
    <cellStyle name="Normal 13 2 2 3 2 2" xfId="2114"/>
    <cellStyle name="Normal 13 2 2 3 2 2 2" xfId="2115"/>
    <cellStyle name="Normal 13 2 2 3 2 2 2 2" xfId="12716"/>
    <cellStyle name="Normal 13 2 2 3 2 2 2 2 2" xfId="20741"/>
    <cellStyle name="Normal 13 2 2 3 2 2 2 2 2 2" xfId="34766"/>
    <cellStyle name="Normal 13 2 2 3 2 2 2 2 3" xfId="26755"/>
    <cellStyle name="Normal 13 2 2 3 2 2 2 3" xfId="14731"/>
    <cellStyle name="Normal 13 2 2 3 2 2 2 3 2" xfId="22746"/>
    <cellStyle name="Normal 13 2 2 3 2 2 2 3 2 2" xfId="36771"/>
    <cellStyle name="Normal 13 2 2 3 2 2 2 3 3" xfId="28760"/>
    <cellStyle name="Normal 13 2 2 3 2 2 2 4" xfId="16737"/>
    <cellStyle name="Normal 13 2 2 3 2 2 2 4 2" xfId="30762"/>
    <cellStyle name="Normal 13 2 2 3 2 2 2 5" xfId="18739"/>
    <cellStyle name="Normal 13 2 2 3 2 2 2 5 2" xfId="32764"/>
    <cellStyle name="Normal 13 2 2 3 2 2 2 6" xfId="24753"/>
    <cellStyle name="Normal 13 2 2 3 2 2 3" xfId="12715"/>
    <cellStyle name="Normal 13 2 2 3 2 2 3 2" xfId="20740"/>
    <cellStyle name="Normal 13 2 2 3 2 2 3 2 2" xfId="34765"/>
    <cellStyle name="Normal 13 2 2 3 2 2 3 3" xfId="26754"/>
    <cellStyle name="Normal 13 2 2 3 2 2 4" xfId="14730"/>
    <cellStyle name="Normal 13 2 2 3 2 2 4 2" xfId="22745"/>
    <cellStyle name="Normal 13 2 2 3 2 2 4 2 2" xfId="36770"/>
    <cellStyle name="Normal 13 2 2 3 2 2 4 3" xfId="28759"/>
    <cellStyle name="Normal 13 2 2 3 2 2 5" xfId="16736"/>
    <cellStyle name="Normal 13 2 2 3 2 2 5 2" xfId="30761"/>
    <cellStyle name="Normal 13 2 2 3 2 2 6" xfId="18738"/>
    <cellStyle name="Normal 13 2 2 3 2 2 6 2" xfId="32763"/>
    <cellStyle name="Normal 13 2 2 3 2 2 7" xfId="24752"/>
    <cellStyle name="Normal 13 2 2 3 2 3" xfId="2116"/>
    <cellStyle name="Normal 13 2 2 3 2 3 2" xfId="12717"/>
    <cellStyle name="Normal 13 2 2 3 2 3 2 2" xfId="20742"/>
    <cellStyle name="Normal 13 2 2 3 2 3 2 2 2" xfId="34767"/>
    <cellStyle name="Normal 13 2 2 3 2 3 2 3" xfId="26756"/>
    <cellStyle name="Normal 13 2 2 3 2 3 3" xfId="14732"/>
    <cellStyle name="Normal 13 2 2 3 2 3 3 2" xfId="22747"/>
    <cellStyle name="Normal 13 2 2 3 2 3 3 2 2" xfId="36772"/>
    <cellStyle name="Normal 13 2 2 3 2 3 3 3" xfId="28761"/>
    <cellStyle name="Normal 13 2 2 3 2 3 4" xfId="16738"/>
    <cellStyle name="Normal 13 2 2 3 2 3 4 2" xfId="30763"/>
    <cellStyle name="Normal 13 2 2 3 2 3 5" xfId="18740"/>
    <cellStyle name="Normal 13 2 2 3 2 3 5 2" xfId="32765"/>
    <cellStyle name="Normal 13 2 2 3 2 3 6" xfId="24754"/>
    <cellStyle name="Normal 13 2 2 3 2 4" xfId="12714"/>
    <cellStyle name="Normal 13 2 2 3 2 4 2" xfId="20739"/>
    <cellStyle name="Normal 13 2 2 3 2 4 2 2" xfId="34764"/>
    <cellStyle name="Normal 13 2 2 3 2 4 3" xfId="26753"/>
    <cellStyle name="Normal 13 2 2 3 2 5" xfId="14729"/>
    <cellStyle name="Normal 13 2 2 3 2 5 2" xfId="22744"/>
    <cellStyle name="Normal 13 2 2 3 2 5 2 2" xfId="36769"/>
    <cellStyle name="Normal 13 2 2 3 2 5 3" xfId="28758"/>
    <cellStyle name="Normal 13 2 2 3 2 6" xfId="16735"/>
    <cellStyle name="Normal 13 2 2 3 2 6 2" xfId="30760"/>
    <cellStyle name="Normal 13 2 2 3 2 7" xfId="18737"/>
    <cellStyle name="Normal 13 2 2 3 2 7 2" xfId="32762"/>
    <cellStyle name="Normal 13 2 2 3 2 8" xfId="24751"/>
    <cellStyle name="Normal 13 2 2 3 3" xfId="2117"/>
    <cellStyle name="Normal 13 2 2 3 3 2" xfId="2118"/>
    <cellStyle name="Normal 13 2 2 3 3 2 2" xfId="12719"/>
    <cellStyle name="Normal 13 2 2 3 3 2 2 2" xfId="20744"/>
    <cellStyle name="Normal 13 2 2 3 3 2 2 2 2" xfId="34769"/>
    <cellStyle name="Normal 13 2 2 3 3 2 2 3" xfId="26758"/>
    <cellStyle name="Normal 13 2 2 3 3 2 3" xfId="14734"/>
    <cellStyle name="Normal 13 2 2 3 3 2 3 2" xfId="22749"/>
    <cellStyle name="Normal 13 2 2 3 3 2 3 2 2" xfId="36774"/>
    <cellStyle name="Normal 13 2 2 3 3 2 3 3" xfId="28763"/>
    <cellStyle name="Normal 13 2 2 3 3 2 4" xfId="16740"/>
    <cellStyle name="Normal 13 2 2 3 3 2 4 2" xfId="30765"/>
    <cellStyle name="Normal 13 2 2 3 3 2 5" xfId="18742"/>
    <cellStyle name="Normal 13 2 2 3 3 2 5 2" xfId="32767"/>
    <cellStyle name="Normal 13 2 2 3 3 2 6" xfId="24756"/>
    <cellStyle name="Normal 13 2 2 3 3 3" xfId="12718"/>
    <cellStyle name="Normal 13 2 2 3 3 3 2" xfId="20743"/>
    <cellStyle name="Normal 13 2 2 3 3 3 2 2" xfId="34768"/>
    <cellStyle name="Normal 13 2 2 3 3 3 3" xfId="26757"/>
    <cellStyle name="Normal 13 2 2 3 3 4" xfId="14733"/>
    <cellStyle name="Normal 13 2 2 3 3 4 2" xfId="22748"/>
    <cellStyle name="Normal 13 2 2 3 3 4 2 2" xfId="36773"/>
    <cellStyle name="Normal 13 2 2 3 3 4 3" xfId="28762"/>
    <cellStyle name="Normal 13 2 2 3 3 5" xfId="16739"/>
    <cellStyle name="Normal 13 2 2 3 3 5 2" xfId="30764"/>
    <cellStyle name="Normal 13 2 2 3 3 6" xfId="18741"/>
    <cellStyle name="Normal 13 2 2 3 3 6 2" xfId="32766"/>
    <cellStyle name="Normal 13 2 2 3 3 7" xfId="24755"/>
    <cellStyle name="Normal 13 2 2 3 4" xfId="2119"/>
    <cellStyle name="Normal 13 2 2 3 4 2" xfId="2120"/>
    <cellStyle name="Normal 13 2 2 3 4 2 2" xfId="12721"/>
    <cellStyle name="Normal 13 2 2 3 4 2 2 2" xfId="20746"/>
    <cellStyle name="Normal 13 2 2 3 4 2 2 2 2" xfId="34771"/>
    <cellStyle name="Normal 13 2 2 3 4 2 2 3" xfId="26760"/>
    <cellStyle name="Normal 13 2 2 3 4 2 3" xfId="14736"/>
    <cellStyle name="Normal 13 2 2 3 4 2 3 2" xfId="22751"/>
    <cellStyle name="Normal 13 2 2 3 4 2 3 2 2" xfId="36776"/>
    <cellStyle name="Normal 13 2 2 3 4 2 3 3" xfId="28765"/>
    <cellStyle name="Normal 13 2 2 3 4 2 4" xfId="16742"/>
    <cellStyle name="Normal 13 2 2 3 4 2 4 2" xfId="30767"/>
    <cellStyle name="Normal 13 2 2 3 4 2 5" xfId="18744"/>
    <cellStyle name="Normal 13 2 2 3 4 2 5 2" xfId="32769"/>
    <cellStyle name="Normal 13 2 2 3 4 2 6" xfId="24758"/>
    <cellStyle name="Normal 13 2 2 3 4 3" xfId="12720"/>
    <cellStyle name="Normal 13 2 2 3 4 3 2" xfId="20745"/>
    <cellStyle name="Normal 13 2 2 3 4 3 2 2" xfId="34770"/>
    <cellStyle name="Normal 13 2 2 3 4 3 3" xfId="26759"/>
    <cellStyle name="Normal 13 2 2 3 4 4" xfId="14735"/>
    <cellStyle name="Normal 13 2 2 3 4 4 2" xfId="22750"/>
    <cellStyle name="Normal 13 2 2 3 4 4 2 2" xfId="36775"/>
    <cellStyle name="Normal 13 2 2 3 4 4 3" xfId="28764"/>
    <cellStyle name="Normal 13 2 2 3 4 5" xfId="16741"/>
    <cellStyle name="Normal 13 2 2 3 4 5 2" xfId="30766"/>
    <cellStyle name="Normal 13 2 2 3 4 6" xfId="18743"/>
    <cellStyle name="Normal 13 2 2 3 4 6 2" xfId="32768"/>
    <cellStyle name="Normal 13 2 2 3 4 7" xfId="24757"/>
    <cellStyle name="Normal 13 2 2 3 5" xfId="2121"/>
    <cellStyle name="Normal 13 2 2 3 5 2" xfId="12722"/>
    <cellStyle name="Normal 13 2 2 3 5 2 2" xfId="20747"/>
    <cellStyle name="Normal 13 2 2 3 5 2 2 2" xfId="34772"/>
    <cellStyle name="Normal 13 2 2 3 5 2 3" xfId="26761"/>
    <cellStyle name="Normal 13 2 2 3 5 3" xfId="14737"/>
    <cellStyle name="Normal 13 2 2 3 5 3 2" xfId="22752"/>
    <cellStyle name="Normal 13 2 2 3 5 3 2 2" xfId="36777"/>
    <cellStyle name="Normal 13 2 2 3 5 3 3" xfId="28766"/>
    <cellStyle name="Normal 13 2 2 3 5 4" xfId="16743"/>
    <cellStyle name="Normal 13 2 2 3 5 4 2" xfId="30768"/>
    <cellStyle name="Normal 13 2 2 3 5 5" xfId="18745"/>
    <cellStyle name="Normal 13 2 2 3 5 5 2" xfId="32770"/>
    <cellStyle name="Normal 13 2 2 3 5 6" xfId="24759"/>
    <cellStyle name="Normal 13 2 2 3 6" xfId="12713"/>
    <cellStyle name="Normal 13 2 2 3 6 2" xfId="20738"/>
    <cellStyle name="Normal 13 2 2 3 6 2 2" xfId="34763"/>
    <cellStyle name="Normal 13 2 2 3 6 3" xfId="26752"/>
    <cellStyle name="Normal 13 2 2 3 7" xfId="14728"/>
    <cellStyle name="Normal 13 2 2 3 7 2" xfId="22743"/>
    <cellStyle name="Normal 13 2 2 3 7 2 2" xfId="36768"/>
    <cellStyle name="Normal 13 2 2 3 7 3" xfId="28757"/>
    <cellStyle name="Normal 13 2 2 3 8" xfId="16734"/>
    <cellStyle name="Normal 13 2 2 3 8 2" xfId="30759"/>
    <cellStyle name="Normal 13 2 2 3 9" xfId="18736"/>
    <cellStyle name="Normal 13 2 2 3 9 2" xfId="32761"/>
    <cellStyle name="Normal 13 2 2 4" xfId="2122"/>
    <cellStyle name="Normal 13 2 2 4 2" xfId="2123"/>
    <cellStyle name="Normal 13 2 2 4 2 2" xfId="2124"/>
    <cellStyle name="Normal 13 2 2 4 2 2 2" xfId="12725"/>
    <cellStyle name="Normal 13 2 2 4 2 2 2 2" xfId="20750"/>
    <cellStyle name="Normal 13 2 2 4 2 2 2 2 2" xfId="34775"/>
    <cellStyle name="Normal 13 2 2 4 2 2 2 3" xfId="26764"/>
    <cellStyle name="Normal 13 2 2 4 2 2 3" xfId="14740"/>
    <cellStyle name="Normal 13 2 2 4 2 2 3 2" xfId="22755"/>
    <cellStyle name="Normal 13 2 2 4 2 2 3 2 2" xfId="36780"/>
    <cellStyle name="Normal 13 2 2 4 2 2 3 3" xfId="28769"/>
    <cellStyle name="Normal 13 2 2 4 2 2 4" xfId="16746"/>
    <cellStyle name="Normal 13 2 2 4 2 2 4 2" xfId="30771"/>
    <cellStyle name="Normal 13 2 2 4 2 2 5" xfId="18748"/>
    <cellStyle name="Normal 13 2 2 4 2 2 5 2" xfId="32773"/>
    <cellStyle name="Normal 13 2 2 4 2 2 6" xfId="24762"/>
    <cellStyle name="Normal 13 2 2 4 2 3" xfId="12724"/>
    <cellStyle name="Normal 13 2 2 4 2 3 2" xfId="20749"/>
    <cellStyle name="Normal 13 2 2 4 2 3 2 2" xfId="34774"/>
    <cellStyle name="Normal 13 2 2 4 2 3 3" xfId="26763"/>
    <cellStyle name="Normal 13 2 2 4 2 4" xfId="14739"/>
    <cellStyle name="Normal 13 2 2 4 2 4 2" xfId="22754"/>
    <cellStyle name="Normal 13 2 2 4 2 4 2 2" xfId="36779"/>
    <cellStyle name="Normal 13 2 2 4 2 4 3" xfId="28768"/>
    <cellStyle name="Normal 13 2 2 4 2 5" xfId="16745"/>
    <cellStyle name="Normal 13 2 2 4 2 5 2" xfId="30770"/>
    <cellStyle name="Normal 13 2 2 4 2 6" xfId="18747"/>
    <cellStyle name="Normal 13 2 2 4 2 6 2" xfId="32772"/>
    <cellStyle name="Normal 13 2 2 4 2 7" xfId="24761"/>
    <cellStyle name="Normal 13 2 2 4 3" xfId="2125"/>
    <cellStyle name="Normal 13 2 2 4 3 2" xfId="12726"/>
    <cellStyle name="Normal 13 2 2 4 3 2 2" xfId="20751"/>
    <cellStyle name="Normal 13 2 2 4 3 2 2 2" xfId="34776"/>
    <cellStyle name="Normal 13 2 2 4 3 2 3" xfId="26765"/>
    <cellStyle name="Normal 13 2 2 4 3 3" xfId="14741"/>
    <cellStyle name="Normal 13 2 2 4 3 3 2" xfId="22756"/>
    <cellStyle name="Normal 13 2 2 4 3 3 2 2" xfId="36781"/>
    <cellStyle name="Normal 13 2 2 4 3 3 3" xfId="28770"/>
    <cellStyle name="Normal 13 2 2 4 3 4" xfId="16747"/>
    <cellStyle name="Normal 13 2 2 4 3 4 2" xfId="30772"/>
    <cellStyle name="Normal 13 2 2 4 3 5" xfId="18749"/>
    <cellStyle name="Normal 13 2 2 4 3 5 2" xfId="32774"/>
    <cellStyle name="Normal 13 2 2 4 3 6" xfId="24763"/>
    <cellStyle name="Normal 13 2 2 4 4" xfId="12723"/>
    <cellStyle name="Normal 13 2 2 4 4 2" xfId="20748"/>
    <cellStyle name="Normal 13 2 2 4 4 2 2" xfId="34773"/>
    <cellStyle name="Normal 13 2 2 4 4 3" xfId="26762"/>
    <cellStyle name="Normal 13 2 2 4 5" xfId="14738"/>
    <cellStyle name="Normal 13 2 2 4 5 2" xfId="22753"/>
    <cellStyle name="Normal 13 2 2 4 5 2 2" xfId="36778"/>
    <cellStyle name="Normal 13 2 2 4 5 3" xfId="28767"/>
    <cellStyle name="Normal 13 2 2 4 6" xfId="16744"/>
    <cellStyle name="Normal 13 2 2 4 6 2" xfId="30769"/>
    <cellStyle name="Normal 13 2 2 4 7" xfId="18746"/>
    <cellStyle name="Normal 13 2 2 4 7 2" xfId="32771"/>
    <cellStyle name="Normal 13 2 2 4 8" xfId="24760"/>
    <cellStyle name="Normal 13 2 2 5" xfId="2126"/>
    <cellStyle name="Normal 13 2 2 5 2" xfId="2127"/>
    <cellStyle name="Normal 13 2 2 5 2 2" xfId="12728"/>
    <cellStyle name="Normal 13 2 2 5 2 2 2" xfId="20753"/>
    <cellStyle name="Normal 13 2 2 5 2 2 2 2" xfId="34778"/>
    <cellStyle name="Normal 13 2 2 5 2 2 3" xfId="26767"/>
    <cellStyle name="Normal 13 2 2 5 2 3" xfId="14743"/>
    <cellStyle name="Normal 13 2 2 5 2 3 2" xfId="22758"/>
    <cellStyle name="Normal 13 2 2 5 2 3 2 2" xfId="36783"/>
    <cellStyle name="Normal 13 2 2 5 2 3 3" xfId="28772"/>
    <cellStyle name="Normal 13 2 2 5 2 4" xfId="16749"/>
    <cellStyle name="Normal 13 2 2 5 2 4 2" xfId="30774"/>
    <cellStyle name="Normal 13 2 2 5 2 5" xfId="18751"/>
    <cellStyle name="Normal 13 2 2 5 2 5 2" xfId="32776"/>
    <cellStyle name="Normal 13 2 2 5 2 6" xfId="24765"/>
    <cellStyle name="Normal 13 2 2 5 3" xfId="12727"/>
    <cellStyle name="Normal 13 2 2 5 3 2" xfId="20752"/>
    <cellStyle name="Normal 13 2 2 5 3 2 2" xfId="34777"/>
    <cellStyle name="Normal 13 2 2 5 3 3" xfId="26766"/>
    <cellStyle name="Normal 13 2 2 5 4" xfId="14742"/>
    <cellStyle name="Normal 13 2 2 5 4 2" xfId="22757"/>
    <cellStyle name="Normal 13 2 2 5 4 2 2" xfId="36782"/>
    <cellStyle name="Normal 13 2 2 5 4 3" xfId="28771"/>
    <cellStyle name="Normal 13 2 2 5 5" xfId="16748"/>
    <cellStyle name="Normal 13 2 2 5 5 2" xfId="30773"/>
    <cellStyle name="Normal 13 2 2 5 6" xfId="18750"/>
    <cellStyle name="Normal 13 2 2 5 6 2" xfId="32775"/>
    <cellStyle name="Normal 13 2 2 5 7" xfId="24764"/>
    <cellStyle name="Normal 13 2 2 6" xfId="2128"/>
    <cellStyle name="Normal 13 2 2 6 2" xfId="2129"/>
    <cellStyle name="Normal 13 2 2 6 2 2" xfId="12730"/>
    <cellStyle name="Normal 13 2 2 6 2 2 2" xfId="20755"/>
    <cellStyle name="Normal 13 2 2 6 2 2 2 2" xfId="34780"/>
    <cellStyle name="Normal 13 2 2 6 2 2 3" xfId="26769"/>
    <cellStyle name="Normal 13 2 2 6 2 3" xfId="14745"/>
    <cellStyle name="Normal 13 2 2 6 2 3 2" xfId="22760"/>
    <cellStyle name="Normal 13 2 2 6 2 3 2 2" xfId="36785"/>
    <cellStyle name="Normal 13 2 2 6 2 3 3" xfId="28774"/>
    <cellStyle name="Normal 13 2 2 6 2 4" xfId="16751"/>
    <cellStyle name="Normal 13 2 2 6 2 4 2" xfId="30776"/>
    <cellStyle name="Normal 13 2 2 6 2 5" xfId="18753"/>
    <cellStyle name="Normal 13 2 2 6 2 5 2" xfId="32778"/>
    <cellStyle name="Normal 13 2 2 6 2 6" xfId="24767"/>
    <cellStyle name="Normal 13 2 2 6 3" xfId="12729"/>
    <cellStyle name="Normal 13 2 2 6 3 2" xfId="20754"/>
    <cellStyle name="Normal 13 2 2 6 3 2 2" xfId="34779"/>
    <cellStyle name="Normal 13 2 2 6 3 3" xfId="26768"/>
    <cellStyle name="Normal 13 2 2 6 4" xfId="14744"/>
    <cellStyle name="Normal 13 2 2 6 4 2" xfId="22759"/>
    <cellStyle name="Normal 13 2 2 6 4 2 2" xfId="36784"/>
    <cellStyle name="Normal 13 2 2 6 4 3" xfId="28773"/>
    <cellStyle name="Normal 13 2 2 6 5" xfId="16750"/>
    <cellStyle name="Normal 13 2 2 6 5 2" xfId="30775"/>
    <cellStyle name="Normal 13 2 2 6 6" xfId="18752"/>
    <cellStyle name="Normal 13 2 2 6 6 2" xfId="32777"/>
    <cellStyle name="Normal 13 2 2 6 7" xfId="24766"/>
    <cellStyle name="Normal 13 2 2 7" xfId="2130"/>
    <cellStyle name="Normal 13 2 2 7 2" xfId="12731"/>
    <cellStyle name="Normal 13 2 2 7 2 2" xfId="20756"/>
    <cellStyle name="Normal 13 2 2 7 2 2 2" xfId="34781"/>
    <cellStyle name="Normal 13 2 2 7 2 3" xfId="26770"/>
    <cellStyle name="Normal 13 2 2 7 3" xfId="14746"/>
    <cellStyle name="Normal 13 2 2 7 3 2" xfId="22761"/>
    <cellStyle name="Normal 13 2 2 7 3 2 2" xfId="36786"/>
    <cellStyle name="Normal 13 2 2 7 3 3" xfId="28775"/>
    <cellStyle name="Normal 13 2 2 7 4" xfId="16752"/>
    <cellStyle name="Normal 13 2 2 7 4 2" xfId="30777"/>
    <cellStyle name="Normal 13 2 2 7 5" xfId="18754"/>
    <cellStyle name="Normal 13 2 2 7 5 2" xfId="32779"/>
    <cellStyle name="Normal 13 2 2 7 6" xfId="24768"/>
    <cellStyle name="Normal 13 2 3" xfId="2131"/>
    <cellStyle name="Normal 13 2 3 10" xfId="18755"/>
    <cellStyle name="Normal 13 2 3 10 2" xfId="32780"/>
    <cellStyle name="Normal 13 2 3 11" xfId="24769"/>
    <cellStyle name="Normal 13 2 3 2" xfId="2132"/>
    <cellStyle name="Normal 13 2 3 2 10" xfId="24770"/>
    <cellStyle name="Normal 13 2 3 2 2" xfId="2133"/>
    <cellStyle name="Normal 13 2 3 2 2 2" xfId="2134"/>
    <cellStyle name="Normal 13 2 3 2 2 2 2" xfId="2135"/>
    <cellStyle name="Normal 13 2 3 2 2 2 2 2" xfId="12736"/>
    <cellStyle name="Normal 13 2 3 2 2 2 2 2 2" xfId="20761"/>
    <cellStyle name="Normal 13 2 3 2 2 2 2 2 2 2" xfId="34786"/>
    <cellStyle name="Normal 13 2 3 2 2 2 2 2 3" xfId="26775"/>
    <cellStyle name="Normal 13 2 3 2 2 2 2 3" xfId="14751"/>
    <cellStyle name="Normal 13 2 3 2 2 2 2 3 2" xfId="22766"/>
    <cellStyle name="Normal 13 2 3 2 2 2 2 3 2 2" xfId="36791"/>
    <cellStyle name="Normal 13 2 3 2 2 2 2 3 3" xfId="28780"/>
    <cellStyle name="Normal 13 2 3 2 2 2 2 4" xfId="16757"/>
    <cellStyle name="Normal 13 2 3 2 2 2 2 4 2" xfId="30782"/>
    <cellStyle name="Normal 13 2 3 2 2 2 2 5" xfId="18759"/>
    <cellStyle name="Normal 13 2 3 2 2 2 2 5 2" xfId="32784"/>
    <cellStyle name="Normal 13 2 3 2 2 2 2 6" xfId="24773"/>
    <cellStyle name="Normal 13 2 3 2 2 2 3" xfId="12735"/>
    <cellStyle name="Normal 13 2 3 2 2 2 3 2" xfId="20760"/>
    <cellStyle name="Normal 13 2 3 2 2 2 3 2 2" xfId="34785"/>
    <cellStyle name="Normal 13 2 3 2 2 2 3 3" xfId="26774"/>
    <cellStyle name="Normal 13 2 3 2 2 2 4" xfId="14750"/>
    <cellStyle name="Normal 13 2 3 2 2 2 4 2" xfId="22765"/>
    <cellStyle name="Normal 13 2 3 2 2 2 4 2 2" xfId="36790"/>
    <cellStyle name="Normal 13 2 3 2 2 2 4 3" xfId="28779"/>
    <cellStyle name="Normal 13 2 3 2 2 2 5" xfId="16756"/>
    <cellStyle name="Normal 13 2 3 2 2 2 5 2" xfId="30781"/>
    <cellStyle name="Normal 13 2 3 2 2 2 6" xfId="18758"/>
    <cellStyle name="Normal 13 2 3 2 2 2 6 2" xfId="32783"/>
    <cellStyle name="Normal 13 2 3 2 2 2 7" xfId="24772"/>
    <cellStyle name="Normal 13 2 3 2 2 3" xfId="2136"/>
    <cellStyle name="Normal 13 2 3 2 2 3 2" xfId="12737"/>
    <cellStyle name="Normal 13 2 3 2 2 3 2 2" xfId="20762"/>
    <cellStyle name="Normal 13 2 3 2 2 3 2 2 2" xfId="34787"/>
    <cellStyle name="Normal 13 2 3 2 2 3 2 3" xfId="26776"/>
    <cellStyle name="Normal 13 2 3 2 2 3 3" xfId="14752"/>
    <cellStyle name="Normal 13 2 3 2 2 3 3 2" xfId="22767"/>
    <cellStyle name="Normal 13 2 3 2 2 3 3 2 2" xfId="36792"/>
    <cellStyle name="Normal 13 2 3 2 2 3 3 3" xfId="28781"/>
    <cellStyle name="Normal 13 2 3 2 2 3 4" xfId="16758"/>
    <cellStyle name="Normal 13 2 3 2 2 3 4 2" xfId="30783"/>
    <cellStyle name="Normal 13 2 3 2 2 3 5" xfId="18760"/>
    <cellStyle name="Normal 13 2 3 2 2 3 5 2" xfId="32785"/>
    <cellStyle name="Normal 13 2 3 2 2 3 6" xfId="24774"/>
    <cellStyle name="Normal 13 2 3 2 2 4" xfId="12734"/>
    <cellStyle name="Normal 13 2 3 2 2 4 2" xfId="20759"/>
    <cellStyle name="Normal 13 2 3 2 2 4 2 2" xfId="34784"/>
    <cellStyle name="Normal 13 2 3 2 2 4 3" xfId="26773"/>
    <cellStyle name="Normal 13 2 3 2 2 5" xfId="14749"/>
    <cellStyle name="Normal 13 2 3 2 2 5 2" xfId="22764"/>
    <cellStyle name="Normal 13 2 3 2 2 5 2 2" xfId="36789"/>
    <cellStyle name="Normal 13 2 3 2 2 5 3" xfId="28778"/>
    <cellStyle name="Normal 13 2 3 2 2 6" xfId="16755"/>
    <cellStyle name="Normal 13 2 3 2 2 6 2" xfId="30780"/>
    <cellStyle name="Normal 13 2 3 2 2 7" xfId="18757"/>
    <cellStyle name="Normal 13 2 3 2 2 7 2" xfId="32782"/>
    <cellStyle name="Normal 13 2 3 2 2 8" xfId="24771"/>
    <cellStyle name="Normal 13 2 3 2 3" xfId="2137"/>
    <cellStyle name="Normal 13 2 3 2 3 2" xfId="2138"/>
    <cellStyle name="Normal 13 2 3 2 3 2 2" xfId="12739"/>
    <cellStyle name="Normal 13 2 3 2 3 2 2 2" xfId="20764"/>
    <cellStyle name="Normal 13 2 3 2 3 2 2 2 2" xfId="34789"/>
    <cellStyle name="Normal 13 2 3 2 3 2 2 3" xfId="26778"/>
    <cellStyle name="Normal 13 2 3 2 3 2 3" xfId="14754"/>
    <cellStyle name="Normal 13 2 3 2 3 2 3 2" xfId="22769"/>
    <cellStyle name="Normal 13 2 3 2 3 2 3 2 2" xfId="36794"/>
    <cellStyle name="Normal 13 2 3 2 3 2 3 3" xfId="28783"/>
    <cellStyle name="Normal 13 2 3 2 3 2 4" xfId="16760"/>
    <cellStyle name="Normal 13 2 3 2 3 2 4 2" xfId="30785"/>
    <cellStyle name="Normal 13 2 3 2 3 2 5" xfId="18762"/>
    <cellStyle name="Normal 13 2 3 2 3 2 5 2" xfId="32787"/>
    <cellStyle name="Normal 13 2 3 2 3 2 6" xfId="24776"/>
    <cellStyle name="Normal 13 2 3 2 3 3" xfId="12738"/>
    <cellStyle name="Normal 13 2 3 2 3 3 2" xfId="20763"/>
    <cellStyle name="Normal 13 2 3 2 3 3 2 2" xfId="34788"/>
    <cellStyle name="Normal 13 2 3 2 3 3 3" xfId="26777"/>
    <cellStyle name="Normal 13 2 3 2 3 4" xfId="14753"/>
    <cellStyle name="Normal 13 2 3 2 3 4 2" xfId="22768"/>
    <cellStyle name="Normal 13 2 3 2 3 4 2 2" xfId="36793"/>
    <cellStyle name="Normal 13 2 3 2 3 4 3" xfId="28782"/>
    <cellStyle name="Normal 13 2 3 2 3 5" xfId="16759"/>
    <cellStyle name="Normal 13 2 3 2 3 5 2" xfId="30784"/>
    <cellStyle name="Normal 13 2 3 2 3 6" xfId="18761"/>
    <cellStyle name="Normal 13 2 3 2 3 6 2" xfId="32786"/>
    <cellStyle name="Normal 13 2 3 2 3 7" xfId="24775"/>
    <cellStyle name="Normal 13 2 3 2 4" xfId="2139"/>
    <cellStyle name="Normal 13 2 3 2 4 2" xfId="2140"/>
    <cellStyle name="Normal 13 2 3 2 4 2 2" xfId="12741"/>
    <cellStyle name="Normal 13 2 3 2 4 2 2 2" xfId="20766"/>
    <cellStyle name="Normal 13 2 3 2 4 2 2 2 2" xfId="34791"/>
    <cellStyle name="Normal 13 2 3 2 4 2 2 3" xfId="26780"/>
    <cellStyle name="Normal 13 2 3 2 4 2 3" xfId="14756"/>
    <cellStyle name="Normal 13 2 3 2 4 2 3 2" xfId="22771"/>
    <cellStyle name="Normal 13 2 3 2 4 2 3 2 2" xfId="36796"/>
    <cellStyle name="Normal 13 2 3 2 4 2 3 3" xfId="28785"/>
    <cellStyle name="Normal 13 2 3 2 4 2 4" xfId="16762"/>
    <cellStyle name="Normal 13 2 3 2 4 2 4 2" xfId="30787"/>
    <cellStyle name="Normal 13 2 3 2 4 2 5" xfId="18764"/>
    <cellStyle name="Normal 13 2 3 2 4 2 5 2" xfId="32789"/>
    <cellStyle name="Normal 13 2 3 2 4 2 6" xfId="24778"/>
    <cellStyle name="Normal 13 2 3 2 4 3" xfId="12740"/>
    <cellStyle name="Normal 13 2 3 2 4 3 2" xfId="20765"/>
    <cellStyle name="Normal 13 2 3 2 4 3 2 2" xfId="34790"/>
    <cellStyle name="Normal 13 2 3 2 4 3 3" xfId="26779"/>
    <cellStyle name="Normal 13 2 3 2 4 4" xfId="14755"/>
    <cellStyle name="Normal 13 2 3 2 4 4 2" xfId="22770"/>
    <cellStyle name="Normal 13 2 3 2 4 4 2 2" xfId="36795"/>
    <cellStyle name="Normal 13 2 3 2 4 4 3" xfId="28784"/>
    <cellStyle name="Normal 13 2 3 2 4 5" xfId="16761"/>
    <cellStyle name="Normal 13 2 3 2 4 5 2" xfId="30786"/>
    <cellStyle name="Normal 13 2 3 2 4 6" xfId="18763"/>
    <cellStyle name="Normal 13 2 3 2 4 6 2" xfId="32788"/>
    <cellStyle name="Normal 13 2 3 2 4 7" xfId="24777"/>
    <cellStyle name="Normal 13 2 3 2 5" xfId="2141"/>
    <cellStyle name="Normal 13 2 3 2 5 2" xfId="12742"/>
    <cellStyle name="Normal 13 2 3 2 5 2 2" xfId="20767"/>
    <cellStyle name="Normal 13 2 3 2 5 2 2 2" xfId="34792"/>
    <cellStyle name="Normal 13 2 3 2 5 2 3" xfId="26781"/>
    <cellStyle name="Normal 13 2 3 2 5 3" xfId="14757"/>
    <cellStyle name="Normal 13 2 3 2 5 3 2" xfId="22772"/>
    <cellStyle name="Normal 13 2 3 2 5 3 2 2" xfId="36797"/>
    <cellStyle name="Normal 13 2 3 2 5 3 3" xfId="28786"/>
    <cellStyle name="Normal 13 2 3 2 5 4" xfId="16763"/>
    <cellStyle name="Normal 13 2 3 2 5 4 2" xfId="30788"/>
    <cellStyle name="Normal 13 2 3 2 5 5" xfId="18765"/>
    <cellStyle name="Normal 13 2 3 2 5 5 2" xfId="32790"/>
    <cellStyle name="Normal 13 2 3 2 5 6" xfId="24779"/>
    <cellStyle name="Normal 13 2 3 2 6" xfId="12733"/>
    <cellStyle name="Normal 13 2 3 2 6 2" xfId="20758"/>
    <cellStyle name="Normal 13 2 3 2 6 2 2" xfId="34783"/>
    <cellStyle name="Normal 13 2 3 2 6 3" xfId="26772"/>
    <cellStyle name="Normal 13 2 3 2 7" xfId="14748"/>
    <cellStyle name="Normal 13 2 3 2 7 2" xfId="22763"/>
    <cellStyle name="Normal 13 2 3 2 7 2 2" xfId="36788"/>
    <cellStyle name="Normal 13 2 3 2 7 3" xfId="28777"/>
    <cellStyle name="Normal 13 2 3 2 8" xfId="16754"/>
    <cellStyle name="Normal 13 2 3 2 8 2" xfId="30779"/>
    <cellStyle name="Normal 13 2 3 2 9" xfId="18756"/>
    <cellStyle name="Normal 13 2 3 2 9 2" xfId="32781"/>
    <cellStyle name="Normal 13 2 3 3" xfId="2142"/>
    <cellStyle name="Normal 13 2 3 3 2" xfId="2143"/>
    <cellStyle name="Normal 13 2 3 3 2 2" xfId="2144"/>
    <cellStyle name="Normal 13 2 3 3 2 2 2" xfId="12745"/>
    <cellStyle name="Normal 13 2 3 3 2 2 2 2" xfId="20770"/>
    <cellStyle name="Normal 13 2 3 3 2 2 2 2 2" xfId="34795"/>
    <cellStyle name="Normal 13 2 3 3 2 2 2 3" xfId="26784"/>
    <cellStyle name="Normal 13 2 3 3 2 2 3" xfId="14760"/>
    <cellStyle name="Normal 13 2 3 3 2 2 3 2" xfId="22775"/>
    <cellStyle name="Normal 13 2 3 3 2 2 3 2 2" xfId="36800"/>
    <cellStyle name="Normal 13 2 3 3 2 2 3 3" xfId="28789"/>
    <cellStyle name="Normal 13 2 3 3 2 2 4" xfId="16766"/>
    <cellStyle name="Normal 13 2 3 3 2 2 4 2" xfId="30791"/>
    <cellStyle name="Normal 13 2 3 3 2 2 5" xfId="18768"/>
    <cellStyle name="Normal 13 2 3 3 2 2 5 2" xfId="32793"/>
    <cellStyle name="Normal 13 2 3 3 2 2 6" xfId="24782"/>
    <cellStyle name="Normal 13 2 3 3 2 3" xfId="12744"/>
    <cellStyle name="Normal 13 2 3 3 2 3 2" xfId="20769"/>
    <cellStyle name="Normal 13 2 3 3 2 3 2 2" xfId="34794"/>
    <cellStyle name="Normal 13 2 3 3 2 3 3" xfId="26783"/>
    <cellStyle name="Normal 13 2 3 3 2 4" xfId="14759"/>
    <cellStyle name="Normal 13 2 3 3 2 4 2" xfId="22774"/>
    <cellStyle name="Normal 13 2 3 3 2 4 2 2" xfId="36799"/>
    <cellStyle name="Normal 13 2 3 3 2 4 3" xfId="28788"/>
    <cellStyle name="Normal 13 2 3 3 2 5" xfId="16765"/>
    <cellStyle name="Normal 13 2 3 3 2 5 2" xfId="30790"/>
    <cellStyle name="Normal 13 2 3 3 2 6" xfId="18767"/>
    <cellStyle name="Normal 13 2 3 3 2 6 2" xfId="32792"/>
    <cellStyle name="Normal 13 2 3 3 2 7" xfId="24781"/>
    <cellStyle name="Normal 13 2 3 3 3" xfId="2145"/>
    <cellStyle name="Normal 13 2 3 3 3 2" xfId="12746"/>
    <cellStyle name="Normal 13 2 3 3 3 2 2" xfId="20771"/>
    <cellStyle name="Normal 13 2 3 3 3 2 2 2" xfId="34796"/>
    <cellStyle name="Normal 13 2 3 3 3 2 3" xfId="26785"/>
    <cellStyle name="Normal 13 2 3 3 3 3" xfId="14761"/>
    <cellStyle name="Normal 13 2 3 3 3 3 2" xfId="22776"/>
    <cellStyle name="Normal 13 2 3 3 3 3 2 2" xfId="36801"/>
    <cellStyle name="Normal 13 2 3 3 3 3 3" xfId="28790"/>
    <cellStyle name="Normal 13 2 3 3 3 4" xfId="16767"/>
    <cellStyle name="Normal 13 2 3 3 3 4 2" xfId="30792"/>
    <cellStyle name="Normal 13 2 3 3 3 5" xfId="18769"/>
    <cellStyle name="Normal 13 2 3 3 3 5 2" xfId="32794"/>
    <cellStyle name="Normal 13 2 3 3 3 6" xfId="24783"/>
    <cellStyle name="Normal 13 2 3 3 4" xfId="12743"/>
    <cellStyle name="Normal 13 2 3 3 4 2" xfId="20768"/>
    <cellStyle name="Normal 13 2 3 3 4 2 2" xfId="34793"/>
    <cellStyle name="Normal 13 2 3 3 4 3" xfId="26782"/>
    <cellStyle name="Normal 13 2 3 3 5" xfId="14758"/>
    <cellStyle name="Normal 13 2 3 3 5 2" xfId="22773"/>
    <cellStyle name="Normal 13 2 3 3 5 2 2" xfId="36798"/>
    <cellStyle name="Normal 13 2 3 3 5 3" xfId="28787"/>
    <cellStyle name="Normal 13 2 3 3 6" xfId="16764"/>
    <cellStyle name="Normal 13 2 3 3 6 2" xfId="30789"/>
    <cellStyle name="Normal 13 2 3 3 7" xfId="18766"/>
    <cellStyle name="Normal 13 2 3 3 7 2" xfId="32791"/>
    <cellStyle name="Normal 13 2 3 3 8" xfId="24780"/>
    <cellStyle name="Normal 13 2 3 4" xfId="2146"/>
    <cellStyle name="Normal 13 2 3 4 2" xfId="2147"/>
    <cellStyle name="Normal 13 2 3 4 2 2" xfId="12748"/>
    <cellStyle name="Normal 13 2 3 4 2 2 2" xfId="20773"/>
    <cellStyle name="Normal 13 2 3 4 2 2 2 2" xfId="34798"/>
    <cellStyle name="Normal 13 2 3 4 2 2 3" xfId="26787"/>
    <cellStyle name="Normal 13 2 3 4 2 3" xfId="14763"/>
    <cellStyle name="Normal 13 2 3 4 2 3 2" xfId="22778"/>
    <cellStyle name="Normal 13 2 3 4 2 3 2 2" xfId="36803"/>
    <cellStyle name="Normal 13 2 3 4 2 3 3" xfId="28792"/>
    <cellStyle name="Normal 13 2 3 4 2 4" xfId="16769"/>
    <cellStyle name="Normal 13 2 3 4 2 4 2" xfId="30794"/>
    <cellStyle name="Normal 13 2 3 4 2 5" xfId="18771"/>
    <cellStyle name="Normal 13 2 3 4 2 5 2" xfId="32796"/>
    <cellStyle name="Normal 13 2 3 4 2 6" xfId="24785"/>
    <cellStyle name="Normal 13 2 3 4 3" xfId="12747"/>
    <cellStyle name="Normal 13 2 3 4 3 2" xfId="20772"/>
    <cellStyle name="Normal 13 2 3 4 3 2 2" xfId="34797"/>
    <cellStyle name="Normal 13 2 3 4 3 3" xfId="26786"/>
    <cellStyle name="Normal 13 2 3 4 4" xfId="14762"/>
    <cellStyle name="Normal 13 2 3 4 4 2" xfId="22777"/>
    <cellStyle name="Normal 13 2 3 4 4 2 2" xfId="36802"/>
    <cellStyle name="Normal 13 2 3 4 4 3" xfId="28791"/>
    <cellStyle name="Normal 13 2 3 4 5" xfId="16768"/>
    <cellStyle name="Normal 13 2 3 4 5 2" xfId="30793"/>
    <cellStyle name="Normal 13 2 3 4 6" xfId="18770"/>
    <cellStyle name="Normal 13 2 3 4 6 2" xfId="32795"/>
    <cellStyle name="Normal 13 2 3 4 7" xfId="24784"/>
    <cellStyle name="Normal 13 2 3 5" xfId="2148"/>
    <cellStyle name="Normal 13 2 3 5 2" xfId="2149"/>
    <cellStyle name="Normal 13 2 3 5 2 2" xfId="12750"/>
    <cellStyle name="Normal 13 2 3 5 2 2 2" xfId="20775"/>
    <cellStyle name="Normal 13 2 3 5 2 2 2 2" xfId="34800"/>
    <cellStyle name="Normal 13 2 3 5 2 2 3" xfId="26789"/>
    <cellStyle name="Normal 13 2 3 5 2 3" xfId="14765"/>
    <cellStyle name="Normal 13 2 3 5 2 3 2" xfId="22780"/>
    <cellStyle name="Normal 13 2 3 5 2 3 2 2" xfId="36805"/>
    <cellStyle name="Normal 13 2 3 5 2 3 3" xfId="28794"/>
    <cellStyle name="Normal 13 2 3 5 2 4" xfId="16771"/>
    <cellStyle name="Normal 13 2 3 5 2 4 2" xfId="30796"/>
    <cellStyle name="Normal 13 2 3 5 2 5" xfId="18773"/>
    <cellStyle name="Normal 13 2 3 5 2 5 2" xfId="32798"/>
    <cellStyle name="Normal 13 2 3 5 2 6" xfId="24787"/>
    <cellStyle name="Normal 13 2 3 5 3" xfId="12749"/>
    <cellStyle name="Normal 13 2 3 5 3 2" xfId="20774"/>
    <cellStyle name="Normal 13 2 3 5 3 2 2" xfId="34799"/>
    <cellStyle name="Normal 13 2 3 5 3 3" xfId="26788"/>
    <cellStyle name="Normal 13 2 3 5 4" xfId="14764"/>
    <cellStyle name="Normal 13 2 3 5 4 2" xfId="22779"/>
    <cellStyle name="Normal 13 2 3 5 4 2 2" xfId="36804"/>
    <cellStyle name="Normal 13 2 3 5 4 3" xfId="28793"/>
    <cellStyle name="Normal 13 2 3 5 5" xfId="16770"/>
    <cellStyle name="Normal 13 2 3 5 5 2" xfId="30795"/>
    <cellStyle name="Normal 13 2 3 5 6" xfId="18772"/>
    <cellStyle name="Normal 13 2 3 5 6 2" xfId="32797"/>
    <cellStyle name="Normal 13 2 3 5 7" xfId="24786"/>
    <cellStyle name="Normal 13 2 3 6" xfId="2150"/>
    <cellStyle name="Normal 13 2 3 6 2" xfId="12751"/>
    <cellStyle name="Normal 13 2 3 6 2 2" xfId="20776"/>
    <cellStyle name="Normal 13 2 3 6 2 2 2" xfId="34801"/>
    <cellStyle name="Normal 13 2 3 6 2 3" xfId="26790"/>
    <cellStyle name="Normal 13 2 3 6 3" xfId="14766"/>
    <cellStyle name="Normal 13 2 3 6 3 2" xfId="22781"/>
    <cellStyle name="Normal 13 2 3 6 3 2 2" xfId="36806"/>
    <cellStyle name="Normal 13 2 3 6 3 3" xfId="28795"/>
    <cellStyle name="Normal 13 2 3 6 4" xfId="16772"/>
    <cellStyle name="Normal 13 2 3 6 4 2" xfId="30797"/>
    <cellStyle name="Normal 13 2 3 6 5" xfId="18774"/>
    <cellStyle name="Normal 13 2 3 6 5 2" xfId="32799"/>
    <cellStyle name="Normal 13 2 3 6 6" xfId="24788"/>
    <cellStyle name="Normal 13 2 3 7" xfId="12732"/>
    <cellStyle name="Normal 13 2 3 7 2" xfId="20757"/>
    <cellStyle name="Normal 13 2 3 7 2 2" xfId="34782"/>
    <cellStyle name="Normal 13 2 3 7 3" xfId="26771"/>
    <cellStyle name="Normal 13 2 3 8" xfId="14747"/>
    <cellStyle name="Normal 13 2 3 8 2" xfId="22762"/>
    <cellStyle name="Normal 13 2 3 8 2 2" xfId="36787"/>
    <cellStyle name="Normal 13 2 3 8 3" xfId="28776"/>
    <cellStyle name="Normal 13 2 3 9" xfId="16753"/>
    <cellStyle name="Normal 13 2 3 9 2" xfId="30778"/>
    <cellStyle name="Normal 13 2 4" xfId="2151"/>
    <cellStyle name="Normal 13 2 4 10" xfId="24789"/>
    <cellStyle name="Normal 13 2 4 2" xfId="2152"/>
    <cellStyle name="Normal 13 2 4 2 2" xfId="2153"/>
    <cellStyle name="Normal 13 2 4 2 2 2" xfId="2154"/>
    <cellStyle name="Normal 13 2 4 2 2 2 2" xfId="12755"/>
    <cellStyle name="Normal 13 2 4 2 2 2 2 2" xfId="20780"/>
    <cellStyle name="Normal 13 2 4 2 2 2 2 2 2" xfId="34805"/>
    <cellStyle name="Normal 13 2 4 2 2 2 2 3" xfId="26794"/>
    <cellStyle name="Normal 13 2 4 2 2 2 3" xfId="14770"/>
    <cellStyle name="Normal 13 2 4 2 2 2 3 2" xfId="22785"/>
    <cellStyle name="Normal 13 2 4 2 2 2 3 2 2" xfId="36810"/>
    <cellStyle name="Normal 13 2 4 2 2 2 3 3" xfId="28799"/>
    <cellStyle name="Normal 13 2 4 2 2 2 4" xfId="16776"/>
    <cellStyle name="Normal 13 2 4 2 2 2 4 2" xfId="30801"/>
    <cellStyle name="Normal 13 2 4 2 2 2 5" xfId="18778"/>
    <cellStyle name="Normal 13 2 4 2 2 2 5 2" xfId="32803"/>
    <cellStyle name="Normal 13 2 4 2 2 2 6" xfId="24792"/>
    <cellStyle name="Normal 13 2 4 2 2 3" xfId="12754"/>
    <cellStyle name="Normal 13 2 4 2 2 3 2" xfId="20779"/>
    <cellStyle name="Normal 13 2 4 2 2 3 2 2" xfId="34804"/>
    <cellStyle name="Normal 13 2 4 2 2 3 3" xfId="26793"/>
    <cellStyle name="Normal 13 2 4 2 2 4" xfId="14769"/>
    <cellStyle name="Normal 13 2 4 2 2 4 2" xfId="22784"/>
    <cellStyle name="Normal 13 2 4 2 2 4 2 2" xfId="36809"/>
    <cellStyle name="Normal 13 2 4 2 2 4 3" xfId="28798"/>
    <cellStyle name="Normal 13 2 4 2 2 5" xfId="16775"/>
    <cellStyle name="Normal 13 2 4 2 2 5 2" xfId="30800"/>
    <cellStyle name="Normal 13 2 4 2 2 6" xfId="18777"/>
    <cellStyle name="Normal 13 2 4 2 2 6 2" xfId="32802"/>
    <cellStyle name="Normal 13 2 4 2 2 7" xfId="24791"/>
    <cellStyle name="Normal 13 2 4 2 3" xfId="2155"/>
    <cellStyle name="Normal 13 2 4 2 3 2" xfId="12756"/>
    <cellStyle name="Normal 13 2 4 2 3 2 2" xfId="20781"/>
    <cellStyle name="Normal 13 2 4 2 3 2 2 2" xfId="34806"/>
    <cellStyle name="Normal 13 2 4 2 3 2 3" xfId="26795"/>
    <cellStyle name="Normal 13 2 4 2 3 3" xfId="14771"/>
    <cellStyle name="Normal 13 2 4 2 3 3 2" xfId="22786"/>
    <cellStyle name="Normal 13 2 4 2 3 3 2 2" xfId="36811"/>
    <cellStyle name="Normal 13 2 4 2 3 3 3" xfId="28800"/>
    <cellStyle name="Normal 13 2 4 2 3 4" xfId="16777"/>
    <cellStyle name="Normal 13 2 4 2 3 4 2" xfId="30802"/>
    <cellStyle name="Normal 13 2 4 2 3 5" xfId="18779"/>
    <cellStyle name="Normal 13 2 4 2 3 5 2" xfId="32804"/>
    <cellStyle name="Normal 13 2 4 2 3 6" xfId="24793"/>
    <cellStyle name="Normal 13 2 4 2 4" xfId="12753"/>
    <cellStyle name="Normal 13 2 4 2 4 2" xfId="20778"/>
    <cellStyle name="Normal 13 2 4 2 4 2 2" xfId="34803"/>
    <cellStyle name="Normal 13 2 4 2 4 3" xfId="26792"/>
    <cellStyle name="Normal 13 2 4 2 5" xfId="14768"/>
    <cellStyle name="Normal 13 2 4 2 5 2" xfId="22783"/>
    <cellStyle name="Normal 13 2 4 2 5 2 2" xfId="36808"/>
    <cellStyle name="Normal 13 2 4 2 5 3" xfId="28797"/>
    <cellStyle name="Normal 13 2 4 2 6" xfId="16774"/>
    <cellStyle name="Normal 13 2 4 2 6 2" xfId="30799"/>
    <cellStyle name="Normal 13 2 4 2 7" xfId="18776"/>
    <cellStyle name="Normal 13 2 4 2 7 2" xfId="32801"/>
    <cellStyle name="Normal 13 2 4 2 8" xfId="24790"/>
    <cellStyle name="Normal 13 2 4 3" xfId="2156"/>
    <cellStyle name="Normal 13 2 4 3 2" xfId="2157"/>
    <cellStyle name="Normal 13 2 4 3 2 2" xfId="12758"/>
    <cellStyle name="Normal 13 2 4 3 2 2 2" xfId="20783"/>
    <cellStyle name="Normal 13 2 4 3 2 2 2 2" xfId="34808"/>
    <cellStyle name="Normal 13 2 4 3 2 2 3" xfId="26797"/>
    <cellStyle name="Normal 13 2 4 3 2 3" xfId="14773"/>
    <cellStyle name="Normal 13 2 4 3 2 3 2" xfId="22788"/>
    <cellStyle name="Normal 13 2 4 3 2 3 2 2" xfId="36813"/>
    <cellStyle name="Normal 13 2 4 3 2 3 3" xfId="28802"/>
    <cellStyle name="Normal 13 2 4 3 2 4" xfId="16779"/>
    <cellStyle name="Normal 13 2 4 3 2 4 2" xfId="30804"/>
    <cellStyle name="Normal 13 2 4 3 2 5" xfId="18781"/>
    <cellStyle name="Normal 13 2 4 3 2 5 2" xfId="32806"/>
    <cellStyle name="Normal 13 2 4 3 2 6" xfId="24795"/>
    <cellStyle name="Normal 13 2 4 3 3" xfId="12757"/>
    <cellStyle name="Normal 13 2 4 3 3 2" xfId="20782"/>
    <cellStyle name="Normal 13 2 4 3 3 2 2" xfId="34807"/>
    <cellStyle name="Normal 13 2 4 3 3 3" xfId="26796"/>
    <cellStyle name="Normal 13 2 4 3 4" xfId="14772"/>
    <cellStyle name="Normal 13 2 4 3 4 2" xfId="22787"/>
    <cellStyle name="Normal 13 2 4 3 4 2 2" xfId="36812"/>
    <cellStyle name="Normal 13 2 4 3 4 3" xfId="28801"/>
    <cellStyle name="Normal 13 2 4 3 5" xfId="16778"/>
    <cellStyle name="Normal 13 2 4 3 5 2" xfId="30803"/>
    <cellStyle name="Normal 13 2 4 3 6" xfId="18780"/>
    <cellStyle name="Normal 13 2 4 3 6 2" xfId="32805"/>
    <cellStyle name="Normal 13 2 4 3 7" xfId="24794"/>
    <cellStyle name="Normal 13 2 4 4" xfId="2158"/>
    <cellStyle name="Normal 13 2 4 4 2" xfId="2159"/>
    <cellStyle name="Normal 13 2 4 4 2 2" xfId="12760"/>
    <cellStyle name="Normal 13 2 4 4 2 2 2" xfId="20785"/>
    <cellStyle name="Normal 13 2 4 4 2 2 2 2" xfId="34810"/>
    <cellStyle name="Normal 13 2 4 4 2 2 3" xfId="26799"/>
    <cellStyle name="Normal 13 2 4 4 2 3" xfId="14775"/>
    <cellStyle name="Normal 13 2 4 4 2 3 2" xfId="22790"/>
    <cellStyle name="Normal 13 2 4 4 2 3 2 2" xfId="36815"/>
    <cellStyle name="Normal 13 2 4 4 2 3 3" xfId="28804"/>
    <cellStyle name="Normal 13 2 4 4 2 4" xfId="16781"/>
    <cellStyle name="Normal 13 2 4 4 2 4 2" xfId="30806"/>
    <cellStyle name="Normal 13 2 4 4 2 5" xfId="18783"/>
    <cellStyle name="Normal 13 2 4 4 2 5 2" xfId="32808"/>
    <cellStyle name="Normal 13 2 4 4 2 6" xfId="24797"/>
    <cellStyle name="Normal 13 2 4 4 3" xfId="12759"/>
    <cellStyle name="Normal 13 2 4 4 3 2" xfId="20784"/>
    <cellStyle name="Normal 13 2 4 4 3 2 2" xfId="34809"/>
    <cellStyle name="Normal 13 2 4 4 3 3" xfId="26798"/>
    <cellStyle name="Normal 13 2 4 4 4" xfId="14774"/>
    <cellStyle name="Normal 13 2 4 4 4 2" xfId="22789"/>
    <cellStyle name="Normal 13 2 4 4 4 2 2" xfId="36814"/>
    <cellStyle name="Normal 13 2 4 4 4 3" xfId="28803"/>
    <cellStyle name="Normal 13 2 4 4 5" xfId="16780"/>
    <cellStyle name="Normal 13 2 4 4 5 2" xfId="30805"/>
    <cellStyle name="Normal 13 2 4 4 6" xfId="18782"/>
    <cellStyle name="Normal 13 2 4 4 6 2" xfId="32807"/>
    <cellStyle name="Normal 13 2 4 4 7" xfId="24796"/>
    <cellStyle name="Normal 13 2 4 5" xfId="2160"/>
    <cellStyle name="Normal 13 2 4 5 2" xfId="12761"/>
    <cellStyle name="Normal 13 2 4 5 2 2" xfId="20786"/>
    <cellStyle name="Normal 13 2 4 5 2 2 2" xfId="34811"/>
    <cellStyle name="Normal 13 2 4 5 2 3" xfId="26800"/>
    <cellStyle name="Normal 13 2 4 5 3" xfId="14776"/>
    <cellStyle name="Normal 13 2 4 5 3 2" xfId="22791"/>
    <cellStyle name="Normal 13 2 4 5 3 2 2" xfId="36816"/>
    <cellStyle name="Normal 13 2 4 5 3 3" xfId="28805"/>
    <cellStyle name="Normal 13 2 4 5 4" xfId="16782"/>
    <cellStyle name="Normal 13 2 4 5 4 2" xfId="30807"/>
    <cellStyle name="Normal 13 2 4 5 5" xfId="18784"/>
    <cellStyle name="Normal 13 2 4 5 5 2" xfId="32809"/>
    <cellStyle name="Normal 13 2 4 5 6" xfId="24798"/>
    <cellStyle name="Normal 13 2 4 6" xfId="12752"/>
    <cellStyle name="Normal 13 2 4 6 2" xfId="20777"/>
    <cellStyle name="Normal 13 2 4 6 2 2" xfId="34802"/>
    <cellStyle name="Normal 13 2 4 6 3" xfId="26791"/>
    <cellStyle name="Normal 13 2 4 7" xfId="14767"/>
    <cellStyle name="Normal 13 2 4 7 2" xfId="22782"/>
    <cellStyle name="Normal 13 2 4 7 2 2" xfId="36807"/>
    <cellStyle name="Normal 13 2 4 7 3" xfId="28796"/>
    <cellStyle name="Normal 13 2 4 8" xfId="16773"/>
    <cellStyle name="Normal 13 2 4 8 2" xfId="30798"/>
    <cellStyle name="Normal 13 2 4 9" xfId="18775"/>
    <cellStyle name="Normal 13 2 4 9 2" xfId="32800"/>
    <cellStyle name="Normal 13 2 5" xfId="2161"/>
    <cellStyle name="Normal 13 2 5 10" xfId="24799"/>
    <cellStyle name="Normal 13 2 5 2" xfId="2162"/>
    <cellStyle name="Normal 13 2 5 2 2" xfId="2163"/>
    <cellStyle name="Normal 13 2 5 2 2 2" xfId="2164"/>
    <cellStyle name="Normal 13 2 5 2 2 2 2" xfId="12765"/>
    <cellStyle name="Normal 13 2 5 2 2 2 2 2" xfId="20790"/>
    <cellStyle name="Normal 13 2 5 2 2 2 2 2 2" xfId="34815"/>
    <cellStyle name="Normal 13 2 5 2 2 2 2 3" xfId="26804"/>
    <cellStyle name="Normal 13 2 5 2 2 2 3" xfId="14780"/>
    <cellStyle name="Normal 13 2 5 2 2 2 3 2" xfId="22795"/>
    <cellStyle name="Normal 13 2 5 2 2 2 3 2 2" xfId="36820"/>
    <cellStyle name="Normal 13 2 5 2 2 2 3 3" xfId="28809"/>
    <cellStyle name="Normal 13 2 5 2 2 2 4" xfId="16786"/>
    <cellStyle name="Normal 13 2 5 2 2 2 4 2" xfId="30811"/>
    <cellStyle name="Normal 13 2 5 2 2 2 5" xfId="18788"/>
    <cellStyle name="Normal 13 2 5 2 2 2 5 2" xfId="32813"/>
    <cellStyle name="Normal 13 2 5 2 2 2 6" xfId="24802"/>
    <cellStyle name="Normal 13 2 5 2 2 3" xfId="12764"/>
    <cellStyle name="Normal 13 2 5 2 2 3 2" xfId="20789"/>
    <cellStyle name="Normal 13 2 5 2 2 3 2 2" xfId="34814"/>
    <cellStyle name="Normal 13 2 5 2 2 3 3" xfId="26803"/>
    <cellStyle name="Normal 13 2 5 2 2 4" xfId="14779"/>
    <cellStyle name="Normal 13 2 5 2 2 4 2" xfId="22794"/>
    <cellStyle name="Normal 13 2 5 2 2 4 2 2" xfId="36819"/>
    <cellStyle name="Normal 13 2 5 2 2 4 3" xfId="28808"/>
    <cellStyle name="Normal 13 2 5 2 2 5" xfId="16785"/>
    <cellStyle name="Normal 13 2 5 2 2 5 2" xfId="30810"/>
    <cellStyle name="Normal 13 2 5 2 2 6" xfId="18787"/>
    <cellStyle name="Normal 13 2 5 2 2 6 2" xfId="32812"/>
    <cellStyle name="Normal 13 2 5 2 2 7" xfId="24801"/>
    <cellStyle name="Normal 13 2 5 2 3" xfId="2165"/>
    <cellStyle name="Normal 13 2 5 2 3 2" xfId="12766"/>
    <cellStyle name="Normal 13 2 5 2 3 2 2" xfId="20791"/>
    <cellStyle name="Normal 13 2 5 2 3 2 2 2" xfId="34816"/>
    <cellStyle name="Normal 13 2 5 2 3 2 3" xfId="26805"/>
    <cellStyle name="Normal 13 2 5 2 3 3" xfId="14781"/>
    <cellStyle name="Normal 13 2 5 2 3 3 2" xfId="22796"/>
    <cellStyle name="Normal 13 2 5 2 3 3 2 2" xfId="36821"/>
    <cellStyle name="Normal 13 2 5 2 3 3 3" xfId="28810"/>
    <cellStyle name="Normal 13 2 5 2 3 4" xfId="16787"/>
    <cellStyle name="Normal 13 2 5 2 3 4 2" xfId="30812"/>
    <cellStyle name="Normal 13 2 5 2 3 5" xfId="18789"/>
    <cellStyle name="Normal 13 2 5 2 3 5 2" xfId="32814"/>
    <cellStyle name="Normal 13 2 5 2 3 6" xfId="24803"/>
    <cellStyle name="Normal 13 2 5 2 4" xfId="12763"/>
    <cellStyle name="Normal 13 2 5 2 4 2" xfId="20788"/>
    <cellStyle name="Normal 13 2 5 2 4 2 2" xfId="34813"/>
    <cellStyle name="Normal 13 2 5 2 4 3" xfId="26802"/>
    <cellStyle name="Normal 13 2 5 2 5" xfId="14778"/>
    <cellStyle name="Normal 13 2 5 2 5 2" xfId="22793"/>
    <cellStyle name="Normal 13 2 5 2 5 2 2" xfId="36818"/>
    <cellStyle name="Normal 13 2 5 2 5 3" xfId="28807"/>
    <cellStyle name="Normal 13 2 5 2 6" xfId="16784"/>
    <cellStyle name="Normal 13 2 5 2 6 2" xfId="30809"/>
    <cellStyle name="Normal 13 2 5 2 7" xfId="18786"/>
    <cellStyle name="Normal 13 2 5 2 7 2" xfId="32811"/>
    <cellStyle name="Normal 13 2 5 2 8" xfId="24800"/>
    <cellStyle name="Normal 13 2 5 3" xfId="2166"/>
    <cellStyle name="Normal 13 2 5 3 2" xfId="2167"/>
    <cellStyle name="Normal 13 2 5 3 2 2" xfId="12768"/>
    <cellStyle name="Normal 13 2 5 3 2 2 2" xfId="20793"/>
    <cellStyle name="Normal 13 2 5 3 2 2 2 2" xfId="34818"/>
    <cellStyle name="Normal 13 2 5 3 2 2 3" xfId="26807"/>
    <cellStyle name="Normal 13 2 5 3 2 3" xfId="14783"/>
    <cellStyle name="Normal 13 2 5 3 2 3 2" xfId="22798"/>
    <cellStyle name="Normal 13 2 5 3 2 3 2 2" xfId="36823"/>
    <cellStyle name="Normal 13 2 5 3 2 3 3" xfId="28812"/>
    <cellStyle name="Normal 13 2 5 3 2 4" xfId="16789"/>
    <cellStyle name="Normal 13 2 5 3 2 4 2" xfId="30814"/>
    <cellStyle name="Normal 13 2 5 3 2 5" xfId="18791"/>
    <cellStyle name="Normal 13 2 5 3 2 5 2" xfId="32816"/>
    <cellStyle name="Normal 13 2 5 3 2 6" xfId="24805"/>
    <cellStyle name="Normal 13 2 5 3 3" xfId="12767"/>
    <cellStyle name="Normal 13 2 5 3 3 2" xfId="20792"/>
    <cellStyle name="Normal 13 2 5 3 3 2 2" xfId="34817"/>
    <cellStyle name="Normal 13 2 5 3 3 3" xfId="26806"/>
    <cellStyle name="Normal 13 2 5 3 4" xfId="14782"/>
    <cellStyle name="Normal 13 2 5 3 4 2" xfId="22797"/>
    <cellStyle name="Normal 13 2 5 3 4 2 2" xfId="36822"/>
    <cellStyle name="Normal 13 2 5 3 4 3" xfId="28811"/>
    <cellStyle name="Normal 13 2 5 3 5" xfId="16788"/>
    <cellStyle name="Normal 13 2 5 3 5 2" xfId="30813"/>
    <cellStyle name="Normal 13 2 5 3 6" xfId="18790"/>
    <cellStyle name="Normal 13 2 5 3 6 2" xfId="32815"/>
    <cellStyle name="Normal 13 2 5 3 7" xfId="24804"/>
    <cellStyle name="Normal 13 2 5 4" xfId="2168"/>
    <cellStyle name="Normal 13 2 5 4 2" xfId="2169"/>
    <cellStyle name="Normal 13 2 5 4 2 2" xfId="12770"/>
    <cellStyle name="Normal 13 2 5 4 2 2 2" xfId="20795"/>
    <cellStyle name="Normal 13 2 5 4 2 2 2 2" xfId="34820"/>
    <cellStyle name="Normal 13 2 5 4 2 2 3" xfId="26809"/>
    <cellStyle name="Normal 13 2 5 4 2 3" xfId="14785"/>
    <cellStyle name="Normal 13 2 5 4 2 3 2" xfId="22800"/>
    <cellStyle name="Normal 13 2 5 4 2 3 2 2" xfId="36825"/>
    <cellStyle name="Normal 13 2 5 4 2 3 3" xfId="28814"/>
    <cellStyle name="Normal 13 2 5 4 2 4" xfId="16791"/>
    <cellStyle name="Normal 13 2 5 4 2 4 2" xfId="30816"/>
    <cellStyle name="Normal 13 2 5 4 2 5" xfId="18793"/>
    <cellStyle name="Normal 13 2 5 4 2 5 2" xfId="32818"/>
    <cellStyle name="Normal 13 2 5 4 2 6" xfId="24807"/>
    <cellStyle name="Normal 13 2 5 4 3" xfId="12769"/>
    <cellStyle name="Normal 13 2 5 4 3 2" xfId="20794"/>
    <cellStyle name="Normal 13 2 5 4 3 2 2" xfId="34819"/>
    <cellStyle name="Normal 13 2 5 4 3 3" xfId="26808"/>
    <cellStyle name="Normal 13 2 5 4 4" xfId="14784"/>
    <cellStyle name="Normal 13 2 5 4 4 2" xfId="22799"/>
    <cellStyle name="Normal 13 2 5 4 4 2 2" xfId="36824"/>
    <cellStyle name="Normal 13 2 5 4 4 3" xfId="28813"/>
    <cellStyle name="Normal 13 2 5 4 5" xfId="16790"/>
    <cellStyle name="Normal 13 2 5 4 5 2" xfId="30815"/>
    <cellStyle name="Normal 13 2 5 4 6" xfId="18792"/>
    <cellStyle name="Normal 13 2 5 4 6 2" xfId="32817"/>
    <cellStyle name="Normal 13 2 5 4 7" xfId="24806"/>
    <cellStyle name="Normal 13 2 5 5" xfId="2170"/>
    <cellStyle name="Normal 13 2 5 5 2" xfId="12771"/>
    <cellStyle name="Normal 13 2 5 5 2 2" xfId="20796"/>
    <cellStyle name="Normal 13 2 5 5 2 2 2" xfId="34821"/>
    <cellStyle name="Normal 13 2 5 5 2 3" xfId="26810"/>
    <cellStyle name="Normal 13 2 5 5 3" xfId="14786"/>
    <cellStyle name="Normal 13 2 5 5 3 2" xfId="22801"/>
    <cellStyle name="Normal 13 2 5 5 3 2 2" xfId="36826"/>
    <cellStyle name="Normal 13 2 5 5 3 3" xfId="28815"/>
    <cellStyle name="Normal 13 2 5 5 4" xfId="16792"/>
    <cellStyle name="Normal 13 2 5 5 4 2" xfId="30817"/>
    <cellStyle name="Normal 13 2 5 5 5" xfId="18794"/>
    <cellStyle name="Normal 13 2 5 5 5 2" xfId="32819"/>
    <cellStyle name="Normal 13 2 5 5 6" xfId="24808"/>
    <cellStyle name="Normal 13 2 5 6" xfId="12762"/>
    <cellStyle name="Normal 13 2 5 6 2" xfId="20787"/>
    <cellStyle name="Normal 13 2 5 6 2 2" xfId="34812"/>
    <cellStyle name="Normal 13 2 5 6 3" xfId="26801"/>
    <cellStyle name="Normal 13 2 5 7" xfId="14777"/>
    <cellStyle name="Normal 13 2 5 7 2" xfId="22792"/>
    <cellStyle name="Normal 13 2 5 7 2 2" xfId="36817"/>
    <cellStyle name="Normal 13 2 5 7 3" xfId="28806"/>
    <cellStyle name="Normal 13 2 5 8" xfId="16783"/>
    <cellStyle name="Normal 13 2 5 8 2" xfId="30808"/>
    <cellStyle name="Normal 13 2 5 9" xfId="18785"/>
    <cellStyle name="Normal 13 2 5 9 2" xfId="32810"/>
    <cellStyle name="Normal 13 2 6" xfId="2171"/>
    <cellStyle name="Normal 13 2 6 2" xfId="2172"/>
    <cellStyle name="Normal 13 2 6 2 2" xfId="2173"/>
    <cellStyle name="Normal 13 2 6 2 2 2" xfId="12774"/>
    <cellStyle name="Normal 13 2 6 2 2 2 2" xfId="20799"/>
    <cellStyle name="Normal 13 2 6 2 2 2 2 2" xfId="34824"/>
    <cellStyle name="Normal 13 2 6 2 2 2 3" xfId="26813"/>
    <cellStyle name="Normal 13 2 6 2 2 3" xfId="14789"/>
    <cellStyle name="Normal 13 2 6 2 2 3 2" xfId="22804"/>
    <cellStyle name="Normal 13 2 6 2 2 3 2 2" xfId="36829"/>
    <cellStyle name="Normal 13 2 6 2 2 3 3" xfId="28818"/>
    <cellStyle name="Normal 13 2 6 2 2 4" xfId="16795"/>
    <cellStyle name="Normal 13 2 6 2 2 4 2" xfId="30820"/>
    <cellStyle name="Normal 13 2 6 2 2 5" xfId="18797"/>
    <cellStyle name="Normal 13 2 6 2 2 5 2" xfId="32822"/>
    <cellStyle name="Normal 13 2 6 2 2 6" xfId="24811"/>
    <cellStyle name="Normal 13 2 6 2 3" xfId="12773"/>
    <cellStyle name="Normal 13 2 6 2 3 2" xfId="20798"/>
    <cellStyle name="Normal 13 2 6 2 3 2 2" xfId="34823"/>
    <cellStyle name="Normal 13 2 6 2 3 3" xfId="26812"/>
    <cellStyle name="Normal 13 2 6 2 4" xfId="14788"/>
    <cellStyle name="Normal 13 2 6 2 4 2" xfId="22803"/>
    <cellStyle name="Normal 13 2 6 2 4 2 2" xfId="36828"/>
    <cellStyle name="Normal 13 2 6 2 4 3" xfId="28817"/>
    <cellStyle name="Normal 13 2 6 2 5" xfId="16794"/>
    <cellStyle name="Normal 13 2 6 2 5 2" xfId="30819"/>
    <cellStyle name="Normal 13 2 6 2 6" xfId="18796"/>
    <cellStyle name="Normal 13 2 6 2 6 2" xfId="32821"/>
    <cellStyle name="Normal 13 2 6 2 7" xfId="24810"/>
    <cellStyle name="Normal 13 2 6 3" xfId="2174"/>
    <cellStyle name="Normal 13 2 6 3 2" xfId="12775"/>
    <cellStyle name="Normal 13 2 6 3 2 2" xfId="20800"/>
    <cellStyle name="Normal 13 2 6 3 2 2 2" xfId="34825"/>
    <cellStyle name="Normal 13 2 6 3 2 3" xfId="26814"/>
    <cellStyle name="Normal 13 2 6 3 3" xfId="14790"/>
    <cellStyle name="Normal 13 2 6 3 3 2" xfId="22805"/>
    <cellStyle name="Normal 13 2 6 3 3 2 2" xfId="36830"/>
    <cellStyle name="Normal 13 2 6 3 3 3" xfId="28819"/>
    <cellStyle name="Normal 13 2 6 3 4" xfId="16796"/>
    <cellStyle name="Normal 13 2 6 3 4 2" xfId="30821"/>
    <cellStyle name="Normal 13 2 6 3 5" xfId="18798"/>
    <cellStyle name="Normal 13 2 6 3 5 2" xfId="32823"/>
    <cellStyle name="Normal 13 2 6 3 6" xfId="24812"/>
    <cellStyle name="Normal 13 2 6 4" xfId="12772"/>
    <cellStyle name="Normal 13 2 6 4 2" xfId="20797"/>
    <cellStyle name="Normal 13 2 6 4 2 2" xfId="34822"/>
    <cellStyle name="Normal 13 2 6 4 3" xfId="26811"/>
    <cellStyle name="Normal 13 2 6 5" xfId="14787"/>
    <cellStyle name="Normal 13 2 6 5 2" xfId="22802"/>
    <cellStyle name="Normal 13 2 6 5 2 2" xfId="36827"/>
    <cellStyle name="Normal 13 2 6 5 3" xfId="28816"/>
    <cellStyle name="Normal 13 2 6 6" xfId="16793"/>
    <cellStyle name="Normal 13 2 6 6 2" xfId="30818"/>
    <cellStyle name="Normal 13 2 6 7" xfId="18795"/>
    <cellStyle name="Normal 13 2 6 7 2" xfId="32820"/>
    <cellStyle name="Normal 13 2 6 8" xfId="24809"/>
    <cellStyle name="Normal 13 2 7" xfId="2175"/>
    <cellStyle name="Normal 13 2 7 2" xfId="2176"/>
    <cellStyle name="Normal 13 2 7 2 2" xfId="12777"/>
    <cellStyle name="Normal 13 2 7 2 2 2" xfId="20802"/>
    <cellStyle name="Normal 13 2 7 2 2 2 2" xfId="34827"/>
    <cellStyle name="Normal 13 2 7 2 2 3" xfId="26816"/>
    <cellStyle name="Normal 13 2 7 2 3" xfId="14792"/>
    <cellStyle name="Normal 13 2 7 2 3 2" xfId="22807"/>
    <cellStyle name="Normal 13 2 7 2 3 2 2" xfId="36832"/>
    <cellStyle name="Normal 13 2 7 2 3 3" xfId="28821"/>
    <cellStyle name="Normal 13 2 7 2 4" xfId="16798"/>
    <cellStyle name="Normal 13 2 7 2 4 2" xfId="30823"/>
    <cellStyle name="Normal 13 2 7 2 5" xfId="18800"/>
    <cellStyle name="Normal 13 2 7 2 5 2" xfId="32825"/>
    <cellStyle name="Normal 13 2 7 2 6" xfId="24814"/>
    <cellStyle name="Normal 13 2 7 3" xfId="12776"/>
    <cellStyle name="Normal 13 2 7 3 2" xfId="20801"/>
    <cellStyle name="Normal 13 2 7 3 2 2" xfId="34826"/>
    <cellStyle name="Normal 13 2 7 3 3" xfId="26815"/>
    <cellStyle name="Normal 13 2 7 4" xfId="14791"/>
    <cellStyle name="Normal 13 2 7 4 2" xfId="22806"/>
    <cellStyle name="Normal 13 2 7 4 2 2" xfId="36831"/>
    <cellStyle name="Normal 13 2 7 4 3" xfId="28820"/>
    <cellStyle name="Normal 13 2 7 5" xfId="16797"/>
    <cellStyle name="Normal 13 2 7 5 2" xfId="30822"/>
    <cellStyle name="Normal 13 2 7 6" xfId="18799"/>
    <cellStyle name="Normal 13 2 7 6 2" xfId="32824"/>
    <cellStyle name="Normal 13 2 7 7" xfId="24813"/>
    <cellStyle name="Normal 13 2 8" xfId="2177"/>
    <cellStyle name="Normal 13 2 8 2" xfId="2178"/>
    <cellStyle name="Normal 13 2 8 2 2" xfId="12779"/>
    <cellStyle name="Normal 13 2 8 2 2 2" xfId="20804"/>
    <cellStyle name="Normal 13 2 8 2 2 2 2" xfId="34829"/>
    <cellStyle name="Normal 13 2 8 2 2 3" xfId="26818"/>
    <cellStyle name="Normal 13 2 8 2 3" xfId="14794"/>
    <cellStyle name="Normal 13 2 8 2 3 2" xfId="22809"/>
    <cellStyle name="Normal 13 2 8 2 3 2 2" xfId="36834"/>
    <cellStyle name="Normal 13 2 8 2 3 3" xfId="28823"/>
    <cellStyle name="Normal 13 2 8 2 4" xfId="16800"/>
    <cellStyle name="Normal 13 2 8 2 4 2" xfId="30825"/>
    <cellStyle name="Normal 13 2 8 2 5" xfId="18802"/>
    <cellStyle name="Normal 13 2 8 2 5 2" xfId="32827"/>
    <cellStyle name="Normal 13 2 8 2 6" xfId="24816"/>
    <cellStyle name="Normal 13 2 8 3" xfId="12778"/>
    <cellStyle name="Normal 13 2 8 3 2" xfId="20803"/>
    <cellStyle name="Normal 13 2 8 3 2 2" xfId="34828"/>
    <cellStyle name="Normal 13 2 8 3 3" xfId="26817"/>
    <cellStyle name="Normal 13 2 8 4" xfId="14793"/>
    <cellStyle name="Normal 13 2 8 4 2" xfId="22808"/>
    <cellStyle name="Normal 13 2 8 4 2 2" xfId="36833"/>
    <cellStyle name="Normal 13 2 8 4 3" xfId="28822"/>
    <cellStyle name="Normal 13 2 8 5" xfId="16799"/>
    <cellStyle name="Normal 13 2 8 5 2" xfId="30824"/>
    <cellStyle name="Normal 13 2 8 6" xfId="18801"/>
    <cellStyle name="Normal 13 2 8 6 2" xfId="32826"/>
    <cellStyle name="Normal 13 2 8 7" xfId="24815"/>
    <cellStyle name="Normal 13 2 9" xfId="2179"/>
    <cellStyle name="Normal 13 2 9 2" xfId="12780"/>
    <cellStyle name="Normal 13 2 9 2 2" xfId="20805"/>
    <cellStyle name="Normal 13 2 9 2 2 2" xfId="34830"/>
    <cellStyle name="Normal 13 2 9 2 3" xfId="26819"/>
    <cellStyle name="Normal 13 2 9 3" xfId="14795"/>
    <cellStyle name="Normal 13 2 9 3 2" xfId="22810"/>
    <cellStyle name="Normal 13 2 9 3 2 2" xfId="36835"/>
    <cellStyle name="Normal 13 2 9 3 3" xfId="28824"/>
    <cellStyle name="Normal 13 2 9 4" xfId="16801"/>
    <cellStyle name="Normal 13 2 9 4 2" xfId="30826"/>
    <cellStyle name="Normal 13 2 9 5" xfId="18803"/>
    <cellStyle name="Normal 13 2 9 5 2" xfId="32828"/>
    <cellStyle name="Normal 13 2 9 6" xfId="24817"/>
    <cellStyle name="Normal 13 2_3 - Revenue Credits" xfId="491"/>
    <cellStyle name="Normal 13 3" xfId="492"/>
    <cellStyle name="Normal 13 3 2" xfId="2180"/>
    <cellStyle name="Normal 13 3 2 10" xfId="18804"/>
    <cellStyle name="Normal 13 3 2 10 2" xfId="32829"/>
    <cellStyle name="Normal 13 3 2 11" xfId="24818"/>
    <cellStyle name="Normal 13 3 2 2" xfId="2181"/>
    <cellStyle name="Normal 13 3 2 2 10" xfId="24819"/>
    <cellStyle name="Normal 13 3 2 2 2" xfId="2182"/>
    <cellStyle name="Normal 13 3 2 2 2 2" xfId="2183"/>
    <cellStyle name="Normal 13 3 2 2 2 2 2" xfId="2184"/>
    <cellStyle name="Normal 13 3 2 2 2 2 2 2" xfId="12785"/>
    <cellStyle name="Normal 13 3 2 2 2 2 2 2 2" xfId="20810"/>
    <cellStyle name="Normal 13 3 2 2 2 2 2 2 2 2" xfId="34835"/>
    <cellStyle name="Normal 13 3 2 2 2 2 2 2 3" xfId="26824"/>
    <cellStyle name="Normal 13 3 2 2 2 2 2 3" xfId="14800"/>
    <cellStyle name="Normal 13 3 2 2 2 2 2 3 2" xfId="22815"/>
    <cellStyle name="Normal 13 3 2 2 2 2 2 3 2 2" xfId="36840"/>
    <cellStyle name="Normal 13 3 2 2 2 2 2 3 3" xfId="28829"/>
    <cellStyle name="Normal 13 3 2 2 2 2 2 4" xfId="16806"/>
    <cellStyle name="Normal 13 3 2 2 2 2 2 4 2" xfId="30831"/>
    <cellStyle name="Normal 13 3 2 2 2 2 2 5" xfId="18808"/>
    <cellStyle name="Normal 13 3 2 2 2 2 2 5 2" xfId="32833"/>
    <cellStyle name="Normal 13 3 2 2 2 2 2 6" xfId="24822"/>
    <cellStyle name="Normal 13 3 2 2 2 2 3" xfId="12784"/>
    <cellStyle name="Normal 13 3 2 2 2 2 3 2" xfId="20809"/>
    <cellStyle name="Normal 13 3 2 2 2 2 3 2 2" xfId="34834"/>
    <cellStyle name="Normal 13 3 2 2 2 2 3 3" xfId="26823"/>
    <cellStyle name="Normal 13 3 2 2 2 2 4" xfId="14799"/>
    <cellStyle name="Normal 13 3 2 2 2 2 4 2" xfId="22814"/>
    <cellStyle name="Normal 13 3 2 2 2 2 4 2 2" xfId="36839"/>
    <cellStyle name="Normal 13 3 2 2 2 2 4 3" xfId="28828"/>
    <cellStyle name="Normal 13 3 2 2 2 2 5" xfId="16805"/>
    <cellStyle name="Normal 13 3 2 2 2 2 5 2" xfId="30830"/>
    <cellStyle name="Normal 13 3 2 2 2 2 6" xfId="18807"/>
    <cellStyle name="Normal 13 3 2 2 2 2 6 2" xfId="32832"/>
    <cellStyle name="Normal 13 3 2 2 2 2 7" xfId="24821"/>
    <cellStyle name="Normal 13 3 2 2 2 3" xfId="2185"/>
    <cellStyle name="Normal 13 3 2 2 2 3 2" xfId="12786"/>
    <cellStyle name="Normal 13 3 2 2 2 3 2 2" xfId="20811"/>
    <cellStyle name="Normal 13 3 2 2 2 3 2 2 2" xfId="34836"/>
    <cellStyle name="Normal 13 3 2 2 2 3 2 3" xfId="26825"/>
    <cellStyle name="Normal 13 3 2 2 2 3 3" xfId="14801"/>
    <cellStyle name="Normal 13 3 2 2 2 3 3 2" xfId="22816"/>
    <cellStyle name="Normal 13 3 2 2 2 3 3 2 2" xfId="36841"/>
    <cellStyle name="Normal 13 3 2 2 2 3 3 3" xfId="28830"/>
    <cellStyle name="Normal 13 3 2 2 2 3 4" xfId="16807"/>
    <cellStyle name="Normal 13 3 2 2 2 3 4 2" xfId="30832"/>
    <cellStyle name="Normal 13 3 2 2 2 3 5" xfId="18809"/>
    <cellStyle name="Normal 13 3 2 2 2 3 5 2" xfId="32834"/>
    <cellStyle name="Normal 13 3 2 2 2 3 6" xfId="24823"/>
    <cellStyle name="Normal 13 3 2 2 2 4" xfId="12783"/>
    <cellStyle name="Normal 13 3 2 2 2 4 2" xfId="20808"/>
    <cellStyle name="Normal 13 3 2 2 2 4 2 2" xfId="34833"/>
    <cellStyle name="Normal 13 3 2 2 2 4 3" xfId="26822"/>
    <cellStyle name="Normal 13 3 2 2 2 5" xfId="14798"/>
    <cellStyle name="Normal 13 3 2 2 2 5 2" xfId="22813"/>
    <cellStyle name="Normal 13 3 2 2 2 5 2 2" xfId="36838"/>
    <cellStyle name="Normal 13 3 2 2 2 5 3" xfId="28827"/>
    <cellStyle name="Normal 13 3 2 2 2 6" xfId="16804"/>
    <cellStyle name="Normal 13 3 2 2 2 6 2" xfId="30829"/>
    <cellStyle name="Normal 13 3 2 2 2 7" xfId="18806"/>
    <cellStyle name="Normal 13 3 2 2 2 7 2" xfId="32831"/>
    <cellStyle name="Normal 13 3 2 2 2 8" xfId="24820"/>
    <cellStyle name="Normal 13 3 2 2 3" xfId="2186"/>
    <cellStyle name="Normal 13 3 2 2 3 2" xfId="2187"/>
    <cellStyle name="Normal 13 3 2 2 3 2 2" xfId="12788"/>
    <cellStyle name="Normal 13 3 2 2 3 2 2 2" xfId="20813"/>
    <cellStyle name="Normal 13 3 2 2 3 2 2 2 2" xfId="34838"/>
    <cellStyle name="Normal 13 3 2 2 3 2 2 3" xfId="26827"/>
    <cellStyle name="Normal 13 3 2 2 3 2 3" xfId="14803"/>
    <cellStyle name="Normal 13 3 2 2 3 2 3 2" xfId="22818"/>
    <cellStyle name="Normal 13 3 2 2 3 2 3 2 2" xfId="36843"/>
    <cellStyle name="Normal 13 3 2 2 3 2 3 3" xfId="28832"/>
    <cellStyle name="Normal 13 3 2 2 3 2 4" xfId="16809"/>
    <cellStyle name="Normal 13 3 2 2 3 2 4 2" xfId="30834"/>
    <cellStyle name="Normal 13 3 2 2 3 2 5" xfId="18811"/>
    <cellStyle name="Normal 13 3 2 2 3 2 5 2" xfId="32836"/>
    <cellStyle name="Normal 13 3 2 2 3 2 6" xfId="24825"/>
    <cellStyle name="Normal 13 3 2 2 3 3" xfId="12787"/>
    <cellStyle name="Normal 13 3 2 2 3 3 2" xfId="20812"/>
    <cellStyle name="Normal 13 3 2 2 3 3 2 2" xfId="34837"/>
    <cellStyle name="Normal 13 3 2 2 3 3 3" xfId="26826"/>
    <cellStyle name="Normal 13 3 2 2 3 4" xfId="14802"/>
    <cellStyle name="Normal 13 3 2 2 3 4 2" xfId="22817"/>
    <cellStyle name="Normal 13 3 2 2 3 4 2 2" xfId="36842"/>
    <cellStyle name="Normal 13 3 2 2 3 4 3" xfId="28831"/>
    <cellStyle name="Normal 13 3 2 2 3 5" xfId="16808"/>
    <cellStyle name="Normal 13 3 2 2 3 5 2" xfId="30833"/>
    <cellStyle name="Normal 13 3 2 2 3 6" xfId="18810"/>
    <cellStyle name="Normal 13 3 2 2 3 6 2" xfId="32835"/>
    <cellStyle name="Normal 13 3 2 2 3 7" xfId="24824"/>
    <cellStyle name="Normal 13 3 2 2 4" xfId="2188"/>
    <cellStyle name="Normal 13 3 2 2 4 2" xfId="2189"/>
    <cellStyle name="Normal 13 3 2 2 4 2 2" xfId="12790"/>
    <cellStyle name="Normal 13 3 2 2 4 2 2 2" xfId="20815"/>
    <cellStyle name="Normal 13 3 2 2 4 2 2 2 2" xfId="34840"/>
    <cellStyle name="Normal 13 3 2 2 4 2 2 3" xfId="26829"/>
    <cellStyle name="Normal 13 3 2 2 4 2 3" xfId="14805"/>
    <cellStyle name="Normal 13 3 2 2 4 2 3 2" xfId="22820"/>
    <cellStyle name="Normal 13 3 2 2 4 2 3 2 2" xfId="36845"/>
    <cellStyle name="Normal 13 3 2 2 4 2 3 3" xfId="28834"/>
    <cellStyle name="Normal 13 3 2 2 4 2 4" xfId="16811"/>
    <cellStyle name="Normal 13 3 2 2 4 2 4 2" xfId="30836"/>
    <cellStyle name="Normal 13 3 2 2 4 2 5" xfId="18813"/>
    <cellStyle name="Normal 13 3 2 2 4 2 5 2" xfId="32838"/>
    <cellStyle name="Normal 13 3 2 2 4 2 6" xfId="24827"/>
    <cellStyle name="Normal 13 3 2 2 4 3" xfId="12789"/>
    <cellStyle name="Normal 13 3 2 2 4 3 2" xfId="20814"/>
    <cellStyle name="Normal 13 3 2 2 4 3 2 2" xfId="34839"/>
    <cellStyle name="Normal 13 3 2 2 4 3 3" xfId="26828"/>
    <cellStyle name="Normal 13 3 2 2 4 4" xfId="14804"/>
    <cellStyle name="Normal 13 3 2 2 4 4 2" xfId="22819"/>
    <cellStyle name="Normal 13 3 2 2 4 4 2 2" xfId="36844"/>
    <cellStyle name="Normal 13 3 2 2 4 4 3" xfId="28833"/>
    <cellStyle name="Normal 13 3 2 2 4 5" xfId="16810"/>
    <cellStyle name="Normal 13 3 2 2 4 5 2" xfId="30835"/>
    <cellStyle name="Normal 13 3 2 2 4 6" xfId="18812"/>
    <cellStyle name="Normal 13 3 2 2 4 6 2" xfId="32837"/>
    <cellStyle name="Normal 13 3 2 2 4 7" xfId="24826"/>
    <cellStyle name="Normal 13 3 2 2 5" xfId="2190"/>
    <cellStyle name="Normal 13 3 2 2 5 2" xfId="12791"/>
    <cellStyle name="Normal 13 3 2 2 5 2 2" xfId="20816"/>
    <cellStyle name="Normal 13 3 2 2 5 2 2 2" xfId="34841"/>
    <cellStyle name="Normal 13 3 2 2 5 2 3" xfId="26830"/>
    <cellStyle name="Normal 13 3 2 2 5 3" xfId="14806"/>
    <cellStyle name="Normal 13 3 2 2 5 3 2" xfId="22821"/>
    <cellStyle name="Normal 13 3 2 2 5 3 2 2" xfId="36846"/>
    <cellStyle name="Normal 13 3 2 2 5 3 3" xfId="28835"/>
    <cellStyle name="Normal 13 3 2 2 5 4" xfId="16812"/>
    <cellStyle name="Normal 13 3 2 2 5 4 2" xfId="30837"/>
    <cellStyle name="Normal 13 3 2 2 5 5" xfId="18814"/>
    <cellStyle name="Normal 13 3 2 2 5 5 2" xfId="32839"/>
    <cellStyle name="Normal 13 3 2 2 5 6" xfId="24828"/>
    <cellStyle name="Normal 13 3 2 2 6" xfId="12782"/>
    <cellStyle name="Normal 13 3 2 2 6 2" xfId="20807"/>
    <cellStyle name="Normal 13 3 2 2 6 2 2" xfId="34832"/>
    <cellStyle name="Normal 13 3 2 2 6 3" xfId="26821"/>
    <cellStyle name="Normal 13 3 2 2 7" xfId="14797"/>
    <cellStyle name="Normal 13 3 2 2 7 2" xfId="22812"/>
    <cellStyle name="Normal 13 3 2 2 7 2 2" xfId="36837"/>
    <cellStyle name="Normal 13 3 2 2 7 3" xfId="28826"/>
    <cellStyle name="Normal 13 3 2 2 8" xfId="16803"/>
    <cellStyle name="Normal 13 3 2 2 8 2" xfId="30828"/>
    <cellStyle name="Normal 13 3 2 2 9" xfId="18805"/>
    <cellStyle name="Normal 13 3 2 2 9 2" xfId="32830"/>
    <cellStyle name="Normal 13 3 2 3" xfId="2191"/>
    <cellStyle name="Normal 13 3 2 3 2" xfId="2192"/>
    <cellStyle name="Normal 13 3 2 3 2 2" xfId="2193"/>
    <cellStyle name="Normal 13 3 2 3 2 2 2" xfId="12794"/>
    <cellStyle name="Normal 13 3 2 3 2 2 2 2" xfId="20819"/>
    <cellStyle name="Normal 13 3 2 3 2 2 2 2 2" xfId="34844"/>
    <cellStyle name="Normal 13 3 2 3 2 2 2 3" xfId="26833"/>
    <cellStyle name="Normal 13 3 2 3 2 2 3" xfId="14809"/>
    <cellStyle name="Normal 13 3 2 3 2 2 3 2" xfId="22824"/>
    <cellStyle name="Normal 13 3 2 3 2 2 3 2 2" xfId="36849"/>
    <cellStyle name="Normal 13 3 2 3 2 2 3 3" xfId="28838"/>
    <cellStyle name="Normal 13 3 2 3 2 2 4" xfId="16815"/>
    <cellStyle name="Normal 13 3 2 3 2 2 4 2" xfId="30840"/>
    <cellStyle name="Normal 13 3 2 3 2 2 5" xfId="18817"/>
    <cellStyle name="Normal 13 3 2 3 2 2 5 2" xfId="32842"/>
    <cellStyle name="Normal 13 3 2 3 2 2 6" xfId="24831"/>
    <cellStyle name="Normal 13 3 2 3 2 3" xfId="12793"/>
    <cellStyle name="Normal 13 3 2 3 2 3 2" xfId="20818"/>
    <cellStyle name="Normal 13 3 2 3 2 3 2 2" xfId="34843"/>
    <cellStyle name="Normal 13 3 2 3 2 3 3" xfId="26832"/>
    <cellStyle name="Normal 13 3 2 3 2 4" xfId="14808"/>
    <cellStyle name="Normal 13 3 2 3 2 4 2" xfId="22823"/>
    <cellStyle name="Normal 13 3 2 3 2 4 2 2" xfId="36848"/>
    <cellStyle name="Normal 13 3 2 3 2 4 3" xfId="28837"/>
    <cellStyle name="Normal 13 3 2 3 2 5" xfId="16814"/>
    <cellStyle name="Normal 13 3 2 3 2 5 2" xfId="30839"/>
    <cellStyle name="Normal 13 3 2 3 2 6" xfId="18816"/>
    <cellStyle name="Normal 13 3 2 3 2 6 2" xfId="32841"/>
    <cellStyle name="Normal 13 3 2 3 2 7" xfId="24830"/>
    <cellStyle name="Normal 13 3 2 3 3" xfId="2194"/>
    <cellStyle name="Normal 13 3 2 3 3 2" xfId="12795"/>
    <cellStyle name="Normal 13 3 2 3 3 2 2" xfId="20820"/>
    <cellStyle name="Normal 13 3 2 3 3 2 2 2" xfId="34845"/>
    <cellStyle name="Normal 13 3 2 3 3 2 3" xfId="26834"/>
    <cellStyle name="Normal 13 3 2 3 3 3" xfId="14810"/>
    <cellStyle name="Normal 13 3 2 3 3 3 2" xfId="22825"/>
    <cellStyle name="Normal 13 3 2 3 3 3 2 2" xfId="36850"/>
    <cellStyle name="Normal 13 3 2 3 3 3 3" xfId="28839"/>
    <cellStyle name="Normal 13 3 2 3 3 4" xfId="16816"/>
    <cellStyle name="Normal 13 3 2 3 3 4 2" xfId="30841"/>
    <cellStyle name="Normal 13 3 2 3 3 5" xfId="18818"/>
    <cellStyle name="Normal 13 3 2 3 3 5 2" xfId="32843"/>
    <cellStyle name="Normal 13 3 2 3 3 6" xfId="24832"/>
    <cellStyle name="Normal 13 3 2 3 4" xfId="12792"/>
    <cellStyle name="Normal 13 3 2 3 4 2" xfId="20817"/>
    <cellStyle name="Normal 13 3 2 3 4 2 2" xfId="34842"/>
    <cellStyle name="Normal 13 3 2 3 4 3" xfId="26831"/>
    <cellStyle name="Normal 13 3 2 3 5" xfId="14807"/>
    <cellStyle name="Normal 13 3 2 3 5 2" xfId="22822"/>
    <cellStyle name="Normal 13 3 2 3 5 2 2" xfId="36847"/>
    <cellStyle name="Normal 13 3 2 3 5 3" xfId="28836"/>
    <cellStyle name="Normal 13 3 2 3 6" xfId="16813"/>
    <cellStyle name="Normal 13 3 2 3 6 2" xfId="30838"/>
    <cellStyle name="Normal 13 3 2 3 7" xfId="18815"/>
    <cellStyle name="Normal 13 3 2 3 7 2" xfId="32840"/>
    <cellStyle name="Normal 13 3 2 3 8" xfId="24829"/>
    <cellStyle name="Normal 13 3 2 4" xfId="2195"/>
    <cellStyle name="Normal 13 3 2 4 2" xfId="2196"/>
    <cellStyle name="Normal 13 3 2 4 2 2" xfId="12797"/>
    <cellStyle name="Normal 13 3 2 4 2 2 2" xfId="20822"/>
    <cellStyle name="Normal 13 3 2 4 2 2 2 2" xfId="34847"/>
    <cellStyle name="Normal 13 3 2 4 2 2 3" xfId="26836"/>
    <cellStyle name="Normal 13 3 2 4 2 3" xfId="14812"/>
    <cellStyle name="Normal 13 3 2 4 2 3 2" xfId="22827"/>
    <cellStyle name="Normal 13 3 2 4 2 3 2 2" xfId="36852"/>
    <cellStyle name="Normal 13 3 2 4 2 3 3" xfId="28841"/>
    <cellStyle name="Normal 13 3 2 4 2 4" xfId="16818"/>
    <cellStyle name="Normal 13 3 2 4 2 4 2" xfId="30843"/>
    <cellStyle name="Normal 13 3 2 4 2 5" xfId="18820"/>
    <cellStyle name="Normal 13 3 2 4 2 5 2" xfId="32845"/>
    <cellStyle name="Normal 13 3 2 4 2 6" xfId="24834"/>
    <cellStyle name="Normal 13 3 2 4 3" xfId="12796"/>
    <cellStyle name="Normal 13 3 2 4 3 2" xfId="20821"/>
    <cellStyle name="Normal 13 3 2 4 3 2 2" xfId="34846"/>
    <cellStyle name="Normal 13 3 2 4 3 3" xfId="26835"/>
    <cellStyle name="Normal 13 3 2 4 4" xfId="14811"/>
    <cellStyle name="Normal 13 3 2 4 4 2" xfId="22826"/>
    <cellStyle name="Normal 13 3 2 4 4 2 2" xfId="36851"/>
    <cellStyle name="Normal 13 3 2 4 4 3" xfId="28840"/>
    <cellStyle name="Normal 13 3 2 4 5" xfId="16817"/>
    <cellStyle name="Normal 13 3 2 4 5 2" xfId="30842"/>
    <cellStyle name="Normal 13 3 2 4 6" xfId="18819"/>
    <cellStyle name="Normal 13 3 2 4 6 2" xfId="32844"/>
    <cellStyle name="Normal 13 3 2 4 7" xfId="24833"/>
    <cellStyle name="Normal 13 3 2 5" xfId="2197"/>
    <cellStyle name="Normal 13 3 2 5 2" xfId="2198"/>
    <cellStyle name="Normal 13 3 2 5 2 2" xfId="12799"/>
    <cellStyle name="Normal 13 3 2 5 2 2 2" xfId="20824"/>
    <cellStyle name="Normal 13 3 2 5 2 2 2 2" xfId="34849"/>
    <cellStyle name="Normal 13 3 2 5 2 2 3" xfId="26838"/>
    <cellStyle name="Normal 13 3 2 5 2 3" xfId="14814"/>
    <cellStyle name="Normal 13 3 2 5 2 3 2" xfId="22829"/>
    <cellStyle name="Normal 13 3 2 5 2 3 2 2" xfId="36854"/>
    <cellStyle name="Normal 13 3 2 5 2 3 3" xfId="28843"/>
    <cellStyle name="Normal 13 3 2 5 2 4" xfId="16820"/>
    <cellStyle name="Normal 13 3 2 5 2 4 2" xfId="30845"/>
    <cellStyle name="Normal 13 3 2 5 2 5" xfId="18822"/>
    <cellStyle name="Normal 13 3 2 5 2 5 2" xfId="32847"/>
    <cellStyle name="Normal 13 3 2 5 2 6" xfId="24836"/>
    <cellStyle name="Normal 13 3 2 5 3" xfId="12798"/>
    <cellStyle name="Normal 13 3 2 5 3 2" xfId="20823"/>
    <cellStyle name="Normal 13 3 2 5 3 2 2" xfId="34848"/>
    <cellStyle name="Normal 13 3 2 5 3 3" xfId="26837"/>
    <cellStyle name="Normal 13 3 2 5 4" xfId="14813"/>
    <cellStyle name="Normal 13 3 2 5 4 2" xfId="22828"/>
    <cellStyle name="Normal 13 3 2 5 4 2 2" xfId="36853"/>
    <cellStyle name="Normal 13 3 2 5 4 3" xfId="28842"/>
    <cellStyle name="Normal 13 3 2 5 5" xfId="16819"/>
    <cellStyle name="Normal 13 3 2 5 5 2" xfId="30844"/>
    <cellStyle name="Normal 13 3 2 5 6" xfId="18821"/>
    <cellStyle name="Normal 13 3 2 5 6 2" xfId="32846"/>
    <cellStyle name="Normal 13 3 2 5 7" xfId="24835"/>
    <cellStyle name="Normal 13 3 2 6" xfId="2199"/>
    <cellStyle name="Normal 13 3 2 6 2" xfId="12800"/>
    <cellStyle name="Normal 13 3 2 6 2 2" xfId="20825"/>
    <cellStyle name="Normal 13 3 2 6 2 2 2" xfId="34850"/>
    <cellStyle name="Normal 13 3 2 6 2 3" xfId="26839"/>
    <cellStyle name="Normal 13 3 2 6 3" xfId="14815"/>
    <cellStyle name="Normal 13 3 2 6 3 2" xfId="22830"/>
    <cellStyle name="Normal 13 3 2 6 3 2 2" xfId="36855"/>
    <cellStyle name="Normal 13 3 2 6 3 3" xfId="28844"/>
    <cellStyle name="Normal 13 3 2 6 4" xfId="16821"/>
    <cellStyle name="Normal 13 3 2 6 4 2" xfId="30846"/>
    <cellStyle name="Normal 13 3 2 6 5" xfId="18823"/>
    <cellStyle name="Normal 13 3 2 6 5 2" xfId="32848"/>
    <cellStyle name="Normal 13 3 2 6 6" xfId="24837"/>
    <cellStyle name="Normal 13 3 2 7" xfId="12781"/>
    <cellStyle name="Normal 13 3 2 7 2" xfId="20806"/>
    <cellStyle name="Normal 13 3 2 7 2 2" xfId="34831"/>
    <cellStyle name="Normal 13 3 2 7 3" xfId="26820"/>
    <cellStyle name="Normal 13 3 2 8" xfId="14796"/>
    <cellStyle name="Normal 13 3 2 8 2" xfId="22811"/>
    <cellStyle name="Normal 13 3 2 8 2 2" xfId="36836"/>
    <cellStyle name="Normal 13 3 2 8 3" xfId="28825"/>
    <cellStyle name="Normal 13 3 2 9" xfId="16802"/>
    <cellStyle name="Normal 13 3 2 9 2" xfId="30827"/>
    <cellStyle name="Normal 13 3 3" xfId="2200"/>
    <cellStyle name="Normal 13 3 3 10" xfId="24838"/>
    <cellStyle name="Normal 13 3 3 2" xfId="2201"/>
    <cellStyle name="Normal 13 3 3 2 2" xfId="2202"/>
    <cellStyle name="Normal 13 3 3 2 2 2" xfId="2203"/>
    <cellStyle name="Normal 13 3 3 2 2 2 2" xfId="12804"/>
    <cellStyle name="Normal 13 3 3 2 2 2 2 2" xfId="20829"/>
    <cellStyle name="Normal 13 3 3 2 2 2 2 2 2" xfId="34854"/>
    <cellStyle name="Normal 13 3 3 2 2 2 2 3" xfId="26843"/>
    <cellStyle name="Normal 13 3 3 2 2 2 3" xfId="14819"/>
    <cellStyle name="Normal 13 3 3 2 2 2 3 2" xfId="22834"/>
    <cellStyle name="Normal 13 3 3 2 2 2 3 2 2" xfId="36859"/>
    <cellStyle name="Normal 13 3 3 2 2 2 3 3" xfId="28848"/>
    <cellStyle name="Normal 13 3 3 2 2 2 4" xfId="16825"/>
    <cellStyle name="Normal 13 3 3 2 2 2 4 2" xfId="30850"/>
    <cellStyle name="Normal 13 3 3 2 2 2 5" xfId="18827"/>
    <cellStyle name="Normal 13 3 3 2 2 2 5 2" xfId="32852"/>
    <cellStyle name="Normal 13 3 3 2 2 2 6" xfId="24841"/>
    <cellStyle name="Normal 13 3 3 2 2 3" xfId="12803"/>
    <cellStyle name="Normal 13 3 3 2 2 3 2" xfId="20828"/>
    <cellStyle name="Normal 13 3 3 2 2 3 2 2" xfId="34853"/>
    <cellStyle name="Normal 13 3 3 2 2 3 3" xfId="26842"/>
    <cellStyle name="Normal 13 3 3 2 2 4" xfId="14818"/>
    <cellStyle name="Normal 13 3 3 2 2 4 2" xfId="22833"/>
    <cellStyle name="Normal 13 3 3 2 2 4 2 2" xfId="36858"/>
    <cellStyle name="Normal 13 3 3 2 2 4 3" xfId="28847"/>
    <cellStyle name="Normal 13 3 3 2 2 5" xfId="16824"/>
    <cellStyle name="Normal 13 3 3 2 2 5 2" xfId="30849"/>
    <cellStyle name="Normal 13 3 3 2 2 6" xfId="18826"/>
    <cellStyle name="Normal 13 3 3 2 2 6 2" xfId="32851"/>
    <cellStyle name="Normal 13 3 3 2 2 7" xfId="24840"/>
    <cellStyle name="Normal 13 3 3 2 3" xfId="2204"/>
    <cellStyle name="Normal 13 3 3 2 3 2" xfId="12805"/>
    <cellStyle name="Normal 13 3 3 2 3 2 2" xfId="20830"/>
    <cellStyle name="Normal 13 3 3 2 3 2 2 2" xfId="34855"/>
    <cellStyle name="Normal 13 3 3 2 3 2 3" xfId="26844"/>
    <cellStyle name="Normal 13 3 3 2 3 3" xfId="14820"/>
    <cellStyle name="Normal 13 3 3 2 3 3 2" xfId="22835"/>
    <cellStyle name="Normal 13 3 3 2 3 3 2 2" xfId="36860"/>
    <cellStyle name="Normal 13 3 3 2 3 3 3" xfId="28849"/>
    <cellStyle name="Normal 13 3 3 2 3 4" xfId="16826"/>
    <cellStyle name="Normal 13 3 3 2 3 4 2" xfId="30851"/>
    <cellStyle name="Normal 13 3 3 2 3 5" xfId="18828"/>
    <cellStyle name="Normal 13 3 3 2 3 5 2" xfId="32853"/>
    <cellStyle name="Normal 13 3 3 2 3 6" xfId="24842"/>
    <cellStyle name="Normal 13 3 3 2 4" xfId="12802"/>
    <cellStyle name="Normal 13 3 3 2 4 2" xfId="20827"/>
    <cellStyle name="Normal 13 3 3 2 4 2 2" xfId="34852"/>
    <cellStyle name="Normal 13 3 3 2 4 3" xfId="26841"/>
    <cellStyle name="Normal 13 3 3 2 5" xfId="14817"/>
    <cellStyle name="Normal 13 3 3 2 5 2" xfId="22832"/>
    <cellStyle name="Normal 13 3 3 2 5 2 2" xfId="36857"/>
    <cellStyle name="Normal 13 3 3 2 5 3" xfId="28846"/>
    <cellStyle name="Normal 13 3 3 2 6" xfId="16823"/>
    <cellStyle name="Normal 13 3 3 2 6 2" xfId="30848"/>
    <cellStyle name="Normal 13 3 3 2 7" xfId="18825"/>
    <cellStyle name="Normal 13 3 3 2 7 2" xfId="32850"/>
    <cellStyle name="Normal 13 3 3 2 8" xfId="24839"/>
    <cellStyle name="Normal 13 3 3 3" xfId="2205"/>
    <cellStyle name="Normal 13 3 3 3 2" xfId="2206"/>
    <cellStyle name="Normal 13 3 3 3 2 2" xfId="12807"/>
    <cellStyle name="Normal 13 3 3 3 2 2 2" xfId="20832"/>
    <cellStyle name="Normal 13 3 3 3 2 2 2 2" xfId="34857"/>
    <cellStyle name="Normal 13 3 3 3 2 2 3" xfId="26846"/>
    <cellStyle name="Normal 13 3 3 3 2 3" xfId="14822"/>
    <cellStyle name="Normal 13 3 3 3 2 3 2" xfId="22837"/>
    <cellStyle name="Normal 13 3 3 3 2 3 2 2" xfId="36862"/>
    <cellStyle name="Normal 13 3 3 3 2 3 3" xfId="28851"/>
    <cellStyle name="Normal 13 3 3 3 2 4" xfId="16828"/>
    <cellStyle name="Normal 13 3 3 3 2 4 2" xfId="30853"/>
    <cellStyle name="Normal 13 3 3 3 2 5" xfId="18830"/>
    <cellStyle name="Normal 13 3 3 3 2 5 2" xfId="32855"/>
    <cellStyle name="Normal 13 3 3 3 2 6" xfId="24844"/>
    <cellStyle name="Normal 13 3 3 3 3" xfId="12806"/>
    <cellStyle name="Normal 13 3 3 3 3 2" xfId="20831"/>
    <cellStyle name="Normal 13 3 3 3 3 2 2" xfId="34856"/>
    <cellStyle name="Normal 13 3 3 3 3 3" xfId="26845"/>
    <cellStyle name="Normal 13 3 3 3 4" xfId="14821"/>
    <cellStyle name="Normal 13 3 3 3 4 2" xfId="22836"/>
    <cellStyle name="Normal 13 3 3 3 4 2 2" xfId="36861"/>
    <cellStyle name="Normal 13 3 3 3 4 3" xfId="28850"/>
    <cellStyle name="Normal 13 3 3 3 5" xfId="16827"/>
    <cellStyle name="Normal 13 3 3 3 5 2" xfId="30852"/>
    <cellStyle name="Normal 13 3 3 3 6" xfId="18829"/>
    <cellStyle name="Normal 13 3 3 3 6 2" xfId="32854"/>
    <cellStyle name="Normal 13 3 3 3 7" xfId="24843"/>
    <cellStyle name="Normal 13 3 3 4" xfId="2207"/>
    <cellStyle name="Normal 13 3 3 4 2" xfId="2208"/>
    <cellStyle name="Normal 13 3 3 4 2 2" xfId="12809"/>
    <cellStyle name="Normal 13 3 3 4 2 2 2" xfId="20834"/>
    <cellStyle name="Normal 13 3 3 4 2 2 2 2" xfId="34859"/>
    <cellStyle name="Normal 13 3 3 4 2 2 3" xfId="26848"/>
    <cellStyle name="Normal 13 3 3 4 2 3" xfId="14824"/>
    <cellStyle name="Normal 13 3 3 4 2 3 2" xfId="22839"/>
    <cellStyle name="Normal 13 3 3 4 2 3 2 2" xfId="36864"/>
    <cellStyle name="Normal 13 3 3 4 2 3 3" xfId="28853"/>
    <cellStyle name="Normal 13 3 3 4 2 4" xfId="16830"/>
    <cellStyle name="Normal 13 3 3 4 2 4 2" xfId="30855"/>
    <cellStyle name="Normal 13 3 3 4 2 5" xfId="18832"/>
    <cellStyle name="Normal 13 3 3 4 2 5 2" xfId="32857"/>
    <cellStyle name="Normal 13 3 3 4 2 6" xfId="24846"/>
    <cellStyle name="Normal 13 3 3 4 3" xfId="12808"/>
    <cellStyle name="Normal 13 3 3 4 3 2" xfId="20833"/>
    <cellStyle name="Normal 13 3 3 4 3 2 2" xfId="34858"/>
    <cellStyle name="Normal 13 3 3 4 3 3" xfId="26847"/>
    <cellStyle name="Normal 13 3 3 4 4" xfId="14823"/>
    <cellStyle name="Normal 13 3 3 4 4 2" xfId="22838"/>
    <cellStyle name="Normal 13 3 3 4 4 2 2" xfId="36863"/>
    <cellStyle name="Normal 13 3 3 4 4 3" xfId="28852"/>
    <cellStyle name="Normal 13 3 3 4 5" xfId="16829"/>
    <cellStyle name="Normal 13 3 3 4 5 2" xfId="30854"/>
    <cellStyle name="Normal 13 3 3 4 6" xfId="18831"/>
    <cellStyle name="Normal 13 3 3 4 6 2" xfId="32856"/>
    <cellStyle name="Normal 13 3 3 4 7" xfId="24845"/>
    <cellStyle name="Normal 13 3 3 5" xfId="2209"/>
    <cellStyle name="Normal 13 3 3 5 2" xfId="12810"/>
    <cellStyle name="Normal 13 3 3 5 2 2" xfId="20835"/>
    <cellStyle name="Normal 13 3 3 5 2 2 2" xfId="34860"/>
    <cellStyle name="Normal 13 3 3 5 2 3" xfId="26849"/>
    <cellStyle name="Normal 13 3 3 5 3" xfId="14825"/>
    <cellStyle name="Normal 13 3 3 5 3 2" xfId="22840"/>
    <cellStyle name="Normal 13 3 3 5 3 2 2" xfId="36865"/>
    <cellStyle name="Normal 13 3 3 5 3 3" xfId="28854"/>
    <cellStyle name="Normal 13 3 3 5 4" xfId="16831"/>
    <cellStyle name="Normal 13 3 3 5 4 2" xfId="30856"/>
    <cellStyle name="Normal 13 3 3 5 5" xfId="18833"/>
    <cellStyle name="Normal 13 3 3 5 5 2" xfId="32858"/>
    <cellStyle name="Normal 13 3 3 5 6" xfId="24847"/>
    <cellStyle name="Normal 13 3 3 6" xfId="12801"/>
    <cellStyle name="Normal 13 3 3 6 2" xfId="20826"/>
    <cellStyle name="Normal 13 3 3 6 2 2" xfId="34851"/>
    <cellStyle name="Normal 13 3 3 6 3" xfId="26840"/>
    <cellStyle name="Normal 13 3 3 7" xfId="14816"/>
    <cellStyle name="Normal 13 3 3 7 2" xfId="22831"/>
    <cellStyle name="Normal 13 3 3 7 2 2" xfId="36856"/>
    <cellStyle name="Normal 13 3 3 7 3" xfId="28845"/>
    <cellStyle name="Normal 13 3 3 8" xfId="16822"/>
    <cellStyle name="Normal 13 3 3 8 2" xfId="30847"/>
    <cellStyle name="Normal 13 3 3 9" xfId="18824"/>
    <cellStyle name="Normal 13 3 3 9 2" xfId="32849"/>
    <cellStyle name="Normal 13 3 4" xfId="2210"/>
    <cellStyle name="Normal 13 3 4 2" xfId="2211"/>
    <cellStyle name="Normal 13 3 4 2 2" xfId="2212"/>
    <cellStyle name="Normal 13 3 4 2 2 2" xfId="12813"/>
    <cellStyle name="Normal 13 3 4 2 2 2 2" xfId="20838"/>
    <cellStyle name="Normal 13 3 4 2 2 2 2 2" xfId="34863"/>
    <cellStyle name="Normal 13 3 4 2 2 2 3" xfId="26852"/>
    <cellStyle name="Normal 13 3 4 2 2 3" xfId="14828"/>
    <cellStyle name="Normal 13 3 4 2 2 3 2" xfId="22843"/>
    <cellStyle name="Normal 13 3 4 2 2 3 2 2" xfId="36868"/>
    <cellStyle name="Normal 13 3 4 2 2 3 3" xfId="28857"/>
    <cellStyle name="Normal 13 3 4 2 2 4" xfId="16834"/>
    <cellStyle name="Normal 13 3 4 2 2 4 2" xfId="30859"/>
    <cellStyle name="Normal 13 3 4 2 2 5" xfId="18836"/>
    <cellStyle name="Normal 13 3 4 2 2 5 2" xfId="32861"/>
    <cellStyle name="Normal 13 3 4 2 2 6" xfId="24850"/>
    <cellStyle name="Normal 13 3 4 2 3" xfId="12812"/>
    <cellStyle name="Normal 13 3 4 2 3 2" xfId="20837"/>
    <cellStyle name="Normal 13 3 4 2 3 2 2" xfId="34862"/>
    <cellStyle name="Normal 13 3 4 2 3 3" xfId="26851"/>
    <cellStyle name="Normal 13 3 4 2 4" xfId="14827"/>
    <cellStyle name="Normal 13 3 4 2 4 2" xfId="22842"/>
    <cellStyle name="Normal 13 3 4 2 4 2 2" xfId="36867"/>
    <cellStyle name="Normal 13 3 4 2 4 3" xfId="28856"/>
    <cellStyle name="Normal 13 3 4 2 5" xfId="16833"/>
    <cellStyle name="Normal 13 3 4 2 5 2" xfId="30858"/>
    <cellStyle name="Normal 13 3 4 2 6" xfId="18835"/>
    <cellStyle name="Normal 13 3 4 2 6 2" xfId="32860"/>
    <cellStyle name="Normal 13 3 4 2 7" xfId="24849"/>
    <cellStyle name="Normal 13 3 4 3" xfId="2213"/>
    <cellStyle name="Normal 13 3 4 3 2" xfId="12814"/>
    <cellStyle name="Normal 13 3 4 3 2 2" xfId="20839"/>
    <cellStyle name="Normal 13 3 4 3 2 2 2" xfId="34864"/>
    <cellStyle name="Normal 13 3 4 3 2 3" xfId="26853"/>
    <cellStyle name="Normal 13 3 4 3 3" xfId="14829"/>
    <cellStyle name="Normal 13 3 4 3 3 2" xfId="22844"/>
    <cellStyle name="Normal 13 3 4 3 3 2 2" xfId="36869"/>
    <cellStyle name="Normal 13 3 4 3 3 3" xfId="28858"/>
    <cellStyle name="Normal 13 3 4 3 4" xfId="16835"/>
    <cellStyle name="Normal 13 3 4 3 4 2" xfId="30860"/>
    <cellStyle name="Normal 13 3 4 3 5" xfId="18837"/>
    <cellStyle name="Normal 13 3 4 3 5 2" xfId="32862"/>
    <cellStyle name="Normal 13 3 4 3 6" xfId="24851"/>
    <cellStyle name="Normal 13 3 4 4" xfId="12811"/>
    <cellStyle name="Normal 13 3 4 4 2" xfId="20836"/>
    <cellStyle name="Normal 13 3 4 4 2 2" xfId="34861"/>
    <cellStyle name="Normal 13 3 4 4 3" xfId="26850"/>
    <cellStyle name="Normal 13 3 4 5" xfId="14826"/>
    <cellStyle name="Normal 13 3 4 5 2" xfId="22841"/>
    <cellStyle name="Normal 13 3 4 5 2 2" xfId="36866"/>
    <cellStyle name="Normal 13 3 4 5 3" xfId="28855"/>
    <cellStyle name="Normal 13 3 4 6" xfId="16832"/>
    <cellStyle name="Normal 13 3 4 6 2" xfId="30857"/>
    <cellStyle name="Normal 13 3 4 7" xfId="18834"/>
    <cellStyle name="Normal 13 3 4 7 2" xfId="32859"/>
    <cellStyle name="Normal 13 3 4 8" xfId="24848"/>
    <cellStyle name="Normal 13 3 5" xfId="2214"/>
    <cellStyle name="Normal 13 3 5 2" xfId="2215"/>
    <cellStyle name="Normal 13 3 5 2 2" xfId="12816"/>
    <cellStyle name="Normal 13 3 5 2 2 2" xfId="20841"/>
    <cellStyle name="Normal 13 3 5 2 2 2 2" xfId="34866"/>
    <cellStyle name="Normal 13 3 5 2 2 3" xfId="26855"/>
    <cellStyle name="Normal 13 3 5 2 3" xfId="14831"/>
    <cellStyle name="Normal 13 3 5 2 3 2" xfId="22846"/>
    <cellStyle name="Normal 13 3 5 2 3 2 2" xfId="36871"/>
    <cellStyle name="Normal 13 3 5 2 3 3" xfId="28860"/>
    <cellStyle name="Normal 13 3 5 2 4" xfId="16837"/>
    <cellStyle name="Normal 13 3 5 2 4 2" xfId="30862"/>
    <cellStyle name="Normal 13 3 5 2 5" xfId="18839"/>
    <cellStyle name="Normal 13 3 5 2 5 2" xfId="32864"/>
    <cellStyle name="Normal 13 3 5 2 6" xfId="24853"/>
    <cellStyle name="Normal 13 3 5 3" xfId="12815"/>
    <cellStyle name="Normal 13 3 5 3 2" xfId="20840"/>
    <cellStyle name="Normal 13 3 5 3 2 2" xfId="34865"/>
    <cellStyle name="Normal 13 3 5 3 3" xfId="26854"/>
    <cellStyle name="Normal 13 3 5 4" xfId="14830"/>
    <cellStyle name="Normal 13 3 5 4 2" xfId="22845"/>
    <cellStyle name="Normal 13 3 5 4 2 2" xfId="36870"/>
    <cellStyle name="Normal 13 3 5 4 3" xfId="28859"/>
    <cellStyle name="Normal 13 3 5 5" xfId="16836"/>
    <cellStyle name="Normal 13 3 5 5 2" xfId="30861"/>
    <cellStyle name="Normal 13 3 5 6" xfId="18838"/>
    <cellStyle name="Normal 13 3 5 6 2" xfId="32863"/>
    <cellStyle name="Normal 13 3 5 7" xfId="24852"/>
    <cellStyle name="Normal 13 3 6" xfId="2216"/>
    <cellStyle name="Normal 13 3 6 2" xfId="2217"/>
    <cellStyle name="Normal 13 3 6 2 2" xfId="12818"/>
    <cellStyle name="Normal 13 3 6 2 2 2" xfId="20843"/>
    <cellStyle name="Normal 13 3 6 2 2 2 2" xfId="34868"/>
    <cellStyle name="Normal 13 3 6 2 2 3" xfId="26857"/>
    <cellStyle name="Normal 13 3 6 2 3" xfId="14833"/>
    <cellStyle name="Normal 13 3 6 2 3 2" xfId="22848"/>
    <cellStyle name="Normal 13 3 6 2 3 2 2" xfId="36873"/>
    <cellStyle name="Normal 13 3 6 2 3 3" xfId="28862"/>
    <cellStyle name="Normal 13 3 6 2 4" xfId="16839"/>
    <cellStyle name="Normal 13 3 6 2 4 2" xfId="30864"/>
    <cellStyle name="Normal 13 3 6 2 5" xfId="18841"/>
    <cellStyle name="Normal 13 3 6 2 5 2" xfId="32866"/>
    <cellStyle name="Normal 13 3 6 2 6" xfId="24855"/>
    <cellStyle name="Normal 13 3 6 3" xfId="12817"/>
    <cellStyle name="Normal 13 3 6 3 2" xfId="20842"/>
    <cellStyle name="Normal 13 3 6 3 2 2" xfId="34867"/>
    <cellStyle name="Normal 13 3 6 3 3" xfId="26856"/>
    <cellStyle name="Normal 13 3 6 4" xfId="14832"/>
    <cellStyle name="Normal 13 3 6 4 2" xfId="22847"/>
    <cellStyle name="Normal 13 3 6 4 2 2" xfId="36872"/>
    <cellStyle name="Normal 13 3 6 4 3" xfId="28861"/>
    <cellStyle name="Normal 13 3 6 5" xfId="16838"/>
    <cellStyle name="Normal 13 3 6 5 2" xfId="30863"/>
    <cellStyle name="Normal 13 3 6 6" xfId="18840"/>
    <cellStyle name="Normal 13 3 6 6 2" xfId="32865"/>
    <cellStyle name="Normal 13 3 6 7" xfId="24854"/>
    <cellStyle name="Normal 13 3 7" xfId="2218"/>
    <cellStyle name="Normal 13 3 7 2" xfId="12819"/>
    <cellStyle name="Normal 13 3 7 2 2" xfId="20844"/>
    <cellStyle name="Normal 13 3 7 2 2 2" xfId="34869"/>
    <cellStyle name="Normal 13 3 7 2 3" xfId="26858"/>
    <cellStyle name="Normal 13 3 7 3" xfId="14834"/>
    <cellStyle name="Normal 13 3 7 3 2" xfId="22849"/>
    <cellStyle name="Normal 13 3 7 3 2 2" xfId="36874"/>
    <cellStyle name="Normal 13 3 7 3 3" xfId="28863"/>
    <cellStyle name="Normal 13 3 7 4" xfId="16840"/>
    <cellStyle name="Normal 13 3 7 4 2" xfId="30865"/>
    <cellStyle name="Normal 13 3 7 5" xfId="18842"/>
    <cellStyle name="Normal 13 3 7 5 2" xfId="32867"/>
    <cellStyle name="Normal 13 3 7 6" xfId="24856"/>
    <cellStyle name="Normal 13 4" xfId="2219"/>
    <cellStyle name="Normal 13 4 10" xfId="18843"/>
    <cellStyle name="Normal 13 4 10 2" xfId="32868"/>
    <cellStyle name="Normal 13 4 11" xfId="24857"/>
    <cellStyle name="Normal 13 4 2" xfId="2220"/>
    <cellStyle name="Normal 13 4 2 10" xfId="24858"/>
    <cellStyle name="Normal 13 4 2 2" xfId="2221"/>
    <cellStyle name="Normal 13 4 2 2 2" xfId="2222"/>
    <cellStyle name="Normal 13 4 2 2 2 2" xfId="2223"/>
    <cellStyle name="Normal 13 4 2 2 2 2 2" xfId="12824"/>
    <cellStyle name="Normal 13 4 2 2 2 2 2 2" xfId="20849"/>
    <cellStyle name="Normal 13 4 2 2 2 2 2 2 2" xfId="34874"/>
    <cellStyle name="Normal 13 4 2 2 2 2 2 3" xfId="26863"/>
    <cellStyle name="Normal 13 4 2 2 2 2 3" xfId="14839"/>
    <cellStyle name="Normal 13 4 2 2 2 2 3 2" xfId="22854"/>
    <cellStyle name="Normal 13 4 2 2 2 2 3 2 2" xfId="36879"/>
    <cellStyle name="Normal 13 4 2 2 2 2 3 3" xfId="28868"/>
    <cellStyle name="Normal 13 4 2 2 2 2 4" xfId="16845"/>
    <cellStyle name="Normal 13 4 2 2 2 2 4 2" xfId="30870"/>
    <cellStyle name="Normal 13 4 2 2 2 2 5" xfId="18847"/>
    <cellStyle name="Normal 13 4 2 2 2 2 5 2" xfId="32872"/>
    <cellStyle name="Normal 13 4 2 2 2 2 6" xfId="24861"/>
    <cellStyle name="Normal 13 4 2 2 2 3" xfId="12823"/>
    <cellStyle name="Normal 13 4 2 2 2 3 2" xfId="20848"/>
    <cellStyle name="Normal 13 4 2 2 2 3 2 2" xfId="34873"/>
    <cellStyle name="Normal 13 4 2 2 2 3 3" xfId="26862"/>
    <cellStyle name="Normal 13 4 2 2 2 4" xfId="14838"/>
    <cellStyle name="Normal 13 4 2 2 2 4 2" xfId="22853"/>
    <cellStyle name="Normal 13 4 2 2 2 4 2 2" xfId="36878"/>
    <cellStyle name="Normal 13 4 2 2 2 4 3" xfId="28867"/>
    <cellStyle name="Normal 13 4 2 2 2 5" xfId="16844"/>
    <cellStyle name="Normal 13 4 2 2 2 5 2" xfId="30869"/>
    <cellStyle name="Normal 13 4 2 2 2 6" xfId="18846"/>
    <cellStyle name="Normal 13 4 2 2 2 6 2" xfId="32871"/>
    <cellStyle name="Normal 13 4 2 2 2 7" xfId="24860"/>
    <cellStyle name="Normal 13 4 2 2 3" xfId="2224"/>
    <cellStyle name="Normal 13 4 2 2 3 2" xfId="12825"/>
    <cellStyle name="Normal 13 4 2 2 3 2 2" xfId="20850"/>
    <cellStyle name="Normal 13 4 2 2 3 2 2 2" xfId="34875"/>
    <cellStyle name="Normal 13 4 2 2 3 2 3" xfId="26864"/>
    <cellStyle name="Normal 13 4 2 2 3 3" xfId="14840"/>
    <cellStyle name="Normal 13 4 2 2 3 3 2" xfId="22855"/>
    <cellStyle name="Normal 13 4 2 2 3 3 2 2" xfId="36880"/>
    <cellStyle name="Normal 13 4 2 2 3 3 3" xfId="28869"/>
    <cellStyle name="Normal 13 4 2 2 3 4" xfId="16846"/>
    <cellStyle name="Normal 13 4 2 2 3 4 2" xfId="30871"/>
    <cellStyle name="Normal 13 4 2 2 3 5" xfId="18848"/>
    <cellStyle name="Normal 13 4 2 2 3 5 2" xfId="32873"/>
    <cellStyle name="Normal 13 4 2 2 3 6" xfId="24862"/>
    <cellStyle name="Normal 13 4 2 2 4" xfId="12822"/>
    <cellStyle name="Normal 13 4 2 2 4 2" xfId="20847"/>
    <cellStyle name="Normal 13 4 2 2 4 2 2" xfId="34872"/>
    <cellStyle name="Normal 13 4 2 2 4 3" xfId="26861"/>
    <cellStyle name="Normal 13 4 2 2 5" xfId="14837"/>
    <cellStyle name="Normal 13 4 2 2 5 2" xfId="22852"/>
    <cellStyle name="Normal 13 4 2 2 5 2 2" xfId="36877"/>
    <cellStyle name="Normal 13 4 2 2 5 3" xfId="28866"/>
    <cellStyle name="Normal 13 4 2 2 6" xfId="16843"/>
    <cellStyle name="Normal 13 4 2 2 6 2" xfId="30868"/>
    <cellStyle name="Normal 13 4 2 2 7" xfId="18845"/>
    <cellStyle name="Normal 13 4 2 2 7 2" xfId="32870"/>
    <cellStyle name="Normal 13 4 2 2 8" xfId="24859"/>
    <cellStyle name="Normal 13 4 2 3" xfId="2225"/>
    <cellStyle name="Normal 13 4 2 3 2" xfId="2226"/>
    <cellStyle name="Normal 13 4 2 3 2 2" xfId="12827"/>
    <cellStyle name="Normal 13 4 2 3 2 2 2" xfId="20852"/>
    <cellStyle name="Normal 13 4 2 3 2 2 2 2" xfId="34877"/>
    <cellStyle name="Normal 13 4 2 3 2 2 3" xfId="26866"/>
    <cellStyle name="Normal 13 4 2 3 2 3" xfId="14842"/>
    <cellStyle name="Normal 13 4 2 3 2 3 2" xfId="22857"/>
    <cellStyle name="Normal 13 4 2 3 2 3 2 2" xfId="36882"/>
    <cellStyle name="Normal 13 4 2 3 2 3 3" xfId="28871"/>
    <cellStyle name="Normal 13 4 2 3 2 4" xfId="16848"/>
    <cellStyle name="Normal 13 4 2 3 2 4 2" xfId="30873"/>
    <cellStyle name="Normal 13 4 2 3 2 5" xfId="18850"/>
    <cellStyle name="Normal 13 4 2 3 2 5 2" xfId="32875"/>
    <cellStyle name="Normal 13 4 2 3 2 6" xfId="24864"/>
    <cellStyle name="Normal 13 4 2 3 3" xfId="12826"/>
    <cellStyle name="Normal 13 4 2 3 3 2" xfId="20851"/>
    <cellStyle name="Normal 13 4 2 3 3 2 2" xfId="34876"/>
    <cellStyle name="Normal 13 4 2 3 3 3" xfId="26865"/>
    <cellStyle name="Normal 13 4 2 3 4" xfId="14841"/>
    <cellStyle name="Normal 13 4 2 3 4 2" xfId="22856"/>
    <cellStyle name="Normal 13 4 2 3 4 2 2" xfId="36881"/>
    <cellStyle name="Normal 13 4 2 3 4 3" xfId="28870"/>
    <cellStyle name="Normal 13 4 2 3 5" xfId="16847"/>
    <cellStyle name="Normal 13 4 2 3 5 2" xfId="30872"/>
    <cellStyle name="Normal 13 4 2 3 6" xfId="18849"/>
    <cellStyle name="Normal 13 4 2 3 6 2" xfId="32874"/>
    <cellStyle name="Normal 13 4 2 3 7" xfId="24863"/>
    <cellStyle name="Normal 13 4 2 4" xfId="2227"/>
    <cellStyle name="Normal 13 4 2 4 2" xfId="2228"/>
    <cellStyle name="Normal 13 4 2 4 2 2" xfId="12829"/>
    <cellStyle name="Normal 13 4 2 4 2 2 2" xfId="20854"/>
    <cellStyle name="Normal 13 4 2 4 2 2 2 2" xfId="34879"/>
    <cellStyle name="Normal 13 4 2 4 2 2 3" xfId="26868"/>
    <cellStyle name="Normal 13 4 2 4 2 3" xfId="14844"/>
    <cellStyle name="Normal 13 4 2 4 2 3 2" xfId="22859"/>
    <cellStyle name="Normal 13 4 2 4 2 3 2 2" xfId="36884"/>
    <cellStyle name="Normal 13 4 2 4 2 3 3" xfId="28873"/>
    <cellStyle name="Normal 13 4 2 4 2 4" xfId="16850"/>
    <cellStyle name="Normal 13 4 2 4 2 4 2" xfId="30875"/>
    <cellStyle name="Normal 13 4 2 4 2 5" xfId="18852"/>
    <cellStyle name="Normal 13 4 2 4 2 5 2" xfId="32877"/>
    <cellStyle name="Normal 13 4 2 4 2 6" xfId="24866"/>
    <cellStyle name="Normal 13 4 2 4 3" xfId="12828"/>
    <cellStyle name="Normal 13 4 2 4 3 2" xfId="20853"/>
    <cellStyle name="Normal 13 4 2 4 3 2 2" xfId="34878"/>
    <cellStyle name="Normal 13 4 2 4 3 3" xfId="26867"/>
    <cellStyle name="Normal 13 4 2 4 4" xfId="14843"/>
    <cellStyle name="Normal 13 4 2 4 4 2" xfId="22858"/>
    <cellStyle name="Normal 13 4 2 4 4 2 2" xfId="36883"/>
    <cellStyle name="Normal 13 4 2 4 4 3" xfId="28872"/>
    <cellStyle name="Normal 13 4 2 4 5" xfId="16849"/>
    <cellStyle name="Normal 13 4 2 4 5 2" xfId="30874"/>
    <cellStyle name="Normal 13 4 2 4 6" xfId="18851"/>
    <cellStyle name="Normal 13 4 2 4 6 2" xfId="32876"/>
    <cellStyle name="Normal 13 4 2 4 7" xfId="24865"/>
    <cellStyle name="Normal 13 4 2 5" xfId="2229"/>
    <cellStyle name="Normal 13 4 2 5 2" xfId="12830"/>
    <cellStyle name="Normal 13 4 2 5 2 2" xfId="20855"/>
    <cellStyle name="Normal 13 4 2 5 2 2 2" xfId="34880"/>
    <cellStyle name="Normal 13 4 2 5 2 3" xfId="26869"/>
    <cellStyle name="Normal 13 4 2 5 3" xfId="14845"/>
    <cellStyle name="Normal 13 4 2 5 3 2" xfId="22860"/>
    <cellStyle name="Normal 13 4 2 5 3 2 2" xfId="36885"/>
    <cellStyle name="Normal 13 4 2 5 3 3" xfId="28874"/>
    <cellStyle name="Normal 13 4 2 5 4" xfId="16851"/>
    <cellStyle name="Normal 13 4 2 5 4 2" xfId="30876"/>
    <cellStyle name="Normal 13 4 2 5 5" xfId="18853"/>
    <cellStyle name="Normal 13 4 2 5 5 2" xfId="32878"/>
    <cellStyle name="Normal 13 4 2 5 6" xfId="24867"/>
    <cellStyle name="Normal 13 4 2 6" xfId="12821"/>
    <cellStyle name="Normal 13 4 2 6 2" xfId="20846"/>
    <cellStyle name="Normal 13 4 2 6 2 2" xfId="34871"/>
    <cellStyle name="Normal 13 4 2 6 3" xfId="26860"/>
    <cellStyle name="Normal 13 4 2 7" xfId="14836"/>
    <cellStyle name="Normal 13 4 2 7 2" xfId="22851"/>
    <cellStyle name="Normal 13 4 2 7 2 2" xfId="36876"/>
    <cellStyle name="Normal 13 4 2 7 3" xfId="28865"/>
    <cellStyle name="Normal 13 4 2 8" xfId="16842"/>
    <cellStyle name="Normal 13 4 2 8 2" xfId="30867"/>
    <cellStyle name="Normal 13 4 2 9" xfId="18844"/>
    <cellStyle name="Normal 13 4 2 9 2" xfId="32869"/>
    <cellStyle name="Normal 13 4 3" xfId="2230"/>
    <cellStyle name="Normal 13 4 3 2" xfId="2231"/>
    <cellStyle name="Normal 13 4 3 2 2" xfId="2232"/>
    <cellStyle name="Normal 13 4 3 2 2 2" xfId="12833"/>
    <cellStyle name="Normal 13 4 3 2 2 2 2" xfId="20858"/>
    <cellStyle name="Normal 13 4 3 2 2 2 2 2" xfId="34883"/>
    <cellStyle name="Normal 13 4 3 2 2 2 3" xfId="26872"/>
    <cellStyle name="Normal 13 4 3 2 2 3" xfId="14848"/>
    <cellStyle name="Normal 13 4 3 2 2 3 2" xfId="22863"/>
    <cellStyle name="Normal 13 4 3 2 2 3 2 2" xfId="36888"/>
    <cellStyle name="Normal 13 4 3 2 2 3 3" xfId="28877"/>
    <cellStyle name="Normal 13 4 3 2 2 4" xfId="16854"/>
    <cellStyle name="Normal 13 4 3 2 2 4 2" xfId="30879"/>
    <cellStyle name="Normal 13 4 3 2 2 5" xfId="18856"/>
    <cellStyle name="Normal 13 4 3 2 2 5 2" xfId="32881"/>
    <cellStyle name="Normal 13 4 3 2 2 6" xfId="24870"/>
    <cellStyle name="Normal 13 4 3 2 3" xfId="12832"/>
    <cellStyle name="Normal 13 4 3 2 3 2" xfId="20857"/>
    <cellStyle name="Normal 13 4 3 2 3 2 2" xfId="34882"/>
    <cellStyle name="Normal 13 4 3 2 3 3" xfId="26871"/>
    <cellStyle name="Normal 13 4 3 2 4" xfId="14847"/>
    <cellStyle name="Normal 13 4 3 2 4 2" xfId="22862"/>
    <cellStyle name="Normal 13 4 3 2 4 2 2" xfId="36887"/>
    <cellStyle name="Normal 13 4 3 2 4 3" xfId="28876"/>
    <cellStyle name="Normal 13 4 3 2 5" xfId="16853"/>
    <cellStyle name="Normal 13 4 3 2 5 2" xfId="30878"/>
    <cellStyle name="Normal 13 4 3 2 6" xfId="18855"/>
    <cellStyle name="Normal 13 4 3 2 6 2" xfId="32880"/>
    <cellStyle name="Normal 13 4 3 2 7" xfId="24869"/>
    <cellStyle name="Normal 13 4 3 3" xfId="2233"/>
    <cellStyle name="Normal 13 4 3 3 2" xfId="12834"/>
    <cellStyle name="Normal 13 4 3 3 2 2" xfId="20859"/>
    <cellStyle name="Normal 13 4 3 3 2 2 2" xfId="34884"/>
    <cellStyle name="Normal 13 4 3 3 2 3" xfId="26873"/>
    <cellStyle name="Normal 13 4 3 3 3" xfId="14849"/>
    <cellStyle name="Normal 13 4 3 3 3 2" xfId="22864"/>
    <cellStyle name="Normal 13 4 3 3 3 2 2" xfId="36889"/>
    <cellStyle name="Normal 13 4 3 3 3 3" xfId="28878"/>
    <cellStyle name="Normal 13 4 3 3 4" xfId="16855"/>
    <cellStyle name="Normal 13 4 3 3 4 2" xfId="30880"/>
    <cellStyle name="Normal 13 4 3 3 5" xfId="18857"/>
    <cellStyle name="Normal 13 4 3 3 5 2" xfId="32882"/>
    <cellStyle name="Normal 13 4 3 3 6" xfId="24871"/>
    <cellStyle name="Normal 13 4 3 4" xfId="12831"/>
    <cellStyle name="Normal 13 4 3 4 2" xfId="20856"/>
    <cellStyle name="Normal 13 4 3 4 2 2" xfId="34881"/>
    <cellStyle name="Normal 13 4 3 4 3" xfId="26870"/>
    <cellStyle name="Normal 13 4 3 5" xfId="14846"/>
    <cellStyle name="Normal 13 4 3 5 2" xfId="22861"/>
    <cellStyle name="Normal 13 4 3 5 2 2" xfId="36886"/>
    <cellStyle name="Normal 13 4 3 5 3" xfId="28875"/>
    <cellStyle name="Normal 13 4 3 6" xfId="16852"/>
    <cellStyle name="Normal 13 4 3 6 2" xfId="30877"/>
    <cellStyle name="Normal 13 4 3 7" xfId="18854"/>
    <cellStyle name="Normal 13 4 3 7 2" xfId="32879"/>
    <cellStyle name="Normal 13 4 3 8" xfId="24868"/>
    <cellStyle name="Normal 13 4 4" xfId="2234"/>
    <cellStyle name="Normal 13 4 4 2" xfId="2235"/>
    <cellStyle name="Normal 13 4 4 2 2" xfId="12836"/>
    <cellStyle name="Normal 13 4 4 2 2 2" xfId="20861"/>
    <cellStyle name="Normal 13 4 4 2 2 2 2" xfId="34886"/>
    <cellStyle name="Normal 13 4 4 2 2 3" xfId="26875"/>
    <cellStyle name="Normal 13 4 4 2 3" xfId="14851"/>
    <cellStyle name="Normal 13 4 4 2 3 2" xfId="22866"/>
    <cellStyle name="Normal 13 4 4 2 3 2 2" xfId="36891"/>
    <cellStyle name="Normal 13 4 4 2 3 3" xfId="28880"/>
    <cellStyle name="Normal 13 4 4 2 4" xfId="16857"/>
    <cellStyle name="Normal 13 4 4 2 4 2" xfId="30882"/>
    <cellStyle name="Normal 13 4 4 2 5" xfId="18859"/>
    <cellStyle name="Normal 13 4 4 2 5 2" xfId="32884"/>
    <cellStyle name="Normal 13 4 4 2 6" xfId="24873"/>
    <cellStyle name="Normal 13 4 4 3" xfId="12835"/>
    <cellStyle name="Normal 13 4 4 3 2" xfId="20860"/>
    <cellStyle name="Normal 13 4 4 3 2 2" xfId="34885"/>
    <cellStyle name="Normal 13 4 4 3 3" xfId="26874"/>
    <cellStyle name="Normal 13 4 4 4" xfId="14850"/>
    <cellStyle name="Normal 13 4 4 4 2" xfId="22865"/>
    <cellStyle name="Normal 13 4 4 4 2 2" xfId="36890"/>
    <cellStyle name="Normal 13 4 4 4 3" xfId="28879"/>
    <cellStyle name="Normal 13 4 4 5" xfId="16856"/>
    <cellStyle name="Normal 13 4 4 5 2" xfId="30881"/>
    <cellStyle name="Normal 13 4 4 6" xfId="18858"/>
    <cellStyle name="Normal 13 4 4 6 2" xfId="32883"/>
    <cellStyle name="Normal 13 4 4 7" xfId="24872"/>
    <cellStyle name="Normal 13 4 5" xfId="2236"/>
    <cellStyle name="Normal 13 4 5 2" xfId="2237"/>
    <cellStyle name="Normal 13 4 5 2 2" xfId="12838"/>
    <cellStyle name="Normal 13 4 5 2 2 2" xfId="20863"/>
    <cellStyle name="Normal 13 4 5 2 2 2 2" xfId="34888"/>
    <cellStyle name="Normal 13 4 5 2 2 3" xfId="26877"/>
    <cellStyle name="Normal 13 4 5 2 3" xfId="14853"/>
    <cellStyle name="Normal 13 4 5 2 3 2" xfId="22868"/>
    <cellStyle name="Normal 13 4 5 2 3 2 2" xfId="36893"/>
    <cellStyle name="Normal 13 4 5 2 3 3" xfId="28882"/>
    <cellStyle name="Normal 13 4 5 2 4" xfId="16859"/>
    <cellStyle name="Normal 13 4 5 2 4 2" xfId="30884"/>
    <cellStyle name="Normal 13 4 5 2 5" xfId="18861"/>
    <cellStyle name="Normal 13 4 5 2 5 2" xfId="32886"/>
    <cellStyle name="Normal 13 4 5 2 6" xfId="24875"/>
    <cellStyle name="Normal 13 4 5 3" xfId="12837"/>
    <cellStyle name="Normal 13 4 5 3 2" xfId="20862"/>
    <cellStyle name="Normal 13 4 5 3 2 2" xfId="34887"/>
    <cellStyle name="Normal 13 4 5 3 3" xfId="26876"/>
    <cellStyle name="Normal 13 4 5 4" xfId="14852"/>
    <cellStyle name="Normal 13 4 5 4 2" xfId="22867"/>
    <cellStyle name="Normal 13 4 5 4 2 2" xfId="36892"/>
    <cellStyle name="Normal 13 4 5 4 3" xfId="28881"/>
    <cellStyle name="Normal 13 4 5 5" xfId="16858"/>
    <cellStyle name="Normal 13 4 5 5 2" xfId="30883"/>
    <cellStyle name="Normal 13 4 5 6" xfId="18860"/>
    <cellStyle name="Normal 13 4 5 6 2" xfId="32885"/>
    <cellStyle name="Normal 13 4 5 7" xfId="24874"/>
    <cellStyle name="Normal 13 4 6" xfId="2238"/>
    <cellStyle name="Normal 13 4 6 2" xfId="12839"/>
    <cellStyle name="Normal 13 4 6 2 2" xfId="20864"/>
    <cellStyle name="Normal 13 4 6 2 2 2" xfId="34889"/>
    <cellStyle name="Normal 13 4 6 2 3" xfId="26878"/>
    <cellStyle name="Normal 13 4 6 3" xfId="14854"/>
    <cellStyle name="Normal 13 4 6 3 2" xfId="22869"/>
    <cellStyle name="Normal 13 4 6 3 2 2" xfId="36894"/>
    <cellStyle name="Normal 13 4 6 3 3" xfId="28883"/>
    <cellStyle name="Normal 13 4 6 4" xfId="16860"/>
    <cellStyle name="Normal 13 4 6 4 2" xfId="30885"/>
    <cellStyle name="Normal 13 4 6 5" xfId="18862"/>
    <cellStyle name="Normal 13 4 6 5 2" xfId="32887"/>
    <cellStyle name="Normal 13 4 6 6" xfId="24876"/>
    <cellStyle name="Normal 13 4 7" xfId="12820"/>
    <cellStyle name="Normal 13 4 7 2" xfId="20845"/>
    <cellStyle name="Normal 13 4 7 2 2" xfId="34870"/>
    <cellStyle name="Normal 13 4 7 3" xfId="26859"/>
    <cellStyle name="Normal 13 4 8" xfId="14835"/>
    <cellStyle name="Normal 13 4 8 2" xfId="22850"/>
    <cellStyle name="Normal 13 4 8 2 2" xfId="36875"/>
    <cellStyle name="Normal 13 4 8 3" xfId="28864"/>
    <cellStyle name="Normal 13 4 9" xfId="16841"/>
    <cellStyle name="Normal 13 4 9 2" xfId="30866"/>
    <cellStyle name="Normal 13 5" xfId="2239"/>
    <cellStyle name="Normal 13 5 10" xfId="24877"/>
    <cellStyle name="Normal 13 5 2" xfId="2240"/>
    <cellStyle name="Normal 13 5 2 2" xfId="2241"/>
    <cellStyle name="Normal 13 5 2 2 2" xfId="2242"/>
    <cellStyle name="Normal 13 5 2 2 2 2" xfId="12843"/>
    <cellStyle name="Normal 13 5 2 2 2 2 2" xfId="20868"/>
    <cellStyle name="Normal 13 5 2 2 2 2 2 2" xfId="34893"/>
    <cellStyle name="Normal 13 5 2 2 2 2 3" xfId="26882"/>
    <cellStyle name="Normal 13 5 2 2 2 3" xfId="14858"/>
    <cellStyle name="Normal 13 5 2 2 2 3 2" xfId="22873"/>
    <cellStyle name="Normal 13 5 2 2 2 3 2 2" xfId="36898"/>
    <cellStyle name="Normal 13 5 2 2 2 3 3" xfId="28887"/>
    <cellStyle name="Normal 13 5 2 2 2 4" xfId="16864"/>
    <cellStyle name="Normal 13 5 2 2 2 4 2" xfId="30889"/>
    <cellStyle name="Normal 13 5 2 2 2 5" xfId="18866"/>
    <cellStyle name="Normal 13 5 2 2 2 5 2" xfId="32891"/>
    <cellStyle name="Normal 13 5 2 2 2 6" xfId="24880"/>
    <cellStyle name="Normal 13 5 2 2 3" xfId="12842"/>
    <cellStyle name="Normal 13 5 2 2 3 2" xfId="20867"/>
    <cellStyle name="Normal 13 5 2 2 3 2 2" xfId="34892"/>
    <cellStyle name="Normal 13 5 2 2 3 3" xfId="26881"/>
    <cellStyle name="Normal 13 5 2 2 4" xfId="14857"/>
    <cellStyle name="Normal 13 5 2 2 4 2" xfId="22872"/>
    <cellStyle name="Normal 13 5 2 2 4 2 2" xfId="36897"/>
    <cellStyle name="Normal 13 5 2 2 4 3" xfId="28886"/>
    <cellStyle name="Normal 13 5 2 2 5" xfId="16863"/>
    <cellStyle name="Normal 13 5 2 2 5 2" xfId="30888"/>
    <cellStyle name="Normal 13 5 2 2 6" xfId="18865"/>
    <cellStyle name="Normal 13 5 2 2 6 2" xfId="32890"/>
    <cellStyle name="Normal 13 5 2 2 7" xfId="24879"/>
    <cellStyle name="Normal 13 5 2 3" xfId="2243"/>
    <cellStyle name="Normal 13 5 2 3 2" xfId="12844"/>
    <cellStyle name="Normal 13 5 2 3 2 2" xfId="20869"/>
    <cellStyle name="Normal 13 5 2 3 2 2 2" xfId="34894"/>
    <cellStyle name="Normal 13 5 2 3 2 3" xfId="26883"/>
    <cellStyle name="Normal 13 5 2 3 3" xfId="14859"/>
    <cellStyle name="Normal 13 5 2 3 3 2" xfId="22874"/>
    <cellStyle name="Normal 13 5 2 3 3 2 2" xfId="36899"/>
    <cellStyle name="Normal 13 5 2 3 3 3" xfId="28888"/>
    <cellStyle name="Normal 13 5 2 3 4" xfId="16865"/>
    <cellStyle name="Normal 13 5 2 3 4 2" xfId="30890"/>
    <cellStyle name="Normal 13 5 2 3 5" xfId="18867"/>
    <cellStyle name="Normal 13 5 2 3 5 2" xfId="32892"/>
    <cellStyle name="Normal 13 5 2 3 6" xfId="24881"/>
    <cellStyle name="Normal 13 5 2 4" xfId="12841"/>
    <cellStyle name="Normal 13 5 2 4 2" xfId="20866"/>
    <cellStyle name="Normal 13 5 2 4 2 2" xfId="34891"/>
    <cellStyle name="Normal 13 5 2 4 3" xfId="26880"/>
    <cellStyle name="Normal 13 5 2 5" xfId="14856"/>
    <cellStyle name="Normal 13 5 2 5 2" xfId="22871"/>
    <cellStyle name="Normal 13 5 2 5 2 2" xfId="36896"/>
    <cellStyle name="Normal 13 5 2 5 3" xfId="28885"/>
    <cellStyle name="Normal 13 5 2 6" xfId="16862"/>
    <cellStyle name="Normal 13 5 2 6 2" xfId="30887"/>
    <cellStyle name="Normal 13 5 2 7" xfId="18864"/>
    <cellStyle name="Normal 13 5 2 7 2" xfId="32889"/>
    <cellStyle name="Normal 13 5 2 8" xfId="24878"/>
    <cellStyle name="Normal 13 5 3" xfId="2244"/>
    <cellStyle name="Normal 13 5 3 2" xfId="2245"/>
    <cellStyle name="Normal 13 5 3 2 2" xfId="12846"/>
    <cellStyle name="Normal 13 5 3 2 2 2" xfId="20871"/>
    <cellStyle name="Normal 13 5 3 2 2 2 2" xfId="34896"/>
    <cellStyle name="Normal 13 5 3 2 2 3" xfId="26885"/>
    <cellStyle name="Normal 13 5 3 2 3" xfId="14861"/>
    <cellStyle name="Normal 13 5 3 2 3 2" xfId="22876"/>
    <cellStyle name="Normal 13 5 3 2 3 2 2" xfId="36901"/>
    <cellStyle name="Normal 13 5 3 2 3 3" xfId="28890"/>
    <cellStyle name="Normal 13 5 3 2 4" xfId="16867"/>
    <cellStyle name="Normal 13 5 3 2 4 2" xfId="30892"/>
    <cellStyle name="Normal 13 5 3 2 5" xfId="18869"/>
    <cellStyle name="Normal 13 5 3 2 5 2" xfId="32894"/>
    <cellStyle name="Normal 13 5 3 2 6" xfId="24883"/>
    <cellStyle name="Normal 13 5 3 3" xfId="12845"/>
    <cellStyle name="Normal 13 5 3 3 2" xfId="20870"/>
    <cellStyle name="Normal 13 5 3 3 2 2" xfId="34895"/>
    <cellStyle name="Normal 13 5 3 3 3" xfId="26884"/>
    <cellStyle name="Normal 13 5 3 4" xfId="14860"/>
    <cellStyle name="Normal 13 5 3 4 2" xfId="22875"/>
    <cellStyle name="Normal 13 5 3 4 2 2" xfId="36900"/>
    <cellStyle name="Normal 13 5 3 4 3" xfId="28889"/>
    <cellStyle name="Normal 13 5 3 5" xfId="16866"/>
    <cellStyle name="Normal 13 5 3 5 2" xfId="30891"/>
    <cellStyle name="Normal 13 5 3 6" xfId="18868"/>
    <cellStyle name="Normal 13 5 3 6 2" xfId="32893"/>
    <cellStyle name="Normal 13 5 3 7" xfId="24882"/>
    <cellStyle name="Normal 13 5 4" xfId="2246"/>
    <cellStyle name="Normal 13 5 4 2" xfId="2247"/>
    <cellStyle name="Normal 13 5 4 2 2" xfId="12848"/>
    <cellStyle name="Normal 13 5 4 2 2 2" xfId="20873"/>
    <cellStyle name="Normal 13 5 4 2 2 2 2" xfId="34898"/>
    <cellStyle name="Normal 13 5 4 2 2 3" xfId="26887"/>
    <cellStyle name="Normal 13 5 4 2 3" xfId="14863"/>
    <cellStyle name="Normal 13 5 4 2 3 2" xfId="22878"/>
    <cellStyle name="Normal 13 5 4 2 3 2 2" xfId="36903"/>
    <cellStyle name="Normal 13 5 4 2 3 3" xfId="28892"/>
    <cellStyle name="Normal 13 5 4 2 4" xfId="16869"/>
    <cellStyle name="Normal 13 5 4 2 4 2" xfId="30894"/>
    <cellStyle name="Normal 13 5 4 2 5" xfId="18871"/>
    <cellStyle name="Normal 13 5 4 2 5 2" xfId="32896"/>
    <cellStyle name="Normal 13 5 4 2 6" xfId="24885"/>
    <cellStyle name="Normal 13 5 4 3" xfId="12847"/>
    <cellStyle name="Normal 13 5 4 3 2" xfId="20872"/>
    <cellStyle name="Normal 13 5 4 3 2 2" xfId="34897"/>
    <cellStyle name="Normal 13 5 4 3 3" xfId="26886"/>
    <cellStyle name="Normal 13 5 4 4" xfId="14862"/>
    <cellStyle name="Normal 13 5 4 4 2" xfId="22877"/>
    <cellStyle name="Normal 13 5 4 4 2 2" xfId="36902"/>
    <cellStyle name="Normal 13 5 4 4 3" xfId="28891"/>
    <cellStyle name="Normal 13 5 4 5" xfId="16868"/>
    <cellStyle name="Normal 13 5 4 5 2" xfId="30893"/>
    <cellStyle name="Normal 13 5 4 6" xfId="18870"/>
    <cellStyle name="Normal 13 5 4 6 2" xfId="32895"/>
    <cellStyle name="Normal 13 5 4 7" xfId="24884"/>
    <cellStyle name="Normal 13 5 5" xfId="2248"/>
    <cellStyle name="Normal 13 5 5 2" xfId="12849"/>
    <cellStyle name="Normal 13 5 5 2 2" xfId="20874"/>
    <cellStyle name="Normal 13 5 5 2 2 2" xfId="34899"/>
    <cellStyle name="Normal 13 5 5 2 3" xfId="26888"/>
    <cellStyle name="Normal 13 5 5 3" xfId="14864"/>
    <cellStyle name="Normal 13 5 5 3 2" xfId="22879"/>
    <cellStyle name="Normal 13 5 5 3 2 2" xfId="36904"/>
    <cellStyle name="Normal 13 5 5 3 3" xfId="28893"/>
    <cellStyle name="Normal 13 5 5 4" xfId="16870"/>
    <cellStyle name="Normal 13 5 5 4 2" xfId="30895"/>
    <cellStyle name="Normal 13 5 5 5" xfId="18872"/>
    <cellStyle name="Normal 13 5 5 5 2" xfId="32897"/>
    <cellStyle name="Normal 13 5 5 6" xfId="24886"/>
    <cellStyle name="Normal 13 5 6" xfId="12840"/>
    <cellStyle name="Normal 13 5 6 2" xfId="20865"/>
    <cellStyle name="Normal 13 5 6 2 2" xfId="34890"/>
    <cellStyle name="Normal 13 5 6 3" xfId="26879"/>
    <cellStyle name="Normal 13 5 7" xfId="14855"/>
    <cellStyle name="Normal 13 5 7 2" xfId="22870"/>
    <cellStyle name="Normal 13 5 7 2 2" xfId="36895"/>
    <cellStyle name="Normal 13 5 7 3" xfId="28884"/>
    <cellStyle name="Normal 13 5 8" xfId="16861"/>
    <cellStyle name="Normal 13 5 8 2" xfId="30886"/>
    <cellStyle name="Normal 13 5 9" xfId="18863"/>
    <cellStyle name="Normal 13 5 9 2" xfId="32888"/>
    <cellStyle name="Normal 13 6" xfId="2249"/>
    <cellStyle name="Normal 13 6 2" xfId="2250"/>
    <cellStyle name="Normal 13 6 2 2" xfId="2251"/>
    <cellStyle name="Normal 13 6 2 2 2" xfId="12852"/>
    <cellStyle name="Normal 13 6 2 2 2 2" xfId="20877"/>
    <cellStyle name="Normal 13 6 2 2 2 2 2" xfId="34902"/>
    <cellStyle name="Normal 13 6 2 2 2 3" xfId="26891"/>
    <cellStyle name="Normal 13 6 2 2 3" xfId="14867"/>
    <cellStyle name="Normal 13 6 2 2 3 2" xfId="22882"/>
    <cellStyle name="Normal 13 6 2 2 3 2 2" xfId="36907"/>
    <cellStyle name="Normal 13 6 2 2 3 3" xfId="28896"/>
    <cellStyle name="Normal 13 6 2 2 4" xfId="16873"/>
    <cellStyle name="Normal 13 6 2 2 4 2" xfId="30898"/>
    <cellStyle name="Normal 13 6 2 2 5" xfId="18875"/>
    <cellStyle name="Normal 13 6 2 2 5 2" xfId="32900"/>
    <cellStyle name="Normal 13 6 2 2 6" xfId="24889"/>
    <cellStyle name="Normal 13 6 2 3" xfId="12851"/>
    <cellStyle name="Normal 13 6 2 3 2" xfId="20876"/>
    <cellStyle name="Normal 13 6 2 3 2 2" xfId="34901"/>
    <cellStyle name="Normal 13 6 2 3 3" xfId="26890"/>
    <cellStyle name="Normal 13 6 2 4" xfId="14866"/>
    <cellStyle name="Normal 13 6 2 4 2" xfId="22881"/>
    <cellStyle name="Normal 13 6 2 4 2 2" xfId="36906"/>
    <cellStyle name="Normal 13 6 2 4 3" xfId="28895"/>
    <cellStyle name="Normal 13 6 2 5" xfId="16872"/>
    <cellStyle name="Normal 13 6 2 5 2" xfId="30897"/>
    <cellStyle name="Normal 13 6 2 6" xfId="18874"/>
    <cellStyle name="Normal 13 6 2 6 2" xfId="32899"/>
    <cellStyle name="Normal 13 6 2 7" xfId="24888"/>
    <cellStyle name="Normal 13 6 3" xfId="2252"/>
    <cellStyle name="Normal 13 6 3 2" xfId="12853"/>
    <cellStyle name="Normal 13 6 3 2 2" xfId="20878"/>
    <cellStyle name="Normal 13 6 3 2 2 2" xfId="34903"/>
    <cellStyle name="Normal 13 6 3 2 3" xfId="26892"/>
    <cellStyle name="Normal 13 6 3 3" xfId="14868"/>
    <cellStyle name="Normal 13 6 3 3 2" xfId="22883"/>
    <cellStyle name="Normal 13 6 3 3 2 2" xfId="36908"/>
    <cellStyle name="Normal 13 6 3 3 3" xfId="28897"/>
    <cellStyle name="Normal 13 6 3 4" xfId="16874"/>
    <cellStyle name="Normal 13 6 3 4 2" xfId="30899"/>
    <cellStyle name="Normal 13 6 3 5" xfId="18876"/>
    <cellStyle name="Normal 13 6 3 5 2" xfId="32901"/>
    <cellStyle name="Normal 13 6 3 6" xfId="24890"/>
    <cellStyle name="Normal 13 6 4" xfId="12850"/>
    <cellStyle name="Normal 13 6 4 2" xfId="20875"/>
    <cellStyle name="Normal 13 6 4 2 2" xfId="34900"/>
    <cellStyle name="Normal 13 6 4 3" xfId="26889"/>
    <cellStyle name="Normal 13 6 5" xfId="14865"/>
    <cellStyle name="Normal 13 6 5 2" xfId="22880"/>
    <cellStyle name="Normal 13 6 5 2 2" xfId="36905"/>
    <cellStyle name="Normal 13 6 5 3" xfId="28894"/>
    <cellStyle name="Normal 13 6 6" xfId="16871"/>
    <cellStyle name="Normal 13 6 6 2" xfId="30896"/>
    <cellStyle name="Normal 13 6 7" xfId="18873"/>
    <cellStyle name="Normal 13 6 7 2" xfId="32898"/>
    <cellStyle name="Normal 13 6 8" xfId="24887"/>
    <cellStyle name="Normal 13 7" xfId="2253"/>
    <cellStyle name="Normal 13 7 2" xfId="2254"/>
    <cellStyle name="Normal 13 7 2 2" xfId="12855"/>
    <cellStyle name="Normal 13 7 2 2 2" xfId="20880"/>
    <cellStyle name="Normal 13 7 2 2 2 2" xfId="34905"/>
    <cellStyle name="Normal 13 7 2 2 3" xfId="26894"/>
    <cellStyle name="Normal 13 7 2 3" xfId="14870"/>
    <cellStyle name="Normal 13 7 2 3 2" xfId="22885"/>
    <cellStyle name="Normal 13 7 2 3 2 2" xfId="36910"/>
    <cellStyle name="Normal 13 7 2 3 3" xfId="28899"/>
    <cellStyle name="Normal 13 7 2 4" xfId="16876"/>
    <cellStyle name="Normal 13 7 2 4 2" xfId="30901"/>
    <cellStyle name="Normal 13 7 2 5" xfId="18878"/>
    <cellStyle name="Normal 13 7 2 5 2" xfId="32903"/>
    <cellStyle name="Normal 13 7 2 6" xfId="24892"/>
    <cellStyle name="Normal 13 7 3" xfId="12854"/>
    <cellStyle name="Normal 13 7 3 2" xfId="20879"/>
    <cellStyle name="Normal 13 7 3 2 2" xfId="34904"/>
    <cellStyle name="Normal 13 7 3 3" xfId="26893"/>
    <cellStyle name="Normal 13 7 4" xfId="14869"/>
    <cellStyle name="Normal 13 7 4 2" xfId="22884"/>
    <cellStyle name="Normal 13 7 4 2 2" xfId="36909"/>
    <cellStyle name="Normal 13 7 4 3" xfId="28898"/>
    <cellStyle name="Normal 13 7 5" xfId="16875"/>
    <cellStyle name="Normal 13 7 5 2" xfId="30900"/>
    <cellStyle name="Normal 13 7 6" xfId="18877"/>
    <cellStyle name="Normal 13 7 6 2" xfId="32902"/>
    <cellStyle name="Normal 13 7 7" xfId="24891"/>
    <cellStyle name="Normal 13 8" xfId="2255"/>
    <cellStyle name="Normal 13 8 2" xfId="2256"/>
    <cellStyle name="Normal 13 8 2 2" xfId="12857"/>
    <cellStyle name="Normal 13 8 2 2 2" xfId="20882"/>
    <cellStyle name="Normal 13 8 2 2 2 2" xfId="34907"/>
    <cellStyle name="Normal 13 8 2 2 3" xfId="26896"/>
    <cellStyle name="Normal 13 8 2 3" xfId="14872"/>
    <cellStyle name="Normal 13 8 2 3 2" xfId="22887"/>
    <cellStyle name="Normal 13 8 2 3 2 2" xfId="36912"/>
    <cellStyle name="Normal 13 8 2 3 3" xfId="28901"/>
    <cellStyle name="Normal 13 8 2 4" xfId="16878"/>
    <cellStyle name="Normal 13 8 2 4 2" xfId="30903"/>
    <cellStyle name="Normal 13 8 2 5" xfId="18880"/>
    <cellStyle name="Normal 13 8 2 5 2" xfId="32905"/>
    <cellStyle name="Normal 13 8 2 6" xfId="24894"/>
    <cellStyle name="Normal 13 8 3" xfId="12856"/>
    <cellStyle name="Normal 13 8 3 2" xfId="20881"/>
    <cellStyle name="Normal 13 8 3 2 2" xfId="34906"/>
    <cellStyle name="Normal 13 8 3 3" xfId="26895"/>
    <cellStyle name="Normal 13 8 4" xfId="14871"/>
    <cellStyle name="Normal 13 8 4 2" xfId="22886"/>
    <cellStyle name="Normal 13 8 4 2 2" xfId="36911"/>
    <cellStyle name="Normal 13 8 4 3" xfId="28900"/>
    <cellStyle name="Normal 13 8 5" xfId="16877"/>
    <cellStyle name="Normal 13 8 5 2" xfId="30902"/>
    <cellStyle name="Normal 13 8 6" xfId="18879"/>
    <cellStyle name="Normal 13 8 6 2" xfId="32904"/>
    <cellStyle name="Normal 13 8 7" xfId="24893"/>
    <cellStyle name="Normal 13 9" xfId="2257"/>
    <cellStyle name="Normal 13 9 2" xfId="12858"/>
    <cellStyle name="Normal 13 9 2 2" xfId="20883"/>
    <cellStyle name="Normal 13 9 2 2 2" xfId="34908"/>
    <cellStyle name="Normal 13 9 2 3" xfId="26897"/>
    <cellStyle name="Normal 13 9 3" xfId="14873"/>
    <cellStyle name="Normal 13 9 3 2" xfId="22888"/>
    <cellStyle name="Normal 13 9 3 2 2" xfId="36913"/>
    <cellStyle name="Normal 13 9 3 3" xfId="28902"/>
    <cellStyle name="Normal 13 9 4" xfId="16879"/>
    <cellStyle name="Normal 13 9 4 2" xfId="30904"/>
    <cellStyle name="Normal 13 9 5" xfId="18881"/>
    <cellStyle name="Normal 13 9 5 2" xfId="32906"/>
    <cellStyle name="Normal 13 9 6" xfId="24895"/>
    <cellStyle name="Normal 13_3 - Revenue Credits" xfId="493"/>
    <cellStyle name="Normal 14" xfId="494"/>
    <cellStyle name="Normal 14 2" xfId="2258"/>
    <cellStyle name="Normal 14 2 10" xfId="16880"/>
    <cellStyle name="Normal 14 2 10 2" xfId="30905"/>
    <cellStyle name="Normal 14 2 11" xfId="18882"/>
    <cellStyle name="Normal 14 2 11 2" xfId="32907"/>
    <cellStyle name="Normal 14 2 12" xfId="24896"/>
    <cellStyle name="Normal 14 2 2" xfId="2259"/>
    <cellStyle name="Normal 14 2 2 10" xfId="18883"/>
    <cellStyle name="Normal 14 2 2 10 2" xfId="32908"/>
    <cellStyle name="Normal 14 2 2 11" xfId="24897"/>
    <cellStyle name="Normal 14 2 2 2" xfId="2260"/>
    <cellStyle name="Normal 14 2 2 2 10" xfId="24898"/>
    <cellStyle name="Normal 14 2 2 2 2" xfId="2261"/>
    <cellStyle name="Normal 14 2 2 2 2 2" xfId="2262"/>
    <cellStyle name="Normal 14 2 2 2 2 2 2" xfId="2263"/>
    <cellStyle name="Normal 14 2 2 2 2 2 2 2" xfId="12864"/>
    <cellStyle name="Normal 14 2 2 2 2 2 2 2 2" xfId="20889"/>
    <cellStyle name="Normal 14 2 2 2 2 2 2 2 2 2" xfId="34914"/>
    <cellStyle name="Normal 14 2 2 2 2 2 2 2 3" xfId="26903"/>
    <cellStyle name="Normal 14 2 2 2 2 2 2 3" xfId="14879"/>
    <cellStyle name="Normal 14 2 2 2 2 2 2 3 2" xfId="22894"/>
    <cellStyle name="Normal 14 2 2 2 2 2 2 3 2 2" xfId="36919"/>
    <cellStyle name="Normal 14 2 2 2 2 2 2 3 3" xfId="28908"/>
    <cellStyle name="Normal 14 2 2 2 2 2 2 4" xfId="16885"/>
    <cellStyle name="Normal 14 2 2 2 2 2 2 4 2" xfId="30910"/>
    <cellStyle name="Normal 14 2 2 2 2 2 2 5" xfId="18887"/>
    <cellStyle name="Normal 14 2 2 2 2 2 2 5 2" xfId="32912"/>
    <cellStyle name="Normal 14 2 2 2 2 2 2 6" xfId="24901"/>
    <cellStyle name="Normal 14 2 2 2 2 2 3" xfId="12863"/>
    <cellStyle name="Normal 14 2 2 2 2 2 3 2" xfId="20888"/>
    <cellStyle name="Normal 14 2 2 2 2 2 3 2 2" xfId="34913"/>
    <cellStyle name="Normal 14 2 2 2 2 2 3 3" xfId="26902"/>
    <cellStyle name="Normal 14 2 2 2 2 2 4" xfId="14878"/>
    <cellStyle name="Normal 14 2 2 2 2 2 4 2" xfId="22893"/>
    <cellStyle name="Normal 14 2 2 2 2 2 4 2 2" xfId="36918"/>
    <cellStyle name="Normal 14 2 2 2 2 2 4 3" xfId="28907"/>
    <cellStyle name="Normal 14 2 2 2 2 2 5" xfId="16884"/>
    <cellStyle name="Normal 14 2 2 2 2 2 5 2" xfId="30909"/>
    <cellStyle name="Normal 14 2 2 2 2 2 6" xfId="18886"/>
    <cellStyle name="Normal 14 2 2 2 2 2 6 2" xfId="32911"/>
    <cellStyle name="Normal 14 2 2 2 2 2 7" xfId="24900"/>
    <cellStyle name="Normal 14 2 2 2 2 3" xfId="2264"/>
    <cellStyle name="Normal 14 2 2 2 2 3 2" xfId="12865"/>
    <cellStyle name="Normal 14 2 2 2 2 3 2 2" xfId="20890"/>
    <cellStyle name="Normal 14 2 2 2 2 3 2 2 2" xfId="34915"/>
    <cellStyle name="Normal 14 2 2 2 2 3 2 3" xfId="26904"/>
    <cellStyle name="Normal 14 2 2 2 2 3 3" xfId="14880"/>
    <cellStyle name="Normal 14 2 2 2 2 3 3 2" xfId="22895"/>
    <cellStyle name="Normal 14 2 2 2 2 3 3 2 2" xfId="36920"/>
    <cellStyle name="Normal 14 2 2 2 2 3 3 3" xfId="28909"/>
    <cellStyle name="Normal 14 2 2 2 2 3 4" xfId="16886"/>
    <cellStyle name="Normal 14 2 2 2 2 3 4 2" xfId="30911"/>
    <cellStyle name="Normal 14 2 2 2 2 3 5" xfId="18888"/>
    <cellStyle name="Normal 14 2 2 2 2 3 5 2" xfId="32913"/>
    <cellStyle name="Normal 14 2 2 2 2 3 6" xfId="24902"/>
    <cellStyle name="Normal 14 2 2 2 2 4" xfId="12862"/>
    <cellStyle name="Normal 14 2 2 2 2 4 2" xfId="20887"/>
    <cellStyle name="Normal 14 2 2 2 2 4 2 2" xfId="34912"/>
    <cellStyle name="Normal 14 2 2 2 2 4 3" xfId="26901"/>
    <cellStyle name="Normal 14 2 2 2 2 5" xfId="14877"/>
    <cellStyle name="Normal 14 2 2 2 2 5 2" xfId="22892"/>
    <cellStyle name="Normal 14 2 2 2 2 5 2 2" xfId="36917"/>
    <cellStyle name="Normal 14 2 2 2 2 5 3" xfId="28906"/>
    <cellStyle name="Normal 14 2 2 2 2 6" xfId="16883"/>
    <cellStyle name="Normal 14 2 2 2 2 6 2" xfId="30908"/>
    <cellStyle name="Normal 14 2 2 2 2 7" xfId="18885"/>
    <cellStyle name="Normal 14 2 2 2 2 7 2" xfId="32910"/>
    <cellStyle name="Normal 14 2 2 2 2 8" xfId="24899"/>
    <cellStyle name="Normal 14 2 2 2 3" xfId="2265"/>
    <cellStyle name="Normal 14 2 2 2 3 2" xfId="2266"/>
    <cellStyle name="Normal 14 2 2 2 3 2 2" xfId="12867"/>
    <cellStyle name="Normal 14 2 2 2 3 2 2 2" xfId="20892"/>
    <cellStyle name="Normal 14 2 2 2 3 2 2 2 2" xfId="34917"/>
    <cellStyle name="Normal 14 2 2 2 3 2 2 3" xfId="26906"/>
    <cellStyle name="Normal 14 2 2 2 3 2 3" xfId="14882"/>
    <cellStyle name="Normal 14 2 2 2 3 2 3 2" xfId="22897"/>
    <cellStyle name="Normal 14 2 2 2 3 2 3 2 2" xfId="36922"/>
    <cellStyle name="Normal 14 2 2 2 3 2 3 3" xfId="28911"/>
    <cellStyle name="Normal 14 2 2 2 3 2 4" xfId="16888"/>
    <cellStyle name="Normal 14 2 2 2 3 2 4 2" xfId="30913"/>
    <cellStyle name="Normal 14 2 2 2 3 2 5" xfId="18890"/>
    <cellStyle name="Normal 14 2 2 2 3 2 5 2" xfId="32915"/>
    <cellStyle name="Normal 14 2 2 2 3 2 6" xfId="24904"/>
    <cellStyle name="Normal 14 2 2 2 3 3" xfId="12866"/>
    <cellStyle name="Normal 14 2 2 2 3 3 2" xfId="20891"/>
    <cellStyle name="Normal 14 2 2 2 3 3 2 2" xfId="34916"/>
    <cellStyle name="Normal 14 2 2 2 3 3 3" xfId="26905"/>
    <cellStyle name="Normal 14 2 2 2 3 4" xfId="14881"/>
    <cellStyle name="Normal 14 2 2 2 3 4 2" xfId="22896"/>
    <cellStyle name="Normal 14 2 2 2 3 4 2 2" xfId="36921"/>
    <cellStyle name="Normal 14 2 2 2 3 4 3" xfId="28910"/>
    <cellStyle name="Normal 14 2 2 2 3 5" xfId="16887"/>
    <cellStyle name="Normal 14 2 2 2 3 5 2" xfId="30912"/>
    <cellStyle name="Normal 14 2 2 2 3 6" xfId="18889"/>
    <cellStyle name="Normal 14 2 2 2 3 6 2" xfId="32914"/>
    <cellStyle name="Normal 14 2 2 2 3 7" xfId="24903"/>
    <cellStyle name="Normal 14 2 2 2 4" xfId="2267"/>
    <cellStyle name="Normal 14 2 2 2 4 2" xfId="2268"/>
    <cellStyle name="Normal 14 2 2 2 4 2 2" xfId="12869"/>
    <cellStyle name="Normal 14 2 2 2 4 2 2 2" xfId="20894"/>
    <cellStyle name="Normal 14 2 2 2 4 2 2 2 2" xfId="34919"/>
    <cellStyle name="Normal 14 2 2 2 4 2 2 3" xfId="26908"/>
    <cellStyle name="Normal 14 2 2 2 4 2 3" xfId="14884"/>
    <cellStyle name="Normal 14 2 2 2 4 2 3 2" xfId="22899"/>
    <cellStyle name="Normal 14 2 2 2 4 2 3 2 2" xfId="36924"/>
    <cellStyle name="Normal 14 2 2 2 4 2 3 3" xfId="28913"/>
    <cellStyle name="Normal 14 2 2 2 4 2 4" xfId="16890"/>
    <cellStyle name="Normal 14 2 2 2 4 2 4 2" xfId="30915"/>
    <cellStyle name="Normal 14 2 2 2 4 2 5" xfId="18892"/>
    <cellStyle name="Normal 14 2 2 2 4 2 5 2" xfId="32917"/>
    <cellStyle name="Normal 14 2 2 2 4 2 6" xfId="24906"/>
    <cellStyle name="Normal 14 2 2 2 4 3" xfId="12868"/>
    <cellStyle name="Normal 14 2 2 2 4 3 2" xfId="20893"/>
    <cellStyle name="Normal 14 2 2 2 4 3 2 2" xfId="34918"/>
    <cellStyle name="Normal 14 2 2 2 4 3 3" xfId="26907"/>
    <cellStyle name="Normal 14 2 2 2 4 4" xfId="14883"/>
    <cellStyle name="Normal 14 2 2 2 4 4 2" xfId="22898"/>
    <cellStyle name="Normal 14 2 2 2 4 4 2 2" xfId="36923"/>
    <cellStyle name="Normal 14 2 2 2 4 4 3" xfId="28912"/>
    <cellStyle name="Normal 14 2 2 2 4 5" xfId="16889"/>
    <cellStyle name="Normal 14 2 2 2 4 5 2" xfId="30914"/>
    <cellStyle name="Normal 14 2 2 2 4 6" xfId="18891"/>
    <cellStyle name="Normal 14 2 2 2 4 6 2" xfId="32916"/>
    <cellStyle name="Normal 14 2 2 2 4 7" xfId="24905"/>
    <cellStyle name="Normal 14 2 2 2 5" xfId="2269"/>
    <cellStyle name="Normal 14 2 2 2 5 2" xfId="12870"/>
    <cellStyle name="Normal 14 2 2 2 5 2 2" xfId="20895"/>
    <cellStyle name="Normal 14 2 2 2 5 2 2 2" xfId="34920"/>
    <cellStyle name="Normal 14 2 2 2 5 2 3" xfId="26909"/>
    <cellStyle name="Normal 14 2 2 2 5 3" xfId="14885"/>
    <cellStyle name="Normal 14 2 2 2 5 3 2" xfId="22900"/>
    <cellStyle name="Normal 14 2 2 2 5 3 2 2" xfId="36925"/>
    <cellStyle name="Normal 14 2 2 2 5 3 3" xfId="28914"/>
    <cellStyle name="Normal 14 2 2 2 5 4" xfId="16891"/>
    <cellStyle name="Normal 14 2 2 2 5 4 2" xfId="30916"/>
    <cellStyle name="Normal 14 2 2 2 5 5" xfId="18893"/>
    <cellStyle name="Normal 14 2 2 2 5 5 2" xfId="32918"/>
    <cellStyle name="Normal 14 2 2 2 5 6" xfId="24907"/>
    <cellStyle name="Normal 14 2 2 2 6" xfId="12861"/>
    <cellStyle name="Normal 14 2 2 2 6 2" xfId="20886"/>
    <cellStyle name="Normal 14 2 2 2 6 2 2" xfId="34911"/>
    <cellStyle name="Normal 14 2 2 2 6 3" xfId="26900"/>
    <cellStyle name="Normal 14 2 2 2 7" xfId="14876"/>
    <cellStyle name="Normal 14 2 2 2 7 2" xfId="22891"/>
    <cellStyle name="Normal 14 2 2 2 7 2 2" xfId="36916"/>
    <cellStyle name="Normal 14 2 2 2 7 3" xfId="28905"/>
    <cellStyle name="Normal 14 2 2 2 8" xfId="16882"/>
    <cellStyle name="Normal 14 2 2 2 8 2" xfId="30907"/>
    <cellStyle name="Normal 14 2 2 2 9" xfId="18884"/>
    <cellStyle name="Normal 14 2 2 2 9 2" xfId="32909"/>
    <cellStyle name="Normal 14 2 2 3" xfId="2270"/>
    <cellStyle name="Normal 14 2 2 3 2" xfId="2271"/>
    <cellStyle name="Normal 14 2 2 3 2 2" xfId="2272"/>
    <cellStyle name="Normal 14 2 2 3 2 2 2" xfId="12873"/>
    <cellStyle name="Normal 14 2 2 3 2 2 2 2" xfId="20898"/>
    <cellStyle name="Normal 14 2 2 3 2 2 2 2 2" xfId="34923"/>
    <cellStyle name="Normal 14 2 2 3 2 2 2 3" xfId="26912"/>
    <cellStyle name="Normal 14 2 2 3 2 2 3" xfId="14888"/>
    <cellStyle name="Normal 14 2 2 3 2 2 3 2" xfId="22903"/>
    <cellStyle name="Normal 14 2 2 3 2 2 3 2 2" xfId="36928"/>
    <cellStyle name="Normal 14 2 2 3 2 2 3 3" xfId="28917"/>
    <cellStyle name="Normal 14 2 2 3 2 2 4" xfId="16894"/>
    <cellStyle name="Normal 14 2 2 3 2 2 4 2" xfId="30919"/>
    <cellStyle name="Normal 14 2 2 3 2 2 5" xfId="18896"/>
    <cellStyle name="Normal 14 2 2 3 2 2 5 2" xfId="32921"/>
    <cellStyle name="Normal 14 2 2 3 2 2 6" xfId="24910"/>
    <cellStyle name="Normal 14 2 2 3 2 3" xfId="12872"/>
    <cellStyle name="Normal 14 2 2 3 2 3 2" xfId="20897"/>
    <cellStyle name="Normal 14 2 2 3 2 3 2 2" xfId="34922"/>
    <cellStyle name="Normal 14 2 2 3 2 3 3" xfId="26911"/>
    <cellStyle name="Normal 14 2 2 3 2 4" xfId="14887"/>
    <cellStyle name="Normal 14 2 2 3 2 4 2" xfId="22902"/>
    <cellStyle name="Normal 14 2 2 3 2 4 2 2" xfId="36927"/>
    <cellStyle name="Normal 14 2 2 3 2 4 3" xfId="28916"/>
    <cellStyle name="Normal 14 2 2 3 2 5" xfId="16893"/>
    <cellStyle name="Normal 14 2 2 3 2 5 2" xfId="30918"/>
    <cellStyle name="Normal 14 2 2 3 2 6" xfId="18895"/>
    <cellStyle name="Normal 14 2 2 3 2 6 2" xfId="32920"/>
    <cellStyle name="Normal 14 2 2 3 2 7" xfId="24909"/>
    <cellStyle name="Normal 14 2 2 3 3" xfId="2273"/>
    <cellStyle name="Normal 14 2 2 3 3 2" xfId="12874"/>
    <cellStyle name="Normal 14 2 2 3 3 2 2" xfId="20899"/>
    <cellStyle name="Normal 14 2 2 3 3 2 2 2" xfId="34924"/>
    <cellStyle name="Normal 14 2 2 3 3 2 3" xfId="26913"/>
    <cellStyle name="Normal 14 2 2 3 3 3" xfId="14889"/>
    <cellStyle name="Normal 14 2 2 3 3 3 2" xfId="22904"/>
    <cellStyle name="Normal 14 2 2 3 3 3 2 2" xfId="36929"/>
    <cellStyle name="Normal 14 2 2 3 3 3 3" xfId="28918"/>
    <cellStyle name="Normal 14 2 2 3 3 4" xfId="16895"/>
    <cellStyle name="Normal 14 2 2 3 3 4 2" xfId="30920"/>
    <cellStyle name="Normal 14 2 2 3 3 5" xfId="18897"/>
    <cellStyle name="Normal 14 2 2 3 3 5 2" xfId="32922"/>
    <cellStyle name="Normal 14 2 2 3 3 6" xfId="24911"/>
    <cellStyle name="Normal 14 2 2 3 4" xfId="12871"/>
    <cellStyle name="Normal 14 2 2 3 4 2" xfId="20896"/>
    <cellStyle name="Normal 14 2 2 3 4 2 2" xfId="34921"/>
    <cellStyle name="Normal 14 2 2 3 4 3" xfId="26910"/>
    <cellStyle name="Normal 14 2 2 3 5" xfId="14886"/>
    <cellStyle name="Normal 14 2 2 3 5 2" xfId="22901"/>
    <cellStyle name="Normal 14 2 2 3 5 2 2" xfId="36926"/>
    <cellStyle name="Normal 14 2 2 3 5 3" xfId="28915"/>
    <cellStyle name="Normal 14 2 2 3 6" xfId="16892"/>
    <cellStyle name="Normal 14 2 2 3 6 2" xfId="30917"/>
    <cellStyle name="Normal 14 2 2 3 7" xfId="18894"/>
    <cellStyle name="Normal 14 2 2 3 7 2" xfId="32919"/>
    <cellStyle name="Normal 14 2 2 3 8" xfId="24908"/>
    <cellStyle name="Normal 14 2 2 4" xfId="2274"/>
    <cellStyle name="Normal 14 2 2 4 2" xfId="2275"/>
    <cellStyle name="Normal 14 2 2 4 2 2" xfId="12876"/>
    <cellStyle name="Normal 14 2 2 4 2 2 2" xfId="20901"/>
    <cellStyle name="Normal 14 2 2 4 2 2 2 2" xfId="34926"/>
    <cellStyle name="Normal 14 2 2 4 2 2 3" xfId="26915"/>
    <cellStyle name="Normal 14 2 2 4 2 3" xfId="14891"/>
    <cellStyle name="Normal 14 2 2 4 2 3 2" xfId="22906"/>
    <cellStyle name="Normal 14 2 2 4 2 3 2 2" xfId="36931"/>
    <cellStyle name="Normal 14 2 2 4 2 3 3" xfId="28920"/>
    <cellStyle name="Normal 14 2 2 4 2 4" xfId="16897"/>
    <cellStyle name="Normal 14 2 2 4 2 4 2" xfId="30922"/>
    <cellStyle name="Normal 14 2 2 4 2 5" xfId="18899"/>
    <cellStyle name="Normal 14 2 2 4 2 5 2" xfId="32924"/>
    <cellStyle name="Normal 14 2 2 4 2 6" xfId="24913"/>
    <cellStyle name="Normal 14 2 2 4 3" xfId="12875"/>
    <cellStyle name="Normal 14 2 2 4 3 2" xfId="20900"/>
    <cellStyle name="Normal 14 2 2 4 3 2 2" xfId="34925"/>
    <cellStyle name="Normal 14 2 2 4 3 3" xfId="26914"/>
    <cellStyle name="Normal 14 2 2 4 4" xfId="14890"/>
    <cellStyle name="Normal 14 2 2 4 4 2" xfId="22905"/>
    <cellStyle name="Normal 14 2 2 4 4 2 2" xfId="36930"/>
    <cellStyle name="Normal 14 2 2 4 4 3" xfId="28919"/>
    <cellStyle name="Normal 14 2 2 4 5" xfId="16896"/>
    <cellStyle name="Normal 14 2 2 4 5 2" xfId="30921"/>
    <cellStyle name="Normal 14 2 2 4 6" xfId="18898"/>
    <cellStyle name="Normal 14 2 2 4 6 2" xfId="32923"/>
    <cellStyle name="Normal 14 2 2 4 7" xfId="24912"/>
    <cellStyle name="Normal 14 2 2 5" xfId="2276"/>
    <cellStyle name="Normal 14 2 2 5 2" xfId="2277"/>
    <cellStyle name="Normal 14 2 2 5 2 2" xfId="12878"/>
    <cellStyle name="Normal 14 2 2 5 2 2 2" xfId="20903"/>
    <cellStyle name="Normal 14 2 2 5 2 2 2 2" xfId="34928"/>
    <cellStyle name="Normal 14 2 2 5 2 2 3" xfId="26917"/>
    <cellStyle name="Normal 14 2 2 5 2 3" xfId="14893"/>
    <cellStyle name="Normal 14 2 2 5 2 3 2" xfId="22908"/>
    <cellStyle name="Normal 14 2 2 5 2 3 2 2" xfId="36933"/>
    <cellStyle name="Normal 14 2 2 5 2 3 3" xfId="28922"/>
    <cellStyle name="Normal 14 2 2 5 2 4" xfId="16899"/>
    <cellStyle name="Normal 14 2 2 5 2 4 2" xfId="30924"/>
    <cellStyle name="Normal 14 2 2 5 2 5" xfId="18901"/>
    <cellStyle name="Normal 14 2 2 5 2 5 2" xfId="32926"/>
    <cellStyle name="Normal 14 2 2 5 2 6" xfId="24915"/>
    <cellStyle name="Normal 14 2 2 5 3" xfId="12877"/>
    <cellStyle name="Normal 14 2 2 5 3 2" xfId="20902"/>
    <cellStyle name="Normal 14 2 2 5 3 2 2" xfId="34927"/>
    <cellStyle name="Normal 14 2 2 5 3 3" xfId="26916"/>
    <cellStyle name="Normal 14 2 2 5 4" xfId="14892"/>
    <cellStyle name="Normal 14 2 2 5 4 2" xfId="22907"/>
    <cellStyle name="Normal 14 2 2 5 4 2 2" xfId="36932"/>
    <cellStyle name="Normal 14 2 2 5 4 3" xfId="28921"/>
    <cellStyle name="Normal 14 2 2 5 5" xfId="16898"/>
    <cellStyle name="Normal 14 2 2 5 5 2" xfId="30923"/>
    <cellStyle name="Normal 14 2 2 5 6" xfId="18900"/>
    <cellStyle name="Normal 14 2 2 5 6 2" xfId="32925"/>
    <cellStyle name="Normal 14 2 2 5 7" xfId="24914"/>
    <cellStyle name="Normal 14 2 2 6" xfId="2278"/>
    <cellStyle name="Normal 14 2 2 6 2" xfId="12879"/>
    <cellStyle name="Normal 14 2 2 6 2 2" xfId="20904"/>
    <cellStyle name="Normal 14 2 2 6 2 2 2" xfId="34929"/>
    <cellStyle name="Normal 14 2 2 6 2 3" xfId="26918"/>
    <cellStyle name="Normal 14 2 2 6 3" xfId="14894"/>
    <cellStyle name="Normal 14 2 2 6 3 2" xfId="22909"/>
    <cellStyle name="Normal 14 2 2 6 3 2 2" xfId="36934"/>
    <cellStyle name="Normal 14 2 2 6 3 3" xfId="28923"/>
    <cellStyle name="Normal 14 2 2 6 4" xfId="16900"/>
    <cellStyle name="Normal 14 2 2 6 4 2" xfId="30925"/>
    <cellStyle name="Normal 14 2 2 6 5" xfId="18902"/>
    <cellStyle name="Normal 14 2 2 6 5 2" xfId="32927"/>
    <cellStyle name="Normal 14 2 2 6 6" xfId="24916"/>
    <cellStyle name="Normal 14 2 2 7" xfId="12860"/>
    <cellStyle name="Normal 14 2 2 7 2" xfId="20885"/>
    <cellStyle name="Normal 14 2 2 7 2 2" xfId="34910"/>
    <cellStyle name="Normal 14 2 2 7 3" xfId="26899"/>
    <cellStyle name="Normal 14 2 2 8" xfId="14875"/>
    <cellStyle name="Normal 14 2 2 8 2" xfId="22890"/>
    <cellStyle name="Normal 14 2 2 8 2 2" xfId="36915"/>
    <cellStyle name="Normal 14 2 2 8 3" xfId="28904"/>
    <cellStyle name="Normal 14 2 2 9" xfId="16881"/>
    <cellStyle name="Normal 14 2 2 9 2" xfId="30906"/>
    <cellStyle name="Normal 14 2 3" xfId="2279"/>
    <cellStyle name="Normal 14 2 3 10" xfId="24917"/>
    <cellStyle name="Normal 14 2 3 2" xfId="2280"/>
    <cellStyle name="Normal 14 2 3 2 2" xfId="2281"/>
    <cellStyle name="Normal 14 2 3 2 2 2" xfId="2282"/>
    <cellStyle name="Normal 14 2 3 2 2 2 2" xfId="12883"/>
    <cellStyle name="Normal 14 2 3 2 2 2 2 2" xfId="20908"/>
    <cellStyle name="Normal 14 2 3 2 2 2 2 2 2" xfId="34933"/>
    <cellStyle name="Normal 14 2 3 2 2 2 2 3" xfId="26922"/>
    <cellStyle name="Normal 14 2 3 2 2 2 3" xfId="14898"/>
    <cellStyle name="Normal 14 2 3 2 2 2 3 2" xfId="22913"/>
    <cellStyle name="Normal 14 2 3 2 2 2 3 2 2" xfId="36938"/>
    <cellStyle name="Normal 14 2 3 2 2 2 3 3" xfId="28927"/>
    <cellStyle name="Normal 14 2 3 2 2 2 4" xfId="16904"/>
    <cellStyle name="Normal 14 2 3 2 2 2 4 2" xfId="30929"/>
    <cellStyle name="Normal 14 2 3 2 2 2 5" xfId="18906"/>
    <cellStyle name="Normal 14 2 3 2 2 2 5 2" xfId="32931"/>
    <cellStyle name="Normal 14 2 3 2 2 2 6" xfId="24920"/>
    <cellStyle name="Normal 14 2 3 2 2 3" xfId="12882"/>
    <cellStyle name="Normal 14 2 3 2 2 3 2" xfId="20907"/>
    <cellStyle name="Normal 14 2 3 2 2 3 2 2" xfId="34932"/>
    <cellStyle name="Normal 14 2 3 2 2 3 3" xfId="26921"/>
    <cellStyle name="Normal 14 2 3 2 2 4" xfId="14897"/>
    <cellStyle name="Normal 14 2 3 2 2 4 2" xfId="22912"/>
    <cellStyle name="Normal 14 2 3 2 2 4 2 2" xfId="36937"/>
    <cellStyle name="Normal 14 2 3 2 2 4 3" xfId="28926"/>
    <cellStyle name="Normal 14 2 3 2 2 5" xfId="16903"/>
    <cellStyle name="Normal 14 2 3 2 2 5 2" xfId="30928"/>
    <cellStyle name="Normal 14 2 3 2 2 6" xfId="18905"/>
    <cellStyle name="Normal 14 2 3 2 2 6 2" xfId="32930"/>
    <cellStyle name="Normal 14 2 3 2 2 7" xfId="24919"/>
    <cellStyle name="Normal 14 2 3 2 3" xfId="2283"/>
    <cellStyle name="Normal 14 2 3 2 3 2" xfId="12884"/>
    <cellStyle name="Normal 14 2 3 2 3 2 2" xfId="20909"/>
    <cellStyle name="Normal 14 2 3 2 3 2 2 2" xfId="34934"/>
    <cellStyle name="Normal 14 2 3 2 3 2 3" xfId="26923"/>
    <cellStyle name="Normal 14 2 3 2 3 3" xfId="14899"/>
    <cellStyle name="Normal 14 2 3 2 3 3 2" xfId="22914"/>
    <cellStyle name="Normal 14 2 3 2 3 3 2 2" xfId="36939"/>
    <cellStyle name="Normal 14 2 3 2 3 3 3" xfId="28928"/>
    <cellStyle name="Normal 14 2 3 2 3 4" xfId="16905"/>
    <cellStyle name="Normal 14 2 3 2 3 4 2" xfId="30930"/>
    <cellStyle name="Normal 14 2 3 2 3 5" xfId="18907"/>
    <cellStyle name="Normal 14 2 3 2 3 5 2" xfId="32932"/>
    <cellStyle name="Normal 14 2 3 2 3 6" xfId="24921"/>
    <cellStyle name="Normal 14 2 3 2 4" xfId="12881"/>
    <cellStyle name="Normal 14 2 3 2 4 2" xfId="20906"/>
    <cellStyle name="Normal 14 2 3 2 4 2 2" xfId="34931"/>
    <cellStyle name="Normal 14 2 3 2 4 3" xfId="26920"/>
    <cellStyle name="Normal 14 2 3 2 5" xfId="14896"/>
    <cellStyle name="Normal 14 2 3 2 5 2" xfId="22911"/>
    <cellStyle name="Normal 14 2 3 2 5 2 2" xfId="36936"/>
    <cellStyle name="Normal 14 2 3 2 5 3" xfId="28925"/>
    <cellStyle name="Normal 14 2 3 2 6" xfId="16902"/>
    <cellStyle name="Normal 14 2 3 2 6 2" xfId="30927"/>
    <cellStyle name="Normal 14 2 3 2 7" xfId="18904"/>
    <cellStyle name="Normal 14 2 3 2 7 2" xfId="32929"/>
    <cellStyle name="Normal 14 2 3 2 8" xfId="24918"/>
    <cellStyle name="Normal 14 2 3 3" xfId="2284"/>
    <cellStyle name="Normal 14 2 3 3 2" xfId="2285"/>
    <cellStyle name="Normal 14 2 3 3 2 2" xfId="12886"/>
    <cellStyle name="Normal 14 2 3 3 2 2 2" xfId="20911"/>
    <cellStyle name="Normal 14 2 3 3 2 2 2 2" xfId="34936"/>
    <cellStyle name="Normal 14 2 3 3 2 2 3" xfId="26925"/>
    <cellStyle name="Normal 14 2 3 3 2 3" xfId="14901"/>
    <cellStyle name="Normal 14 2 3 3 2 3 2" xfId="22916"/>
    <cellStyle name="Normal 14 2 3 3 2 3 2 2" xfId="36941"/>
    <cellStyle name="Normal 14 2 3 3 2 3 3" xfId="28930"/>
    <cellStyle name="Normal 14 2 3 3 2 4" xfId="16907"/>
    <cellStyle name="Normal 14 2 3 3 2 4 2" xfId="30932"/>
    <cellStyle name="Normal 14 2 3 3 2 5" xfId="18909"/>
    <cellStyle name="Normal 14 2 3 3 2 5 2" xfId="32934"/>
    <cellStyle name="Normal 14 2 3 3 2 6" xfId="24923"/>
    <cellStyle name="Normal 14 2 3 3 3" xfId="12885"/>
    <cellStyle name="Normal 14 2 3 3 3 2" xfId="20910"/>
    <cellStyle name="Normal 14 2 3 3 3 2 2" xfId="34935"/>
    <cellStyle name="Normal 14 2 3 3 3 3" xfId="26924"/>
    <cellStyle name="Normal 14 2 3 3 4" xfId="14900"/>
    <cellStyle name="Normal 14 2 3 3 4 2" xfId="22915"/>
    <cellStyle name="Normal 14 2 3 3 4 2 2" xfId="36940"/>
    <cellStyle name="Normal 14 2 3 3 4 3" xfId="28929"/>
    <cellStyle name="Normal 14 2 3 3 5" xfId="16906"/>
    <cellStyle name="Normal 14 2 3 3 5 2" xfId="30931"/>
    <cellStyle name="Normal 14 2 3 3 6" xfId="18908"/>
    <cellStyle name="Normal 14 2 3 3 6 2" xfId="32933"/>
    <cellStyle name="Normal 14 2 3 3 7" xfId="24922"/>
    <cellStyle name="Normal 14 2 3 4" xfId="2286"/>
    <cellStyle name="Normal 14 2 3 4 2" xfId="2287"/>
    <cellStyle name="Normal 14 2 3 4 2 2" xfId="12888"/>
    <cellStyle name="Normal 14 2 3 4 2 2 2" xfId="20913"/>
    <cellStyle name="Normal 14 2 3 4 2 2 2 2" xfId="34938"/>
    <cellStyle name="Normal 14 2 3 4 2 2 3" xfId="26927"/>
    <cellStyle name="Normal 14 2 3 4 2 3" xfId="14903"/>
    <cellStyle name="Normal 14 2 3 4 2 3 2" xfId="22918"/>
    <cellStyle name="Normal 14 2 3 4 2 3 2 2" xfId="36943"/>
    <cellStyle name="Normal 14 2 3 4 2 3 3" xfId="28932"/>
    <cellStyle name="Normal 14 2 3 4 2 4" xfId="16909"/>
    <cellStyle name="Normal 14 2 3 4 2 4 2" xfId="30934"/>
    <cellStyle name="Normal 14 2 3 4 2 5" xfId="18911"/>
    <cellStyle name="Normal 14 2 3 4 2 5 2" xfId="32936"/>
    <cellStyle name="Normal 14 2 3 4 2 6" xfId="24925"/>
    <cellStyle name="Normal 14 2 3 4 3" xfId="12887"/>
    <cellStyle name="Normal 14 2 3 4 3 2" xfId="20912"/>
    <cellStyle name="Normal 14 2 3 4 3 2 2" xfId="34937"/>
    <cellStyle name="Normal 14 2 3 4 3 3" xfId="26926"/>
    <cellStyle name="Normal 14 2 3 4 4" xfId="14902"/>
    <cellStyle name="Normal 14 2 3 4 4 2" xfId="22917"/>
    <cellStyle name="Normal 14 2 3 4 4 2 2" xfId="36942"/>
    <cellStyle name="Normal 14 2 3 4 4 3" xfId="28931"/>
    <cellStyle name="Normal 14 2 3 4 5" xfId="16908"/>
    <cellStyle name="Normal 14 2 3 4 5 2" xfId="30933"/>
    <cellStyle name="Normal 14 2 3 4 6" xfId="18910"/>
    <cellStyle name="Normal 14 2 3 4 6 2" xfId="32935"/>
    <cellStyle name="Normal 14 2 3 4 7" xfId="24924"/>
    <cellStyle name="Normal 14 2 3 5" xfId="2288"/>
    <cellStyle name="Normal 14 2 3 5 2" xfId="12889"/>
    <cellStyle name="Normal 14 2 3 5 2 2" xfId="20914"/>
    <cellStyle name="Normal 14 2 3 5 2 2 2" xfId="34939"/>
    <cellStyle name="Normal 14 2 3 5 2 3" xfId="26928"/>
    <cellStyle name="Normal 14 2 3 5 3" xfId="14904"/>
    <cellStyle name="Normal 14 2 3 5 3 2" xfId="22919"/>
    <cellStyle name="Normal 14 2 3 5 3 2 2" xfId="36944"/>
    <cellStyle name="Normal 14 2 3 5 3 3" xfId="28933"/>
    <cellStyle name="Normal 14 2 3 5 4" xfId="16910"/>
    <cellStyle name="Normal 14 2 3 5 4 2" xfId="30935"/>
    <cellStyle name="Normal 14 2 3 5 5" xfId="18912"/>
    <cellStyle name="Normal 14 2 3 5 5 2" xfId="32937"/>
    <cellStyle name="Normal 14 2 3 5 6" xfId="24926"/>
    <cellStyle name="Normal 14 2 3 6" xfId="12880"/>
    <cellStyle name="Normal 14 2 3 6 2" xfId="20905"/>
    <cellStyle name="Normal 14 2 3 6 2 2" xfId="34930"/>
    <cellStyle name="Normal 14 2 3 6 3" xfId="26919"/>
    <cellStyle name="Normal 14 2 3 7" xfId="14895"/>
    <cellStyle name="Normal 14 2 3 7 2" xfId="22910"/>
    <cellStyle name="Normal 14 2 3 7 2 2" xfId="36935"/>
    <cellStyle name="Normal 14 2 3 7 3" xfId="28924"/>
    <cellStyle name="Normal 14 2 3 8" xfId="16901"/>
    <cellStyle name="Normal 14 2 3 8 2" xfId="30926"/>
    <cellStyle name="Normal 14 2 3 9" xfId="18903"/>
    <cellStyle name="Normal 14 2 3 9 2" xfId="32928"/>
    <cellStyle name="Normal 14 2 4" xfId="2289"/>
    <cellStyle name="Normal 14 2 4 2" xfId="2290"/>
    <cellStyle name="Normal 14 2 4 2 2" xfId="2291"/>
    <cellStyle name="Normal 14 2 4 2 2 2" xfId="12892"/>
    <cellStyle name="Normal 14 2 4 2 2 2 2" xfId="20917"/>
    <cellStyle name="Normal 14 2 4 2 2 2 2 2" xfId="34942"/>
    <cellStyle name="Normal 14 2 4 2 2 2 3" xfId="26931"/>
    <cellStyle name="Normal 14 2 4 2 2 3" xfId="14907"/>
    <cellStyle name="Normal 14 2 4 2 2 3 2" xfId="22922"/>
    <cellStyle name="Normal 14 2 4 2 2 3 2 2" xfId="36947"/>
    <cellStyle name="Normal 14 2 4 2 2 3 3" xfId="28936"/>
    <cellStyle name="Normal 14 2 4 2 2 4" xfId="16913"/>
    <cellStyle name="Normal 14 2 4 2 2 4 2" xfId="30938"/>
    <cellStyle name="Normal 14 2 4 2 2 5" xfId="18915"/>
    <cellStyle name="Normal 14 2 4 2 2 5 2" xfId="32940"/>
    <cellStyle name="Normal 14 2 4 2 2 6" xfId="24929"/>
    <cellStyle name="Normal 14 2 4 2 3" xfId="12891"/>
    <cellStyle name="Normal 14 2 4 2 3 2" xfId="20916"/>
    <cellStyle name="Normal 14 2 4 2 3 2 2" xfId="34941"/>
    <cellStyle name="Normal 14 2 4 2 3 3" xfId="26930"/>
    <cellStyle name="Normal 14 2 4 2 4" xfId="14906"/>
    <cellStyle name="Normal 14 2 4 2 4 2" xfId="22921"/>
    <cellStyle name="Normal 14 2 4 2 4 2 2" xfId="36946"/>
    <cellStyle name="Normal 14 2 4 2 4 3" xfId="28935"/>
    <cellStyle name="Normal 14 2 4 2 5" xfId="16912"/>
    <cellStyle name="Normal 14 2 4 2 5 2" xfId="30937"/>
    <cellStyle name="Normal 14 2 4 2 6" xfId="18914"/>
    <cellStyle name="Normal 14 2 4 2 6 2" xfId="32939"/>
    <cellStyle name="Normal 14 2 4 2 7" xfId="24928"/>
    <cellStyle name="Normal 14 2 4 3" xfId="2292"/>
    <cellStyle name="Normal 14 2 4 3 2" xfId="12893"/>
    <cellStyle name="Normal 14 2 4 3 2 2" xfId="20918"/>
    <cellStyle name="Normal 14 2 4 3 2 2 2" xfId="34943"/>
    <cellStyle name="Normal 14 2 4 3 2 3" xfId="26932"/>
    <cellStyle name="Normal 14 2 4 3 3" xfId="14908"/>
    <cellStyle name="Normal 14 2 4 3 3 2" xfId="22923"/>
    <cellStyle name="Normal 14 2 4 3 3 2 2" xfId="36948"/>
    <cellStyle name="Normal 14 2 4 3 3 3" xfId="28937"/>
    <cellStyle name="Normal 14 2 4 3 4" xfId="16914"/>
    <cellStyle name="Normal 14 2 4 3 4 2" xfId="30939"/>
    <cellStyle name="Normal 14 2 4 3 5" xfId="18916"/>
    <cellStyle name="Normal 14 2 4 3 5 2" xfId="32941"/>
    <cellStyle name="Normal 14 2 4 3 6" xfId="24930"/>
    <cellStyle name="Normal 14 2 4 4" xfId="12890"/>
    <cellStyle name="Normal 14 2 4 4 2" xfId="20915"/>
    <cellStyle name="Normal 14 2 4 4 2 2" xfId="34940"/>
    <cellStyle name="Normal 14 2 4 4 3" xfId="26929"/>
    <cellStyle name="Normal 14 2 4 5" xfId="14905"/>
    <cellStyle name="Normal 14 2 4 5 2" xfId="22920"/>
    <cellStyle name="Normal 14 2 4 5 2 2" xfId="36945"/>
    <cellStyle name="Normal 14 2 4 5 3" xfId="28934"/>
    <cellStyle name="Normal 14 2 4 6" xfId="16911"/>
    <cellStyle name="Normal 14 2 4 6 2" xfId="30936"/>
    <cellStyle name="Normal 14 2 4 7" xfId="18913"/>
    <cellStyle name="Normal 14 2 4 7 2" xfId="32938"/>
    <cellStyle name="Normal 14 2 4 8" xfId="24927"/>
    <cellStyle name="Normal 14 2 5" xfId="2293"/>
    <cellStyle name="Normal 14 2 5 2" xfId="2294"/>
    <cellStyle name="Normal 14 2 5 2 2" xfId="12895"/>
    <cellStyle name="Normal 14 2 5 2 2 2" xfId="20920"/>
    <cellStyle name="Normal 14 2 5 2 2 2 2" xfId="34945"/>
    <cellStyle name="Normal 14 2 5 2 2 3" xfId="26934"/>
    <cellStyle name="Normal 14 2 5 2 3" xfId="14910"/>
    <cellStyle name="Normal 14 2 5 2 3 2" xfId="22925"/>
    <cellStyle name="Normal 14 2 5 2 3 2 2" xfId="36950"/>
    <cellStyle name="Normal 14 2 5 2 3 3" xfId="28939"/>
    <cellStyle name="Normal 14 2 5 2 4" xfId="16916"/>
    <cellStyle name="Normal 14 2 5 2 4 2" xfId="30941"/>
    <cellStyle name="Normal 14 2 5 2 5" xfId="18918"/>
    <cellStyle name="Normal 14 2 5 2 5 2" xfId="32943"/>
    <cellStyle name="Normal 14 2 5 2 6" xfId="24932"/>
    <cellStyle name="Normal 14 2 5 3" xfId="12894"/>
    <cellStyle name="Normal 14 2 5 3 2" xfId="20919"/>
    <cellStyle name="Normal 14 2 5 3 2 2" xfId="34944"/>
    <cellStyle name="Normal 14 2 5 3 3" xfId="26933"/>
    <cellStyle name="Normal 14 2 5 4" xfId="14909"/>
    <cellStyle name="Normal 14 2 5 4 2" xfId="22924"/>
    <cellStyle name="Normal 14 2 5 4 2 2" xfId="36949"/>
    <cellStyle name="Normal 14 2 5 4 3" xfId="28938"/>
    <cellStyle name="Normal 14 2 5 5" xfId="16915"/>
    <cellStyle name="Normal 14 2 5 5 2" xfId="30940"/>
    <cellStyle name="Normal 14 2 5 6" xfId="18917"/>
    <cellStyle name="Normal 14 2 5 6 2" xfId="32942"/>
    <cellStyle name="Normal 14 2 5 7" xfId="24931"/>
    <cellStyle name="Normal 14 2 6" xfId="2295"/>
    <cellStyle name="Normal 14 2 6 2" xfId="2296"/>
    <cellStyle name="Normal 14 2 6 2 2" xfId="12897"/>
    <cellStyle name="Normal 14 2 6 2 2 2" xfId="20922"/>
    <cellStyle name="Normal 14 2 6 2 2 2 2" xfId="34947"/>
    <cellStyle name="Normal 14 2 6 2 2 3" xfId="26936"/>
    <cellStyle name="Normal 14 2 6 2 3" xfId="14912"/>
    <cellStyle name="Normal 14 2 6 2 3 2" xfId="22927"/>
    <cellStyle name="Normal 14 2 6 2 3 2 2" xfId="36952"/>
    <cellStyle name="Normal 14 2 6 2 3 3" xfId="28941"/>
    <cellStyle name="Normal 14 2 6 2 4" xfId="16918"/>
    <cellStyle name="Normal 14 2 6 2 4 2" xfId="30943"/>
    <cellStyle name="Normal 14 2 6 2 5" xfId="18920"/>
    <cellStyle name="Normal 14 2 6 2 5 2" xfId="32945"/>
    <cellStyle name="Normal 14 2 6 2 6" xfId="24934"/>
    <cellStyle name="Normal 14 2 6 3" xfId="12896"/>
    <cellStyle name="Normal 14 2 6 3 2" xfId="20921"/>
    <cellStyle name="Normal 14 2 6 3 2 2" xfId="34946"/>
    <cellStyle name="Normal 14 2 6 3 3" xfId="26935"/>
    <cellStyle name="Normal 14 2 6 4" xfId="14911"/>
    <cellStyle name="Normal 14 2 6 4 2" xfId="22926"/>
    <cellStyle name="Normal 14 2 6 4 2 2" xfId="36951"/>
    <cellStyle name="Normal 14 2 6 4 3" xfId="28940"/>
    <cellStyle name="Normal 14 2 6 5" xfId="16917"/>
    <cellStyle name="Normal 14 2 6 5 2" xfId="30942"/>
    <cellStyle name="Normal 14 2 6 6" xfId="18919"/>
    <cellStyle name="Normal 14 2 6 6 2" xfId="32944"/>
    <cellStyle name="Normal 14 2 6 7" xfId="24933"/>
    <cellStyle name="Normal 14 2 7" xfId="2297"/>
    <cellStyle name="Normal 14 2 7 2" xfId="12898"/>
    <cellStyle name="Normal 14 2 7 2 2" xfId="20923"/>
    <cellStyle name="Normal 14 2 7 2 2 2" xfId="34948"/>
    <cellStyle name="Normal 14 2 7 2 3" xfId="26937"/>
    <cellStyle name="Normal 14 2 7 3" xfId="14913"/>
    <cellStyle name="Normal 14 2 7 3 2" xfId="22928"/>
    <cellStyle name="Normal 14 2 7 3 2 2" xfId="36953"/>
    <cellStyle name="Normal 14 2 7 3 3" xfId="28942"/>
    <cellStyle name="Normal 14 2 7 4" xfId="16919"/>
    <cellStyle name="Normal 14 2 7 4 2" xfId="30944"/>
    <cellStyle name="Normal 14 2 7 5" xfId="18921"/>
    <cellStyle name="Normal 14 2 7 5 2" xfId="32946"/>
    <cellStyle name="Normal 14 2 7 6" xfId="24935"/>
    <cellStyle name="Normal 14 2 8" xfId="12859"/>
    <cellStyle name="Normal 14 2 8 2" xfId="20884"/>
    <cellStyle name="Normal 14 2 8 2 2" xfId="34909"/>
    <cellStyle name="Normal 14 2 8 3" xfId="26898"/>
    <cellStyle name="Normal 14 2 9" xfId="14874"/>
    <cellStyle name="Normal 14 2 9 2" xfId="22889"/>
    <cellStyle name="Normal 14 2 9 2 2" xfId="36914"/>
    <cellStyle name="Normal 14 2 9 3" xfId="28903"/>
    <cellStyle name="Normal 14 3" xfId="2298"/>
    <cellStyle name="Normal 14 3 10" xfId="18922"/>
    <cellStyle name="Normal 14 3 10 2" xfId="32947"/>
    <cellStyle name="Normal 14 3 11" xfId="24936"/>
    <cellStyle name="Normal 14 3 2" xfId="2299"/>
    <cellStyle name="Normal 14 3 2 10" xfId="24937"/>
    <cellStyle name="Normal 14 3 2 2" xfId="2300"/>
    <cellStyle name="Normal 14 3 2 2 2" xfId="2301"/>
    <cellStyle name="Normal 14 3 2 2 2 2" xfId="2302"/>
    <cellStyle name="Normal 14 3 2 2 2 2 2" xfId="12903"/>
    <cellStyle name="Normal 14 3 2 2 2 2 2 2" xfId="20928"/>
    <cellStyle name="Normal 14 3 2 2 2 2 2 2 2" xfId="34953"/>
    <cellStyle name="Normal 14 3 2 2 2 2 2 3" xfId="26942"/>
    <cellStyle name="Normal 14 3 2 2 2 2 3" xfId="14918"/>
    <cellStyle name="Normal 14 3 2 2 2 2 3 2" xfId="22933"/>
    <cellStyle name="Normal 14 3 2 2 2 2 3 2 2" xfId="36958"/>
    <cellStyle name="Normal 14 3 2 2 2 2 3 3" xfId="28947"/>
    <cellStyle name="Normal 14 3 2 2 2 2 4" xfId="16924"/>
    <cellStyle name="Normal 14 3 2 2 2 2 4 2" xfId="30949"/>
    <cellStyle name="Normal 14 3 2 2 2 2 5" xfId="18926"/>
    <cellStyle name="Normal 14 3 2 2 2 2 5 2" xfId="32951"/>
    <cellStyle name="Normal 14 3 2 2 2 2 6" xfId="24940"/>
    <cellStyle name="Normal 14 3 2 2 2 3" xfId="12902"/>
    <cellStyle name="Normal 14 3 2 2 2 3 2" xfId="20927"/>
    <cellStyle name="Normal 14 3 2 2 2 3 2 2" xfId="34952"/>
    <cellStyle name="Normal 14 3 2 2 2 3 3" xfId="26941"/>
    <cellStyle name="Normal 14 3 2 2 2 4" xfId="14917"/>
    <cellStyle name="Normal 14 3 2 2 2 4 2" xfId="22932"/>
    <cellStyle name="Normal 14 3 2 2 2 4 2 2" xfId="36957"/>
    <cellStyle name="Normal 14 3 2 2 2 4 3" xfId="28946"/>
    <cellStyle name="Normal 14 3 2 2 2 5" xfId="16923"/>
    <cellStyle name="Normal 14 3 2 2 2 5 2" xfId="30948"/>
    <cellStyle name="Normal 14 3 2 2 2 6" xfId="18925"/>
    <cellStyle name="Normal 14 3 2 2 2 6 2" xfId="32950"/>
    <cellStyle name="Normal 14 3 2 2 2 7" xfId="24939"/>
    <cellStyle name="Normal 14 3 2 2 3" xfId="2303"/>
    <cellStyle name="Normal 14 3 2 2 3 2" xfId="12904"/>
    <cellStyle name="Normal 14 3 2 2 3 2 2" xfId="20929"/>
    <cellStyle name="Normal 14 3 2 2 3 2 2 2" xfId="34954"/>
    <cellStyle name="Normal 14 3 2 2 3 2 3" xfId="26943"/>
    <cellStyle name="Normal 14 3 2 2 3 3" xfId="14919"/>
    <cellStyle name="Normal 14 3 2 2 3 3 2" xfId="22934"/>
    <cellStyle name="Normal 14 3 2 2 3 3 2 2" xfId="36959"/>
    <cellStyle name="Normal 14 3 2 2 3 3 3" xfId="28948"/>
    <cellStyle name="Normal 14 3 2 2 3 4" xfId="16925"/>
    <cellStyle name="Normal 14 3 2 2 3 4 2" xfId="30950"/>
    <cellStyle name="Normal 14 3 2 2 3 5" xfId="18927"/>
    <cellStyle name="Normal 14 3 2 2 3 5 2" xfId="32952"/>
    <cellStyle name="Normal 14 3 2 2 3 6" xfId="24941"/>
    <cellStyle name="Normal 14 3 2 2 4" xfId="12901"/>
    <cellStyle name="Normal 14 3 2 2 4 2" xfId="20926"/>
    <cellStyle name="Normal 14 3 2 2 4 2 2" xfId="34951"/>
    <cellStyle name="Normal 14 3 2 2 4 3" xfId="26940"/>
    <cellStyle name="Normal 14 3 2 2 5" xfId="14916"/>
    <cellStyle name="Normal 14 3 2 2 5 2" xfId="22931"/>
    <cellStyle name="Normal 14 3 2 2 5 2 2" xfId="36956"/>
    <cellStyle name="Normal 14 3 2 2 5 3" xfId="28945"/>
    <cellStyle name="Normal 14 3 2 2 6" xfId="16922"/>
    <cellStyle name="Normal 14 3 2 2 6 2" xfId="30947"/>
    <cellStyle name="Normal 14 3 2 2 7" xfId="18924"/>
    <cellStyle name="Normal 14 3 2 2 7 2" xfId="32949"/>
    <cellStyle name="Normal 14 3 2 2 8" xfId="24938"/>
    <cellStyle name="Normal 14 3 2 3" xfId="2304"/>
    <cellStyle name="Normal 14 3 2 3 2" xfId="2305"/>
    <cellStyle name="Normal 14 3 2 3 2 2" xfId="12906"/>
    <cellStyle name="Normal 14 3 2 3 2 2 2" xfId="20931"/>
    <cellStyle name="Normal 14 3 2 3 2 2 2 2" xfId="34956"/>
    <cellStyle name="Normal 14 3 2 3 2 2 3" xfId="26945"/>
    <cellStyle name="Normal 14 3 2 3 2 3" xfId="14921"/>
    <cellStyle name="Normal 14 3 2 3 2 3 2" xfId="22936"/>
    <cellStyle name="Normal 14 3 2 3 2 3 2 2" xfId="36961"/>
    <cellStyle name="Normal 14 3 2 3 2 3 3" xfId="28950"/>
    <cellStyle name="Normal 14 3 2 3 2 4" xfId="16927"/>
    <cellStyle name="Normal 14 3 2 3 2 4 2" xfId="30952"/>
    <cellStyle name="Normal 14 3 2 3 2 5" xfId="18929"/>
    <cellStyle name="Normal 14 3 2 3 2 5 2" xfId="32954"/>
    <cellStyle name="Normal 14 3 2 3 2 6" xfId="24943"/>
    <cellStyle name="Normal 14 3 2 3 3" xfId="12905"/>
    <cellStyle name="Normal 14 3 2 3 3 2" xfId="20930"/>
    <cellStyle name="Normal 14 3 2 3 3 2 2" xfId="34955"/>
    <cellStyle name="Normal 14 3 2 3 3 3" xfId="26944"/>
    <cellStyle name="Normal 14 3 2 3 4" xfId="14920"/>
    <cellStyle name="Normal 14 3 2 3 4 2" xfId="22935"/>
    <cellStyle name="Normal 14 3 2 3 4 2 2" xfId="36960"/>
    <cellStyle name="Normal 14 3 2 3 4 3" xfId="28949"/>
    <cellStyle name="Normal 14 3 2 3 5" xfId="16926"/>
    <cellStyle name="Normal 14 3 2 3 5 2" xfId="30951"/>
    <cellStyle name="Normal 14 3 2 3 6" xfId="18928"/>
    <cellStyle name="Normal 14 3 2 3 6 2" xfId="32953"/>
    <cellStyle name="Normal 14 3 2 3 7" xfId="24942"/>
    <cellStyle name="Normal 14 3 2 4" xfId="2306"/>
    <cellStyle name="Normal 14 3 2 4 2" xfId="2307"/>
    <cellStyle name="Normal 14 3 2 4 2 2" xfId="12908"/>
    <cellStyle name="Normal 14 3 2 4 2 2 2" xfId="20933"/>
    <cellStyle name="Normal 14 3 2 4 2 2 2 2" xfId="34958"/>
    <cellStyle name="Normal 14 3 2 4 2 2 3" xfId="26947"/>
    <cellStyle name="Normal 14 3 2 4 2 3" xfId="14923"/>
    <cellStyle name="Normal 14 3 2 4 2 3 2" xfId="22938"/>
    <cellStyle name="Normal 14 3 2 4 2 3 2 2" xfId="36963"/>
    <cellStyle name="Normal 14 3 2 4 2 3 3" xfId="28952"/>
    <cellStyle name="Normal 14 3 2 4 2 4" xfId="16929"/>
    <cellStyle name="Normal 14 3 2 4 2 4 2" xfId="30954"/>
    <cellStyle name="Normal 14 3 2 4 2 5" xfId="18931"/>
    <cellStyle name="Normal 14 3 2 4 2 5 2" xfId="32956"/>
    <cellStyle name="Normal 14 3 2 4 2 6" xfId="24945"/>
    <cellStyle name="Normal 14 3 2 4 3" xfId="12907"/>
    <cellStyle name="Normal 14 3 2 4 3 2" xfId="20932"/>
    <cellStyle name="Normal 14 3 2 4 3 2 2" xfId="34957"/>
    <cellStyle name="Normal 14 3 2 4 3 3" xfId="26946"/>
    <cellStyle name="Normal 14 3 2 4 4" xfId="14922"/>
    <cellStyle name="Normal 14 3 2 4 4 2" xfId="22937"/>
    <cellStyle name="Normal 14 3 2 4 4 2 2" xfId="36962"/>
    <cellStyle name="Normal 14 3 2 4 4 3" xfId="28951"/>
    <cellStyle name="Normal 14 3 2 4 5" xfId="16928"/>
    <cellStyle name="Normal 14 3 2 4 5 2" xfId="30953"/>
    <cellStyle name="Normal 14 3 2 4 6" xfId="18930"/>
    <cellStyle name="Normal 14 3 2 4 6 2" xfId="32955"/>
    <cellStyle name="Normal 14 3 2 4 7" xfId="24944"/>
    <cellStyle name="Normal 14 3 2 5" xfId="2308"/>
    <cellStyle name="Normal 14 3 2 5 2" xfId="12909"/>
    <cellStyle name="Normal 14 3 2 5 2 2" xfId="20934"/>
    <cellStyle name="Normal 14 3 2 5 2 2 2" xfId="34959"/>
    <cellStyle name="Normal 14 3 2 5 2 3" xfId="26948"/>
    <cellStyle name="Normal 14 3 2 5 3" xfId="14924"/>
    <cellStyle name="Normal 14 3 2 5 3 2" xfId="22939"/>
    <cellStyle name="Normal 14 3 2 5 3 2 2" xfId="36964"/>
    <cellStyle name="Normal 14 3 2 5 3 3" xfId="28953"/>
    <cellStyle name="Normal 14 3 2 5 4" xfId="16930"/>
    <cellStyle name="Normal 14 3 2 5 4 2" xfId="30955"/>
    <cellStyle name="Normal 14 3 2 5 5" xfId="18932"/>
    <cellStyle name="Normal 14 3 2 5 5 2" xfId="32957"/>
    <cellStyle name="Normal 14 3 2 5 6" xfId="24946"/>
    <cellStyle name="Normal 14 3 2 6" xfId="12900"/>
    <cellStyle name="Normal 14 3 2 6 2" xfId="20925"/>
    <cellStyle name="Normal 14 3 2 6 2 2" xfId="34950"/>
    <cellStyle name="Normal 14 3 2 6 3" xfId="26939"/>
    <cellStyle name="Normal 14 3 2 7" xfId="14915"/>
    <cellStyle name="Normal 14 3 2 7 2" xfId="22930"/>
    <cellStyle name="Normal 14 3 2 7 2 2" xfId="36955"/>
    <cellStyle name="Normal 14 3 2 7 3" xfId="28944"/>
    <cellStyle name="Normal 14 3 2 8" xfId="16921"/>
    <cellStyle name="Normal 14 3 2 8 2" xfId="30946"/>
    <cellStyle name="Normal 14 3 2 9" xfId="18923"/>
    <cellStyle name="Normal 14 3 2 9 2" xfId="32948"/>
    <cellStyle name="Normal 14 3 3" xfId="2309"/>
    <cellStyle name="Normal 14 3 3 2" xfId="2310"/>
    <cellStyle name="Normal 14 3 3 2 2" xfId="2311"/>
    <cellStyle name="Normal 14 3 3 2 2 2" xfId="12912"/>
    <cellStyle name="Normal 14 3 3 2 2 2 2" xfId="20937"/>
    <cellStyle name="Normal 14 3 3 2 2 2 2 2" xfId="34962"/>
    <cellStyle name="Normal 14 3 3 2 2 2 3" xfId="26951"/>
    <cellStyle name="Normal 14 3 3 2 2 3" xfId="14927"/>
    <cellStyle name="Normal 14 3 3 2 2 3 2" xfId="22942"/>
    <cellStyle name="Normal 14 3 3 2 2 3 2 2" xfId="36967"/>
    <cellStyle name="Normal 14 3 3 2 2 3 3" xfId="28956"/>
    <cellStyle name="Normal 14 3 3 2 2 4" xfId="16933"/>
    <cellStyle name="Normal 14 3 3 2 2 4 2" xfId="30958"/>
    <cellStyle name="Normal 14 3 3 2 2 5" xfId="18935"/>
    <cellStyle name="Normal 14 3 3 2 2 5 2" xfId="32960"/>
    <cellStyle name="Normal 14 3 3 2 2 6" xfId="24949"/>
    <cellStyle name="Normal 14 3 3 2 3" xfId="12911"/>
    <cellStyle name="Normal 14 3 3 2 3 2" xfId="20936"/>
    <cellStyle name="Normal 14 3 3 2 3 2 2" xfId="34961"/>
    <cellStyle name="Normal 14 3 3 2 3 3" xfId="26950"/>
    <cellStyle name="Normal 14 3 3 2 4" xfId="14926"/>
    <cellStyle name="Normal 14 3 3 2 4 2" xfId="22941"/>
    <cellStyle name="Normal 14 3 3 2 4 2 2" xfId="36966"/>
    <cellStyle name="Normal 14 3 3 2 4 3" xfId="28955"/>
    <cellStyle name="Normal 14 3 3 2 5" xfId="16932"/>
    <cellStyle name="Normal 14 3 3 2 5 2" xfId="30957"/>
    <cellStyle name="Normal 14 3 3 2 6" xfId="18934"/>
    <cellStyle name="Normal 14 3 3 2 6 2" xfId="32959"/>
    <cellStyle name="Normal 14 3 3 2 7" xfId="24948"/>
    <cellStyle name="Normal 14 3 3 3" xfId="2312"/>
    <cellStyle name="Normal 14 3 3 3 2" xfId="12913"/>
    <cellStyle name="Normal 14 3 3 3 2 2" xfId="20938"/>
    <cellStyle name="Normal 14 3 3 3 2 2 2" xfId="34963"/>
    <cellStyle name="Normal 14 3 3 3 2 3" xfId="26952"/>
    <cellStyle name="Normal 14 3 3 3 3" xfId="14928"/>
    <cellStyle name="Normal 14 3 3 3 3 2" xfId="22943"/>
    <cellStyle name="Normal 14 3 3 3 3 2 2" xfId="36968"/>
    <cellStyle name="Normal 14 3 3 3 3 3" xfId="28957"/>
    <cellStyle name="Normal 14 3 3 3 4" xfId="16934"/>
    <cellStyle name="Normal 14 3 3 3 4 2" xfId="30959"/>
    <cellStyle name="Normal 14 3 3 3 5" xfId="18936"/>
    <cellStyle name="Normal 14 3 3 3 5 2" xfId="32961"/>
    <cellStyle name="Normal 14 3 3 3 6" xfId="24950"/>
    <cellStyle name="Normal 14 3 3 4" xfId="12910"/>
    <cellStyle name="Normal 14 3 3 4 2" xfId="20935"/>
    <cellStyle name="Normal 14 3 3 4 2 2" xfId="34960"/>
    <cellStyle name="Normal 14 3 3 4 3" xfId="26949"/>
    <cellStyle name="Normal 14 3 3 5" xfId="14925"/>
    <cellStyle name="Normal 14 3 3 5 2" xfId="22940"/>
    <cellStyle name="Normal 14 3 3 5 2 2" xfId="36965"/>
    <cellStyle name="Normal 14 3 3 5 3" xfId="28954"/>
    <cellStyle name="Normal 14 3 3 6" xfId="16931"/>
    <cellStyle name="Normal 14 3 3 6 2" xfId="30956"/>
    <cellStyle name="Normal 14 3 3 7" xfId="18933"/>
    <cellStyle name="Normal 14 3 3 7 2" xfId="32958"/>
    <cellStyle name="Normal 14 3 3 8" xfId="24947"/>
    <cellStyle name="Normal 14 3 4" xfId="2313"/>
    <cellStyle name="Normal 14 3 4 2" xfId="2314"/>
    <cellStyle name="Normal 14 3 4 2 2" xfId="12915"/>
    <cellStyle name="Normal 14 3 4 2 2 2" xfId="20940"/>
    <cellStyle name="Normal 14 3 4 2 2 2 2" xfId="34965"/>
    <cellStyle name="Normal 14 3 4 2 2 3" xfId="26954"/>
    <cellStyle name="Normal 14 3 4 2 3" xfId="14930"/>
    <cellStyle name="Normal 14 3 4 2 3 2" xfId="22945"/>
    <cellStyle name="Normal 14 3 4 2 3 2 2" xfId="36970"/>
    <cellStyle name="Normal 14 3 4 2 3 3" xfId="28959"/>
    <cellStyle name="Normal 14 3 4 2 4" xfId="16936"/>
    <cellStyle name="Normal 14 3 4 2 4 2" xfId="30961"/>
    <cellStyle name="Normal 14 3 4 2 5" xfId="18938"/>
    <cellStyle name="Normal 14 3 4 2 5 2" xfId="32963"/>
    <cellStyle name="Normal 14 3 4 2 6" xfId="24952"/>
    <cellStyle name="Normal 14 3 4 3" xfId="12914"/>
    <cellStyle name="Normal 14 3 4 3 2" xfId="20939"/>
    <cellStyle name="Normal 14 3 4 3 2 2" xfId="34964"/>
    <cellStyle name="Normal 14 3 4 3 3" xfId="26953"/>
    <cellStyle name="Normal 14 3 4 4" xfId="14929"/>
    <cellStyle name="Normal 14 3 4 4 2" xfId="22944"/>
    <cellStyle name="Normal 14 3 4 4 2 2" xfId="36969"/>
    <cellStyle name="Normal 14 3 4 4 3" xfId="28958"/>
    <cellStyle name="Normal 14 3 4 5" xfId="16935"/>
    <cellStyle name="Normal 14 3 4 5 2" xfId="30960"/>
    <cellStyle name="Normal 14 3 4 6" xfId="18937"/>
    <cellStyle name="Normal 14 3 4 6 2" xfId="32962"/>
    <cellStyle name="Normal 14 3 4 7" xfId="24951"/>
    <cellStyle name="Normal 14 3 5" xfId="2315"/>
    <cellStyle name="Normal 14 3 5 2" xfId="2316"/>
    <cellStyle name="Normal 14 3 5 2 2" xfId="12917"/>
    <cellStyle name="Normal 14 3 5 2 2 2" xfId="20942"/>
    <cellStyle name="Normal 14 3 5 2 2 2 2" xfId="34967"/>
    <cellStyle name="Normal 14 3 5 2 2 3" xfId="26956"/>
    <cellStyle name="Normal 14 3 5 2 3" xfId="14932"/>
    <cellStyle name="Normal 14 3 5 2 3 2" xfId="22947"/>
    <cellStyle name="Normal 14 3 5 2 3 2 2" xfId="36972"/>
    <cellStyle name="Normal 14 3 5 2 3 3" xfId="28961"/>
    <cellStyle name="Normal 14 3 5 2 4" xfId="16938"/>
    <cellStyle name="Normal 14 3 5 2 4 2" xfId="30963"/>
    <cellStyle name="Normal 14 3 5 2 5" xfId="18940"/>
    <cellStyle name="Normal 14 3 5 2 5 2" xfId="32965"/>
    <cellStyle name="Normal 14 3 5 2 6" xfId="24954"/>
    <cellStyle name="Normal 14 3 5 3" xfId="12916"/>
    <cellStyle name="Normal 14 3 5 3 2" xfId="20941"/>
    <cellStyle name="Normal 14 3 5 3 2 2" xfId="34966"/>
    <cellStyle name="Normal 14 3 5 3 3" xfId="26955"/>
    <cellStyle name="Normal 14 3 5 4" xfId="14931"/>
    <cellStyle name="Normal 14 3 5 4 2" xfId="22946"/>
    <cellStyle name="Normal 14 3 5 4 2 2" xfId="36971"/>
    <cellStyle name="Normal 14 3 5 4 3" xfId="28960"/>
    <cellStyle name="Normal 14 3 5 5" xfId="16937"/>
    <cellStyle name="Normal 14 3 5 5 2" xfId="30962"/>
    <cellStyle name="Normal 14 3 5 6" xfId="18939"/>
    <cellStyle name="Normal 14 3 5 6 2" xfId="32964"/>
    <cellStyle name="Normal 14 3 5 7" xfId="24953"/>
    <cellStyle name="Normal 14 3 6" xfId="2317"/>
    <cellStyle name="Normal 14 3 6 2" xfId="12918"/>
    <cellStyle name="Normal 14 3 6 2 2" xfId="20943"/>
    <cellStyle name="Normal 14 3 6 2 2 2" xfId="34968"/>
    <cellStyle name="Normal 14 3 6 2 3" xfId="26957"/>
    <cellStyle name="Normal 14 3 6 3" xfId="14933"/>
    <cellStyle name="Normal 14 3 6 3 2" xfId="22948"/>
    <cellStyle name="Normal 14 3 6 3 2 2" xfId="36973"/>
    <cellStyle name="Normal 14 3 6 3 3" xfId="28962"/>
    <cellStyle name="Normal 14 3 6 4" xfId="16939"/>
    <cellStyle name="Normal 14 3 6 4 2" xfId="30964"/>
    <cellStyle name="Normal 14 3 6 5" xfId="18941"/>
    <cellStyle name="Normal 14 3 6 5 2" xfId="32966"/>
    <cellStyle name="Normal 14 3 6 6" xfId="24955"/>
    <cellStyle name="Normal 14 3 7" xfId="12899"/>
    <cellStyle name="Normal 14 3 7 2" xfId="20924"/>
    <cellStyle name="Normal 14 3 7 2 2" xfId="34949"/>
    <cellStyle name="Normal 14 3 7 3" xfId="26938"/>
    <cellStyle name="Normal 14 3 8" xfId="14914"/>
    <cellStyle name="Normal 14 3 8 2" xfId="22929"/>
    <cellStyle name="Normal 14 3 8 2 2" xfId="36954"/>
    <cellStyle name="Normal 14 3 8 3" xfId="28943"/>
    <cellStyle name="Normal 14 3 9" xfId="16920"/>
    <cellStyle name="Normal 14 3 9 2" xfId="30945"/>
    <cellStyle name="Normal 14 4" xfId="2318"/>
    <cellStyle name="Normal 14 4 10" xfId="24956"/>
    <cellStyle name="Normal 14 4 2" xfId="2319"/>
    <cellStyle name="Normal 14 4 2 2" xfId="2320"/>
    <cellStyle name="Normal 14 4 2 2 2" xfId="2321"/>
    <cellStyle name="Normal 14 4 2 2 2 2" xfId="12922"/>
    <cellStyle name="Normal 14 4 2 2 2 2 2" xfId="20947"/>
    <cellStyle name="Normal 14 4 2 2 2 2 2 2" xfId="34972"/>
    <cellStyle name="Normal 14 4 2 2 2 2 3" xfId="26961"/>
    <cellStyle name="Normal 14 4 2 2 2 3" xfId="14937"/>
    <cellStyle name="Normal 14 4 2 2 2 3 2" xfId="22952"/>
    <cellStyle name="Normal 14 4 2 2 2 3 2 2" xfId="36977"/>
    <cellStyle name="Normal 14 4 2 2 2 3 3" xfId="28966"/>
    <cellStyle name="Normal 14 4 2 2 2 4" xfId="16943"/>
    <cellStyle name="Normal 14 4 2 2 2 4 2" xfId="30968"/>
    <cellStyle name="Normal 14 4 2 2 2 5" xfId="18945"/>
    <cellStyle name="Normal 14 4 2 2 2 5 2" xfId="32970"/>
    <cellStyle name="Normal 14 4 2 2 2 6" xfId="24959"/>
    <cellStyle name="Normal 14 4 2 2 3" xfId="12921"/>
    <cellStyle name="Normal 14 4 2 2 3 2" xfId="20946"/>
    <cellStyle name="Normal 14 4 2 2 3 2 2" xfId="34971"/>
    <cellStyle name="Normal 14 4 2 2 3 3" xfId="26960"/>
    <cellStyle name="Normal 14 4 2 2 4" xfId="14936"/>
    <cellStyle name="Normal 14 4 2 2 4 2" xfId="22951"/>
    <cellStyle name="Normal 14 4 2 2 4 2 2" xfId="36976"/>
    <cellStyle name="Normal 14 4 2 2 4 3" xfId="28965"/>
    <cellStyle name="Normal 14 4 2 2 5" xfId="16942"/>
    <cellStyle name="Normal 14 4 2 2 5 2" xfId="30967"/>
    <cellStyle name="Normal 14 4 2 2 6" xfId="18944"/>
    <cellStyle name="Normal 14 4 2 2 6 2" xfId="32969"/>
    <cellStyle name="Normal 14 4 2 2 7" xfId="24958"/>
    <cellStyle name="Normal 14 4 2 3" xfId="2322"/>
    <cellStyle name="Normal 14 4 2 3 2" xfId="12923"/>
    <cellStyle name="Normal 14 4 2 3 2 2" xfId="20948"/>
    <cellStyle name="Normal 14 4 2 3 2 2 2" xfId="34973"/>
    <cellStyle name="Normal 14 4 2 3 2 3" xfId="26962"/>
    <cellStyle name="Normal 14 4 2 3 3" xfId="14938"/>
    <cellStyle name="Normal 14 4 2 3 3 2" xfId="22953"/>
    <cellStyle name="Normal 14 4 2 3 3 2 2" xfId="36978"/>
    <cellStyle name="Normal 14 4 2 3 3 3" xfId="28967"/>
    <cellStyle name="Normal 14 4 2 3 4" xfId="16944"/>
    <cellStyle name="Normal 14 4 2 3 4 2" xfId="30969"/>
    <cellStyle name="Normal 14 4 2 3 5" xfId="18946"/>
    <cellStyle name="Normal 14 4 2 3 5 2" xfId="32971"/>
    <cellStyle name="Normal 14 4 2 3 6" xfId="24960"/>
    <cellStyle name="Normal 14 4 2 4" xfId="12920"/>
    <cellStyle name="Normal 14 4 2 4 2" xfId="20945"/>
    <cellStyle name="Normal 14 4 2 4 2 2" xfId="34970"/>
    <cellStyle name="Normal 14 4 2 4 3" xfId="26959"/>
    <cellStyle name="Normal 14 4 2 5" xfId="14935"/>
    <cellStyle name="Normal 14 4 2 5 2" xfId="22950"/>
    <cellStyle name="Normal 14 4 2 5 2 2" xfId="36975"/>
    <cellStyle name="Normal 14 4 2 5 3" xfId="28964"/>
    <cellStyle name="Normal 14 4 2 6" xfId="16941"/>
    <cellStyle name="Normal 14 4 2 6 2" xfId="30966"/>
    <cellStyle name="Normal 14 4 2 7" xfId="18943"/>
    <cellStyle name="Normal 14 4 2 7 2" xfId="32968"/>
    <cellStyle name="Normal 14 4 2 8" xfId="24957"/>
    <cellStyle name="Normal 14 4 3" xfId="2323"/>
    <cellStyle name="Normal 14 4 3 2" xfId="2324"/>
    <cellStyle name="Normal 14 4 3 2 2" xfId="12925"/>
    <cellStyle name="Normal 14 4 3 2 2 2" xfId="20950"/>
    <cellStyle name="Normal 14 4 3 2 2 2 2" xfId="34975"/>
    <cellStyle name="Normal 14 4 3 2 2 3" xfId="26964"/>
    <cellStyle name="Normal 14 4 3 2 3" xfId="14940"/>
    <cellStyle name="Normal 14 4 3 2 3 2" xfId="22955"/>
    <cellStyle name="Normal 14 4 3 2 3 2 2" xfId="36980"/>
    <cellStyle name="Normal 14 4 3 2 3 3" xfId="28969"/>
    <cellStyle name="Normal 14 4 3 2 4" xfId="16946"/>
    <cellStyle name="Normal 14 4 3 2 4 2" xfId="30971"/>
    <cellStyle name="Normal 14 4 3 2 5" xfId="18948"/>
    <cellStyle name="Normal 14 4 3 2 5 2" xfId="32973"/>
    <cellStyle name="Normal 14 4 3 2 6" xfId="24962"/>
    <cellStyle name="Normal 14 4 3 3" xfId="12924"/>
    <cellStyle name="Normal 14 4 3 3 2" xfId="20949"/>
    <cellStyle name="Normal 14 4 3 3 2 2" xfId="34974"/>
    <cellStyle name="Normal 14 4 3 3 3" xfId="26963"/>
    <cellStyle name="Normal 14 4 3 4" xfId="14939"/>
    <cellStyle name="Normal 14 4 3 4 2" xfId="22954"/>
    <cellStyle name="Normal 14 4 3 4 2 2" xfId="36979"/>
    <cellStyle name="Normal 14 4 3 4 3" xfId="28968"/>
    <cellStyle name="Normal 14 4 3 5" xfId="16945"/>
    <cellStyle name="Normal 14 4 3 5 2" xfId="30970"/>
    <cellStyle name="Normal 14 4 3 6" xfId="18947"/>
    <cellStyle name="Normal 14 4 3 6 2" xfId="32972"/>
    <cellStyle name="Normal 14 4 3 7" xfId="24961"/>
    <cellStyle name="Normal 14 4 4" xfId="2325"/>
    <cellStyle name="Normal 14 4 4 2" xfId="2326"/>
    <cellStyle name="Normal 14 4 4 2 2" xfId="12927"/>
    <cellStyle name="Normal 14 4 4 2 2 2" xfId="20952"/>
    <cellStyle name="Normal 14 4 4 2 2 2 2" xfId="34977"/>
    <cellStyle name="Normal 14 4 4 2 2 3" xfId="26966"/>
    <cellStyle name="Normal 14 4 4 2 3" xfId="14942"/>
    <cellStyle name="Normal 14 4 4 2 3 2" xfId="22957"/>
    <cellStyle name="Normal 14 4 4 2 3 2 2" xfId="36982"/>
    <cellStyle name="Normal 14 4 4 2 3 3" xfId="28971"/>
    <cellStyle name="Normal 14 4 4 2 4" xfId="16948"/>
    <cellStyle name="Normal 14 4 4 2 4 2" xfId="30973"/>
    <cellStyle name="Normal 14 4 4 2 5" xfId="18950"/>
    <cellStyle name="Normal 14 4 4 2 5 2" xfId="32975"/>
    <cellStyle name="Normal 14 4 4 2 6" xfId="24964"/>
    <cellStyle name="Normal 14 4 4 3" xfId="12926"/>
    <cellStyle name="Normal 14 4 4 3 2" xfId="20951"/>
    <cellStyle name="Normal 14 4 4 3 2 2" xfId="34976"/>
    <cellStyle name="Normal 14 4 4 3 3" xfId="26965"/>
    <cellStyle name="Normal 14 4 4 4" xfId="14941"/>
    <cellStyle name="Normal 14 4 4 4 2" xfId="22956"/>
    <cellStyle name="Normal 14 4 4 4 2 2" xfId="36981"/>
    <cellStyle name="Normal 14 4 4 4 3" xfId="28970"/>
    <cellStyle name="Normal 14 4 4 5" xfId="16947"/>
    <cellStyle name="Normal 14 4 4 5 2" xfId="30972"/>
    <cellStyle name="Normal 14 4 4 6" xfId="18949"/>
    <cellStyle name="Normal 14 4 4 6 2" xfId="32974"/>
    <cellStyle name="Normal 14 4 4 7" xfId="24963"/>
    <cellStyle name="Normal 14 4 5" xfId="2327"/>
    <cellStyle name="Normal 14 4 5 2" xfId="12928"/>
    <cellStyle name="Normal 14 4 5 2 2" xfId="20953"/>
    <cellStyle name="Normal 14 4 5 2 2 2" xfId="34978"/>
    <cellStyle name="Normal 14 4 5 2 3" xfId="26967"/>
    <cellStyle name="Normal 14 4 5 3" xfId="14943"/>
    <cellStyle name="Normal 14 4 5 3 2" xfId="22958"/>
    <cellStyle name="Normal 14 4 5 3 2 2" xfId="36983"/>
    <cellStyle name="Normal 14 4 5 3 3" xfId="28972"/>
    <cellStyle name="Normal 14 4 5 4" xfId="16949"/>
    <cellStyle name="Normal 14 4 5 4 2" xfId="30974"/>
    <cellStyle name="Normal 14 4 5 5" xfId="18951"/>
    <cellStyle name="Normal 14 4 5 5 2" xfId="32976"/>
    <cellStyle name="Normal 14 4 5 6" xfId="24965"/>
    <cellStyle name="Normal 14 4 6" xfId="12919"/>
    <cellStyle name="Normal 14 4 6 2" xfId="20944"/>
    <cellStyle name="Normal 14 4 6 2 2" xfId="34969"/>
    <cellStyle name="Normal 14 4 6 3" xfId="26958"/>
    <cellStyle name="Normal 14 4 7" xfId="14934"/>
    <cellStyle name="Normal 14 4 7 2" xfId="22949"/>
    <cellStyle name="Normal 14 4 7 2 2" xfId="36974"/>
    <cellStyle name="Normal 14 4 7 3" xfId="28963"/>
    <cellStyle name="Normal 14 4 8" xfId="16940"/>
    <cellStyle name="Normal 14 4 8 2" xfId="30965"/>
    <cellStyle name="Normal 14 4 9" xfId="18942"/>
    <cellStyle name="Normal 14 4 9 2" xfId="32967"/>
    <cellStyle name="Normal 14 5" xfId="2328"/>
    <cellStyle name="Normal 14 5 2" xfId="2329"/>
    <cellStyle name="Normal 14 5 2 2" xfId="2330"/>
    <cellStyle name="Normal 14 5 2 2 2" xfId="12931"/>
    <cellStyle name="Normal 14 5 2 2 2 2" xfId="20956"/>
    <cellStyle name="Normal 14 5 2 2 2 2 2" xfId="34981"/>
    <cellStyle name="Normal 14 5 2 2 2 3" xfId="26970"/>
    <cellStyle name="Normal 14 5 2 2 3" xfId="14946"/>
    <cellStyle name="Normal 14 5 2 2 3 2" xfId="22961"/>
    <cellStyle name="Normal 14 5 2 2 3 2 2" xfId="36986"/>
    <cellStyle name="Normal 14 5 2 2 3 3" xfId="28975"/>
    <cellStyle name="Normal 14 5 2 2 4" xfId="16952"/>
    <cellStyle name="Normal 14 5 2 2 4 2" xfId="30977"/>
    <cellStyle name="Normal 14 5 2 2 5" xfId="18954"/>
    <cellStyle name="Normal 14 5 2 2 5 2" xfId="32979"/>
    <cellStyle name="Normal 14 5 2 2 6" xfId="24968"/>
    <cellStyle name="Normal 14 5 2 3" xfId="12930"/>
    <cellStyle name="Normal 14 5 2 3 2" xfId="20955"/>
    <cellStyle name="Normal 14 5 2 3 2 2" xfId="34980"/>
    <cellStyle name="Normal 14 5 2 3 3" xfId="26969"/>
    <cellStyle name="Normal 14 5 2 4" xfId="14945"/>
    <cellStyle name="Normal 14 5 2 4 2" xfId="22960"/>
    <cellStyle name="Normal 14 5 2 4 2 2" xfId="36985"/>
    <cellStyle name="Normal 14 5 2 4 3" xfId="28974"/>
    <cellStyle name="Normal 14 5 2 5" xfId="16951"/>
    <cellStyle name="Normal 14 5 2 5 2" xfId="30976"/>
    <cellStyle name="Normal 14 5 2 6" xfId="18953"/>
    <cellStyle name="Normal 14 5 2 6 2" xfId="32978"/>
    <cellStyle name="Normal 14 5 2 7" xfId="24967"/>
    <cellStyle name="Normal 14 5 3" xfId="2331"/>
    <cellStyle name="Normal 14 5 3 2" xfId="12932"/>
    <cellStyle name="Normal 14 5 3 2 2" xfId="20957"/>
    <cellStyle name="Normal 14 5 3 2 2 2" xfId="34982"/>
    <cellStyle name="Normal 14 5 3 2 3" xfId="26971"/>
    <cellStyle name="Normal 14 5 3 3" xfId="14947"/>
    <cellStyle name="Normal 14 5 3 3 2" xfId="22962"/>
    <cellStyle name="Normal 14 5 3 3 2 2" xfId="36987"/>
    <cellStyle name="Normal 14 5 3 3 3" xfId="28976"/>
    <cellStyle name="Normal 14 5 3 4" xfId="16953"/>
    <cellStyle name="Normal 14 5 3 4 2" xfId="30978"/>
    <cellStyle name="Normal 14 5 3 5" xfId="18955"/>
    <cellStyle name="Normal 14 5 3 5 2" xfId="32980"/>
    <cellStyle name="Normal 14 5 3 6" xfId="24969"/>
    <cellStyle name="Normal 14 5 4" xfId="12929"/>
    <cellStyle name="Normal 14 5 4 2" xfId="20954"/>
    <cellStyle name="Normal 14 5 4 2 2" xfId="34979"/>
    <cellStyle name="Normal 14 5 4 3" xfId="26968"/>
    <cellStyle name="Normal 14 5 5" xfId="14944"/>
    <cellStyle name="Normal 14 5 5 2" xfId="22959"/>
    <cellStyle name="Normal 14 5 5 2 2" xfId="36984"/>
    <cellStyle name="Normal 14 5 5 3" xfId="28973"/>
    <cellStyle name="Normal 14 5 6" xfId="16950"/>
    <cellStyle name="Normal 14 5 6 2" xfId="30975"/>
    <cellStyle name="Normal 14 5 7" xfId="18952"/>
    <cellStyle name="Normal 14 5 7 2" xfId="32977"/>
    <cellStyle name="Normal 14 5 8" xfId="24966"/>
    <cellStyle name="Normal 14 6" xfId="2332"/>
    <cellStyle name="Normal 14 6 2" xfId="2333"/>
    <cellStyle name="Normal 14 6 2 2" xfId="12934"/>
    <cellStyle name="Normal 14 6 2 2 2" xfId="20959"/>
    <cellStyle name="Normal 14 6 2 2 2 2" xfId="34984"/>
    <cellStyle name="Normal 14 6 2 2 3" xfId="26973"/>
    <cellStyle name="Normal 14 6 2 3" xfId="14949"/>
    <cellStyle name="Normal 14 6 2 3 2" xfId="22964"/>
    <cellStyle name="Normal 14 6 2 3 2 2" xfId="36989"/>
    <cellStyle name="Normal 14 6 2 3 3" xfId="28978"/>
    <cellStyle name="Normal 14 6 2 4" xfId="16955"/>
    <cellStyle name="Normal 14 6 2 4 2" xfId="30980"/>
    <cellStyle name="Normal 14 6 2 5" xfId="18957"/>
    <cellStyle name="Normal 14 6 2 5 2" xfId="32982"/>
    <cellStyle name="Normal 14 6 2 6" xfId="24971"/>
    <cellStyle name="Normal 14 6 3" xfId="12933"/>
    <cellStyle name="Normal 14 6 3 2" xfId="20958"/>
    <cellStyle name="Normal 14 6 3 2 2" xfId="34983"/>
    <cellStyle name="Normal 14 6 3 3" xfId="26972"/>
    <cellStyle name="Normal 14 6 4" xfId="14948"/>
    <cellStyle name="Normal 14 6 4 2" xfId="22963"/>
    <cellStyle name="Normal 14 6 4 2 2" xfId="36988"/>
    <cellStyle name="Normal 14 6 4 3" xfId="28977"/>
    <cellStyle name="Normal 14 6 5" xfId="16954"/>
    <cellStyle name="Normal 14 6 5 2" xfId="30979"/>
    <cellStyle name="Normal 14 6 6" xfId="18956"/>
    <cellStyle name="Normal 14 6 6 2" xfId="32981"/>
    <cellStyle name="Normal 14 6 7" xfId="24970"/>
    <cellStyle name="Normal 14 7" xfId="2334"/>
    <cellStyle name="Normal 14 7 2" xfId="2335"/>
    <cellStyle name="Normal 14 7 2 2" xfId="12936"/>
    <cellStyle name="Normal 14 7 2 2 2" xfId="20961"/>
    <cellStyle name="Normal 14 7 2 2 2 2" xfId="34986"/>
    <cellStyle name="Normal 14 7 2 2 3" xfId="26975"/>
    <cellStyle name="Normal 14 7 2 3" xfId="14951"/>
    <cellStyle name="Normal 14 7 2 3 2" xfId="22966"/>
    <cellStyle name="Normal 14 7 2 3 2 2" xfId="36991"/>
    <cellStyle name="Normal 14 7 2 3 3" xfId="28980"/>
    <cellStyle name="Normal 14 7 2 4" xfId="16957"/>
    <cellStyle name="Normal 14 7 2 4 2" xfId="30982"/>
    <cellStyle name="Normal 14 7 2 5" xfId="18959"/>
    <cellStyle name="Normal 14 7 2 5 2" xfId="32984"/>
    <cellStyle name="Normal 14 7 2 6" xfId="24973"/>
    <cellStyle name="Normal 14 7 3" xfId="12935"/>
    <cellStyle name="Normal 14 7 3 2" xfId="20960"/>
    <cellStyle name="Normal 14 7 3 2 2" xfId="34985"/>
    <cellStyle name="Normal 14 7 3 3" xfId="26974"/>
    <cellStyle name="Normal 14 7 4" xfId="14950"/>
    <cellStyle name="Normal 14 7 4 2" xfId="22965"/>
    <cellStyle name="Normal 14 7 4 2 2" xfId="36990"/>
    <cellStyle name="Normal 14 7 4 3" xfId="28979"/>
    <cellStyle name="Normal 14 7 5" xfId="16956"/>
    <cellStyle name="Normal 14 7 5 2" xfId="30981"/>
    <cellStyle name="Normal 14 7 6" xfId="18958"/>
    <cellStyle name="Normal 14 7 6 2" xfId="32983"/>
    <cellStyle name="Normal 14 7 7" xfId="24972"/>
    <cellStyle name="Normal 14 8" xfId="2336"/>
    <cellStyle name="Normal 14 8 2" xfId="12937"/>
    <cellStyle name="Normal 14 8 2 2" xfId="20962"/>
    <cellStyle name="Normal 14 8 2 2 2" xfId="34987"/>
    <cellStyle name="Normal 14 8 2 3" xfId="26976"/>
    <cellStyle name="Normal 14 8 3" xfId="14952"/>
    <cellStyle name="Normal 14 8 3 2" xfId="22967"/>
    <cellStyle name="Normal 14 8 3 2 2" xfId="36992"/>
    <cellStyle name="Normal 14 8 3 3" xfId="28981"/>
    <cellStyle name="Normal 14 8 4" xfId="16958"/>
    <cellStyle name="Normal 14 8 4 2" xfId="30983"/>
    <cellStyle name="Normal 14 8 5" xfId="18960"/>
    <cellStyle name="Normal 14 8 5 2" xfId="32985"/>
    <cellStyle name="Normal 14 8 6" xfId="24974"/>
    <cellStyle name="Normal 14 9" xfId="2337"/>
    <cellStyle name="Normal 14 9 2" xfId="12938"/>
    <cellStyle name="Normal 14 9 2 2" xfId="20963"/>
    <cellStyle name="Normal 14 9 2 2 2" xfId="34988"/>
    <cellStyle name="Normal 14 9 2 3" xfId="26977"/>
    <cellStyle name="Normal 14 9 3" xfId="14953"/>
    <cellStyle name="Normal 14 9 3 2" xfId="22968"/>
    <cellStyle name="Normal 14 9 3 2 2" xfId="36993"/>
    <cellStyle name="Normal 14 9 3 3" xfId="28982"/>
    <cellStyle name="Normal 14 9 4" xfId="16959"/>
    <cellStyle name="Normal 14 9 4 2" xfId="30984"/>
    <cellStyle name="Normal 14 9 5" xfId="18961"/>
    <cellStyle name="Normal 14 9 5 2" xfId="32986"/>
    <cellStyle name="Normal 14 9 6" xfId="24975"/>
    <cellStyle name="Normal 15" xfId="495"/>
    <cellStyle name="Normal 15 2" xfId="2338"/>
    <cellStyle name="Normal 15 2 2" xfId="12939"/>
    <cellStyle name="Normal 15 2 2 2" xfId="20964"/>
    <cellStyle name="Normal 15 2 2 2 2" xfId="34989"/>
    <cellStyle name="Normal 15 2 2 3" xfId="26978"/>
    <cellStyle name="Normal 15 2 3" xfId="14954"/>
    <cellStyle name="Normal 15 2 3 2" xfId="22969"/>
    <cellStyle name="Normal 15 2 3 2 2" xfId="36994"/>
    <cellStyle name="Normal 15 2 3 3" xfId="28983"/>
    <cellStyle name="Normal 15 2 4" xfId="16960"/>
    <cellStyle name="Normal 15 2 4 2" xfId="30985"/>
    <cellStyle name="Normal 15 2 5" xfId="18962"/>
    <cellStyle name="Normal 15 2 5 2" xfId="32987"/>
    <cellStyle name="Normal 15 2 6" xfId="24976"/>
    <cellStyle name="Normal 16" xfId="496"/>
    <cellStyle name="Normal 16 10" xfId="11279"/>
    <cellStyle name="Normal 16 10 2" xfId="13642"/>
    <cellStyle name="Normal 16 10 2 2" xfId="21664"/>
    <cellStyle name="Normal 16 10 2 2 2" xfId="35689"/>
    <cellStyle name="Normal 16 10 2 3" xfId="27678"/>
    <cellStyle name="Normal 16 10 3" xfId="15652"/>
    <cellStyle name="Normal 16 10 3 2" xfId="23667"/>
    <cellStyle name="Normal 16 10 3 2 2" xfId="37692"/>
    <cellStyle name="Normal 16 10 3 3" xfId="29681"/>
    <cellStyle name="Normal 16 10 4" xfId="17658"/>
    <cellStyle name="Normal 16 10 4 2" xfId="31683"/>
    <cellStyle name="Normal 16 10 5" xfId="19660"/>
    <cellStyle name="Normal 16 10 5 2" xfId="33685"/>
    <cellStyle name="Normal 16 10 6" xfId="25674"/>
    <cellStyle name="Normal 16 11" xfId="11631"/>
    <cellStyle name="Normal 16 11 2" xfId="19662"/>
    <cellStyle name="Normal 16 11 2 2" xfId="33687"/>
    <cellStyle name="Normal 16 11 3" xfId="25676"/>
    <cellStyle name="Normal 16 12" xfId="13652"/>
    <cellStyle name="Normal 16 12 2" xfId="21667"/>
    <cellStyle name="Normal 16 12 2 2" xfId="35692"/>
    <cellStyle name="Normal 16 12 3" xfId="27681"/>
    <cellStyle name="Normal 16 13" xfId="15658"/>
    <cellStyle name="Normal 16 13 2" xfId="29683"/>
    <cellStyle name="Normal 16 14" xfId="17660"/>
    <cellStyle name="Normal 16 14 2" xfId="31685"/>
    <cellStyle name="Normal 16 15" xfId="23674"/>
    <cellStyle name="Normal 16 2" xfId="2339"/>
    <cellStyle name="Normal 16 2 10" xfId="18963"/>
    <cellStyle name="Normal 16 2 10 2" xfId="32988"/>
    <cellStyle name="Normal 16 2 11" xfId="24977"/>
    <cellStyle name="Normal 16 2 2" xfId="2340"/>
    <cellStyle name="Normal 16 2 2 10" xfId="24978"/>
    <cellStyle name="Normal 16 2 2 2" xfId="2341"/>
    <cellStyle name="Normal 16 2 2 2 2" xfId="2342"/>
    <cellStyle name="Normal 16 2 2 2 2 2" xfId="2343"/>
    <cellStyle name="Normal 16 2 2 2 2 2 2" xfId="12944"/>
    <cellStyle name="Normal 16 2 2 2 2 2 2 2" xfId="20969"/>
    <cellStyle name="Normal 16 2 2 2 2 2 2 2 2" xfId="34994"/>
    <cellStyle name="Normal 16 2 2 2 2 2 2 3" xfId="26983"/>
    <cellStyle name="Normal 16 2 2 2 2 2 3" xfId="14959"/>
    <cellStyle name="Normal 16 2 2 2 2 2 3 2" xfId="22974"/>
    <cellStyle name="Normal 16 2 2 2 2 2 3 2 2" xfId="36999"/>
    <cellStyle name="Normal 16 2 2 2 2 2 3 3" xfId="28988"/>
    <cellStyle name="Normal 16 2 2 2 2 2 4" xfId="16965"/>
    <cellStyle name="Normal 16 2 2 2 2 2 4 2" xfId="30990"/>
    <cellStyle name="Normal 16 2 2 2 2 2 5" xfId="18967"/>
    <cellStyle name="Normal 16 2 2 2 2 2 5 2" xfId="32992"/>
    <cellStyle name="Normal 16 2 2 2 2 2 6" xfId="24981"/>
    <cellStyle name="Normal 16 2 2 2 2 3" xfId="12943"/>
    <cellStyle name="Normal 16 2 2 2 2 3 2" xfId="20968"/>
    <cellStyle name="Normal 16 2 2 2 2 3 2 2" xfId="34993"/>
    <cellStyle name="Normal 16 2 2 2 2 3 3" xfId="26982"/>
    <cellStyle name="Normal 16 2 2 2 2 4" xfId="14958"/>
    <cellStyle name="Normal 16 2 2 2 2 4 2" xfId="22973"/>
    <cellStyle name="Normal 16 2 2 2 2 4 2 2" xfId="36998"/>
    <cellStyle name="Normal 16 2 2 2 2 4 3" xfId="28987"/>
    <cellStyle name="Normal 16 2 2 2 2 5" xfId="16964"/>
    <cellStyle name="Normal 16 2 2 2 2 5 2" xfId="30989"/>
    <cellStyle name="Normal 16 2 2 2 2 6" xfId="18966"/>
    <cellStyle name="Normal 16 2 2 2 2 6 2" xfId="32991"/>
    <cellStyle name="Normal 16 2 2 2 2 7" xfId="24980"/>
    <cellStyle name="Normal 16 2 2 2 3" xfId="2344"/>
    <cellStyle name="Normal 16 2 2 2 3 2" xfId="12945"/>
    <cellStyle name="Normal 16 2 2 2 3 2 2" xfId="20970"/>
    <cellStyle name="Normal 16 2 2 2 3 2 2 2" xfId="34995"/>
    <cellStyle name="Normal 16 2 2 2 3 2 3" xfId="26984"/>
    <cellStyle name="Normal 16 2 2 2 3 3" xfId="14960"/>
    <cellStyle name="Normal 16 2 2 2 3 3 2" xfId="22975"/>
    <cellStyle name="Normal 16 2 2 2 3 3 2 2" xfId="37000"/>
    <cellStyle name="Normal 16 2 2 2 3 3 3" xfId="28989"/>
    <cellStyle name="Normal 16 2 2 2 3 4" xfId="16966"/>
    <cellStyle name="Normal 16 2 2 2 3 4 2" xfId="30991"/>
    <cellStyle name="Normal 16 2 2 2 3 5" xfId="18968"/>
    <cellStyle name="Normal 16 2 2 2 3 5 2" xfId="32993"/>
    <cellStyle name="Normal 16 2 2 2 3 6" xfId="24982"/>
    <cellStyle name="Normal 16 2 2 2 4" xfId="12942"/>
    <cellStyle name="Normal 16 2 2 2 4 2" xfId="20967"/>
    <cellStyle name="Normal 16 2 2 2 4 2 2" xfId="34992"/>
    <cellStyle name="Normal 16 2 2 2 4 3" xfId="26981"/>
    <cellStyle name="Normal 16 2 2 2 5" xfId="14957"/>
    <cellStyle name="Normal 16 2 2 2 5 2" xfId="22972"/>
    <cellStyle name="Normal 16 2 2 2 5 2 2" xfId="36997"/>
    <cellStyle name="Normal 16 2 2 2 5 3" xfId="28986"/>
    <cellStyle name="Normal 16 2 2 2 6" xfId="16963"/>
    <cellStyle name="Normal 16 2 2 2 6 2" xfId="30988"/>
    <cellStyle name="Normal 16 2 2 2 7" xfId="18965"/>
    <cellStyle name="Normal 16 2 2 2 7 2" xfId="32990"/>
    <cellStyle name="Normal 16 2 2 2 8" xfId="24979"/>
    <cellStyle name="Normal 16 2 2 3" xfId="2345"/>
    <cellStyle name="Normal 16 2 2 3 2" xfId="2346"/>
    <cellStyle name="Normal 16 2 2 3 2 2" xfId="12947"/>
    <cellStyle name="Normal 16 2 2 3 2 2 2" xfId="20972"/>
    <cellStyle name="Normal 16 2 2 3 2 2 2 2" xfId="34997"/>
    <cellStyle name="Normal 16 2 2 3 2 2 3" xfId="26986"/>
    <cellStyle name="Normal 16 2 2 3 2 3" xfId="14962"/>
    <cellStyle name="Normal 16 2 2 3 2 3 2" xfId="22977"/>
    <cellStyle name="Normal 16 2 2 3 2 3 2 2" xfId="37002"/>
    <cellStyle name="Normal 16 2 2 3 2 3 3" xfId="28991"/>
    <cellStyle name="Normal 16 2 2 3 2 4" xfId="16968"/>
    <cellStyle name="Normal 16 2 2 3 2 4 2" xfId="30993"/>
    <cellStyle name="Normal 16 2 2 3 2 5" xfId="18970"/>
    <cellStyle name="Normal 16 2 2 3 2 5 2" xfId="32995"/>
    <cellStyle name="Normal 16 2 2 3 2 6" xfId="24984"/>
    <cellStyle name="Normal 16 2 2 3 3" xfId="12946"/>
    <cellStyle name="Normal 16 2 2 3 3 2" xfId="20971"/>
    <cellStyle name="Normal 16 2 2 3 3 2 2" xfId="34996"/>
    <cellStyle name="Normal 16 2 2 3 3 3" xfId="26985"/>
    <cellStyle name="Normal 16 2 2 3 4" xfId="14961"/>
    <cellStyle name="Normal 16 2 2 3 4 2" xfId="22976"/>
    <cellStyle name="Normal 16 2 2 3 4 2 2" xfId="37001"/>
    <cellStyle name="Normal 16 2 2 3 4 3" xfId="28990"/>
    <cellStyle name="Normal 16 2 2 3 5" xfId="16967"/>
    <cellStyle name="Normal 16 2 2 3 5 2" xfId="30992"/>
    <cellStyle name="Normal 16 2 2 3 6" xfId="18969"/>
    <cellStyle name="Normal 16 2 2 3 6 2" xfId="32994"/>
    <cellStyle name="Normal 16 2 2 3 7" xfId="24983"/>
    <cellStyle name="Normal 16 2 2 4" xfId="2347"/>
    <cellStyle name="Normal 16 2 2 4 2" xfId="2348"/>
    <cellStyle name="Normal 16 2 2 4 2 2" xfId="12949"/>
    <cellStyle name="Normal 16 2 2 4 2 2 2" xfId="20974"/>
    <cellStyle name="Normal 16 2 2 4 2 2 2 2" xfId="34999"/>
    <cellStyle name="Normal 16 2 2 4 2 2 3" xfId="26988"/>
    <cellStyle name="Normal 16 2 2 4 2 3" xfId="14964"/>
    <cellStyle name="Normal 16 2 2 4 2 3 2" xfId="22979"/>
    <cellStyle name="Normal 16 2 2 4 2 3 2 2" xfId="37004"/>
    <cellStyle name="Normal 16 2 2 4 2 3 3" xfId="28993"/>
    <cellStyle name="Normal 16 2 2 4 2 4" xfId="16970"/>
    <cellStyle name="Normal 16 2 2 4 2 4 2" xfId="30995"/>
    <cellStyle name="Normal 16 2 2 4 2 5" xfId="18972"/>
    <cellStyle name="Normal 16 2 2 4 2 5 2" xfId="32997"/>
    <cellStyle name="Normal 16 2 2 4 2 6" xfId="24986"/>
    <cellStyle name="Normal 16 2 2 4 3" xfId="12948"/>
    <cellStyle name="Normal 16 2 2 4 3 2" xfId="20973"/>
    <cellStyle name="Normal 16 2 2 4 3 2 2" xfId="34998"/>
    <cellStyle name="Normal 16 2 2 4 3 3" xfId="26987"/>
    <cellStyle name="Normal 16 2 2 4 4" xfId="14963"/>
    <cellStyle name="Normal 16 2 2 4 4 2" xfId="22978"/>
    <cellStyle name="Normal 16 2 2 4 4 2 2" xfId="37003"/>
    <cellStyle name="Normal 16 2 2 4 4 3" xfId="28992"/>
    <cellStyle name="Normal 16 2 2 4 5" xfId="16969"/>
    <cellStyle name="Normal 16 2 2 4 5 2" xfId="30994"/>
    <cellStyle name="Normal 16 2 2 4 6" xfId="18971"/>
    <cellStyle name="Normal 16 2 2 4 6 2" xfId="32996"/>
    <cellStyle name="Normal 16 2 2 4 7" xfId="24985"/>
    <cellStyle name="Normal 16 2 2 5" xfId="2349"/>
    <cellStyle name="Normal 16 2 2 5 2" xfId="12950"/>
    <cellStyle name="Normal 16 2 2 5 2 2" xfId="20975"/>
    <cellStyle name="Normal 16 2 2 5 2 2 2" xfId="35000"/>
    <cellStyle name="Normal 16 2 2 5 2 3" xfId="26989"/>
    <cellStyle name="Normal 16 2 2 5 3" xfId="14965"/>
    <cellStyle name="Normal 16 2 2 5 3 2" xfId="22980"/>
    <cellStyle name="Normal 16 2 2 5 3 2 2" xfId="37005"/>
    <cellStyle name="Normal 16 2 2 5 3 3" xfId="28994"/>
    <cellStyle name="Normal 16 2 2 5 4" xfId="16971"/>
    <cellStyle name="Normal 16 2 2 5 4 2" xfId="30996"/>
    <cellStyle name="Normal 16 2 2 5 5" xfId="18973"/>
    <cellStyle name="Normal 16 2 2 5 5 2" xfId="32998"/>
    <cellStyle name="Normal 16 2 2 5 6" xfId="24987"/>
    <cellStyle name="Normal 16 2 2 6" xfId="12941"/>
    <cellStyle name="Normal 16 2 2 6 2" xfId="20966"/>
    <cellStyle name="Normal 16 2 2 6 2 2" xfId="34991"/>
    <cellStyle name="Normal 16 2 2 6 3" xfId="26980"/>
    <cellStyle name="Normal 16 2 2 7" xfId="14956"/>
    <cellStyle name="Normal 16 2 2 7 2" xfId="22971"/>
    <cellStyle name="Normal 16 2 2 7 2 2" xfId="36996"/>
    <cellStyle name="Normal 16 2 2 7 3" xfId="28985"/>
    <cellStyle name="Normal 16 2 2 8" xfId="16962"/>
    <cellStyle name="Normal 16 2 2 8 2" xfId="30987"/>
    <cellStyle name="Normal 16 2 2 9" xfId="18964"/>
    <cellStyle name="Normal 16 2 2 9 2" xfId="32989"/>
    <cellStyle name="Normal 16 2 3" xfId="2350"/>
    <cellStyle name="Normal 16 2 3 2" xfId="2351"/>
    <cellStyle name="Normal 16 2 3 2 2" xfId="2352"/>
    <cellStyle name="Normal 16 2 3 2 2 2" xfId="12953"/>
    <cellStyle name="Normal 16 2 3 2 2 2 2" xfId="20978"/>
    <cellStyle name="Normal 16 2 3 2 2 2 2 2" xfId="35003"/>
    <cellStyle name="Normal 16 2 3 2 2 2 3" xfId="26992"/>
    <cellStyle name="Normal 16 2 3 2 2 3" xfId="14968"/>
    <cellStyle name="Normal 16 2 3 2 2 3 2" xfId="22983"/>
    <cellStyle name="Normal 16 2 3 2 2 3 2 2" xfId="37008"/>
    <cellStyle name="Normal 16 2 3 2 2 3 3" xfId="28997"/>
    <cellStyle name="Normal 16 2 3 2 2 4" xfId="16974"/>
    <cellStyle name="Normal 16 2 3 2 2 4 2" xfId="30999"/>
    <cellStyle name="Normal 16 2 3 2 2 5" xfId="18976"/>
    <cellStyle name="Normal 16 2 3 2 2 5 2" xfId="33001"/>
    <cellStyle name="Normal 16 2 3 2 2 6" xfId="24990"/>
    <cellStyle name="Normal 16 2 3 2 3" xfId="12952"/>
    <cellStyle name="Normal 16 2 3 2 3 2" xfId="20977"/>
    <cellStyle name="Normal 16 2 3 2 3 2 2" xfId="35002"/>
    <cellStyle name="Normal 16 2 3 2 3 3" xfId="26991"/>
    <cellStyle name="Normal 16 2 3 2 4" xfId="14967"/>
    <cellStyle name="Normal 16 2 3 2 4 2" xfId="22982"/>
    <cellStyle name="Normal 16 2 3 2 4 2 2" xfId="37007"/>
    <cellStyle name="Normal 16 2 3 2 4 3" xfId="28996"/>
    <cellStyle name="Normal 16 2 3 2 5" xfId="16973"/>
    <cellStyle name="Normal 16 2 3 2 5 2" xfId="30998"/>
    <cellStyle name="Normal 16 2 3 2 6" xfId="18975"/>
    <cellStyle name="Normal 16 2 3 2 6 2" xfId="33000"/>
    <cellStyle name="Normal 16 2 3 2 7" xfId="24989"/>
    <cellStyle name="Normal 16 2 3 3" xfId="2353"/>
    <cellStyle name="Normal 16 2 3 3 2" xfId="12954"/>
    <cellStyle name="Normal 16 2 3 3 2 2" xfId="20979"/>
    <cellStyle name="Normal 16 2 3 3 2 2 2" xfId="35004"/>
    <cellStyle name="Normal 16 2 3 3 2 3" xfId="26993"/>
    <cellStyle name="Normal 16 2 3 3 3" xfId="14969"/>
    <cellStyle name="Normal 16 2 3 3 3 2" xfId="22984"/>
    <cellStyle name="Normal 16 2 3 3 3 2 2" xfId="37009"/>
    <cellStyle name="Normal 16 2 3 3 3 3" xfId="28998"/>
    <cellStyle name="Normal 16 2 3 3 4" xfId="16975"/>
    <cellStyle name="Normal 16 2 3 3 4 2" xfId="31000"/>
    <cellStyle name="Normal 16 2 3 3 5" xfId="18977"/>
    <cellStyle name="Normal 16 2 3 3 5 2" xfId="33002"/>
    <cellStyle name="Normal 16 2 3 3 6" xfId="24991"/>
    <cellStyle name="Normal 16 2 3 4" xfId="12951"/>
    <cellStyle name="Normal 16 2 3 4 2" xfId="20976"/>
    <cellStyle name="Normal 16 2 3 4 2 2" xfId="35001"/>
    <cellStyle name="Normal 16 2 3 4 3" xfId="26990"/>
    <cellStyle name="Normal 16 2 3 5" xfId="14966"/>
    <cellStyle name="Normal 16 2 3 5 2" xfId="22981"/>
    <cellStyle name="Normal 16 2 3 5 2 2" xfId="37006"/>
    <cellStyle name="Normal 16 2 3 5 3" xfId="28995"/>
    <cellStyle name="Normal 16 2 3 6" xfId="16972"/>
    <cellStyle name="Normal 16 2 3 6 2" xfId="30997"/>
    <cellStyle name="Normal 16 2 3 7" xfId="18974"/>
    <cellStyle name="Normal 16 2 3 7 2" xfId="32999"/>
    <cellStyle name="Normal 16 2 3 8" xfId="24988"/>
    <cellStyle name="Normal 16 2 4" xfId="2354"/>
    <cellStyle name="Normal 16 2 4 2" xfId="2355"/>
    <cellStyle name="Normal 16 2 4 2 2" xfId="12956"/>
    <cellStyle name="Normal 16 2 4 2 2 2" xfId="20981"/>
    <cellStyle name="Normal 16 2 4 2 2 2 2" xfId="35006"/>
    <cellStyle name="Normal 16 2 4 2 2 3" xfId="26995"/>
    <cellStyle name="Normal 16 2 4 2 3" xfId="14971"/>
    <cellStyle name="Normal 16 2 4 2 3 2" xfId="22986"/>
    <cellStyle name="Normal 16 2 4 2 3 2 2" xfId="37011"/>
    <cellStyle name="Normal 16 2 4 2 3 3" xfId="29000"/>
    <cellStyle name="Normal 16 2 4 2 4" xfId="16977"/>
    <cellStyle name="Normal 16 2 4 2 4 2" xfId="31002"/>
    <cellStyle name="Normal 16 2 4 2 5" xfId="18979"/>
    <cellStyle name="Normal 16 2 4 2 5 2" xfId="33004"/>
    <cellStyle name="Normal 16 2 4 2 6" xfId="24993"/>
    <cellStyle name="Normal 16 2 4 3" xfId="12955"/>
    <cellStyle name="Normal 16 2 4 3 2" xfId="20980"/>
    <cellStyle name="Normal 16 2 4 3 2 2" xfId="35005"/>
    <cellStyle name="Normal 16 2 4 3 3" xfId="26994"/>
    <cellStyle name="Normal 16 2 4 4" xfId="14970"/>
    <cellStyle name="Normal 16 2 4 4 2" xfId="22985"/>
    <cellStyle name="Normal 16 2 4 4 2 2" xfId="37010"/>
    <cellStyle name="Normal 16 2 4 4 3" xfId="28999"/>
    <cellStyle name="Normal 16 2 4 5" xfId="16976"/>
    <cellStyle name="Normal 16 2 4 5 2" xfId="31001"/>
    <cellStyle name="Normal 16 2 4 6" xfId="18978"/>
    <cellStyle name="Normal 16 2 4 6 2" xfId="33003"/>
    <cellStyle name="Normal 16 2 4 7" xfId="24992"/>
    <cellStyle name="Normal 16 2 5" xfId="2356"/>
    <cellStyle name="Normal 16 2 5 2" xfId="2357"/>
    <cellStyle name="Normal 16 2 5 2 2" xfId="12958"/>
    <cellStyle name="Normal 16 2 5 2 2 2" xfId="20983"/>
    <cellStyle name="Normal 16 2 5 2 2 2 2" xfId="35008"/>
    <cellStyle name="Normal 16 2 5 2 2 3" xfId="26997"/>
    <cellStyle name="Normal 16 2 5 2 3" xfId="14973"/>
    <cellStyle name="Normal 16 2 5 2 3 2" xfId="22988"/>
    <cellStyle name="Normal 16 2 5 2 3 2 2" xfId="37013"/>
    <cellStyle name="Normal 16 2 5 2 3 3" xfId="29002"/>
    <cellStyle name="Normal 16 2 5 2 4" xfId="16979"/>
    <cellStyle name="Normal 16 2 5 2 4 2" xfId="31004"/>
    <cellStyle name="Normal 16 2 5 2 5" xfId="18981"/>
    <cellStyle name="Normal 16 2 5 2 5 2" xfId="33006"/>
    <cellStyle name="Normal 16 2 5 2 6" xfId="24995"/>
    <cellStyle name="Normal 16 2 5 3" xfId="12957"/>
    <cellStyle name="Normal 16 2 5 3 2" xfId="20982"/>
    <cellStyle name="Normal 16 2 5 3 2 2" xfId="35007"/>
    <cellStyle name="Normal 16 2 5 3 3" xfId="26996"/>
    <cellStyle name="Normal 16 2 5 4" xfId="14972"/>
    <cellStyle name="Normal 16 2 5 4 2" xfId="22987"/>
    <cellStyle name="Normal 16 2 5 4 2 2" xfId="37012"/>
    <cellStyle name="Normal 16 2 5 4 3" xfId="29001"/>
    <cellStyle name="Normal 16 2 5 5" xfId="16978"/>
    <cellStyle name="Normal 16 2 5 5 2" xfId="31003"/>
    <cellStyle name="Normal 16 2 5 6" xfId="18980"/>
    <cellStyle name="Normal 16 2 5 6 2" xfId="33005"/>
    <cellStyle name="Normal 16 2 5 7" xfId="24994"/>
    <cellStyle name="Normal 16 2 6" xfId="2358"/>
    <cellStyle name="Normal 16 2 6 2" xfId="12959"/>
    <cellStyle name="Normal 16 2 6 2 2" xfId="20984"/>
    <cellStyle name="Normal 16 2 6 2 2 2" xfId="35009"/>
    <cellStyle name="Normal 16 2 6 2 3" xfId="26998"/>
    <cellStyle name="Normal 16 2 6 3" xfId="14974"/>
    <cellStyle name="Normal 16 2 6 3 2" xfId="22989"/>
    <cellStyle name="Normal 16 2 6 3 2 2" xfId="37014"/>
    <cellStyle name="Normal 16 2 6 3 3" xfId="29003"/>
    <cellStyle name="Normal 16 2 6 4" xfId="16980"/>
    <cellStyle name="Normal 16 2 6 4 2" xfId="31005"/>
    <cellStyle name="Normal 16 2 6 5" xfId="18982"/>
    <cellStyle name="Normal 16 2 6 5 2" xfId="33007"/>
    <cellStyle name="Normal 16 2 6 6" xfId="24996"/>
    <cellStyle name="Normal 16 2 7" xfId="12940"/>
    <cellStyle name="Normal 16 2 7 2" xfId="20965"/>
    <cellStyle name="Normal 16 2 7 2 2" xfId="34990"/>
    <cellStyle name="Normal 16 2 7 3" xfId="26979"/>
    <cellStyle name="Normal 16 2 8" xfId="14955"/>
    <cellStyle name="Normal 16 2 8 2" xfId="22970"/>
    <cellStyle name="Normal 16 2 8 2 2" xfId="36995"/>
    <cellStyle name="Normal 16 2 8 3" xfId="28984"/>
    <cellStyle name="Normal 16 2 9" xfId="16961"/>
    <cellStyle name="Normal 16 2 9 2" xfId="30986"/>
    <cellStyle name="Normal 16 3" xfId="2359"/>
    <cellStyle name="Normal 16 3 10" xfId="24997"/>
    <cellStyle name="Normal 16 3 2" xfId="2360"/>
    <cellStyle name="Normal 16 3 2 2" xfId="2361"/>
    <cellStyle name="Normal 16 3 2 2 2" xfId="2362"/>
    <cellStyle name="Normal 16 3 2 2 2 2" xfId="12963"/>
    <cellStyle name="Normal 16 3 2 2 2 2 2" xfId="20988"/>
    <cellStyle name="Normal 16 3 2 2 2 2 2 2" xfId="35013"/>
    <cellStyle name="Normal 16 3 2 2 2 2 3" xfId="27002"/>
    <cellStyle name="Normal 16 3 2 2 2 3" xfId="14978"/>
    <cellStyle name="Normal 16 3 2 2 2 3 2" xfId="22993"/>
    <cellStyle name="Normal 16 3 2 2 2 3 2 2" xfId="37018"/>
    <cellStyle name="Normal 16 3 2 2 2 3 3" xfId="29007"/>
    <cellStyle name="Normal 16 3 2 2 2 4" xfId="16984"/>
    <cellStyle name="Normal 16 3 2 2 2 4 2" xfId="31009"/>
    <cellStyle name="Normal 16 3 2 2 2 5" xfId="18986"/>
    <cellStyle name="Normal 16 3 2 2 2 5 2" xfId="33011"/>
    <cellStyle name="Normal 16 3 2 2 2 6" xfId="25000"/>
    <cellStyle name="Normal 16 3 2 2 3" xfId="12962"/>
    <cellStyle name="Normal 16 3 2 2 3 2" xfId="20987"/>
    <cellStyle name="Normal 16 3 2 2 3 2 2" xfId="35012"/>
    <cellStyle name="Normal 16 3 2 2 3 3" xfId="27001"/>
    <cellStyle name="Normal 16 3 2 2 4" xfId="14977"/>
    <cellStyle name="Normal 16 3 2 2 4 2" xfId="22992"/>
    <cellStyle name="Normal 16 3 2 2 4 2 2" xfId="37017"/>
    <cellStyle name="Normal 16 3 2 2 4 3" xfId="29006"/>
    <cellStyle name="Normal 16 3 2 2 5" xfId="16983"/>
    <cellStyle name="Normal 16 3 2 2 5 2" xfId="31008"/>
    <cellStyle name="Normal 16 3 2 2 6" xfId="18985"/>
    <cellStyle name="Normal 16 3 2 2 6 2" xfId="33010"/>
    <cellStyle name="Normal 16 3 2 2 7" xfId="24999"/>
    <cellStyle name="Normal 16 3 2 3" xfId="2363"/>
    <cellStyle name="Normal 16 3 2 3 2" xfId="12964"/>
    <cellStyle name="Normal 16 3 2 3 2 2" xfId="20989"/>
    <cellStyle name="Normal 16 3 2 3 2 2 2" xfId="35014"/>
    <cellStyle name="Normal 16 3 2 3 2 3" xfId="27003"/>
    <cellStyle name="Normal 16 3 2 3 3" xfId="14979"/>
    <cellStyle name="Normal 16 3 2 3 3 2" xfId="22994"/>
    <cellStyle name="Normal 16 3 2 3 3 2 2" xfId="37019"/>
    <cellStyle name="Normal 16 3 2 3 3 3" xfId="29008"/>
    <cellStyle name="Normal 16 3 2 3 4" xfId="16985"/>
    <cellStyle name="Normal 16 3 2 3 4 2" xfId="31010"/>
    <cellStyle name="Normal 16 3 2 3 5" xfId="18987"/>
    <cellStyle name="Normal 16 3 2 3 5 2" xfId="33012"/>
    <cellStyle name="Normal 16 3 2 3 6" xfId="25001"/>
    <cellStyle name="Normal 16 3 2 4" xfId="12961"/>
    <cellStyle name="Normal 16 3 2 4 2" xfId="20986"/>
    <cellStyle name="Normal 16 3 2 4 2 2" xfId="35011"/>
    <cellStyle name="Normal 16 3 2 4 3" xfId="27000"/>
    <cellStyle name="Normal 16 3 2 5" xfId="14976"/>
    <cellStyle name="Normal 16 3 2 5 2" xfId="22991"/>
    <cellStyle name="Normal 16 3 2 5 2 2" xfId="37016"/>
    <cellStyle name="Normal 16 3 2 5 3" xfId="29005"/>
    <cellStyle name="Normal 16 3 2 6" xfId="16982"/>
    <cellStyle name="Normal 16 3 2 6 2" xfId="31007"/>
    <cellStyle name="Normal 16 3 2 7" xfId="18984"/>
    <cellStyle name="Normal 16 3 2 7 2" xfId="33009"/>
    <cellStyle name="Normal 16 3 2 8" xfId="24998"/>
    <cellStyle name="Normal 16 3 3" xfId="2364"/>
    <cellStyle name="Normal 16 3 3 2" xfId="2365"/>
    <cellStyle name="Normal 16 3 3 2 2" xfId="12966"/>
    <cellStyle name="Normal 16 3 3 2 2 2" xfId="20991"/>
    <cellStyle name="Normal 16 3 3 2 2 2 2" xfId="35016"/>
    <cellStyle name="Normal 16 3 3 2 2 3" xfId="27005"/>
    <cellStyle name="Normal 16 3 3 2 3" xfId="14981"/>
    <cellStyle name="Normal 16 3 3 2 3 2" xfId="22996"/>
    <cellStyle name="Normal 16 3 3 2 3 2 2" xfId="37021"/>
    <cellStyle name="Normal 16 3 3 2 3 3" xfId="29010"/>
    <cellStyle name="Normal 16 3 3 2 4" xfId="16987"/>
    <cellStyle name="Normal 16 3 3 2 4 2" xfId="31012"/>
    <cellStyle name="Normal 16 3 3 2 5" xfId="18989"/>
    <cellStyle name="Normal 16 3 3 2 5 2" xfId="33014"/>
    <cellStyle name="Normal 16 3 3 2 6" xfId="25003"/>
    <cellStyle name="Normal 16 3 3 3" xfId="12965"/>
    <cellStyle name="Normal 16 3 3 3 2" xfId="20990"/>
    <cellStyle name="Normal 16 3 3 3 2 2" xfId="35015"/>
    <cellStyle name="Normal 16 3 3 3 3" xfId="27004"/>
    <cellStyle name="Normal 16 3 3 4" xfId="14980"/>
    <cellStyle name="Normal 16 3 3 4 2" xfId="22995"/>
    <cellStyle name="Normal 16 3 3 4 2 2" xfId="37020"/>
    <cellStyle name="Normal 16 3 3 4 3" xfId="29009"/>
    <cellStyle name="Normal 16 3 3 5" xfId="16986"/>
    <cellStyle name="Normal 16 3 3 5 2" xfId="31011"/>
    <cellStyle name="Normal 16 3 3 6" xfId="18988"/>
    <cellStyle name="Normal 16 3 3 6 2" xfId="33013"/>
    <cellStyle name="Normal 16 3 3 7" xfId="25002"/>
    <cellStyle name="Normal 16 3 4" xfId="2366"/>
    <cellStyle name="Normal 16 3 4 2" xfId="2367"/>
    <cellStyle name="Normal 16 3 4 2 2" xfId="12968"/>
    <cellStyle name="Normal 16 3 4 2 2 2" xfId="20993"/>
    <cellStyle name="Normal 16 3 4 2 2 2 2" xfId="35018"/>
    <cellStyle name="Normal 16 3 4 2 2 3" xfId="27007"/>
    <cellStyle name="Normal 16 3 4 2 3" xfId="14983"/>
    <cellStyle name="Normal 16 3 4 2 3 2" xfId="22998"/>
    <cellStyle name="Normal 16 3 4 2 3 2 2" xfId="37023"/>
    <cellStyle name="Normal 16 3 4 2 3 3" xfId="29012"/>
    <cellStyle name="Normal 16 3 4 2 4" xfId="16989"/>
    <cellStyle name="Normal 16 3 4 2 4 2" xfId="31014"/>
    <cellStyle name="Normal 16 3 4 2 5" xfId="18991"/>
    <cellStyle name="Normal 16 3 4 2 5 2" xfId="33016"/>
    <cellStyle name="Normal 16 3 4 2 6" xfId="25005"/>
    <cellStyle name="Normal 16 3 4 3" xfId="12967"/>
    <cellStyle name="Normal 16 3 4 3 2" xfId="20992"/>
    <cellStyle name="Normal 16 3 4 3 2 2" xfId="35017"/>
    <cellStyle name="Normal 16 3 4 3 3" xfId="27006"/>
    <cellStyle name="Normal 16 3 4 4" xfId="14982"/>
    <cellStyle name="Normal 16 3 4 4 2" xfId="22997"/>
    <cellStyle name="Normal 16 3 4 4 2 2" xfId="37022"/>
    <cellStyle name="Normal 16 3 4 4 3" xfId="29011"/>
    <cellStyle name="Normal 16 3 4 5" xfId="16988"/>
    <cellStyle name="Normal 16 3 4 5 2" xfId="31013"/>
    <cellStyle name="Normal 16 3 4 6" xfId="18990"/>
    <cellStyle name="Normal 16 3 4 6 2" xfId="33015"/>
    <cellStyle name="Normal 16 3 4 7" xfId="25004"/>
    <cellStyle name="Normal 16 3 5" xfId="2368"/>
    <cellStyle name="Normal 16 3 5 2" xfId="12969"/>
    <cellStyle name="Normal 16 3 5 2 2" xfId="20994"/>
    <cellStyle name="Normal 16 3 5 2 2 2" xfId="35019"/>
    <cellStyle name="Normal 16 3 5 2 3" xfId="27008"/>
    <cellStyle name="Normal 16 3 5 3" xfId="14984"/>
    <cellStyle name="Normal 16 3 5 3 2" xfId="22999"/>
    <cellStyle name="Normal 16 3 5 3 2 2" xfId="37024"/>
    <cellStyle name="Normal 16 3 5 3 3" xfId="29013"/>
    <cellStyle name="Normal 16 3 5 4" xfId="16990"/>
    <cellStyle name="Normal 16 3 5 4 2" xfId="31015"/>
    <cellStyle name="Normal 16 3 5 5" xfId="18992"/>
    <cellStyle name="Normal 16 3 5 5 2" xfId="33017"/>
    <cellStyle name="Normal 16 3 5 6" xfId="25006"/>
    <cellStyle name="Normal 16 3 6" xfId="12960"/>
    <cellStyle name="Normal 16 3 6 2" xfId="20985"/>
    <cellStyle name="Normal 16 3 6 2 2" xfId="35010"/>
    <cellStyle name="Normal 16 3 6 3" xfId="26999"/>
    <cellStyle name="Normal 16 3 7" xfId="14975"/>
    <cellStyle name="Normal 16 3 7 2" xfId="22990"/>
    <cellStyle name="Normal 16 3 7 2 2" xfId="37015"/>
    <cellStyle name="Normal 16 3 7 3" xfId="29004"/>
    <cellStyle name="Normal 16 3 8" xfId="16981"/>
    <cellStyle name="Normal 16 3 8 2" xfId="31006"/>
    <cellStyle name="Normal 16 3 9" xfId="18983"/>
    <cellStyle name="Normal 16 3 9 2" xfId="33008"/>
    <cellStyle name="Normal 16 4" xfId="2369"/>
    <cellStyle name="Normal 16 4 10" xfId="25007"/>
    <cellStyle name="Normal 16 4 2" xfId="2370"/>
    <cellStyle name="Normal 16 4 2 2" xfId="2371"/>
    <cellStyle name="Normal 16 4 2 2 2" xfId="2372"/>
    <cellStyle name="Normal 16 4 2 2 2 2" xfId="12973"/>
    <cellStyle name="Normal 16 4 2 2 2 2 2" xfId="20998"/>
    <cellStyle name="Normal 16 4 2 2 2 2 2 2" xfId="35023"/>
    <cellStyle name="Normal 16 4 2 2 2 2 3" xfId="27012"/>
    <cellStyle name="Normal 16 4 2 2 2 3" xfId="14988"/>
    <cellStyle name="Normal 16 4 2 2 2 3 2" xfId="23003"/>
    <cellStyle name="Normal 16 4 2 2 2 3 2 2" xfId="37028"/>
    <cellStyle name="Normal 16 4 2 2 2 3 3" xfId="29017"/>
    <cellStyle name="Normal 16 4 2 2 2 4" xfId="16994"/>
    <cellStyle name="Normal 16 4 2 2 2 4 2" xfId="31019"/>
    <cellStyle name="Normal 16 4 2 2 2 5" xfId="18996"/>
    <cellStyle name="Normal 16 4 2 2 2 5 2" xfId="33021"/>
    <cellStyle name="Normal 16 4 2 2 2 6" xfId="25010"/>
    <cellStyle name="Normal 16 4 2 2 3" xfId="12972"/>
    <cellStyle name="Normal 16 4 2 2 3 2" xfId="20997"/>
    <cellStyle name="Normal 16 4 2 2 3 2 2" xfId="35022"/>
    <cellStyle name="Normal 16 4 2 2 3 3" xfId="27011"/>
    <cellStyle name="Normal 16 4 2 2 4" xfId="14987"/>
    <cellStyle name="Normal 16 4 2 2 4 2" xfId="23002"/>
    <cellStyle name="Normal 16 4 2 2 4 2 2" xfId="37027"/>
    <cellStyle name="Normal 16 4 2 2 4 3" xfId="29016"/>
    <cellStyle name="Normal 16 4 2 2 5" xfId="16993"/>
    <cellStyle name="Normal 16 4 2 2 5 2" xfId="31018"/>
    <cellStyle name="Normal 16 4 2 2 6" xfId="18995"/>
    <cellStyle name="Normal 16 4 2 2 6 2" xfId="33020"/>
    <cellStyle name="Normal 16 4 2 2 7" xfId="25009"/>
    <cellStyle name="Normal 16 4 2 3" xfId="2373"/>
    <cellStyle name="Normal 16 4 2 3 2" xfId="12974"/>
    <cellStyle name="Normal 16 4 2 3 2 2" xfId="20999"/>
    <cellStyle name="Normal 16 4 2 3 2 2 2" xfId="35024"/>
    <cellStyle name="Normal 16 4 2 3 2 3" xfId="27013"/>
    <cellStyle name="Normal 16 4 2 3 3" xfId="14989"/>
    <cellStyle name="Normal 16 4 2 3 3 2" xfId="23004"/>
    <cellStyle name="Normal 16 4 2 3 3 2 2" xfId="37029"/>
    <cellStyle name="Normal 16 4 2 3 3 3" xfId="29018"/>
    <cellStyle name="Normal 16 4 2 3 4" xfId="16995"/>
    <cellStyle name="Normal 16 4 2 3 4 2" xfId="31020"/>
    <cellStyle name="Normal 16 4 2 3 5" xfId="18997"/>
    <cellStyle name="Normal 16 4 2 3 5 2" xfId="33022"/>
    <cellStyle name="Normal 16 4 2 3 6" xfId="25011"/>
    <cellStyle name="Normal 16 4 2 4" xfId="12971"/>
    <cellStyle name="Normal 16 4 2 4 2" xfId="20996"/>
    <cellStyle name="Normal 16 4 2 4 2 2" xfId="35021"/>
    <cellStyle name="Normal 16 4 2 4 3" xfId="27010"/>
    <cellStyle name="Normal 16 4 2 5" xfId="14986"/>
    <cellStyle name="Normal 16 4 2 5 2" xfId="23001"/>
    <cellStyle name="Normal 16 4 2 5 2 2" xfId="37026"/>
    <cellStyle name="Normal 16 4 2 5 3" xfId="29015"/>
    <cellStyle name="Normal 16 4 2 6" xfId="16992"/>
    <cellStyle name="Normal 16 4 2 6 2" xfId="31017"/>
    <cellStyle name="Normal 16 4 2 7" xfId="18994"/>
    <cellStyle name="Normal 16 4 2 7 2" xfId="33019"/>
    <cellStyle name="Normal 16 4 2 8" xfId="25008"/>
    <cellStyle name="Normal 16 4 3" xfId="2374"/>
    <cellStyle name="Normal 16 4 3 2" xfId="2375"/>
    <cellStyle name="Normal 16 4 3 2 2" xfId="12976"/>
    <cellStyle name="Normal 16 4 3 2 2 2" xfId="21001"/>
    <cellStyle name="Normal 16 4 3 2 2 2 2" xfId="35026"/>
    <cellStyle name="Normal 16 4 3 2 2 3" xfId="27015"/>
    <cellStyle name="Normal 16 4 3 2 3" xfId="14991"/>
    <cellStyle name="Normal 16 4 3 2 3 2" xfId="23006"/>
    <cellStyle name="Normal 16 4 3 2 3 2 2" xfId="37031"/>
    <cellStyle name="Normal 16 4 3 2 3 3" xfId="29020"/>
    <cellStyle name="Normal 16 4 3 2 4" xfId="16997"/>
    <cellStyle name="Normal 16 4 3 2 4 2" xfId="31022"/>
    <cellStyle name="Normal 16 4 3 2 5" xfId="18999"/>
    <cellStyle name="Normal 16 4 3 2 5 2" xfId="33024"/>
    <cellStyle name="Normal 16 4 3 2 6" xfId="25013"/>
    <cellStyle name="Normal 16 4 3 3" xfId="12975"/>
    <cellStyle name="Normal 16 4 3 3 2" xfId="21000"/>
    <cellStyle name="Normal 16 4 3 3 2 2" xfId="35025"/>
    <cellStyle name="Normal 16 4 3 3 3" xfId="27014"/>
    <cellStyle name="Normal 16 4 3 4" xfId="14990"/>
    <cellStyle name="Normal 16 4 3 4 2" xfId="23005"/>
    <cellStyle name="Normal 16 4 3 4 2 2" xfId="37030"/>
    <cellStyle name="Normal 16 4 3 4 3" xfId="29019"/>
    <cellStyle name="Normal 16 4 3 5" xfId="16996"/>
    <cellStyle name="Normal 16 4 3 5 2" xfId="31021"/>
    <cellStyle name="Normal 16 4 3 6" xfId="18998"/>
    <cellStyle name="Normal 16 4 3 6 2" xfId="33023"/>
    <cellStyle name="Normal 16 4 3 7" xfId="25012"/>
    <cellStyle name="Normal 16 4 4" xfId="2376"/>
    <cellStyle name="Normal 16 4 4 2" xfId="2377"/>
    <cellStyle name="Normal 16 4 4 2 2" xfId="12978"/>
    <cellStyle name="Normal 16 4 4 2 2 2" xfId="21003"/>
    <cellStyle name="Normal 16 4 4 2 2 2 2" xfId="35028"/>
    <cellStyle name="Normal 16 4 4 2 2 3" xfId="27017"/>
    <cellStyle name="Normal 16 4 4 2 3" xfId="14993"/>
    <cellStyle name="Normal 16 4 4 2 3 2" xfId="23008"/>
    <cellStyle name="Normal 16 4 4 2 3 2 2" xfId="37033"/>
    <cellStyle name="Normal 16 4 4 2 3 3" xfId="29022"/>
    <cellStyle name="Normal 16 4 4 2 4" xfId="16999"/>
    <cellStyle name="Normal 16 4 4 2 4 2" xfId="31024"/>
    <cellStyle name="Normal 16 4 4 2 5" xfId="19001"/>
    <cellStyle name="Normal 16 4 4 2 5 2" xfId="33026"/>
    <cellStyle name="Normal 16 4 4 2 6" xfId="25015"/>
    <cellStyle name="Normal 16 4 4 3" xfId="12977"/>
    <cellStyle name="Normal 16 4 4 3 2" xfId="21002"/>
    <cellStyle name="Normal 16 4 4 3 2 2" xfId="35027"/>
    <cellStyle name="Normal 16 4 4 3 3" xfId="27016"/>
    <cellStyle name="Normal 16 4 4 4" xfId="14992"/>
    <cellStyle name="Normal 16 4 4 4 2" xfId="23007"/>
    <cellStyle name="Normal 16 4 4 4 2 2" xfId="37032"/>
    <cellStyle name="Normal 16 4 4 4 3" xfId="29021"/>
    <cellStyle name="Normal 16 4 4 5" xfId="16998"/>
    <cellStyle name="Normal 16 4 4 5 2" xfId="31023"/>
    <cellStyle name="Normal 16 4 4 6" xfId="19000"/>
    <cellStyle name="Normal 16 4 4 6 2" xfId="33025"/>
    <cellStyle name="Normal 16 4 4 7" xfId="25014"/>
    <cellStyle name="Normal 16 4 5" xfId="2378"/>
    <cellStyle name="Normal 16 4 5 2" xfId="12979"/>
    <cellStyle name="Normal 16 4 5 2 2" xfId="21004"/>
    <cellStyle name="Normal 16 4 5 2 2 2" xfId="35029"/>
    <cellStyle name="Normal 16 4 5 2 3" xfId="27018"/>
    <cellStyle name="Normal 16 4 5 3" xfId="14994"/>
    <cellStyle name="Normal 16 4 5 3 2" xfId="23009"/>
    <cellStyle name="Normal 16 4 5 3 2 2" xfId="37034"/>
    <cellStyle name="Normal 16 4 5 3 3" xfId="29023"/>
    <cellStyle name="Normal 16 4 5 4" xfId="17000"/>
    <cellStyle name="Normal 16 4 5 4 2" xfId="31025"/>
    <cellStyle name="Normal 16 4 5 5" xfId="19002"/>
    <cellStyle name="Normal 16 4 5 5 2" xfId="33027"/>
    <cellStyle name="Normal 16 4 5 6" xfId="25016"/>
    <cellStyle name="Normal 16 4 6" xfId="12970"/>
    <cellStyle name="Normal 16 4 6 2" xfId="20995"/>
    <cellStyle name="Normal 16 4 6 2 2" xfId="35020"/>
    <cellStyle name="Normal 16 4 6 3" xfId="27009"/>
    <cellStyle name="Normal 16 4 7" xfId="14985"/>
    <cellStyle name="Normal 16 4 7 2" xfId="23000"/>
    <cellStyle name="Normal 16 4 7 2 2" xfId="37025"/>
    <cellStyle name="Normal 16 4 7 3" xfId="29014"/>
    <cellStyle name="Normal 16 4 8" xfId="16991"/>
    <cellStyle name="Normal 16 4 8 2" xfId="31016"/>
    <cellStyle name="Normal 16 4 9" xfId="18993"/>
    <cellStyle name="Normal 16 4 9 2" xfId="33018"/>
    <cellStyle name="Normal 16 5" xfId="2379"/>
    <cellStyle name="Normal 16 5 2" xfId="2380"/>
    <cellStyle name="Normal 16 5 2 2" xfId="2381"/>
    <cellStyle name="Normal 16 5 2 2 2" xfId="12982"/>
    <cellStyle name="Normal 16 5 2 2 2 2" xfId="21007"/>
    <cellStyle name="Normal 16 5 2 2 2 2 2" xfId="35032"/>
    <cellStyle name="Normal 16 5 2 2 2 3" xfId="27021"/>
    <cellStyle name="Normal 16 5 2 2 3" xfId="14997"/>
    <cellStyle name="Normal 16 5 2 2 3 2" xfId="23012"/>
    <cellStyle name="Normal 16 5 2 2 3 2 2" xfId="37037"/>
    <cellStyle name="Normal 16 5 2 2 3 3" xfId="29026"/>
    <cellStyle name="Normal 16 5 2 2 4" xfId="17003"/>
    <cellStyle name="Normal 16 5 2 2 4 2" xfId="31028"/>
    <cellStyle name="Normal 16 5 2 2 5" xfId="19005"/>
    <cellStyle name="Normal 16 5 2 2 5 2" xfId="33030"/>
    <cellStyle name="Normal 16 5 2 2 6" xfId="25019"/>
    <cellStyle name="Normal 16 5 2 3" xfId="12981"/>
    <cellStyle name="Normal 16 5 2 3 2" xfId="21006"/>
    <cellStyle name="Normal 16 5 2 3 2 2" xfId="35031"/>
    <cellStyle name="Normal 16 5 2 3 3" xfId="27020"/>
    <cellStyle name="Normal 16 5 2 4" xfId="14996"/>
    <cellStyle name="Normal 16 5 2 4 2" xfId="23011"/>
    <cellStyle name="Normal 16 5 2 4 2 2" xfId="37036"/>
    <cellStyle name="Normal 16 5 2 4 3" xfId="29025"/>
    <cellStyle name="Normal 16 5 2 5" xfId="17002"/>
    <cellStyle name="Normal 16 5 2 5 2" xfId="31027"/>
    <cellStyle name="Normal 16 5 2 6" xfId="19004"/>
    <cellStyle name="Normal 16 5 2 6 2" xfId="33029"/>
    <cellStyle name="Normal 16 5 2 7" xfId="25018"/>
    <cellStyle name="Normal 16 5 3" xfId="2382"/>
    <cellStyle name="Normal 16 5 3 2" xfId="12983"/>
    <cellStyle name="Normal 16 5 3 2 2" xfId="21008"/>
    <cellStyle name="Normal 16 5 3 2 2 2" xfId="35033"/>
    <cellStyle name="Normal 16 5 3 2 3" xfId="27022"/>
    <cellStyle name="Normal 16 5 3 3" xfId="14998"/>
    <cellStyle name="Normal 16 5 3 3 2" xfId="23013"/>
    <cellStyle name="Normal 16 5 3 3 2 2" xfId="37038"/>
    <cellStyle name="Normal 16 5 3 3 3" xfId="29027"/>
    <cellStyle name="Normal 16 5 3 4" xfId="17004"/>
    <cellStyle name="Normal 16 5 3 4 2" xfId="31029"/>
    <cellStyle name="Normal 16 5 3 5" xfId="19006"/>
    <cellStyle name="Normal 16 5 3 5 2" xfId="33031"/>
    <cellStyle name="Normal 16 5 3 6" xfId="25020"/>
    <cellStyle name="Normal 16 5 4" xfId="12980"/>
    <cellStyle name="Normal 16 5 4 2" xfId="21005"/>
    <cellStyle name="Normal 16 5 4 2 2" xfId="35030"/>
    <cellStyle name="Normal 16 5 4 3" xfId="27019"/>
    <cellStyle name="Normal 16 5 5" xfId="14995"/>
    <cellStyle name="Normal 16 5 5 2" xfId="23010"/>
    <cellStyle name="Normal 16 5 5 2 2" xfId="37035"/>
    <cellStyle name="Normal 16 5 5 3" xfId="29024"/>
    <cellStyle name="Normal 16 5 6" xfId="17001"/>
    <cellStyle name="Normal 16 5 6 2" xfId="31026"/>
    <cellStyle name="Normal 16 5 7" xfId="19003"/>
    <cellStyle name="Normal 16 5 7 2" xfId="33028"/>
    <cellStyle name="Normal 16 5 8" xfId="25017"/>
    <cellStyle name="Normal 16 6" xfId="2383"/>
    <cellStyle name="Normal 16 6 2" xfId="2384"/>
    <cellStyle name="Normal 16 6 2 2" xfId="12985"/>
    <cellStyle name="Normal 16 6 2 2 2" xfId="21010"/>
    <cellStyle name="Normal 16 6 2 2 2 2" xfId="35035"/>
    <cellStyle name="Normal 16 6 2 2 3" xfId="27024"/>
    <cellStyle name="Normal 16 6 2 3" xfId="15000"/>
    <cellStyle name="Normal 16 6 2 3 2" xfId="23015"/>
    <cellStyle name="Normal 16 6 2 3 2 2" xfId="37040"/>
    <cellStyle name="Normal 16 6 2 3 3" xfId="29029"/>
    <cellStyle name="Normal 16 6 2 4" xfId="17006"/>
    <cellStyle name="Normal 16 6 2 4 2" xfId="31031"/>
    <cellStyle name="Normal 16 6 2 5" xfId="19008"/>
    <cellStyle name="Normal 16 6 2 5 2" xfId="33033"/>
    <cellStyle name="Normal 16 6 2 6" xfId="25022"/>
    <cellStyle name="Normal 16 6 3" xfId="12984"/>
    <cellStyle name="Normal 16 6 3 2" xfId="21009"/>
    <cellStyle name="Normal 16 6 3 2 2" xfId="35034"/>
    <cellStyle name="Normal 16 6 3 3" xfId="27023"/>
    <cellStyle name="Normal 16 6 4" xfId="14999"/>
    <cellStyle name="Normal 16 6 4 2" xfId="23014"/>
    <cellStyle name="Normal 16 6 4 2 2" xfId="37039"/>
    <cellStyle name="Normal 16 6 4 3" xfId="29028"/>
    <cellStyle name="Normal 16 6 5" xfId="17005"/>
    <cellStyle name="Normal 16 6 5 2" xfId="31030"/>
    <cellStyle name="Normal 16 6 6" xfId="19007"/>
    <cellStyle name="Normal 16 6 6 2" xfId="33032"/>
    <cellStyle name="Normal 16 6 7" xfId="25021"/>
    <cellStyle name="Normal 16 7" xfId="2385"/>
    <cellStyle name="Normal 16 7 2" xfId="2386"/>
    <cellStyle name="Normal 16 7 2 2" xfId="12987"/>
    <cellStyle name="Normal 16 7 2 2 2" xfId="21012"/>
    <cellStyle name="Normal 16 7 2 2 2 2" xfId="35037"/>
    <cellStyle name="Normal 16 7 2 2 3" xfId="27026"/>
    <cellStyle name="Normal 16 7 2 3" xfId="15002"/>
    <cellStyle name="Normal 16 7 2 3 2" xfId="23017"/>
    <cellStyle name="Normal 16 7 2 3 2 2" xfId="37042"/>
    <cellStyle name="Normal 16 7 2 3 3" xfId="29031"/>
    <cellStyle name="Normal 16 7 2 4" xfId="17008"/>
    <cellStyle name="Normal 16 7 2 4 2" xfId="31033"/>
    <cellStyle name="Normal 16 7 2 5" xfId="19010"/>
    <cellStyle name="Normal 16 7 2 5 2" xfId="33035"/>
    <cellStyle name="Normal 16 7 2 6" xfId="25024"/>
    <cellStyle name="Normal 16 7 3" xfId="12986"/>
    <cellStyle name="Normal 16 7 3 2" xfId="21011"/>
    <cellStyle name="Normal 16 7 3 2 2" xfId="35036"/>
    <cellStyle name="Normal 16 7 3 3" xfId="27025"/>
    <cellStyle name="Normal 16 7 4" xfId="15001"/>
    <cellStyle name="Normal 16 7 4 2" xfId="23016"/>
    <cellStyle name="Normal 16 7 4 2 2" xfId="37041"/>
    <cellStyle name="Normal 16 7 4 3" xfId="29030"/>
    <cellStyle name="Normal 16 7 5" xfId="17007"/>
    <cellStyle name="Normal 16 7 5 2" xfId="31032"/>
    <cellStyle name="Normal 16 7 6" xfId="19009"/>
    <cellStyle name="Normal 16 7 6 2" xfId="33034"/>
    <cellStyle name="Normal 16 7 7" xfId="25023"/>
    <cellStyle name="Normal 16 8" xfId="2387"/>
    <cellStyle name="Normal 16 8 2" xfId="12988"/>
    <cellStyle name="Normal 16 8 2 2" xfId="21013"/>
    <cellStyle name="Normal 16 8 2 2 2" xfId="35038"/>
    <cellStyle name="Normal 16 8 2 3" xfId="27027"/>
    <cellStyle name="Normal 16 8 3" xfId="15003"/>
    <cellStyle name="Normal 16 8 3 2" xfId="23018"/>
    <cellStyle name="Normal 16 8 3 2 2" xfId="37043"/>
    <cellStyle name="Normal 16 8 3 3" xfId="29032"/>
    <cellStyle name="Normal 16 8 4" xfId="17009"/>
    <cellStyle name="Normal 16 8 4 2" xfId="31034"/>
    <cellStyle name="Normal 16 8 5" xfId="19011"/>
    <cellStyle name="Normal 16 8 5 2" xfId="33036"/>
    <cellStyle name="Normal 16 8 6" xfId="25025"/>
    <cellStyle name="Normal 16 9" xfId="11274"/>
    <cellStyle name="Normal 16 9 2" xfId="13639"/>
    <cellStyle name="Normal 16 9 2 2" xfId="21661"/>
    <cellStyle name="Normal 16 9 2 2 2" xfId="35686"/>
    <cellStyle name="Normal 16 9 2 3" xfId="27675"/>
    <cellStyle name="Normal 16 9 3" xfId="15649"/>
    <cellStyle name="Normal 16 9 3 2" xfId="23664"/>
    <cellStyle name="Normal 16 9 3 2 2" xfId="37689"/>
    <cellStyle name="Normal 16 9 3 3" xfId="29678"/>
    <cellStyle name="Normal 16 9 4" xfId="17655"/>
    <cellStyle name="Normal 16 9 4 2" xfId="31680"/>
    <cellStyle name="Normal 16 9 5" xfId="19657"/>
    <cellStyle name="Normal 16 9 5 2" xfId="33682"/>
    <cellStyle name="Normal 16 9 6" xfId="25671"/>
    <cellStyle name="Normal 17" xfId="497"/>
    <cellStyle name="Normal 17 10" xfId="15659"/>
    <cellStyle name="Normal 17 10 2" xfId="29684"/>
    <cellStyle name="Normal 17 11" xfId="17661"/>
    <cellStyle name="Normal 17 11 2" xfId="31686"/>
    <cellStyle name="Normal 17 12" xfId="23675"/>
    <cellStyle name="Normal 17 2" xfId="498"/>
    <cellStyle name="Normal 17 2 2" xfId="2388"/>
    <cellStyle name="Normal 17 2 2 10" xfId="25026"/>
    <cellStyle name="Normal 17 2 2 2" xfId="2389"/>
    <cellStyle name="Normal 17 2 2 2 2" xfId="2390"/>
    <cellStyle name="Normal 17 2 2 2 2 2" xfId="2391"/>
    <cellStyle name="Normal 17 2 2 2 2 2 2" xfId="12992"/>
    <cellStyle name="Normal 17 2 2 2 2 2 2 2" xfId="21017"/>
    <cellStyle name="Normal 17 2 2 2 2 2 2 2 2" xfId="35042"/>
    <cellStyle name="Normal 17 2 2 2 2 2 2 3" xfId="27031"/>
    <cellStyle name="Normal 17 2 2 2 2 2 3" xfId="15007"/>
    <cellStyle name="Normal 17 2 2 2 2 2 3 2" xfId="23022"/>
    <cellStyle name="Normal 17 2 2 2 2 2 3 2 2" xfId="37047"/>
    <cellStyle name="Normal 17 2 2 2 2 2 3 3" xfId="29036"/>
    <cellStyle name="Normal 17 2 2 2 2 2 4" xfId="17013"/>
    <cellStyle name="Normal 17 2 2 2 2 2 4 2" xfId="31038"/>
    <cellStyle name="Normal 17 2 2 2 2 2 5" xfId="19015"/>
    <cellStyle name="Normal 17 2 2 2 2 2 5 2" xfId="33040"/>
    <cellStyle name="Normal 17 2 2 2 2 2 6" xfId="25029"/>
    <cellStyle name="Normal 17 2 2 2 2 3" xfId="12991"/>
    <cellStyle name="Normal 17 2 2 2 2 3 2" xfId="21016"/>
    <cellStyle name="Normal 17 2 2 2 2 3 2 2" xfId="35041"/>
    <cellStyle name="Normal 17 2 2 2 2 3 3" xfId="27030"/>
    <cellStyle name="Normal 17 2 2 2 2 4" xfId="15006"/>
    <cellStyle name="Normal 17 2 2 2 2 4 2" xfId="23021"/>
    <cellStyle name="Normal 17 2 2 2 2 4 2 2" xfId="37046"/>
    <cellStyle name="Normal 17 2 2 2 2 4 3" xfId="29035"/>
    <cellStyle name="Normal 17 2 2 2 2 5" xfId="17012"/>
    <cellStyle name="Normal 17 2 2 2 2 5 2" xfId="31037"/>
    <cellStyle name="Normal 17 2 2 2 2 6" xfId="19014"/>
    <cellStyle name="Normal 17 2 2 2 2 6 2" xfId="33039"/>
    <cellStyle name="Normal 17 2 2 2 2 7" xfId="25028"/>
    <cellStyle name="Normal 17 2 2 2 3" xfId="2392"/>
    <cellStyle name="Normal 17 2 2 2 3 2" xfId="12993"/>
    <cellStyle name="Normal 17 2 2 2 3 2 2" xfId="21018"/>
    <cellStyle name="Normal 17 2 2 2 3 2 2 2" xfId="35043"/>
    <cellStyle name="Normal 17 2 2 2 3 2 3" xfId="27032"/>
    <cellStyle name="Normal 17 2 2 2 3 3" xfId="15008"/>
    <cellStyle name="Normal 17 2 2 2 3 3 2" xfId="23023"/>
    <cellStyle name="Normal 17 2 2 2 3 3 2 2" xfId="37048"/>
    <cellStyle name="Normal 17 2 2 2 3 3 3" xfId="29037"/>
    <cellStyle name="Normal 17 2 2 2 3 4" xfId="17014"/>
    <cellStyle name="Normal 17 2 2 2 3 4 2" xfId="31039"/>
    <cellStyle name="Normal 17 2 2 2 3 5" xfId="19016"/>
    <cellStyle name="Normal 17 2 2 2 3 5 2" xfId="33041"/>
    <cellStyle name="Normal 17 2 2 2 3 6" xfId="25030"/>
    <cellStyle name="Normal 17 2 2 2 4" xfId="12990"/>
    <cellStyle name="Normal 17 2 2 2 4 2" xfId="21015"/>
    <cellStyle name="Normal 17 2 2 2 4 2 2" xfId="35040"/>
    <cellStyle name="Normal 17 2 2 2 4 3" xfId="27029"/>
    <cellStyle name="Normal 17 2 2 2 5" xfId="15005"/>
    <cellStyle name="Normal 17 2 2 2 5 2" xfId="23020"/>
    <cellStyle name="Normal 17 2 2 2 5 2 2" xfId="37045"/>
    <cellStyle name="Normal 17 2 2 2 5 3" xfId="29034"/>
    <cellStyle name="Normal 17 2 2 2 6" xfId="17011"/>
    <cellStyle name="Normal 17 2 2 2 6 2" xfId="31036"/>
    <cellStyle name="Normal 17 2 2 2 7" xfId="19013"/>
    <cellStyle name="Normal 17 2 2 2 7 2" xfId="33038"/>
    <cellStyle name="Normal 17 2 2 2 8" xfId="25027"/>
    <cellStyle name="Normal 17 2 2 3" xfId="2393"/>
    <cellStyle name="Normal 17 2 2 3 2" xfId="2394"/>
    <cellStyle name="Normal 17 2 2 3 2 2" xfId="12995"/>
    <cellStyle name="Normal 17 2 2 3 2 2 2" xfId="21020"/>
    <cellStyle name="Normal 17 2 2 3 2 2 2 2" xfId="35045"/>
    <cellStyle name="Normal 17 2 2 3 2 2 3" xfId="27034"/>
    <cellStyle name="Normal 17 2 2 3 2 3" xfId="15010"/>
    <cellStyle name="Normal 17 2 2 3 2 3 2" xfId="23025"/>
    <cellStyle name="Normal 17 2 2 3 2 3 2 2" xfId="37050"/>
    <cellStyle name="Normal 17 2 2 3 2 3 3" xfId="29039"/>
    <cellStyle name="Normal 17 2 2 3 2 4" xfId="17016"/>
    <cellStyle name="Normal 17 2 2 3 2 4 2" xfId="31041"/>
    <cellStyle name="Normal 17 2 2 3 2 5" xfId="19018"/>
    <cellStyle name="Normal 17 2 2 3 2 5 2" xfId="33043"/>
    <cellStyle name="Normal 17 2 2 3 2 6" xfId="25032"/>
    <cellStyle name="Normal 17 2 2 3 3" xfId="12994"/>
    <cellStyle name="Normal 17 2 2 3 3 2" xfId="21019"/>
    <cellStyle name="Normal 17 2 2 3 3 2 2" xfId="35044"/>
    <cellStyle name="Normal 17 2 2 3 3 3" xfId="27033"/>
    <cellStyle name="Normal 17 2 2 3 4" xfId="15009"/>
    <cellStyle name="Normal 17 2 2 3 4 2" xfId="23024"/>
    <cellStyle name="Normal 17 2 2 3 4 2 2" xfId="37049"/>
    <cellStyle name="Normal 17 2 2 3 4 3" xfId="29038"/>
    <cellStyle name="Normal 17 2 2 3 5" xfId="17015"/>
    <cellStyle name="Normal 17 2 2 3 5 2" xfId="31040"/>
    <cellStyle name="Normal 17 2 2 3 6" xfId="19017"/>
    <cellStyle name="Normal 17 2 2 3 6 2" xfId="33042"/>
    <cellStyle name="Normal 17 2 2 3 7" xfId="25031"/>
    <cellStyle name="Normal 17 2 2 4" xfId="2395"/>
    <cellStyle name="Normal 17 2 2 4 2" xfId="2396"/>
    <cellStyle name="Normal 17 2 2 4 2 2" xfId="12997"/>
    <cellStyle name="Normal 17 2 2 4 2 2 2" xfId="21022"/>
    <cellStyle name="Normal 17 2 2 4 2 2 2 2" xfId="35047"/>
    <cellStyle name="Normal 17 2 2 4 2 2 3" xfId="27036"/>
    <cellStyle name="Normal 17 2 2 4 2 3" xfId="15012"/>
    <cellStyle name="Normal 17 2 2 4 2 3 2" xfId="23027"/>
    <cellStyle name="Normal 17 2 2 4 2 3 2 2" xfId="37052"/>
    <cellStyle name="Normal 17 2 2 4 2 3 3" xfId="29041"/>
    <cellStyle name="Normal 17 2 2 4 2 4" xfId="17018"/>
    <cellStyle name="Normal 17 2 2 4 2 4 2" xfId="31043"/>
    <cellStyle name="Normal 17 2 2 4 2 5" xfId="19020"/>
    <cellStyle name="Normal 17 2 2 4 2 5 2" xfId="33045"/>
    <cellStyle name="Normal 17 2 2 4 2 6" xfId="25034"/>
    <cellStyle name="Normal 17 2 2 4 3" xfId="12996"/>
    <cellStyle name="Normal 17 2 2 4 3 2" xfId="21021"/>
    <cellStyle name="Normal 17 2 2 4 3 2 2" xfId="35046"/>
    <cellStyle name="Normal 17 2 2 4 3 3" xfId="27035"/>
    <cellStyle name="Normal 17 2 2 4 4" xfId="15011"/>
    <cellStyle name="Normal 17 2 2 4 4 2" xfId="23026"/>
    <cellStyle name="Normal 17 2 2 4 4 2 2" xfId="37051"/>
    <cellStyle name="Normal 17 2 2 4 4 3" xfId="29040"/>
    <cellStyle name="Normal 17 2 2 4 5" xfId="17017"/>
    <cellStyle name="Normal 17 2 2 4 5 2" xfId="31042"/>
    <cellStyle name="Normal 17 2 2 4 6" xfId="19019"/>
    <cellStyle name="Normal 17 2 2 4 6 2" xfId="33044"/>
    <cellStyle name="Normal 17 2 2 4 7" xfId="25033"/>
    <cellStyle name="Normal 17 2 2 5" xfId="2397"/>
    <cellStyle name="Normal 17 2 2 5 2" xfId="12998"/>
    <cellStyle name="Normal 17 2 2 5 2 2" xfId="21023"/>
    <cellStyle name="Normal 17 2 2 5 2 2 2" xfId="35048"/>
    <cellStyle name="Normal 17 2 2 5 2 3" xfId="27037"/>
    <cellStyle name="Normal 17 2 2 5 3" xfId="15013"/>
    <cellStyle name="Normal 17 2 2 5 3 2" xfId="23028"/>
    <cellStyle name="Normal 17 2 2 5 3 2 2" xfId="37053"/>
    <cellStyle name="Normal 17 2 2 5 3 3" xfId="29042"/>
    <cellStyle name="Normal 17 2 2 5 4" xfId="17019"/>
    <cellStyle name="Normal 17 2 2 5 4 2" xfId="31044"/>
    <cellStyle name="Normal 17 2 2 5 5" xfId="19021"/>
    <cellStyle name="Normal 17 2 2 5 5 2" xfId="33046"/>
    <cellStyle name="Normal 17 2 2 5 6" xfId="25035"/>
    <cellStyle name="Normal 17 2 2 6" xfId="12989"/>
    <cellStyle name="Normal 17 2 2 6 2" xfId="21014"/>
    <cellStyle name="Normal 17 2 2 6 2 2" xfId="35039"/>
    <cellStyle name="Normal 17 2 2 6 3" xfId="27028"/>
    <cellStyle name="Normal 17 2 2 7" xfId="15004"/>
    <cellStyle name="Normal 17 2 2 7 2" xfId="23019"/>
    <cellStyle name="Normal 17 2 2 7 2 2" xfId="37044"/>
    <cellStyle name="Normal 17 2 2 7 3" xfId="29033"/>
    <cellStyle name="Normal 17 2 2 8" xfId="17010"/>
    <cellStyle name="Normal 17 2 2 8 2" xfId="31035"/>
    <cellStyle name="Normal 17 2 2 9" xfId="19012"/>
    <cellStyle name="Normal 17 2 2 9 2" xfId="33037"/>
    <cellStyle name="Normal 17 2 3" xfId="2398"/>
    <cellStyle name="Normal 17 2 3 2" xfId="2399"/>
    <cellStyle name="Normal 17 2 3 2 2" xfId="2400"/>
    <cellStyle name="Normal 17 2 3 2 2 2" xfId="13001"/>
    <cellStyle name="Normal 17 2 3 2 2 2 2" xfId="21026"/>
    <cellStyle name="Normal 17 2 3 2 2 2 2 2" xfId="35051"/>
    <cellStyle name="Normal 17 2 3 2 2 2 3" xfId="27040"/>
    <cellStyle name="Normal 17 2 3 2 2 3" xfId="15016"/>
    <cellStyle name="Normal 17 2 3 2 2 3 2" xfId="23031"/>
    <cellStyle name="Normal 17 2 3 2 2 3 2 2" xfId="37056"/>
    <cellStyle name="Normal 17 2 3 2 2 3 3" xfId="29045"/>
    <cellStyle name="Normal 17 2 3 2 2 4" xfId="17022"/>
    <cellStyle name="Normal 17 2 3 2 2 4 2" xfId="31047"/>
    <cellStyle name="Normal 17 2 3 2 2 5" xfId="19024"/>
    <cellStyle name="Normal 17 2 3 2 2 5 2" xfId="33049"/>
    <cellStyle name="Normal 17 2 3 2 2 6" xfId="25038"/>
    <cellStyle name="Normal 17 2 3 2 3" xfId="13000"/>
    <cellStyle name="Normal 17 2 3 2 3 2" xfId="21025"/>
    <cellStyle name="Normal 17 2 3 2 3 2 2" xfId="35050"/>
    <cellStyle name="Normal 17 2 3 2 3 3" xfId="27039"/>
    <cellStyle name="Normal 17 2 3 2 4" xfId="15015"/>
    <cellStyle name="Normal 17 2 3 2 4 2" xfId="23030"/>
    <cellStyle name="Normal 17 2 3 2 4 2 2" xfId="37055"/>
    <cellStyle name="Normal 17 2 3 2 4 3" xfId="29044"/>
    <cellStyle name="Normal 17 2 3 2 5" xfId="17021"/>
    <cellStyle name="Normal 17 2 3 2 5 2" xfId="31046"/>
    <cellStyle name="Normal 17 2 3 2 6" xfId="19023"/>
    <cellStyle name="Normal 17 2 3 2 6 2" xfId="33048"/>
    <cellStyle name="Normal 17 2 3 2 7" xfId="25037"/>
    <cellStyle name="Normal 17 2 3 3" xfId="2401"/>
    <cellStyle name="Normal 17 2 3 3 2" xfId="13002"/>
    <cellStyle name="Normal 17 2 3 3 2 2" xfId="21027"/>
    <cellStyle name="Normal 17 2 3 3 2 2 2" xfId="35052"/>
    <cellStyle name="Normal 17 2 3 3 2 3" xfId="27041"/>
    <cellStyle name="Normal 17 2 3 3 3" xfId="15017"/>
    <cellStyle name="Normal 17 2 3 3 3 2" xfId="23032"/>
    <cellStyle name="Normal 17 2 3 3 3 2 2" xfId="37057"/>
    <cellStyle name="Normal 17 2 3 3 3 3" xfId="29046"/>
    <cellStyle name="Normal 17 2 3 3 4" xfId="17023"/>
    <cellStyle name="Normal 17 2 3 3 4 2" xfId="31048"/>
    <cellStyle name="Normal 17 2 3 3 5" xfId="19025"/>
    <cellStyle name="Normal 17 2 3 3 5 2" xfId="33050"/>
    <cellStyle name="Normal 17 2 3 3 6" xfId="25039"/>
    <cellStyle name="Normal 17 2 3 4" xfId="12999"/>
    <cellStyle name="Normal 17 2 3 4 2" xfId="21024"/>
    <cellStyle name="Normal 17 2 3 4 2 2" xfId="35049"/>
    <cellStyle name="Normal 17 2 3 4 3" xfId="27038"/>
    <cellStyle name="Normal 17 2 3 5" xfId="15014"/>
    <cellStyle name="Normal 17 2 3 5 2" xfId="23029"/>
    <cellStyle name="Normal 17 2 3 5 2 2" xfId="37054"/>
    <cellStyle name="Normal 17 2 3 5 3" xfId="29043"/>
    <cellStyle name="Normal 17 2 3 6" xfId="17020"/>
    <cellStyle name="Normal 17 2 3 6 2" xfId="31045"/>
    <cellStyle name="Normal 17 2 3 7" xfId="19022"/>
    <cellStyle name="Normal 17 2 3 7 2" xfId="33047"/>
    <cellStyle name="Normal 17 2 3 8" xfId="25036"/>
    <cellStyle name="Normal 17 2 4" xfId="2402"/>
    <cellStyle name="Normal 17 2 4 2" xfId="2403"/>
    <cellStyle name="Normal 17 2 4 2 2" xfId="13004"/>
    <cellStyle name="Normal 17 2 4 2 2 2" xfId="21029"/>
    <cellStyle name="Normal 17 2 4 2 2 2 2" xfId="35054"/>
    <cellStyle name="Normal 17 2 4 2 2 3" xfId="27043"/>
    <cellStyle name="Normal 17 2 4 2 3" xfId="15019"/>
    <cellStyle name="Normal 17 2 4 2 3 2" xfId="23034"/>
    <cellStyle name="Normal 17 2 4 2 3 2 2" xfId="37059"/>
    <cellStyle name="Normal 17 2 4 2 3 3" xfId="29048"/>
    <cellStyle name="Normal 17 2 4 2 4" xfId="17025"/>
    <cellStyle name="Normal 17 2 4 2 4 2" xfId="31050"/>
    <cellStyle name="Normal 17 2 4 2 5" xfId="19027"/>
    <cellStyle name="Normal 17 2 4 2 5 2" xfId="33052"/>
    <cellStyle name="Normal 17 2 4 2 6" xfId="25041"/>
    <cellStyle name="Normal 17 2 4 3" xfId="13003"/>
    <cellStyle name="Normal 17 2 4 3 2" xfId="21028"/>
    <cellStyle name="Normal 17 2 4 3 2 2" xfId="35053"/>
    <cellStyle name="Normal 17 2 4 3 3" xfId="27042"/>
    <cellStyle name="Normal 17 2 4 4" xfId="15018"/>
    <cellStyle name="Normal 17 2 4 4 2" xfId="23033"/>
    <cellStyle name="Normal 17 2 4 4 2 2" xfId="37058"/>
    <cellStyle name="Normal 17 2 4 4 3" xfId="29047"/>
    <cellStyle name="Normal 17 2 4 5" xfId="17024"/>
    <cellStyle name="Normal 17 2 4 5 2" xfId="31049"/>
    <cellStyle name="Normal 17 2 4 6" xfId="19026"/>
    <cellStyle name="Normal 17 2 4 6 2" xfId="33051"/>
    <cellStyle name="Normal 17 2 4 7" xfId="25040"/>
    <cellStyle name="Normal 17 2 5" xfId="2404"/>
    <cellStyle name="Normal 17 2 5 2" xfId="2405"/>
    <cellStyle name="Normal 17 2 5 2 2" xfId="13006"/>
    <cellStyle name="Normal 17 2 5 2 2 2" xfId="21031"/>
    <cellStyle name="Normal 17 2 5 2 2 2 2" xfId="35056"/>
    <cellStyle name="Normal 17 2 5 2 2 3" xfId="27045"/>
    <cellStyle name="Normal 17 2 5 2 3" xfId="15021"/>
    <cellStyle name="Normal 17 2 5 2 3 2" xfId="23036"/>
    <cellStyle name="Normal 17 2 5 2 3 2 2" xfId="37061"/>
    <cellStyle name="Normal 17 2 5 2 3 3" xfId="29050"/>
    <cellStyle name="Normal 17 2 5 2 4" xfId="17027"/>
    <cellStyle name="Normal 17 2 5 2 4 2" xfId="31052"/>
    <cellStyle name="Normal 17 2 5 2 5" xfId="19029"/>
    <cellStyle name="Normal 17 2 5 2 5 2" xfId="33054"/>
    <cellStyle name="Normal 17 2 5 2 6" xfId="25043"/>
    <cellStyle name="Normal 17 2 5 3" xfId="13005"/>
    <cellStyle name="Normal 17 2 5 3 2" xfId="21030"/>
    <cellStyle name="Normal 17 2 5 3 2 2" xfId="35055"/>
    <cellStyle name="Normal 17 2 5 3 3" xfId="27044"/>
    <cellStyle name="Normal 17 2 5 4" xfId="15020"/>
    <cellStyle name="Normal 17 2 5 4 2" xfId="23035"/>
    <cellStyle name="Normal 17 2 5 4 2 2" xfId="37060"/>
    <cellStyle name="Normal 17 2 5 4 3" xfId="29049"/>
    <cellStyle name="Normal 17 2 5 5" xfId="17026"/>
    <cellStyle name="Normal 17 2 5 5 2" xfId="31051"/>
    <cellStyle name="Normal 17 2 5 6" xfId="19028"/>
    <cellStyle name="Normal 17 2 5 6 2" xfId="33053"/>
    <cellStyle name="Normal 17 2 5 7" xfId="25042"/>
    <cellStyle name="Normal 17 2 6" xfId="2406"/>
    <cellStyle name="Normal 17 2 6 2" xfId="13007"/>
    <cellStyle name="Normal 17 2 6 2 2" xfId="21032"/>
    <cellStyle name="Normal 17 2 6 2 2 2" xfId="35057"/>
    <cellStyle name="Normal 17 2 6 2 3" xfId="27046"/>
    <cellStyle name="Normal 17 2 6 3" xfId="15022"/>
    <cellStyle name="Normal 17 2 6 3 2" xfId="23037"/>
    <cellStyle name="Normal 17 2 6 3 2 2" xfId="37062"/>
    <cellStyle name="Normal 17 2 6 3 3" xfId="29051"/>
    <cellStyle name="Normal 17 2 6 4" xfId="17028"/>
    <cellStyle name="Normal 17 2 6 4 2" xfId="31053"/>
    <cellStyle name="Normal 17 2 6 5" xfId="19030"/>
    <cellStyle name="Normal 17 2 6 5 2" xfId="33055"/>
    <cellStyle name="Normal 17 2 6 6" xfId="25044"/>
    <cellStyle name="Normal 17 3" xfId="2407"/>
    <cellStyle name="Normal 17 3 10" xfId="25045"/>
    <cellStyle name="Normal 17 3 2" xfId="2408"/>
    <cellStyle name="Normal 17 3 2 2" xfId="2409"/>
    <cellStyle name="Normal 17 3 2 2 2" xfId="2410"/>
    <cellStyle name="Normal 17 3 2 2 2 2" xfId="13011"/>
    <cellStyle name="Normal 17 3 2 2 2 2 2" xfId="21036"/>
    <cellStyle name="Normal 17 3 2 2 2 2 2 2" xfId="35061"/>
    <cellStyle name="Normal 17 3 2 2 2 2 3" xfId="27050"/>
    <cellStyle name="Normal 17 3 2 2 2 3" xfId="15026"/>
    <cellStyle name="Normal 17 3 2 2 2 3 2" xfId="23041"/>
    <cellStyle name="Normal 17 3 2 2 2 3 2 2" xfId="37066"/>
    <cellStyle name="Normal 17 3 2 2 2 3 3" xfId="29055"/>
    <cellStyle name="Normal 17 3 2 2 2 4" xfId="17032"/>
    <cellStyle name="Normal 17 3 2 2 2 4 2" xfId="31057"/>
    <cellStyle name="Normal 17 3 2 2 2 5" xfId="19034"/>
    <cellStyle name="Normal 17 3 2 2 2 5 2" xfId="33059"/>
    <cellStyle name="Normal 17 3 2 2 2 6" xfId="25048"/>
    <cellStyle name="Normal 17 3 2 2 3" xfId="13010"/>
    <cellStyle name="Normal 17 3 2 2 3 2" xfId="21035"/>
    <cellStyle name="Normal 17 3 2 2 3 2 2" xfId="35060"/>
    <cellStyle name="Normal 17 3 2 2 3 3" xfId="27049"/>
    <cellStyle name="Normal 17 3 2 2 4" xfId="15025"/>
    <cellStyle name="Normal 17 3 2 2 4 2" xfId="23040"/>
    <cellStyle name="Normal 17 3 2 2 4 2 2" xfId="37065"/>
    <cellStyle name="Normal 17 3 2 2 4 3" xfId="29054"/>
    <cellStyle name="Normal 17 3 2 2 5" xfId="17031"/>
    <cellStyle name="Normal 17 3 2 2 5 2" xfId="31056"/>
    <cellStyle name="Normal 17 3 2 2 6" xfId="19033"/>
    <cellStyle name="Normal 17 3 2 2 6 2" xfId="33058"/>
    <cellStyle name="Normal 17 3 2 2 7" xfId="25047"/>
    <cellStyle name="Normal 17 3 2 3" xfId="2411"/>
    <cellStyle name="Normal 17 3 2 3 2" xfId="13012"/>
    <cellStyle name="Normal 17 3 2 3 2 2" xfId="21037"/>
    <cellStyle name="Normal 17 3 2 3 2 2 2" xfId="35062"/>
    <cellStyle name="Normal 17 3 2 3 2 3" xfId="27051"/>
    <cellStyle name="Normal 17 3 2 3 3" xfId="15027"/>
    <cellStyle name="Normal 17 3 2 3 3 2" xfId="23042"/>
    <cellStyle name="Normal 17 3 2 3 3 2 2" xfId="37067"/>
    <cellStyle name="Normal 17 3 2 3 3 3" xfId="29056"/>
    <cellStyle name="Normal 17 3 2 3 4" xfId="17033"/>
    <cellStyle name="Normal 17 3 2 3 4 2" xfId="31058"/>
    <cellStyle name="Normal 17 3 2 3 5" xfId="19035"/>
    <cellStyle name="Normal 17 3 2 3 5 2" xfId="33060"/>
    <cellStyle name="Normal 17 3 2 3 6" xfId="25049"/>
    <cellStyle name="Normal 17 3 2 4" xfId="13009"/>
    <cellStyle name="Normal 17 3 2 4 2" xfId="21034"/>
    <cellStyle name="Normal 17 3 2 4 2 2" xfId="35059"/>
    <cellStyle name="Normal 17 3 2 4 3" xfId="27048"/>
    <cellStyle name="Normal 17 3 2 5" xfId="15024"/>
    <cellStyle name="Normal 17 3 2 5 2" xfId="23039"/>
    <cellStyle name="Normal 17 3 2 5 2 2" xfId="37064"/>
    <cellStyle name="Normal 17 3 2 5 3" xfId="29053"/>
    <cellStyle name="Normal 17 3 2 6" xfId="17030"/>
    <cellStyle name="Normal 17 3 2 6 2" xfId="31055"/>
    <cellStyle name="Normal 17 3 2 7" xfId="19032"/>
    <cellStyle name="Normal 17 3 2 7 2" xfId="33057"/>
    <cellStyle name="Normal 17 3 2 8" xfId="25046"/>
    <cellStyle name="Normal 17 3 3" xfId="2412"/>
    <cellStyle name="Normal 17 3 3 2" xfId="2413"/>
    <cellStyle name="Normal 17 3 3 2 2" xfId="13014"/>
    <cellStyle name="Normal 17 3 3 2 2 2" xfId="21039"/>
    <cellStyle name="Normal 17 3 3 2 2 2 2" xfId="35064"/>
    <cellStyle name="Normal 17 3 3 2 2 3" xfId="27053"/>
    <cellStyle name="Normal 17 3 3 2 3" xfId="15029"/>
    <cellStyle name="Normal 17 3 3 2 3 2" xfId="23044"/>
    <cellStyle name="Normal 17 3 3 2 3 2 2" xfId="37069"/>
    <cellStyle name="Normal 17 3 3 2 3 3" xfId="29058"/>
    <cellStyle name="Normal 17 3 3 2 4" xfId="17035"/>
    <cellStyle name="Normal 17 3 3 2 4 2" xfId="31060"/>
    <cellStyle name="Normal 17 3 3 2 5" xfId="19037"/>
    <cellStyle name="Normal 17 3 3 2 5 2" xfId="33062"/>
    <cellStyle name="Normal 17 3 3 2 6" xfId="25051"/>
    <cellStyle name="Normal 17 3 3 3" xfId="13013"/>
    <cellStyle name="Normal 17 3 3 3 2" xfId="21038"/>
    <cellStyle name="Normal 17 3 3 3 2 2" xfId="35063"/>
    <cellStyle name="Normal 17 3 3 3 3" xfId="27052"/>
    <cellStyle name="Normal 17 3 3 4" xfId="15028"/>
    <cellStyle name="Normal 17 3 3 4 2" xfId="23043"/>
    <cellStyle name="Normal 17 3 3 4 2 2" xfId="37068"/>
    <cellStyle name="Normal 17 3 3 4 3" xfId="29057"/>
    <cellStyle name="Normal 17 3 3 5" xfId="17034"/>
    <cellStyle name="Normal 17 3 3 5 2" xfId="31059"/>
    <cellStyle name="Normal 17 3 3 6" xfId="19036"/>
    <cellStyle name="Normal 17 3 3 6 2" xfId="33061"/>
    <cellStyle name="Normal 17 3 3 7" xfId="25050"/>
    <cellStyle name="Normal 17 3 4" xfId="2414"/>
    <cellStyle name="Normal 17 3 4 2" xfId="2415"/>
    <cellStyle name="Normal 17 3 4 2 2" xfId="13016"/>
    <cellStyle name="Normal 17 3 4 2 2 2" xfId="21041"/>
    <cellStyle name="Normal 17 3 4 2 2 2 2" xfId="35066"/>
    <cellStyle name="Normal 17 3 4 2 2 3" xfId="27055"/>
    <cellStyle name="Normal 17 3 4 2 3" xfId="15031"/>
    <cellStyle name="Normal 17 3 4 2 3 2" xfId="23046"/>
    <cellStyle name="Normal 17 3 4 2 3 2 2" xfId="37071"/>
    <cellStyle name="Normal 17 3 4 2 3 3" xfId="29060"/>
    <cellStyle name="Normal 17 3 4 2 4" xfId="17037"/>
    <cellStyle name="Normal 17 3 4 2 4 2" xfId="31062"/>
    <cellStyle name="Normal 17 3 4 2 5" xfId="19039"/>
    <cellStyle name="Normal 17 3 4 2 5 2" xfId="33064"/>
    <cellStyle name="Normal 17 3 4 2 6" xfId="25053"/>
    <cellStyle name="Normal 17 3 4 3" xfId="13015"/>
    <cellStyle name="Normal 17 3 4 3 2" xfId="21040"/>
    <cellStyle name="Normal 17 3 4 3 2 2" xfId="35065"/>
    <cellStyle name="Normal 17 3 4 3 3" xfId="27054"/>
    <cellStyle name="Normal 17 3 4 4" xfId="15030"/>
    <cellStyle name="Normal 17 3 4 4 2" xfId="23045"/>
    <cellStyle name="Normal 17 3 4 4 2 2" xfId="37070"/>
    <cellStyle name="Normal 17 3 4 4 3" xfId="29059"/>
    <cellStyle name="Normal 17 3 4 5" xfId="17036"/>
    <cellStyle name="Normal 17 3 4 5 2" xfId="31061"/>
    <cellStyle name="Normal 17 3 4 6" xfId="19038"/>
    <cellStyle name="Normal 17 3 4 6 2" xfId="33063"/>
    <cellStyle name="Normal 17 3 4 7" xfId="25052"/>
    <cellStyle name="Normal 17 3 5" xfId="2416"/>
    <cellStyle name="Normal 17 3 5 2" xfId="13017"/>
    <cellStyle name="Normal 17 3 5 2 2" xfId="21042"/>
    <cellStyle name="Normal 17 3 5 2 2 2" xfId="35067"/>
    <cellStyle name="Normal 17 3 5 2 3" xfId="27056"/>
    <cellStyle name="Normal 17 3 5 3" xfId="15032"/>
    <cellStyle name="Normal 17 3 5 3 2" xfId="23047"/>
    <cellStyle name="Normal 17 3 5 3 2 2" xfId="37072"/>
    <cellStyle name="Normal 17 3 5 3 3" xfId="29061"/>
    <cellStyle name="Normal 17 3 5 4" xfId="17038"/>
    <cellStyle name="Normal 17 3 5 4 2" xfId="31063"/>
    <cellStyle name="Normal 17 3 5 5" xfId="19040"/>
    <cellStyle name="Normal 17 3 5 5 2" xfId="33065"/>
    <cellStyle name="Normal 17 3 5 6" xfId="25054"/>
    <cellStyle name="Normal 17 3 6" xfId="13008"/>
    <cellStyle name="Normal 17 3 6 2" xfId="21033"/>
    <cellStyle name="Normal 17 3 6 2 2" xfId="35058"/>
    <cellStyle name="Normal 17 3 6 3" xfId="27047"/>
    <cellStyle name="Normal 17 3 7" xfId="15023"/>
    <cellStyle name="Normal 17 3 7 2" xfId="23038"/>
    <cellStyle name="Normal 17 3 7 2 2" xfId="37063"/>
    <cellStyle name="Normal 17 3 7 3" xfId="29052"/>
    <cellStyle name="Normal 17 3 8" xfId="17029"/>
    <cellStyle name="Normal 17 3 8 2" xfId="31054"/>
    <cellStyle name="Normal 17 3 9" xfId="19031"/>
    <cellStyle name="Normal 17 3 9 2" xfId="33056"/>
    <cellStyle name="Normal 17 4" xfId="2417"/>
    <cellStyle name="Normal 17 4 2" xfId="2418"/>
    <cellStyle name="Normal 17 4 2 2" xfId="2419"/>
    <cellStyle name="Normal 17 4 2 2 2" xfId="13020"/>
    <cellStyle name="Normal 17 4 2 2 2 2" xfId="21045"/>
    <cellStyle name="Normal 17 4 2 2 2 2 2" xfId="35070"/>
    <cellStyle name="Normal 17 4 2 2 2 3" xfId="27059"/>
    <cellStyle name="Normal 17 4 2 2 3" xfId="15035"/>
    <cellStyle name="Normal 17 4 2 2 3 2" xfId="23050"/>
    <cellStyle name="Normal 17 4 2 2 3 2 2" xfId="37075"/>
    <cellStyle name="Normal 17 4 2 2 3 3" xfId="29064"/>
    <cellStyle name="Normal 17 4 2 2 4" xfId="17041"/>
    <cellStyle name="Normal 17 4 2 2 4 2" xfId="31066"/>
    <cellStyle name="Normal 17 4 2 2 5" xfId="19043"/>
    <cellStyle name="Normal 17 4 2 2 5 2" xfId="33068"/>
    <cellStyle name="Normal 17 4 2 2 6" xfId="25057"/>
    <cellStyle name="Normal 17 4 2 3" xfId="13019"/>
    <cellStyle name="Normal 17 4 2 3 2" xfId="21044"/>
    <cellStyle name="Normal 17 4 2 3 2 2" xfId="35069"/>
    <cellStyle name="Normal 17 4 2 3 3" xfId="27058"/>
    <cellStyle name="Normal 17 4 2 4" xfId="15034"/>
    <cellStyle name="Normal 17 4 2 4 2" xfId="23049"/>
    <cellStyle name="Normal 17 4 2 4 2 2" xfId="37074"/>
    <cellStyle name="Normal 17 4 2 4 3" xfId="29063"/>
    <cellStyle name="Normal 17 4 2 5" xfId="17040"/>
    <cellStyle name="Normal 17 4 2 5 2" xfId="31065"/>
    <cellStyle name="Normal 17 4 2 6" xfId="19042"/>
    <cellStyle name="Normal 17 4 2 6 2" xfId="33067"/>
    <cellStyle name="Normal 17 4 2 7" xfId="25056"/>
    <cellStyle name="Normal 17 4 3" xfId="2420"/>
    <cellStyle name="Normal 17 4 3 2" xfId="13021"/>
    <cellStyle name="Normal 17 4 3 2 2" xfId="21046"/>
    <cellStyle name="Normal 17 4 3 2 2 2" xfId="35071"/>
    <cellStyle name="Normal 17 4 3 2 3" xfId="27060"/>
    <cellStyle name="Normal 17 4 3 3" xfId="15036"/>
    <cellStyle name="Normal 17 4 3 3 2" xfId="23051"/>
    <cellStyle name="Normal 17 4 3 3 2 2" xfId="37076"/>
    <cellStyle name="Normal 17 4 3 3 3" xfId="29065"/>
    <cellStyle name="Normal 17 4 3 4" xfId="17042"/>
    <cellStyle name="Normal 17 4 3 4 2" xfId="31067"/>
    <cellStyle name="Normal 17 4 3 5" xfId="19044"/>
    <cellStyle name="Normal 17 4 3 5 2" xfId="33069"/>
    <cellStyle name="Normal 17 4 3 6" xfId="25058"/>
    <cellStyle name="Normal 17 4 4" xfId="13018"/>
    <cellStyle name="Normal 17 4 4 2" xfId="21043"/>
    <cellStyle name="Normal 17 4 4 2 2" xfId="35068"/>
    <cellStyle name="Normal 17 4 4 3" xfId="27057"/>
    <cellStyle name="Normal 17 4 5" xfId="15033"/>
    <cellStyle name="Normal 17 4 5 2" xfId="23048"/>
    <cellStyle name="Normal 17 4 5 2 2" xfId="37073"/>
    <cellStyle name="Normal 17 4 5 3" xfId="29062"/>
    <cellStyle name="Normal 17 4 6" xfId="17039"/>
    <cellStyle name="Normal 17 4 6 2" xfId="31064"/>
    <cellStyle name="Normal 17 4 7" xfId="19041"/>
    <cellStyle name="Normal 17 4 7 2" xfId="33066"/>
    <cellStyle name="Normal 17 4 8" xfId="25055"/>
    <cellStyle name="Normal 17 5" xfId="2421"/>
    <cellStyle name="Normal 17 5 2" xfId="2422"/>
    <cellStyle name="Normal 17 5 2 2" xfId="13023"/>
    <cellStyle name="Normal 17 5 2 2 2" xfId="21048"/>
    <cellStyle name="Normal 17 5 2 2 2 2" xfId="35073"/>
    <cellStyle name="Normal 17 5 2 2 3" xfId="27062"/>
    <cellStyle name="Normal 17 5 2 3" xfId="15038"/>
    <cellStyle name="Normal 17 5 2 3 2" xfId="23053"/>
    <cellStyle name="Normal 17 5 2 3 2 2" xfId="37078"/>
    <cellStyle name="Normal 17 5 2 3 3" xfId="29067"/>
    <cellStyle name="Normal 17 5 2 4" xfId="17044"/>
    <cellStyle name="Normal 17 5 2 4 2" xfId="31069"/>
    <cellStyle name="Normal 17 5 2 5" xfId="19046"/>
    <cellStyle name="Normal 17 5 2 5 2" xfId="33071"/>
    <cellStyle name="Normal 17 5 2 6" xfId="25060"/>
    <cellStyle name="Normal 17 5 3" xfId="13022"/>
    <cellStyle name="Normal 17 5 3 2" xfId="21047"/>
    <cellStyle name="Normal 17 5 3 2 2" xfId="35072"/>
    <cellStyle name="Normal 17 5 3 3" xfId="27061"/>
    <cellStyle name="Normal 17 5 4" xfId="15037"/>
    <cellStyle name="Normal 17 5 4 2" xfId="23052"/>
    <cellStyle name="Normal 17 5 4 2 2" xfId="37077"/>
    <cellStyle name="Normal 17 5 4 3" xfId="29066"/>
    <cellStyle name="Normal 17 5 5" xfId="17043"/>
    <cellStyle name="Normal 17 5 5 2" xfId="31068"/>
    <cellStyle name="Normal 17 5 6" xfId="19045"/>
    <cellStyle name="Normal 17 5 6 2" xfId="33070"/>
    <cellStyle name="Normal 17 5 7" xfId="25059"/>
    <cellStyle name="Normal 17 6" xfId="2423"/>
    <cellStyle name="Normal 17 6 2" xfId="2424"/>
    <cellStyle name="Normal 17 6 2 2" xfId="13025"/>
    <cellStyle name="Normal 17 6 2 2 2" xfId="21050"/>
    <cellStyle name="Normal 17 6 2 2 2 2" xfId="35075"/>
    <cellStyle name="Normal 17 6 2 2 3" xfId="27064"/>
    <cellStyle name="Normal 17 6 2 3" xfId="15040"/>
    <cellStyle name="Normal 17 6 2 3 2" xfId="23055"/>
    <cellStyle name="Normal 17 6 2 3 2 2" xfId="37080"/>
    <cellStyle name="Normal 17 6 2 3 3" xfId="29069"/>
    <cellStyle name="Normal 17 6 2 4" xfId="17046"/>
    <cellStyle name="Normal 17 6 2 4 2" xfId="31071"/>
    <cellStyle name="Normal 17 6 2 5" xfId="19048"/>
    <cellStyle name="Normal 17 6 2 5 2" xfId="33073"/>
    <cellStyle name="Normal 17 6 2 6" xfId="25062"/>
    <cellStyle name="Normal 17 6 3" xfId="13024"/>
    <cellStyle name="Normal 17 6 3 2" xfId="21049"/>
    <cellStyle name="Normal 17 6 3 2 2" xfId="35074"/>
    <cellStyle name="Normal 17 6 3 3" xfId="27063"/>
    <cellStyle name="Normal 17 6 4" xfId="15039"/>
    <cellStyle name="Normal 17 6 4 2" xfId="23054"/>
    <cellStyle name="Normal 17 6 4 2 2" xfId="37079"/>
    <cellStyle name="Normal 17 6 4 3" xfId="29068"/>
    <cellStyle name="Normal 17 6 5" xfId="17045"/>
    <cellStyle name="Normal 17 6 5 2" xfId="31070"/>
    <cellStyle name="Normal 17 6 6" xfId="19047"/>
    <cellStyle name="Normal 17 6 6 2" xfId="33072"/>
    <cellStyle name="Normal 17 6 7" xfId="25061"/>
    <cellStyle name="Normal 17 7" xfId="2425"/>
    <cellStyle name="Normal 17 7 2" xfId="13026"/>
    <cellStyle name="Normal 17 7 2 2" xfId="21051"/>
    <cellStyle name="Normal 17 7 2 2 2" xfId="35076"/>
    <cellStyle name="Normal 17 7 2 3" xfId="27065"/>
    <cellStyle name="Normal 17 7 3" xfId="15041"/>
    <cellStyle name="Normal 17 7 3 2" xfId="23056"/>
    <cellStyle name="Normal 17 7 3 2 2" xfId="37081"/>
    <cellStyle name="Normal 17 7 3 3" xfId="29070"/>
    <cellStyle name="Normal 17 7 4" xfId="17047"/>
    <cellStyle name="Normal 17 7 4 2" xfId="31072"/>
    <cellStyle name="Normal 17 7 5" xfId="19049"/>
    <cellStyle name="Normal 17 7 5 2" xfId="33074"/>
    <cellStyle name="Normal 17 7 6" xfId="25063"/>
    <cellStyle name="Normal 17 8" xfId="11632"/>
    <cellStyle name="Normal 17 8 2" xfId="19663"/>
    <cellStyle name="Normal 17 8 2 2" xfId="33688"/>
    <cellStyle name="Normal 17 8 3" xfId="25677"/>
    <cellStyle name="Normal 17 9" xfId="13653"/>
    <cellStyle name="Normal 17 9 2" xfId="21668"/>
    <cellStyle name="Normal 17 9 2 2" xfId="35693"/>
    <cellStyle name="Normal 17 9 3" xfId="27682"/>
    <cellStyle name="Normal 17_EAI Workpapers" xfId="499"/>
    <cellStyle name="Normal 18" xfId="500"/>
    <cellStyle name="Normal 18 10" xfId="15660"/>
    <cellStyle name="Normal 18 10 2" xfId="29685"/>
    <cellStyle name="Normal 18 11" xfId="17662"/>
    <cellStyle name="Normal 18 11 2" xfId="31687"/>
    <cellStyle name="Normal 18 12" xfId="23676"/>
    <cellStyle name="Normal 18 2" xfId="2426"/>
    <cellStyle name="Normal 18 2 10" xfId="19050"/>
    <cellStyle name="Normal 18 2 10 2" xfId="33075"/>
    <cellStyle name="Normal 18 2 11" xfId="25064"/>
    <cellStyle name="Normal 18 2 2" xfId="2427"/>
    <cellStyle name="Normal 18 2 2 10" xfId="25065"/>
    <cellStyle name="Normal 18 2 2 2" xfId="2428"/>
    <cellStyle name="Normal 18 2 2 2 2" xfId="2429"/>
    <cellStyle name="Normal 18 2 2 2 2 2" xfId="2430"/>
    <cellStyle name="Normal 18 2 2 2 2 2 2" xfId="13031"/>
    <cellStyle name="Normal 18 2 2 2 2 2 2 2" xfId="21056"/>
    <cellStyle name="Normal 18 2 2 2 2 2 2 2 2" xfId="35081"/>
    <cellStyle name="Normal 18 2 2 2 2 2 2 3" xfId="27070"/>
    <cellStyle name="Normal 18 2 2 2 2 2 3" xfId="15046"/>
    <cellStyle name="Normal 18 2 2 2 2 2 3 2" xfId="23061"/>
    <cellStyle name="Normal 18 2 2 2 2 2 3 2 2" xfId="37086"/>
    <cellStyle name="Normal 18 2 2 2 2 2 3 3" xfId="29075"/>
    <cellStyle name="Normal 18 2 2 2 2 2 4" xfId="17052"/>
    <cellStyle name="Normal 18 2 2 2 2 2 4 2" xfId="31077"/>
    <cellStyle name="Normal 18 2 2 2 2 2 5" xfId="19054"/>
    <cellStyle name="Normal 18 2 2 2 2 2 5 2" xfId="33079"/>
    <cellStyle name="Normal 18 2 2 2 2 2 6" xfId="25068"/>
    <cellStyle name="Normal 18 2 2 2 2 3" xfId="13030"/>
    <cellStyle name="Normal 18 2 2 2 2 3 2" xfId="21055"/>
    <cellStyle name="Normal 18 2 2 2 2 3 2 2" xfId="35080"/>
    <cellStyle name="Normal 18 2 2 2 2 3 3" xfId="27069"/>
    <cellStyle name="Normal 18 2 2 2 2 4" xfId="15045"/>
    <cellStyle name="Normal 18 2 2 2 2 4 2" xfId="23060"/>
    <cellStyle name="Normal 18 2 2 2 2 4 2 2" xfId="37085"/>
    <cellStyle name="Normal 18 2 2 2 2 4 3" xfId="29074"/>
    <cellStyle name="Normal 18 2 2 2 2 5" xfId="17051"/>
    <cellStyle name="Normal 18 2 2 2 2 5 2" xfId="31076"/>
    <cellStyle name="Normal 18 2 2 2 2 6" xfId="19053"/>
    <cellStyle name="Normal 18 2 2 2 2 6 2" xfId="33078"/>
    <cellStyle name="Normal 18 2 2 2 2 7" xfId="25067"/>
    <cellStyle name="Normal 18 2 2 2 3" xfId="2431"/>
    <cellStyle name="Normal 18 2 2 2 3 2" xfId="13032"/>
    <cellStyle name="Normal 18 2 2 2 3 2 2" xfId="21057"/>
    <cellStyle name="Normal 18 2 2 2 3 2 2 2" xfId="35082"/>
    <cellStyle name="Normal 18 2 2 2 3 2 3" xfId="27071"/>
    <cellStyle name="Normal 18 2 2 2 3 3" xfId="15047"/>
    <cellStyle name="Normal 18 2 2 2 3 3 2" xfId="23062"/>
    <cellStyle name="Normal 18 2 2 2 3 3 2 2" xfId="37087"/>
    <cellStyle name="Normal 18 2 2 2 3 3 3" xfId="29076"/>
    <cellStyle name="Normal 18 2 2 2 3 4" xfId="17053"/>
    <cellStyle name="Normal 18 2 2 2 3 4 2" xfId="31078"/>
    <cellStyle name="Normal 18 2 2 2 3 5" xfId="19055"/>
    <cellStyle name="Normal 18 2 2 2 3 5 2" xfId="33080"/>
    <cellStyle name="Normal 18 2 2 2 3 6" xfId="25069"/>
    <cellStyle name="Normal 18 2 2 2 4" xfId="13029"/>
    <cellStyle name="Normal 18 2 2 2 4 2" xfId="21054"/>
    <cellStyle name="Normal 18 2 2 2 4 2 2" xfId="35079"/>
    <cellStyle name="Normal 18 2 2 2 4 3" xfId="27068"/>
    <cellStyle name="Normal 18 2 2 2 5" xfId="15044"/>
    <cellStyle name="Normal 18 2 2 2 5 2" xfId="23059"/>
    <cellStyle name="Normal 18 2 2 2 5 2 2" xfId="37084"/>
    <cellStyle name="Normal 18 2 2 2 5 3" xfId="29073"/>
    <cellStyle name="Normal 18 2 2 2 6" xfId="17050"/>
    <cellStyle name="Normal 18 2 2 2 6 2" xfId="31075"/>
    <cellStyle name="Normal 18 2 2 2 7" xfId="19052"/>
    <cellStyle name="Normal 18 2 2 2 7 2" xfId="33077"/>
    <cellStyle name="Normal 18 2 2 2 8" xfId="25066"/>
    <cellStyle name="Normal 18 2 2 3" xfId="2432"/>
    <cellStyle name="Normal 18 2 2 3 2" xfId="2433"/>
    <cellStyle name="Normal 18 2 2 3 2 2" xfId="13034"/>
    <cellStyle name="Normal 18 2 2 3 2 2 2" xfId="21059"/>
    <cellStyle name="Normal 18 2 2 3 2 2 2 2" xfId="35084"/>
    <cellStyle name="Normal 18 2 2 3 2 2 3" xfId="27073"/>
    <cellStyle name="Normal 18 2 2 3 2 3" xfId="15049"/>
    <cellStyle name="Normal 18 2 2 3 2 3 2" xfId="23064"/>
    <cellStyle name="Normal 18 2 2 3 2 3 2 2" xfId="37089"/>
    <cellStyle name="Normal 18 2 2 3 2 3 3" xfId="29078"/>
    <cellStyle name="Normal 18 2 2 3 2 4" xfId="17055"/>
    <cellStyle name="Normal 18 2 2 3 2 4 2" xfId="31080"/>
    <cellStyle name="Normal 18 2 2 3 2 5" xfId="19057"/>
    <cellStyle name="Normal 18 2 2 3 2 5 2" xfId="33082"/>
    <cellStyle name="Normal 18 2 2 3 2 6" xfId="25071"/>
    <cellStyle name="Normal 18 2 2 3 3" xfId="13033"/>
    <cellStyle name="Normal 18 2 2 3 3 2" xfId="21058"/>
    <cellStyle name="Normal 18 2 2 3 3 2 2" xfId="35083"/>
    <cellStyle name="Normal 18 2 2 3 3 3" xfId="27072"/>
    <cellStyle name="Normal 18 2 2 3 4" xfId="15048"/>
    <cellStyle name="Normal 18 2 2 3 4 2" xfId="23063"/>
    <cellStyle name="Normal 18 2 2 3 4 2 2" xfId="37088"/>
    <cellStyle name="Normal 18 2 2 3 4 3" xfId="29077"/>
    <cellStyle name="Normal 18 2 2 3 5" xfId="17054"/>
    <cellStyle name="Normal 18 2 2 3 5 2" xfId="31079"/>
    <cellStyle name="Normal 18 2 2 3 6" xfId="19056"/>
    <cellStyle name="Normal 18 2 2 3 6 2" xfId="33081"/>
    <cellStyle name="Normal 18 2 2 3 7" xfId="25070"/>
    <cellStyle name="Normal 18 2 2 4" xfId="2434"/>
    <cellStyle name="Normal 18 2 2 4 2" xfId="2435"/>
    <cellStyle name="Normal 18 2 2 4 2 2" xfId="13036"/>
    <cellStyle name="Normal 18 2 2 4 2 2 2" xfId="21061"/>
    <cellStyle name="Normal 18 2 2 4 2 2 2 2" xfId="35086"/>
    <cellStyle name="Normal 18 2 2 4 2 2 3" xfId="27075"/>
    <cellStyle name="Normal 18 2 2 4 2 3" xfId="15051"/>
    <cellStyle name="Normal 18 2 2 4 2 3 2" xfId="23066"/>
    <cellStyle name="Normal 18 2 2 4 2 3 2 2" xfId="37091"/>
    <cellStyle name="Normal 18 2 2 4 2 3 3" xfId="29080"/>
    <cellStyle name="Normal 18 2 2 4 2 4" xfId="17057"/>
    <cellStyle name="Normal 18 2 2 4 2 4 2" xfId="31082"/>
    <cellStyle name="Normal 18 2 2 4 2 5" xfId="19059"/>
    <cellStyle name="Normal 18 2 2 4 2 5 2" xfId="33084"/>
    <cellStyle name="Normal 18 2 2 4 2 6" xfId="25073"/>
    <cellStyle name="Normal 18 2 2 4 3" xfId="13035"/>
    <cellStyle name="Normal 18 2 2 4 3 2" xfId="21060"/>
    <cellStyle name="Normal 18 2 2 4 3 2 2" xfId="35085"/>
    <cellStyle name="Normal 18 2 2 4 3 3" xfId="27074"/>
    <cellStyle name="Normal 18 2 2 4 4" xfId="15050"/>
    <cellStyle name="Normal 18 2 2 4 4 2" xfId="23065"/>
    <cellStyle name="Normal 18 2 2 4 4 2 2" xfId="37090"/>
    <cellStyle name="Normal 18 2 2 4 4 3" xfId="29079"/>
    <cellStyle name="Normal 18 2 2 4 5" xfId="17056"/>
    <cellStyle name="Normal 18 2 2 4 5 2" xfId="31081"/>
    <cellStyle name="Normal 18 2 2 4 6" xfId="19058"/>
    <cellStyle name="Normal 18 2 2 4 6 2" xfId="33083"/>
    <cellStyle name="Normal 18 2 2 4 7" xfId="25072"/>
    <cellStyle name="Normal 18 2 2 5" xfId="2436"/>
    <cellStyle name="Normal 18 2 2 5 2" xfId="13037"/>
    <cellStyle name="Normal 18 2 2 5 2 2" xfId="21062"/>
    <cellStyle name="Normal 18 2 2 5 2 2 2" xfId="35087"/>
    <cellStyle name="Normal 18 2 2 5 2 3" xfId="27076"/>
    <cellStyle name="Normal 18 2 2 5 3" xfId="15052"/>
    <cellStyle name="Normal 18 2 2 5 3 2" xfId="23067"/>
    <cellStyle name="Normal 18 2 2 5 3 2 2" xfId="37092"/>
    <cellStyle name="Normal 18 2 2 5 3 3" xfId="29081"/>
    <cellStyle name="Normal 18 2 2 5 4" xfId="17058"/>
    <cellStyle name="Normal 18 2 2 5 4 2" xfId="31083"/>
    <cellStyle name="Normal 18 2 2 5 5" xfId="19060"/>
    <cellStyle name="Normal 18 2 2 5 5 2" xfId="33085"/>
    <cellStyle name="Normal 18 2 2 5 6" xfId="25074"/>
    <cellStyle name="Normal 18 2 2 6" xfId="13028"/>
    <cellStyle name="Normal 18 2 2 6 2" xfId="21053"/>
    <cellStyle name="Normal 18 2 2 6 2 2" xfId="35078"/>
    <cellStyle name="Normal 18 2 2 6 3" xfId="27067"/>
    <cellStyle name="Normal 18 2 2 7" xfId="15043"/>
    <cellStyle name="Normal 18 2 2 7 2" xfId="23058"/>
    <cellStyle name="Normal 18 2 2 7 2 2" xfId="37083"/>
    <cellStyle name="Normal 18 2 2 7 3" xfId="29072"/>
    <cellStyle name="Normal 18 2 2 8" xfId="17049"/>
    <cellStyle name="Normal 18 2 2 8 2" xfId="31074"/>
    <cellStyle name="Normal 18 2 2 9" xfId="19051"/>
    <cellStyle name="Normal 18 2 2 9 2" xfId="33076"/>
    <cellStyle name="Normal 18 2 3" xfId="2437"/>
    <cellStyle name="Normal 18 2 3 2" xfId="2438"/>
    <cellStyle name="Normal 18 2 3 2 2" xfId="2439"/>
    <cellStyle name="Normal 18 2 3 2 2 2" xfId="13040"/>
    <cellStyle name="Normal 18 2 3 2 2 2 2" xfId="21065"/>
    <cellStyle name="Normal 18 2 3 2 2 2 2 2" xfId="35090"/>
    <cellStyle name="Normal 18 2 3 2 2 2 3" xfId="27079"/>
    <cellStyle name="Normal 18 2 3 2 2 3" xfId="15055"/>
    <cellStyle name="Normal 18 2 3 2 2 3 2" xfId="23070"/>
    <cellStyle name="Normal 18 2 3 2 2 3 2 2" xfId="37095"/>
    <cellStyle name="Normal 18 2 3 2 2 3 3" xfId="29084"/>
    <cellStyle name="Normal 18 2 3 2 2 4" xfId="17061"/>
    <cellStyle name="Normal 18 2 3 2 2 4 2" xfId="31086"/>
    <cellStyle name="Normal 18 2 3 2 2 5" xfId="19063"/>
    <cellStyle name="Normal 18 2 3 2 2 5 2" xfId="33088"/>
    <cellStyle name="Normal 18 2 3 2 2 6" xfId="25077"/>
    <cellStyle name="Normal 18 2 3 2 3" xfId="13039"/>
    <cellStyle name="Normal 18 2 3 2 3 2" xfId="21064"/>
    <cellStyle name="Normal 18 2 3 2 3 2 2" xfId="35089"/>
    <cellStyle name="Normal 18 2 3 2 3 3" xfId="27078"/>
    <cellStyle name="Normal 18 2 3 2 4" xfId="15054"/>
    <cellStyle name="Normal 18 2 3 2 4 2" xfId="23069"/>
    <cellStyle name="Normal 18 2 3 2 4 2 2" xfId="37094"/>
    <cellStyle name="Normal 18 2 3 2 4 3" xfId="29083"/>
    <cellStyle name="Normal 18 2 3 2 5" xfId="17060"/>
    <cellStyle name="Normal 18 2 3 2 5 2" xfId="31085"/>
    <cellStyle name="Normal 18 2 3 2 6" xfId="19062"/>
    <cellStyle name="Normal 18 2 3 2 6 2" xfId="33087"/>
    <cellStyle name="Normal 18 2 3 2 7" xfId="25076"/>
    <cellStyle name="Normal 18 2 3 3" xfId="2440"/>
    <cellStyle name="Normal 18 2 3 3 2" xfId="13041"/>
    <cellStyle name="Normal 18 2 3 3 2 2" xfId="21066"/>
    <cellStyle name="Normal 18 2 3 3 2 2 2" xfId="35091"/>
    <cellStyle name="Normal 18 2 3 3 2 3" xfId="27080"/>
    <cellStyle name="Normal 18 2 3 3 3" xfId="15056"/>
    <cellStyle name="Normal 18 2 3 3 3 2" xfId="23071"/>
    <cellStyle name="Normal 18 2 3 3 3 2 2" xfId="37096"/>
    <cellStyle name="Normal 18 2 3 3 3 3" xfId="29085"/>
    <cellStyle name="Normal 18 2 3 3 4" xfId="17062"/>
    <cellStyle name="Normal 18 2 3 3 4 2" xfId="31087"/>
    <cellStyle name="Normal 18 2 3 3 5" xfId="19064"/>
    <cellStyle name="Normal 18 2 3 3 5 2" xfId="33089"/>
    <cellStyle name="Normal 18 2 3 3 6" xfId="25078"/>
    <cellStyle name="Normal 18 2 3 4" xfId="13038"/>
    <cellStyle name="Normal 18 2 3 4 2" xfId="21063"/>
    <cellStyle name="Normal 18 2 3 4 2 2" xfId="35088"/>
    <cellStyle name="Normal 18 2 3 4 3" xfId="27077"/>
    <cellStyle name="Normal 18 2 3 5" xfId="15053"/>
    <cellStyle name="Normal 18 2 3 5 2" xfId="23068"/>
    <cellStyle name="Normal 18 2 3 5 2 2" xfId="37093"/>
    <cellStyle name="Normal 18 2 3 5 3" xfId="29082"/>
    <cellStyle name="Normal 18 2 3 6" xfId="17059"/>
    <cellStyle name="Normal 18 2 3 6 2" xfId="31084"/>
    <cellStyle name="Normal 18 2 3 7" xfId="19061"/>
    <cellStyle name="Normal 18 2 3 7 2" xfId="33086"/>
    <cellStyle name="Normal 18 2 3 8" xfId="25075"/>
    <cellStyle name="Normal 18 2 4" xfId="2441"/>
    <cellStyle name="Normal 18 2 4 2" xfId="2442"/>
    <cellStyle name="Normal 18 2 4 2 2" xfId="13043"/>
    <cellStyle name="Normal 18 2 4 2 2 2" xfId="21068"/>
    <cellStyle name="Normal 18 2 4 2 2 2 2" xfId="35093"/>
    <cellStyle name="Normal 18 2 4 2 2 3" xfId="27082"/>
    <cellStyle name="Normal 18 2 4 2 3" xfId="15058"/>
    <cellStyle name="Normal 18 2 4 2 3 2" xfId="23073"/>
    <cellStyle name="Normal 18 2 4 2 3 2 2" xfId="37098"/>
    <cellStyle name="Normal 18 2 4 2 3 3" xfId="29087"/>
    <cellStyle name="Normal 18 2 4 2 4" xfId="17064"/>
    <cellStyle name="Normal 18 2 4 2 4 2" xfId="31089"/>
    <cellStyle name="Normal 18 2 4 2 5" xfId="19066"/>
    <cellStyle name="Normal 18 2 4 2 5 2" xfId="33091"/>
    <cellStyle name="Normal 18 2 4 2 6" xfId="25080"/>
    <cellStyle name="Normal 18 2 4 3" xfId="13042"/>
    <cellStyle name="Normal 18 2 4 3 2" xfId="21067"/>
    <cellStyle name="Normal 18 2 4 3 2 2" xfId="35092"/>
    <cellStyle name="Normal 18 2 4 3 3" xfId="27081"/>
    <cellStyle name="Normal 18 2 4 4" xfId="15057"/>
    <cellStyle name="Normal 18 2 4 4 2" xfId="23072"/>
    <cellStyle name="Normal 18 2 4 4 2 2" xfId="37097"/>
    <cellStyle name="Normal 18 2 4 4 3" xfId="29086"/>
    <cellStyle name="Normal 18 2 4 5" xfId="17063"/>
    <cellStyle name="Normal 18 2 4 5 2" xfId="31088"/>
    <cellStyle name="Normal 18 2 4 6" xfId="19065"/>
    <cellStyle name="Normal 18 2 4 6 2" xfId="33090"/>
    <cellStyle name="Normal 18 2 4 7" xfId="25079"/>
    <cellStyle name="Normal 18 2 5" xfId="2443"/>
    <cellStyle name="Normal 18 2 5 2" xfId="2444"/>
    <cellStyle name="Normal 18 2 5 2 2" xfId="13045"/>
    <cellStyle name="Normal 18 2 5 2 2 2" xfId="21070"/>
    <cellStyle name="Normal 18 2 5 2 2 2 2" xfId="35095"/>
    <cellStyle name="Normal 18 2 5 2 2 3" xfId="27084"/>
    <cellStyle name="Normal 18 2 5 2 3" xfId="15060"/>
    <cellStyle name="Normal 18 2 5 2 3 2" xfId="23075"/>
    <cellStyle name="Normal 18 2 5 2 3 2 2" xfId="37100"/>
    <cellStyle name="Normal 18 2 5 2 3 3" xfId="29089"/>
    <cellStyle name="Normal 18 2 5 2 4" xfId="17066"/>
    <cellStyle name="Normal 18 2 5 2 4 2" xfId="31091"/>
    <cellStyle name="Normal 18 2 5 2 5" xfId="19068"/>
    <cellStyle name="Normal 18 2 5 2 5 2" xfId="33093"/>
    <cellStyle name="Normal 18 2 5 2 6" xfId="25082"/>
    <cellStyle name="Normal 18 2 5 3" xfId="13044"/>
    <cellStyle name="Normal 18 2 5 3 2" xfId="21069"/>
    <cellStyle name="Normal 18 2 5 3 2 2" xfId="35094"/>
    <cellStyle name="Normal 18 2 5 3 3" xfId="27083"/>
    <cellStyle name="Normal 18 2 5 4" xfId="15059"/>
    <cellStyle name="Normal 18 2 5 4 2" xfId="23074"/>
    <cellStyle name="Normal 18 2 5 4 2 2" xfId="37099"/>
    <cellStyle name="Normal 18 2 5 4 3" xfId="29088"/>
    <cellStyle name="Normal 18 2 5 5" xfId="17065"/>
    <cellStyle name="Normal 18 2 5 5 2" xfId="31090"/>
    <cellStyle name="Normal 18 2 5 6" xfId="19067"/>
    <cellStyle name="Normal 18 2 5 6 2" xfId="33092"/>
    <cellStyle name="Normal 18 2 5 7" xfId="25081"/>
    <cellStyle name="Normal 18 2 6" xfId="2445"/>
    <cellStyle name="Normal 18 2 6 2" xfId="13046"/>
    <cellStyle name="Normal 18 2 6 2 2" xfId="21071"/>
    <cellStyle name="Normal 18 2 6 2 2 2" xfId="35096"/>
    <cellStyle name="Normal 18 2 6 2 3" xfId="27085"/>
    <cellStyle name="Normal 18 2 6 3" xfId="15061"/>
    <cellStyle name="Normal 18 2 6 3 2" xfId="23076"/>
    <cellStyle name="Normal 18 2 6 3 2 2" xfId="37101"/>
    <cellStyle name="Normal 18 2 6 3 3" xfId="29090"/>
    <cellStyle name="Normal 18 2 6 4" xfId="17067"/>
    <cellStyle name="Normal 18 2 6 4 2" xfId="31092"/>
    <cellStyle name="Normal 18 2 6 5" xfId="19069"/>
    <cellStyle name="Normal 18 2 6 5 2" xfId="33094"/>
    <cellStyle name="Normal 18 2 6 6" xfId="25083"/>
    <cellStyle name="Normal 18 2 7" xfId="13027"/>
    <cellStyle name="Normal 18 2 7 2" xfId="21052"/>
    <cellStyle name="Normal 18 2 7 2 2" xfId="35077"/>
    <cellStyle name="Normal 18 2 7 3" xfId="27066"/>
    <cellStyle name="Normal 18 2 8" xfId="15042"/>
    <cellStyle name="Normal 18 2 8 2" xfId="23057"/>
    <cellStyle name="Normal 18 2 8 2 2" xfId="37082"/>
    <cellStyle name="Normal 18 2 8 3" xfId="29071"/>
    <cellStyle name="Normal 18 2 9" xfId="17048"/>
    <cellStyle name="Normal 18 2 9 2" xfId="31073"/>
    <cellStyle name="Normal 18 3" xfId="2446"/>
    <cellStyle name="Normal 18 3 10" xfId="25084"/>
    <cellStyle name="Normal 18 3 2" xfId="2447"/>
    <cellStyle name="Normal 18 3 2 2" xfId="2448"/>
    <cellStyle name="Normal 18 3 2 2 2" xfId="2449"/>
    <cellStyle name="Normal 18 3 2 2 2 2" xfId="13050"/>
    <cellStyle name="Normal 18 3 2 2 2 2 2" xfId="21075"/>
    <cellStyle name="Normal 18 3 2 2 2 2 2 2" xfId="35100"/>
    <cellStyle name="Normal 18 3 2 2 2 2 3" xfId="27089"/>
    <cellStyle name="Normal 18 3 2 2 2 3" xfId="15065"/>
    <cellStyle name="Normal 18 3 2 2 2 3 2" xfId="23080"/>
    <cellStyle name="Normal 18 3 2 2 2 3 2 2" xfId="37105"/>
    <cellStyle name="Normal 18 3 2 2 2 3 3" xfId="29094"/>
    <cellStyle name="Normal 18 3 2 2 2 4" xfId="17071"/>
    <cellStyle name="Normal 18 3 2 2 2 4 2" xfId="31096"/>
    <cellStyle name="Normal 18 3 2 2 2 5" xfId="19073"/>
    <cellStyle name="Normal 18 3 2 2 2 5 2" xfId="33098"/>
    <cellStyle name="Normal 18 3 2 2 2 6" xfId="25087"/>
    <cellStyle name="Normal 18 3 2 2 3" xfId="13049"/>
    <cellStyle name="Normal 18 3 2 2 3 2" xfId="21074"/>
    <cellStyle name="Normal 18 3 2 2 3 2 2" xfId="35099"/>
    <cellStyle name="Normal 18 3 2 2 3 3" xfId="27088"/>
    <cellStyle name="Normal 18 3 2 2 4" xfId="15064"/>
    <cellStyle name="Normal 18 3 2 2 4 2" xfId="23079"/>
    <cellStyle name="Normal 18 3 2 2 4 2 2" xfId="37104"/>
    <cellStyle name="Normal 18 3 2 2 4 3" xfId="29093"/>
    <cellStyle name="Normal 18 3 2 2 5" xfId="17070"/>
    <cellStyle name="Normal 18 3 2 2 5 2" xfId="31095"/>
    <cellStyle name="Normal 18 3 2 2 6" xfId="19072"/>
    <cellStyle name="Normal 18 3 2 2 6 2" xfId="33097"/>
    <cellStyle name="Normal 18 3 2 2 7" xfId="25086"/>
    <cellStyle name="Normal 18 3 2 3" xfId="2450"/>
    <cellStyle name="Normal 18 3 2 3 2" xfId="13051"/>
    <cellStyle name="Normal 18 3 2 3 2 2" xfId="21076"/>
    <cellStyle name="Normal 18 3 2 3 2 2 2" xfId="35101"/>
    <cellStyle name="Normal 18 3 2 3 2 3" xfId="27090"/>
    <cellStyle name="Normal 18 3 2 3 3" xfId="15066"/>
    <cellStyle name="Normal 18 3 2 3 3 2" xfId="23081"/>
    <cellStyle name="Normal 18 3 2 3 3 2 2" xfId="37106"/>
    <cellStyle name="Normal 18 3 2 3 3 3" xfId="29095"/>
    <cellStyle name="Normal 18 3 2 3 4" xfId="17072"/>
    <cellStyle name="Normal 18 3 2 3 4 2" xfId="31097"/>
    <cellStyle name="Normal 18 3 2 3 5" xfId="19074"/>
    <cellStyle name="Normal 18 3 2 3 5 2" xfId="33099"/>
    <cellStyle name="Normal 18 3 2 3 6" xfId="25088"/>
    <cellStyle name="Normal 18 3 2 4" xfId="13048"/>
    <cellStyle name="Normal 18 3 2 4 2" xfId="21073"/>
    <cellStyle name="Normal 18 3 2 4 2 2" xfId="35098"/>
    <cellStyle name="Normal 18 3 2 4 3" xfId="27087"/>
    <cellStyle name="Normal 18 3 2 5" xfId="15063"/>
    <cellStyle name="Normal 18 3 2 5 2" xfId="23078"/>
    <cellStyle name="Normal 18 3 2 5 2 2" xfId="37103"/>
    <cellStyle name="Normal 18 3 2 5 3" xfId="29092"/>
    <cellStyle name="Normal 18 3 2 6" xfId="17069"/>
    <cellStyle name="Normal 18 3 2 6 2" xfId="31094"/>
    <cellStyle name="Normal 18 3 2 7" xfId="19071"/>
    <cellStyle name="Normal 18 3 2 7 2" xfId="33096"/>
    <cellStyle name="Normal 18 3 2 8" xfId="25085"/>
    <cellStyle name="Normal 18 3 3" xfId="2451"/>
    <cellStyle name="Normal 18 3 3 2" xfId="2452"/>
    <cellStyle name="Normal 18 3 3 2 2" xfId="13053"/>
    <cellStyle name="Normal 18 3 3 2 2 2" xfId="21078"/>
    <cellStyle name="Normal 18 3 3 2 2 2 2" xfId="35103"/>
    <cellStyle name="Normal 18 3 3 2 2 3" xfId="27092"/>
    <cellStyle name="Normal 18 3 3 2 3" xfId="15068"/>
    <cellStyle name="Normal 18 3 3 2 3 2" xfId="23083"/>
    <cellStyle name="Normal 18 3 3 2 3 2 2" xfId="37108"/>
    <cellStyle name="Normal 18 3 3 2 3 3" xfId="29097"/>
    <cellStyle name="Normal 18 3 3 2 4" xfId="17074"/>
    <cellStyle name="Normal 18 3 3 2 4 2" xfId="31099"/>
    <cellStyle name="Normal 18 3 3 2 5" xfId="19076"/>
    <cellStyle name="Normal 18 3 3 2 5 2" xfId="33101"/>
    <cellStyle name="Normal 18 3 3 2 6" xfId="25090"/>
    <cellStyle name="Normal 18 3 3 3" xfId="13052"/>
    <cellStyle name="Normal 18 3 3 3 2" xfId="21077"/>
    <cellStyle name="Normal 18 3 3 3 2 2" xfId="35102"/>
    <cellStyle name="Normal 18 3 3 3 3" xfId="27091"/>
    <cellStyle name="Normal 18 3 3 4" xfId="15067"/>
    <cellStyle name="Normal 18 3 3 4 2" xfId="23082"/>
    <cellStyle name="Normal 18 3 3 4 2 2" xfId="37107"/>
    <cellStyle name="Normal 18 3 3 4 3" xfId="29096"/>
    <cellStyle name="Normal 18 3 3 5" xfId="17073"/>
    <cellStyle name="Normal 18 3 3 5 2" xfId="31098"/>
    <cellStyle name="Normal 18 3 3 6" xfId="19075"/>
    <cellStyle name="Normal 18 3 3 6 2" xfId="33100"/>
    <cellStyle name="Normal 18 3 3 7" xfId="25089"/>
    <cellStyle name="Normal 18 3 4" xfId="2453"/>
    <cellStyle name="Normal 18 3 4 2" xfId="2454"/>
    <cellStyle name="Normal 18 3 4 2 2" xfId="13055"/>
    <cellStyle name="Normal 18 3 4 2 2 2" xfId="21080"/>
    <cellStyle name="Normal 18 3 4 2 2 2 2" xfId="35105"/>
    <cellStyle name="Normal 18 3 4 2 2 3" xfId="27094"/>
    <cellStyle name="Normal 18 3 4 2 3" xfId="15070"/>
    <cellStyle name="Normal 18 3 4 2 3 2" xfId="23085"/>
    <cellStyle name="Normal 18 3 4 2 3 2 2" xfId="37110"/>
    <cellStyle name="Normal 18 3 4 2 3 3" xfId="29099"/>
    <cellStyle name="Normal 18 3 4 2 4" xfId="17076"/>
    <cellStyle name="Normal 18 3 4 2 4 2" xfId="31101"/>
    <cellStyle name="Normal 18 3 4 2 5" xfId="19078"/>
    <cellStyle name="Normal 18 3 4 2 5 2" xfId="33103"/>
    <cellStyle name="Normal 18 3 4 2 6" xfId="25092"/>
    <cellStyle name="Normal 18 3 4 3" xfId="13054"/>
    <cellStyle name="Normal 18 3 4 3 2" xfId="21079"/>
    <cellStyle name="Normal 18 3 4 3 2 2" xfId="35104"/>
    <cellStyle name="Normal 18 3 4 3 3" xfId="27093"/>
    <cellStyle name="Normal 18 3 4 4" xfId="15069"/>
    <cellStyle name="Normal 18 3 4 4 2" xfId="23084"/>
    <cellStyle name="Normal 18 3 4 4 2 2" xfId="37109"/>
    <cellStyle name="Normal 18 3 4 4 3" xfId="29098"/>
    <cellStyle name="Normal 18 3 4 5" xfId="17075"/>
    <cellStyle name="Normal 18 3 4 5 2" xfId="31100"/>
    <cellStyle name="Normal 18 3 4 6" xfId="19077"/>
    <cellStyle name="Normal 18 3 4 6 2" xfId="33102"/>
    <cellStyle name="Normal 18 3 4 7" xfId="25091"/>
    <cellStyle name="Normal 18 3 5" xfId="2455"/>
    <cellStyle name="Normal 18 3 5 2" xfId="13056"/>
    <cellStyle name="Normal 18 3 5 2 2" xfId="21081"/>
    <cellStyle name="Normal 18 3 5 2 2 2" xfId="35106"/>
    <cellStyle name="Normal 18 3 5 2 3" xfId="27095"/>
    <cellStyle name="Normal 18 3 5 3" xfId="15071"/>
    <cellStyle name="Normal 18 3 5 3 2" xfId="23086"/>
    <cellStyle name="Normal 18 3 5 3 2 2" xfId="37111"/>
    <cellStyle name="Normal 18 3 5 3 3" xfId="29100"/>
    <cellStyle name="Normal 18 3 5 4" xfId="17077"/>
    <cellStyle name="Normal 18 3 5 4 2" xfId="31102"/>
    <cellStyle name="Normal 18 3 5 5" xfId="19079"/>
    <cellStyle name="Normal 18 3 5 5 2" xfId="33104"/>
    <cellStyle name="Normal 18 3 5 6" xfId="25093"/>
    <cellStyle name="Normal 18 3 6" xfId="13047"/>
    <cellStyle name="Normal 18 3 6 2" xfId="21072"/>
    <cellStyle name="Normal 18 3 6 2 2" xfId="35097"/>
    <cellStyle name="Normal 18 3 6 3" xfId="27086"/>
    <cellStyle name="Normal 18 3 7" xfId="15062"/>
    <cellStyle name="Normal 18 3 7 2" xfId="23077"/>
    <cellStyle name="Normal 18 3 7 2 2" xfId="37102"/>
    <cellStyle name="Normal 18 3 7 3" xfId="29091"/>
    <cellStyle name="Normal 18 3 8" xfId="17068"/>
    <cellStyle name="Normal 18 3 8 2" xfId="31093"/>
    <cellStyle name="Normal 18 3 9" xfId="19070"/>
    <cellStyle name="Normal 18 3 9 2" xfId="33095"/>
    <cellStyle name="Normal 18 4" xfId="2456"/>
    <cellStyle name="Normal 18 4 2" xfId="2457"/>
    <cellStyle name="Normal 18 4 2 2" xfId="2458"/>
    <cellStyle name="Normal 18 4 2 2 2" xfId="13059"/>
    <cellStyle name="Normal 18 4 2 2 2 2" xfId="21084"/>
    <cellStyle name="Normal 18 4 2 2 2 2 2" xfId="35109"/>
    <cellStyle name="Normal 18 4 2 2 2 3" xfId="27098"/>
    <cellStyle name="Normal 18 4 2 2 3" xfId="15074"/>
    <cellStyle name="Normal 18 4 2 2 3 2" xfId="23089"/>
    <cellStyle name="Normal 18 4 2 2 3 2 2" xfId="37114"/>
    <cellStyle name="Normal 18 4 2 2 3 3" xfId="29103"/>
    <cellStyle name="Normal 18 4 2 2 4" xfId="17080"/>
    <cellStyle name="Normal 18 4 2 2 4 2" xfId="31105"/>
    <cellStyle name="Normal 18 4 2 2 5" xfId="19082"/>
    <cellStyle name="Normal 18 4 2 2 5 2" xfId="33107"/>
    <cellStyle name="Normal 18 4 2 2 6" xfId="25096"/>
    <cellStyle name="Normal 18 4 2 3" xfId="13058"/>
    <cellStyle name="Normal 18 4 2 3 2" xfId="21083"/>
    <cellStyle name="Normal 18 4 2 3 2 2" xfId="35108"/>
    <cellStyle name="Normal 18 4 2 3 3" xfId="27097"/>
    <cellStyle name="Normal 18 4 2 4" xfId="15073"/>
    <cellStyle name="Normal 18 4 2 4 2" xfId="23088"/>
    <cellStyle name="Normal 18 4 2 4 2 2" xfId="37113"/>
    <cellStyle name="Normal 18 4 2 4 3" xfId="29102"/>
    <cellStyle name="Normal 18 4 2 5" xfId="17079"/>
    <cellStyle name="Normal 18 4 2 5 2" xfId="31104"/>
    <cellStyle name="Normal 18 4 2 6" xfId="19081"/>
    <cellStyle name="Normal 18 4 2 6 2" xfId="33106"/>
    <cellStyle name="Normal 18 4 2 7" xfId="25095"/>
    <cellStyle name="Normal 18 4 3" xfId="2459"/>
    <cellStyle name="Normal 18 4 3 2" xfId="13060"/>
    <cellStyle name="Normal 18 4 3 2 2" xfId="21085"/>
    <cellStyle name="Normal 18 4 3 2 2 2" xfId="35110"/>
    <cellStyle name="Normal 18 4 3 2 3" xfId="27099"/>
    <cellStyle name="Normal 18 4 3 3" xfId="15075"/>
    <cellStyle name="Normal 18 4 3 3 2" xfId="23090"/>
    <cellStyle name="Normal 18 4 3 3 2 2" xfId="37115"/>
    <cellStyle name="Normal 18 4 3 3 3" xfId="29104"/>
    <cellStyle name="Normal 18 4 3 4" xfId="17081"/>
    <cellStyle name="Normal 18 4 3 4 2" xfId="31106"/>
    <cellStyle name="Normal 18 4 3 5" xfId="19083"/>
    <cellStyle name="Normal 18 4 3 5 2" xfId="33108"/>
    <cellStyle name="Normal 18 4 3 6" xfId="25097"/>
    <cellStyle name="Normal 18 4 4" xfId="13057"/>
    <cellStyle name="Normal 18 4 4 2" xfId="21082"/>
    <cellStyle name="Normal 18 4 4 2 2" xfId="35107"/>
    <cellStyle name="Normal 18 4 4 3" xfId="27096"/>
    <cellStyle name="Normal 18 4 5" xfId="15072"/>
    <cellStyle name="Normal 18 4 5 2" xfId="23087"/>
    <cellStyle name="Normal 18 4 5 2 2" xfId="37112"/>
    <cellStyle name="Normal 18 4 5 3" xfId="29101"/>
    <cellStyle name="Normal 18 4 6" xfId="17078"/>
    <cellStyle name="Normal 18 4 6 2" xfId="31103"/>
    <cellStyle name="Normal 18 4 7" xfId="19080"/>
    <cellStyle name="Normal 18 4 7 2" xfId="33105"/>
    <cellStyle name="Normal 18 4 8" xfId="25094"/>
    <cellStyle name="Normal 18 5" xfId="2460"/>
    <cellStyle name="Normal 18 5 2" xfId="2461"/>
    <cellStyle name="Normal 18 5 2 2" xfId="13062"/>
    <cellStyle name="Normal 18 5 2 2 2" xfId="21087"/>
    <cellStyle name="Normal 18 5 2 2 2 2" xfId="35112"/>
    <cellStyle name="Normal 18 5 2 2 3" xfId="27101"/>
    <cellStyle name="Normal 18 5 2 3" xfId="15077"/>
    <cellStyle name="Normal 18 5 2 3 2" xfId="23092"/>
    <cellStyle name="Normal 18 5 2 3 2 2" xfId="37117"/>
    <cellStyle name="Normal 18 5 2 3 3" xfId="29106"/>
    <cellStyle name="Normal 18 5 2 4" xfId="17083"/>
    <cellStyle name="Normal 18 5 2 4 2" xfId="31108"/>
    <cellStyle name="Normal 18 5 2 5" xfId="19085"/>
    <cellStyle name="Normal 18 5 2 5 2" xfId="33110"/>
    <cellStyle name="Normal 18 5 2 6" xfId="25099"/>
    <cellStyle name="Normal 18 5 3" xfId="13061"/>
    <cellStyle name="Normal 18 5 3 2" xfId="21086"/>
    <cellStyle name="Normal 18 5 3 2 2" xfId="35111"/>
    <cellStyle name="Normal 18 5 3 3" xfId="27100"/>
    <cellStyle name="Normal 18 5 4" xfId="15076"/>
    <cellStyle name="Normal 18 5 4 2" xfId="23091"/>
    <cellStyle name="Normal 18 5 4 2 2" xfId="37116"/>
    <cellStyle name="Normal 18 5 4 3" xfId="29105"/>
    <cellStyle name="Normal 18 5 5" xfId="17082"/>
    <cellStyle name="Normal 18 5 5 2" xfId="31107"/>
    <cellStyle name="Normal 18 5 6" xfId="19084"/>
    <cellStyle name="Normal 18 5 6 2" xfId="33109"/>
    <cellStyle name="Normal 18 5 7" xfId="25098"/>
    <cellStyle name="Normal 18 6" xfId="2462"/>
    <cellStyle name="Normal 18 6 2" xfId="2463"/>
    <cellStyle name="Normal 18 6 2 2" xfId="13064"/>
    <cellStyle name="Normal 18 6 2 2 2" xfId="21089"/>
    <cellStyle name="Normal 18 6 2 2 2 2" xfId="35114"/>
    <cellStyle name="Normal 18 6 2 2 3" xfId="27103"/>
    <cellStyle name="Normal 18 6 2 3" xfId="15079"/>
    <cellStyle name="Normal 18 6 2 3 2" xfId="23094"/>
    <cellStyle name="Normal 18 6 2 3 2 2" xfId="37119"/>
    <cellStyle name="Normal 18 6 2 3 3" xfId="29108"/>
    <cellStyle name="Normal 18 6 2 4" xfId="17085"/>
    <cellStyle name="Normal 18 6 2 4 2" xfId="31110"/>
    <cellStyle name="Normal 18 6 2 5" xfId="19087"/>
    <cellStyle name="Normal 18 6 2 5 2" xfId="33112"/>
    <cellStyle name="Normal 18 6 2 6" xfId="25101"/>
    <cellStyle name="Normal 18 6 3" xfId="13063"/>
    <cellStyle name="Normal 18 6 3 2" xfId="21088"/>
    <cellStyle name="Normal 18 6 3 2 2" xfId="35113"/>
    <cellStyle name="Normal 18 6 3 3" xfId="27102"/>
    <cellStyle name="Normal 18 6 4" xfId="15078"/>
    <cellStyle name="Normal 18 6 4 2" xfId="23093"/>
    <cellStyle name="Normal 18 6 4 2 2" xfId="37118"/>
    <cellStyle name="Normal 18 6 4 3" xfId="29107"/>
    <cellStyle name="Normal 18 6 5" xfId="17084"/>
    <cellStyle name="Normal 18 6 5 2" xfId="31109"/>
    <cellStyle name="Normal 18 6 6" xfId="19086"/>
    <cellStyle name="Normal 18 6 6 2" xfId="33111"/>
    <cellStyle name="Normal 18 6 7" xfId="25100"/>
    <cellStyle name="Normal 18 7" xfId="2464"/>
    <cellStyle name="Normal 18 7 2" xfId="13065"/>
    <cellStyle name="Normal 18 7 2 2" xfId="21090"/>
    <cellStyle name="Normal 18 7 2 2 2" xfId="35115"/>
    <cellStyle name="Normal 18 7 2 3" xfId="27104"/>
    <cellStyle name="Normal 18 7 3" xfId="15080"/>
    <cellStyle name="Normal 18 7 3 2" xfId="23095"/>
    <cellStyle name="Normal 18 7 3 2 2" xfId="37120"/>
    <cellStyle name="Normal 18 7 3 3" xfId="29109"/>
    <cellStyle name="Normal 18 7 4" xfId="17086"/>
    <cellStyle name="Normal 18 7 4 2" xfId="31111"/>
    <cellStyle name="Normal 18 7 5" xfId="19088"/>
    <cellStyle name="Normal 18 7 5 2" xfId="33113"/>
    <cellStyle name="Normal 18 7 6" xfId="25102"/>
    <cellStyle name="Normal 18 8" xfId="11633"/>
    <cellStyle name="Normal 18 8 2" xfId="19664"/>
    <cellStyle name="Normal 18 8 2 2" xfId="33689"/>
    <cellStyle name="Normal 18 8 3" xfId="25678"/>
    <cellStyle name="Normal 18 9" xfId="13654"/>
    <cellStyle name="Normal 18 9 2" xfId="21669"/>
    <cellStyle name="Normal 18 9 2 2" xfId="35694"/>
    <cellStyle name="Normal 18 9 3" xfId="27683"/>
    <cellStyle name="Normal 19" xfId="501"/>
    <cellStyle name="Normal 19 2" xfId="11634"/>
    <cellStyle name="Normal 19 2 2" xfId="19665"/>
    <cellStyle name="Normal 19 2 2 2" xfId="33690"/>
    <cellStyle name="Normal 19 2 3" xfId="25679"/>
    <cellStyle name="Normal 19 3" xfId="13655"/>
    <cellStyle name="Normal 19 3 2" xfId="21670"/>
    <cellStyle name="Normal 19 3 2 2" xfId="35695"/>
    <cellStyle name="Normal 19 3 3" xfId="27684"/>
    <cellStyle name="Normal 19 4" xfId="15661"/>
    <cellStyle name="Normal 19 4 2" xfId="29686"/>
    <cellStyle name="Normal 19 5" xfId="17663"/>
    <cellStyle name="Normal 19 5 2" xfId="31688"/>
    <cellStyle name="Normal 19 6" xfId="23677"/>
    <cellStyle name="Normal 2" xfId="502"/>
    <cellStyle name="Normal 2 2" xfId="503"/>
    <cellStyle name="Normal 2 2 2" xfId="504"/>
    <cellStyle name="Normal 2 2 2 2" xfId="2465"/>
    <cellStyle name="Normal 2 2 2 2 2" xfId="2466"/>
    <cellStyle name="Normal 2 2 3" xfId="11268"/>
    <cellStyle name="Normal 2 2 3 2" xfId="13637"/>
    <cellStyle name="Normal 2 2 3 2 2" xfId="21659"/>
    <cellStyle name="Normal 2 2 3 2 2 2" xfId="35684"/>
    <cellStyle name="Normal 2 2 3 2 3" xfId="27673"/>
    <cellStyle name="Normal 2 2 3 3" xfId="15647"/>
    <cellStyle name="Normal 2 2 3 3 2" xfId="23662"/>
    <cellStyle name="Normal 2 2 3 3 2 2" xfId="37687"/>
    <cellStyle name="Normal 2 2 3 3 3" xfId="29676"/>
    <cellStyle name="Normal 2 2 3 4" xfId="17653"/>
    <cellStyle name="Normal 2 2 3 4 2" xfId="31678"/>
    <cellStyle name="Normal 2 2 3 5" xfId="19655"/>
    <cellStyle name="Normal 2 2 3 5 2" xfId="33680"/>
    <cellStyle name="Normal 2 2 3 6" xfId="25669"/>
    <cellStyle name="Normal 2 2_1 - ADIT" xfId="505"/>
    <cellStyle name="Normal 2 3" xfId="506"/>
    <cellStyle name="Normal 2 3 2" xfId="507"/>
    <cellStyle name="Normal 2 4" xfId="508"/>
    <cellStyle name="Normal 2 5" xfId="2467"/>
    <cellStyle name="Normal 2 5 10" xfId="17087"/>
    <cellStyle name="Normal 2 5 10 2" xfId="31112"/>
    <cellStyle name="Normal 2 5 11" xfId="19089"/>
    <cellStyle name="Normal 2 5 11 2" xfId="33114"/>
    <cellStyle name="Normal 2 5 12" xfId="25103"/>
    <cellStyle name="Normal 2 5 2" xfId="2468"/>
    <cellStyle name="Normal 2 5 2 10" xfId="19090"/>
    <cellStyle name="Normal 2 5 2 10 2" xfId="33115"/>
    <cellStyle name="Normal 2 5 2 11" xfId="25104"/>
    <cellStyle name="Normal 2 5 2 2" xfId="2469"/>
    <cellStyle name="Normal 2 5 2 2 10" xfId="25105"/>
    <cellStyle name="Normal 2 5 2 2 2" xfId="2470"/>
    <cellStyle name="Normal 2 5 2 2 2 2" xfId="2471"/>
    <cellStyle name="Normal 2 5 2 2 2 2 2" xfId="2472"/>
    <cellStyle name="Normal 2 5 2 2 2 2 2 2" xfId="13071"/>
    <cellStyle name="Normal 2 5 2 2 2 2 2 2 2" xfId="21096"/>
    <cellStyle name="Normal 2 5 2 2 2 2 2 2 2 2" xfId="35121"/>
    <cellStyle name="Normal 2 5 2 2 2 2 2 2 3" xfId="27110"/>
    <cellStyle name="Normal 2 5 2 2 2 2 2 3" xfId="15086"/>
    <cellStyle name="Normal 2 5 2 2 2 2 2 3 2" xfId="23101"/>
    <cellStyle name="Normal 2 5 2 2 2 2 2 3 2 2" xfId="37126"/>
    <cellStyle name="Normal 2 5 2 2 2 2 2 3 3" xfId="29115"/>
    <cellStyle name="Normal 2 5 2 2 2 2 2 4" xfId="17092"/>
    <cellStyle name="Normal 2 5 2 2 2 2 2 4 2" xfId="31117"/>
    <cellStyle name="Normal 2 5 2 2 2 2 2 5" xfId="19094"/>
    <cellStyle name="Normal 2 5 2 2 2 2 2 5 2" xfId="33119"/>
    <cellStyle name="Normal 2 5 2 2 2 2 2 6" xfId="25108"/>
    <cellStyle name="Normal 2 5 2 2 2 2 3" xfId="13070"/>
    <cellStyle name="Normal 2 5 2 2 2 2 3 2" xfId="21095"/>
    <cellStyle name="Normal 2 5 2 2 2 2 3 2 2" xfId="35120"/>
    <cellStyle name="Normal 2 5 2 2 2 2 3 3" xfId="27109"/>
    <cellStyle name="Normal 2 5 2 2 2 2 4" xfId="15085"/>
    <cellStyle name="Normal 2 5 2 2 2 2 4 2" xfId="23100"/>
    <cellStyle name="Normal 2 5 2 2 2 2 4 2 2" xfId="37125"/>
    <cellStyle name="Normal 2 5 2 2 2 2 4 3" xfId="29114"/>
    <cellStyle name="Normal 2 5 2 2 2 2 5" xfId="17091"/>
    <cellStyle name="Normal 2 5 2 2 2 2 5 2" xfId="31116"/>
    <cellStyle name="Normal 2 5 2 2 2 2 6" xfId="19093"/>
    <cellStyle name="Normal 2 5 2 2 2 2 6 2" xfId="33118"/>
    <cellStyle name="Normal 2 5 2 2 2 2 7" xfId="25107"/>
    <cellStyle name="Normal 2 5 2 2 2 3" xfId="2473"/>
    <cellStyle name="Normal 2 5 2 2 2 3 2" xfId="13072"/>
    <cellStyle name="Normal 2 5 2 2 2 3 2 2" xfId="21097"/>
    <cellStyle name="Normal 2 5 2 2 2 3 2 2 2" xfId="35122"/>
    <cellStyle name="Normal 2 5 2 2 2 3 2 3" xfId="27111"/>
    <cellStyle name="Normal 2 5 2 2 2 3 3" xfId="15087"/>
    <cellStyle name="Normal 2 5 2 2 2 3 3 2" xfId="23102"/>
    <cellStyle name="Normal 2 5 2 2 2 3 3 2 2" xfId="37127"/>
    <cellStyle name="Normal 2 5 2 2 2 3 3 3" xfId="29116"/>
    <cellStyle name="Normal 2 5 2 2 2 3 4" xfId="17093"/>
    <cellStyle name="Normal 2 5 2 2 2 3 4 2" xfId="31118"/>
    <cellStyle name="Normal 2 5 2 2 2 3 5" xfId="19095"/>
    <cellStyle name="Normal 2 5 2 2 2 3 5 2" xfId="33120"/>
    <cellStyle name="Normal 2 5 2 2 2 3 6" xfId="25109"/>
    <cellStyle name="Normal 2 5 2 2 2 4" xfId="13069"/>
    <cellStyle name="Normal 2 5 2 2 2 4 2" xfId="21094"/>
    <cellStyle name="Normal 2 5 2 2 2 4 2 2" xfId="35119"/>
    <cellStyle name="Normal 2 5 2 2 2 4 3" xfId="27108"/>
    <cellStyle name="Normal 2 5 2 2 2 5" xfId="15084"/>
    <cellStyle name="Normal 2 5 2 2 2 5 2" xfId="23099"/>
    <cellStyle name="Normal 2 5 2 2 2 5 2 2" xfId="37124"/>
    <cellStyle name="Normal 2 5 2 2 2 5 3" xfId="29113"/>
    <cellStyle name="Normal 2 5 2 2 2 6" xfId="17090"/>
    <cellStyle name="Normal 2 5 2 2 2 6 2" xfId="31115"/>
    <cellStyle name="Normal 2 5 2 2 2 7" xfId="19092"/>
    <cellStyle name="Normal 2 5 2 2 2 7 2" xfId="33117"/>
    <cellStyle name="Normal 2 5 2 2 2 8" xfId="25106"/>
    <cellStyle name="Normal 2 5 2 2 3" xfId="2474"/>
    <cellStyle name="Normal 2 5 2 2 3 2" xfId="2475"/>
    <cellStyle name="Normal 2 5 2 2 3 2 2" xfId="13074"/>
    <cellStyle name="Normal 2 5 2 2 3 2 2 2" xfId="21099"/>
    <cellStyle name="Normal 2 5 2 2 3 2 2 2 2" xfId="35124"/>
    <cellStyle name="Normal 2 5 2 2 3 2 2 3" xfId="27113"/>
    <cellStyle name="Normal 2 5 2 2 3 2 3" xfId="15089"/>
    <cellStyle name="Normal 2 5 2 2 3 2 3 2" xfId="23104"/>
    <cellStyle name="Normal 2 5 2 2 3 2 3 2 2" xfId="37129"/>
    <cellStyle name="Normal 2 5 2 2 3 2 3 3" xfId="29118"/>
    <cellStyle name="Normal 2 5 2 2 3 2 4" xfId="17095"/>
    <cellStyle name="Normal 2 5 2 2 3 2 4 2" xfId="31120"/>
    <cellStyle name="Normal 2 5 2 2 3 2 5" xfId="19097"/>
    <cellStyle name="Normal 2 5 2 2 3 2 5 2" xfId="33122"/>
    <cellStyle name="Normal 2 5 2 2 3 2 6" xfId="25111"/>
    <cellStyle name="Normal 2 5 2 2 3 3" xfId="13073"/>
    <cellStyle name="Normal 2 5 2 2 3 3 2" xfId="21098"/>
    <cellStyle name="Normal 2 5 2 2 3 3 2 2" xfId="35123"/>
    <cellStyle name="Normal 2 5 2 2 3 3 3" xfId="27112"/>
    <cellStyle name="Normal 2 5 2 2 3 4" xfId="15088"/>
    <cellStyle name="Normal 2 5 2 2 3 4 2" xfId="23103"/>
    <cellStyle name="Normal 2 5 2 2 3 4 2 2" xfId="37128"/>
    <cellStyle name="Normal 2 5 2 2 3 4 3" xfId="29117"/>
    <cellStyle name="Normal 2 5 2 2 3 5" xfId="17094"/>
    <cellStyle name="Normal 2 5 2 2 3 5 2" xfId="31119"/>
    <cellStyle name="Normal 2 5 2 2 3 6" xfId="19096"/>
    <cellStyle name="Normal 2 5 2 2 3 6 2" xfId="33121"/>
    <cellStyle name="Normal 2 5 2 2 3 7" xfId="25110"/>
    <cellStyle name="Normal 2 5 2 2 4" xfId="2476"/>
    <cellStyle name="Normal 2 5 2 2 4 2" xfId="2477"/>
    <cellStyle name="Normal 2 5 2 2 4 2 2" xfId="13076"/>
    <cellStyle name="Normal 2 5 2 2 4 2 2 2" xfId="21101"/>
    <cellStyle name="Normal 2 5 2 2 4 2 2 2 2" xfId="35126"/>
    <cellStyle name="Normal 2 5 2 2 4 2 2 3" xfId="27115"/>
    <cellStyle name="Normal 2 5 2 2 4 2 3" xfId="15091"/>
    <cellStyle name="Normal 2 5 2 2 4 2 3 2" xfId="23106"/>
    <cellStyle name="Normal 2 5 2 2 4 2 3 2 2" xfId="37131"/>
    <cellStyle name="Normal 2 5 2 2 4 2 3 3" xfId="29120"/>
    <cellStyle name="Normal 2 5 2 2 4 2 4" xfId="17097"/>
    <cellStyle name="Normal 2 5 2 2 4 2 4 2" xfId="31122"/>
    <cellStyle name="Normal 2 5 2 2 4 2 5" xfId="19099"/>
    <cellStyle name="Normal 2 5 2 2 4 2 5 2" xfId="33124"/>
    <cellStyle name="Normal 2 5 2 2 4 2 6" xfId="25113"/>
    <cellStyle name="Normal 2 5 2 2 4 3" xfId="13075"/>
    <cellStyle name="Normal 2 5 2 2 4 3 2" xfId="21100"/>
    <cellStyle name="Normal 2 5 2 2 4 3 2 2" xfId="35125"/>
    <cellStyle name="Normal 2 5 2 2 4 3 3" xfId="27114"/>
    <cellStyle name="Normal 2 5 2 2 4 4" xfId="15090"/>
    <cellStyle name="Normal 2 5 2 2 4 4 2" xfId="23105"/>
    <cellStyle name="Normal 2 5 2 2 4 4 2 2" xfId="37130"/>
    <cellStyle name="Normal 2 5 2 2 4 4 3" xfId="29119"/>
    <cellStyle name="Normal 2 5 2 2 4 5" xfId="17096"/>
    <cellStyle name="Normal 2 5 2 2 4 5 2" xfId="31121"/>
    <cellStyle name="Normal 2 5 2 2 4 6" xfId="19098"/>
    <cellStyle name="Normal 2 5 2 2 4 6 2" xfId="33123"/>
    <cellStyle name="Normal 2 5 2 2 4 7" xfId="25112"/>
    <cellStyle name="Normal 2 5 2 2 5" xfId="2478"/>
    <cellStyle name="Normal 2 5 2 2 5 2" xfId="13077"/>
    <cellStyle name="Normal 2 5 2 2 5 2 2" xfId="21102"/>
    <cellStyle name="Normal 2 5 2 2 5 2 2 2" xfId="35127"/>
    <cellStyle name="Normal 2 5 2 2 5 2 3" xfId="27116"/>
    <cellStyle name="Normal 2 5 2 2 5 3" xfId="15092"/>
    <cellStyle name="Normal 2 5 2 2 5 3 2" xfId="23107"/>
    <cellStyle name="Normal 2 5 2 2 5 3 2 2" xfId="37132"/>
    <cellStyle name="Normal 2 5 2 2 5 3 3" xfId="29121"/>
    <cellStyle name="Normal 2 5 2 2 5 4" xfId="17098"/>
    <cellStyle name="Normal 2 5 2 2 5 4 2" xfId="31123"/>
    <cellStyle name="Normal 2 5 2 2 5 5" xfId="19100"/>
    <cellStyle name="Normal 2 5 2 2 5 5 2" xfId="33125"/>
    <cellStyle name="Normal 2 5 2 2 5 6" xfId="25114"/>
    <cellStyle name="Normal 2 5 2 2 6" xfId="13068"/>
    <cellStyle name="Normal 2 5 2 2 6 2" xfId="21093"/>
    <cellStyle name="Normal 2 5 2 2 6 2 2" xfId="35118"/>
    <cellStyle name="Normal 2 5 2 2 6 3" xfId="27107"/>
    <cellStyle name="Normal 2 5 2 2 7" xfId="15083"/>
    <cellStyle name="Normal 2 5 2 2 7 2" xfId="23098"/>
    <cellStyle name="Normal 2 5 2 2 7 2 2" xfId="37123"/>
    <cellStyle name="Normal 2 5 2 2 7 3" xfId="29112"/>
    <cellStyle name="Normal 2 5 2 2 8" xfId="17089"/>
    <cellStyle name="Normal 2 5 2 2 8 2" xfId="31114"/>
    <cellStyle name="Normal 2 5 2 2 9" xfId="19091"/>
    <cellStyle name="Normal 2 5 2 2 9 2" xfId="33116"/>
    <cellStyle name="Normal 2 5 2 3" xfId="2479"/>
    <cellStyle name="Normal 2 5 2 3 2" xfId="2480"/>
    <cellStyle name="Normal 2 5 2 3 2 2" xfId="2481"/>
    <cellStyle name="Normal 2 5 2 3 2 2 2" xfId="13080"/>
    <cellStyle name="Normal 2 5 2 3 2 2 2 2" xfId="21105"/>
    <cellStyle name="Normal 2 5 2 3 2 2 2 2 2" xfId="35130"/>
    <cellStyle name="Normal 2 5 2 3 2 2 2 3" xfId="27119"/>
    <cellStyle name="Normal 2 5 2 3 2 2 3" xfId="15095"/>
    <cellStyle name="Normal 2 5 2 3 2 2 3 2" xfId="23110"/>
    <cellStyle name="Normal 2 5 2 3 2 2 3 2 2" xfId="37135"/>
    <cellStyle name="Normal 2 5 2 3 2 2 3 3" xfId="29124"/>
    <cellStyle name="Normal 2 5 2 3 2 2 4" xfId="17101"/>
    <cellStyle name="Normal 2 5 2 3 2 2 4 2" xfId="31126"/>
    <cellStyle name="Normal 2 5 2 3 2 2 5" xfId="19103"/>
    <cellStyle name="Normal 2 5 2 3 2 2 5 2" xfId="33128"/>
    <cellStyle name="Normal 2 5 2 3 2 2 6" xfId="25117"/>
    <cellStyle name="Normal 2 5 2 3 2 3" xfId="13079"/>
    <cellStyle name="Normal 2 5 2 3 2 3 2" xfId="21104"/>
    <cellStyle name="Normal 2 5 2 3 2 3 2 2" xfId="35129"/>
    <cellStyle name="Normal 2 5 2 3 2 3 3" xfId="27118"/>
    <cellStyle name="Normal 2 5 2 3 2 4" xfId="15094"/>
    <cellStyle name="Normal 2 5 2 3 2 4 2" xfId="23109"/>
    <cellStyle name="Normal 2 5 2 3 2 4 2 2" xfId="37134"/>
    <cellStyle name="Normal 2 5 2 3 2 4 3" xfId="29123"/>
    <cellStyle name="Normal 2 5 2 3 2 5" xfId="17100"/>
    <cellStyle name="Normal 2 5 2 3 2 5 2" xfId="31125"/>
    <cellStyle name="Normal 2 5 2 3 2 6" xfId="19102"/>
    <cellStyle name="Normal 2 5 2 3 2 6 2" xfId="33127"/>
    <cellStyle name="Normal 2 5 2 3 2 7" xfId="25116"/>
    <cellStyle name="Normal 2 5 2 3 3" xfId="2482"/>
    <cellStyle name="Normal 2 5 2 3 3 2" xfId="13081"/>
    <cellStyle name="Normal 2 5 2 3 3 2 2" xfId="21106"/>
    <cellStyle name="Normal 2 5 2 3 3 2 2 2" xfId="35131"/>
    <cellStyle name="Normal 2 5 2 3 3 2 3" xfId="27120"/>
    <cellStyle name="Normal 2 5 2 3 3 3" xfId="15096"/>
    <cellStyle name="Normal 2 5 2 3 3 3 2" xfId="23111"/>
    <cellStyle name="Normal 2 5 2 3 3 3 2 2" xfId="37136"/>
    <cellStyle name="Normal 2 5 2 3 3 3 3" xfId="29125"/>
    <cellStyle name="Normal 2 5 2 3 3 4" xfId="17102"/>
    <cellStyle name="Normal 2 5 2 3 3 4 2" xfId="31127"/>
    <cellStyle name="Normal 2 5 2 3 3 5" xfId="19104"/>
    <cellStyle name="Normal 2 5 2 3 3 5 2" xfId="33129"/>
    <cellStyle name="Normal 2 5 2 3 3 6" xfId="25118"/>
    <cellStyle name="Normal 2 5 2 3 4" xfId="13078"/>
    <cellStyle name="Normal 2 5 2 3 4 2" xfId="21103"/>
    <cellStyle name="Normal 2 5 2 3 4 2 2" xfId="35128"/>
    <cellStyle name="Normal 2 5 2 3 4 3" xfId="27117"/>
    <cellStyle name="Normal 2 5 2 3 5" xfId="15093"/>
    <cellStyle name="Normal 2 5 2 3 5 2" xfId="23108"/>
    <cellStyle name="Normal 2 5 2 3 5 2 2" xfId="37133"/>
    <cellStyle name="Normal 2 5 2 3 5 3" xfId="29122"/>
    <cellStyle name="Normal 2 5 2 3 6" xfId="17099"/>
    <cellStyle name="Normal 2 5 2 3 6 2" xfId="31124"/>
    <cellStyle name="Normal 2 5 2 3 7" xfId="19101"/>
    <cellStyle name="Normal 2 5 2 3 7 2" xfId="33126"/>
    <cellStyle name="Normal 2 5 2 3 8" xfId="25115"/>
    <cellStyle name="Normal 2 5 2 4" xfId="2483"/>
    <cellStyle name="Normal 2 5 2 4 2" xfId="2484"/>
    <cellStyle name="Normal 2 5 2 4 2 2" xfId="13083"/>
    <cellStyle name="Normal 2 5 2 4 2 2 2" xfId="21108"/>
    <cellStyle name="Normal 2 5 2 4 2 2 2 2" xfId="35133"/>
    <cellStyle name="Normal 2 5 2 4 2 2 3" xfId="27122"/>
    <cellStyle name="Normal 2 5 2 4 2 3" xfId="15098"/>
    <cellStyle name="Normal 2 5 2 4 2 3 2" xfId="23113"/>
    <cellStyle name="Normal 2 5 2 4 2 3 2 2" xfId="37138"/>
    <cellStyle name="Normal 2 5 2 4 2 3 3" xfId="29127"/>
    <cellStyle name="Normal 2 5 2 4 2 4" xfId="17104"/>
    <cellStyle name="Normal 2 5 2 4 2 4 2" xfId="31129"/>
    <cellStyle name="Normal 2 5 2 4 2 5" xfId="19106"/>
    <cellStyle name="Normal 2 5 2 4 2 5 2" xfId="33131"/>
    <cellStyle name="Normal 2 5 2 4 2 6" xfId="25120"/>
    <cellStyle name="Normal 2 5 2 4 3" xfId="13082"/>
    <cellStyle name="Normal 2 5 2 4 3 2" xfId="21107"/>
    <cellStyle name="Normal 2 5 2 4 3 2 2" xfId="35132"/>
    <cellStyle name="Normal 2 5 2 4 3 3" xfId="27121"/>
    <cellStyle name="Normal 2 5 2 4 4" xfId="15097"/>
    <cellStyle name="Normal 2 5 2 4 4 2" xfId="23112"/>
    <cellStyle name="Normal 2 5 2 4 4 2 2" xfId="37137"/>
    <cellStyle name="Normal 2 5 2 4 4 3" xfId="29126"/>
    <cellStyle name="Normal 2 5 2 4 5" xfId="17103"/>
    <cellStyle name="Normal 2 5 2 4 5 2" xfId="31128"/>
    <cellStyle name="Normal 2 5 2 4 6" xfId="19105"/>
    <cellStyle name="Normal 2 5 2 4 6 2" xfId="33130"/>
    <cellStyle name="Normal 2 5 2 4 7" xfId="25119"/>
    <cellStyle name="Normal 2 5 2 5" xfId="2485"/>
    <cellStyle name="Normal 2 5 2 5 2" xfId="2486"/>
    <cellStyle name="Normal 2 5 2 5 2 2" xfId="13085"/>
    <cellStyle name="Normal 2 5 2 5 2 2 2" xfId="21110"/>
    <cellStyle name="Normal 2 5 2 5 2 2 2 2" xfId="35135"/>
    <cellStyle name="Normal 2 5 2 5 2 2 3" xfId="27124"/>
    <cellStyle name="Normal 2 5 2 5 2 3" xfId="15100"/>
    <cellStyle name="Normal 2 5 2 5 2 3 2" xfId="23115"/>
    <cellStyle name="Normal 2 5 2 5 2 3 2 2" xfId="37140"/>
    <cellStyle name="Normal 2 5 2 5 2 3 3" xfId="29129"/>
    <cellStyle name="Normal 2 5 2 5 2 4" xfId="17106"/>
    <cellStyle name="Normal 2 5 2 5 2 4 2" xfId="31131"/>
    <cellStyle name="Normal 2 5 2 5 2 5" xfId="19108"/>
    <cellStyle name="Normal 2 5 2 5 2 5 2" xfId="33133"/>
    <cellStyle name="Normal 2 5 2 5 2 6" xfId="25122"/>
    <cellStyle name="Normal 2 5 2 5 3" xfId="13084"/>
    <cellStyle name="Normal 2 5 2 5 3 2" xfId="21109"/>
    <cellStyle name="Normal 2 5 2 5 3 2 2" xfId="35134"/>
    <cellStyle name="Normal 2 5 2 5 3 3" xfId="27123"/>
    <cellStyle name="Normal 2 5 2 5 4" xfId="15099"/>
    <cellStyle name="Normal 2 5 2 5 4 2" xfId="23114"/>
    <cellStyle name="Normal 2 5 2 5 4 2 2" xfId="37139"/>
    <cellStyle name="Normal 2 5 2 5 4 3" xfId="29128"/>
    <cellStyle name="Normal 2 5 2 5 5" xfId="17105"/>
    <cellStyle name="Normal 2 5 2 5 5 2" xfId="31130"/>
    <cellStyle name="Normal 2 5 2 5 6" xfId="19107"/>
    <cellStyle name="Normal 2 5 2 5 6 2" xfId="33132"/>
    <cellStyle name="Normal 2 5 2 5 7" xfId="25121"/>
    <cellStyle name="Normal 2 5 2 6" xfId="2487"/>
    <cellStyle name="Normal 2 5 2 6 2" xfId="13086"/>
    <cellStyle name="Normal 2 5 2 6 2 2" xfId="21111"/>
    <cellStyle name="Normal 2 5 2 6 2 2 2" xfId="35136"/>
    <cellStyle name="Normal 2 5 2 6 2 3" xfId="27125"/>
    <cellStyle name="Normal 2 5 2 6 3" xfId="15101"/>
    <cellStyle name="Normal 2 5 2 6 3 2" xfId="23116"/>
    <cellStyle name="Normal 2 5 2 6 3 2 2" xfId="37141"/>
    <cellStyle name="Normal 2 5 2 6 3 3" xfId="29130"/>
    <cellStyle name="Normal 2 5 2 6 4" xfId="17107"/>
    <cellStyle name="Normal 2 5 2 6 4 2" xfId="31132"/>
    <cellStyle name="Normal 2 5 2 6 5" xfId="19109"/>
    <cellStyle name="Normal 2 5 2 6 5 2" xfId="33134"/>
    <cellStyle name="Normal 2 5 2 6 6" xfId="25123"/>
    <cellStyle name="Normal 2 5 2 7" xfId="13067"/>
    <cellStyle name="Normal 2 5 2 7 2" xfId="21092"/>
    <cellStyle name="Normal 2 5 2 7 2 2" xfId="35117"/>
    <cellStyle name="Normal 2 5 2 7 3" xfId="27106"/>
    <cellStyle name="Normal 2 5 2 8" xfId="15082"/>
    <cellStyle name="Normal 2 5 2 8 2" xfId="23097"/>
    <cellStyle name="Normal 2 5 2 8 2 2" xfId="37122"/>
    <cellStyle name="Normal 2 5 2 8 3" xfId="29111"/>
    <cellStyle name="Normal 2 5 2 9" xfId="17088"/>
    <cellStyle name="Normal 2 5 2 9 2" xfId="31113"/>
    <cellStyle name="Normal 2 5 3" xfId="2488"/>
    <cellStyle name="Normal 2 5 3 10" xfId="25124"/>
    <cellStyle name="Normal 2 5 3 2" xfId="2489"/>
    <cellStyle name="Normal 2 5 3 2 2" xfId="2490"/>
    <cellStyle name="Normal 2 5 3 2 2 2" xfId="2491"/>
    <cellStyle name="Normal 2 5 3 2 2 2 2" xfId="13090"/>
    <cellStyle name="Normal 2 5 3 2 2 2 2 2" xfId="21115"/>
    <cellStyle name="Normal 2 5 3 2 2 2 2 2 2" xfId="35140"/>
    <cellStyle name="Normal 2 5 3 2 2 2 2 3" xfId="27129"/>
    <cellStyle name="Normal 2 5 3 2 2 2 3" xfId="15105"/>
    <cellStyle name="Normal 2 5 3 2 2 2 3 2" xfId="23120"/>
    <cellStyle name="Normal 2 5 3 2 2 2 3 2 2" xfId="37145"/>
    <cellStyle name="Normal 2 5 3 2 2 2 3 3" xfId="29134"/>
    <cellStyle name="Normal 2 5 3 2 2 2 4" xfId="17111"/>
    <cellStyle name="Normal 2 5 3 2 2 2 4 2" xfId="31136"/>
    <cellStyle name="Normal 2 5 3 2 2 2 5" xfId="19113"/>
    <cellStyle name="Normal 2 5 3 2 2 2 5 2" xfId="33138"/>
    <cellStyle name="Normal 2 5 3 2 2 2 6" xfId="25127"/>
    <cellStyle name="Normal 2 5 3 2 2 3" xfId="13089"/>
    <cellStyle name="Normal 2 5 3 2 2 3 2" xfId="21114"/>
    <cellStyle name="Normal 2 5 3 2 2 3 2 2" xfId="35139"/>
    <cellStyle name="Normal 2 5 3 2 2 3 3" xfId="27128"/>
    <cellStyle name="Normal 2 5 3 2 2 4" xfId="15104"/>
    <cellStyle name="Normal 2 5 3 2 2 4 2" xfId="23119"/>
    <cellStyle name="Normal 2 5 3 2 2 4 2 2" xfId="37144"/>
    <cellStyle name="Normal 2 5 3 2 2 4 3" xfId="29133"/>
    <cellStyle name="Normal 2 5 3 2 2 5" xfId="17110"/>
    <cellStyle name="Normal 2 5 3 2 2 5 2" xfId="31135"/>
    <cellStyle name="Normal 2 5 3 2 2 6" xfId="19112"/>
    <cellStyle name="Normal 2 5 3 2 2 6 2" xfId="33137"/>
    <cellStyle name="Normal 2 5 3 2 2 7" xfId="25126"/>
    <cellStyle name="Normal 2 5 3 2 3" xfId="2492"/>
    <cellStyle name="Normal 2 5 3 2 3 2" xfId="13091"/>
    <cellStyle name="Normal 2 5 3 2 3 2 2" xfId="21116"/>
    <cellStyle name="Normal 2 5 3 2 3 2 2 2" xfId="35141"/>
    <cellStyle name="Normal 2 5 3 2 3 2 3" xfId="27130"/>
    <cellStyle name="Normal 2 5 3 2 3 3" xfId="15106"/>
    <cellStyle name="Normal 2 5 3 2 3 3 2" xfId="23121"/>
    <cellStyle name="Normal 2 5 3 2 3 3 2 2" xfId="37146"/>
    <cellStyle name="Normal 2 5 3 2 3 3 3" xfId="29135"/>
    <cellStyle name="Normal 2 5 3 2 3 4" xfId="17112"/>
    <cellStyle name="Normal 2 5 3 2 3 4 2" xfId="31137"/>
    <cellStyle name="Normal 2 5 3 2 3 5" xfId="19114"/>
    <cellStyle name="Normal 2 5 3 2 3 5 2" xfId="33139"/>
    <cellStyle name="Normal 2 5 3 2 3 6" xfId="25128"/>
    <cellStyle name="Normal 2 5 3 2 4" xfId="13088"/>
    <cellStyle name="Normal 2 5 3 2 4 2" xfId="21113"/>
    <cellStyle name="Normal 2 5 3 2 4 2 2" xfId="35138"/>
    <cellStyle name="Normal 2 5 3 2 4 3" xfId="27127"/>
    <cellStyle name="Normal 2 5 3 2 5" xfId="15103"/>
    <cellStyle name="Normal 2 5 3 2 5 2" xfId="23118"/>
    <cellStyle name="Normal 2 5 3 2 5 2 2" xfId="37143"/>
    <cellStyle name="Normal 2 5 3 2 5 3" xfId="29132"/>
    <cellStyle name="Normal 2 5 3 2 6" xfId="17109"/>
    <cellStyle name="Normal 2 5 3 2 6 2" xfId="31134"/>
    <cellStyle name="Normal 2 5 3 2 7" xfId="19111"/>
    <cellStyle name="Normal 2 5 3 2 7 2" xfId="33136"/>
    <cellStyle name="Normal 2 5 3 2 8" xfId="25125"/>
    <cellStyle name="Normal 2 5 3 3" xfId="2493"/>
    <cellStyle name="Normal 2 5 3 3 2" xfId="2494"/>
    <cellStyle name="Normal 2 5 3 3 2 2" xfId="13093"/>
    <cellStyle name="Normal 2 5 3 3 2 2 2" xfId="21118"/>
    <cellStyle name="Normal 2 5 3 3 2 2 2 2" xfId="35143"/>
    <cellStyle name="Normal 2 5 3 3 2 2 3" xfId="27132"/>
    <cellStyle name="Normal 2 5 3 3 2 3" xfId="15108"/>
    <cellStyle name="Normal 2 5 3 3 2 3 2" xfId="23123"/>
    <cellStyle name="Normal 2 5 3 3 2 3 2 2" xfId="37148"/>
    <cellStyle name="Normal 2 5 3 3 2 3 3" xfId="29137"/>
    <cellStyle name="Normal 2 5 3 3 2 4" xfId="17114"/>
    <cellStyle name="Normal 2 5 3 3 2 4 2" xfId="31139"/>
    <cellStyle name="Normal 2 5 3 3 2 5" xfId="19116"/>
    <cellStyle name="Normal 2 5 3 3 2 5 2" xfId="33141"/>
    <cellStyle name="Normal 2 5 3 3 2 6" xfId="25130"/>
    <cellStyle name="Normal 2 5 3 3 3" xfId="13092"/>
    <cellStyle name="Normal 2 5 3 3 3 2" xfId="21117"/>
    <cellStyle name="Normal 2 5 3 3 3 2 2" xfId="35142"/>
    <cellStyle name="Normal 2 5 3 3 3 3" xfId="27131"/>
    <cellStyle name="Normal 2 5 3 3 4" xfId="15107"/>
    <cellStyle name="Normal 2 5 3 3 4 2" xfId="23122"/>
    <cellStyle name="Normal 2 5 3 3 4 2 2" xfId="37147"/>
    <cellStyle name="Normal 2 5 3 3 4 3" xfId="29136"/>
    <cellStyle name="Normal 2 5 3 3 5" xfId="17113"/>
    <cellStyle name="Normal 2 5 3 3 5 2" xfId="31138"/>
    <cellStyle name="Normal 2 5 3 3 6" xfId="19115"/>
    <cellStyle name="Normal 2 5 3 3 6 2" xfId="33140"/>
    <cellStyle name="Normal 2 5 3 3 7" xfId="25129"/>
    <cellStyle name="Normal 2 5 3 4" xfId="2495"/>
    <cellStyle name="Normal 2 5 3 4 2" xfId="2496"/>
    <cellStyle name="Normal 2 5 3 4 2 2" xfId="13095"/>
    <cellStyle name="Normal 2 5 3 4 2 2 2" xfId="21120"/>
    <cellStyle name="Normal 2 5 3 4 2 2 2 2" xfId="35145"/>
    <cellStyle name="Normal 2 5 3 4 2 2 3" xfId="27134"/>
    <cellStyle name="Normal 2 5 3 4 2 3" xfId="15110"/>
    <cellStyle name="Normal 2 5 3 4 2 3 2" xfId="23125"/>
    <cellStyle name="Normal 2 5 3 4 2 3 2 2" xfId="37150"/>
    <cellStyle name="Normal 2 5 3 4 2 3 3" xfId="29139"/>
    <cellStyle name="Normal 2 5 3 4 2 4" xfId="17116"/>
    <cellStyle name="Normal 2 5 3 4 2 4 2" xfId="31141"/>
    <cellStyle name="Normal 2 5 3 4 2 5" xfId="19118"/>
    <cellStyle name="Normal 2 5 3 4 2 5 2" xfId="33143"/>
    <cellStyle name="Normal 2 5 3 4 2 6" xfId="25132"/>
    <cellStyle name="Normal 2 5 3 4 3" xfId="13094"/>
    <cellStyle name="Normal 2 5 3 4 3 2" xfId="21119"/>
    <cellStyle name="Normal 2 5 3 4 3 2 2" xfId="35144"/>
    <cellStyle name="Normal 2 5 3 4 3 3" xfId="27133"/>
    <cellStyle name="Normal 2 5 3 4 4" xfId="15109"/>
    <cellStyle name="Normal 2 5 3 4 4 2" xfId="23124"/>
    <cellStyle name="Normal 2 5 3 4 4 2 2" xfId="37149"/>
    <cellStyle name="Normal 2 5 3 4 4 3" xfId="29138"/>
    <cellStyle name="Normal 2 5 3 4 5" xfId="17115"/>
    <cellStyle name="Normal 2 5 3 4 5 2" xfId="31140"/>
    <cellStyle name="Normal 2 5 3 4 6" xfId="19117"/>
    <cellStyle name="Normal 2 5 3 4 6 2" xfId="33142"/>
    <cellStyle name="Normal 2 5 3 4 7" xfId="25131"/>
    <cellStyle name="Normal 2 5 3 5" xfId="2497"/>
    <cellStyle name="Normal 2 5 3 5 2" xfId="13096"/>
    <cellStyle name="Normal 2 5 3 5 2 2" xfId="21121"/>
    <cellStyle name="Normal 2 5 3 5 2 2 2" xfId="35146"/>
    <cellStyle name="Normal 2 5 3 5 2 3" xfId="27135"/>
    <cellStyle name="Normal 2 5 3 5 3" xfId="15111"/>
    <cellStyle name="Normal 2 5 3 5 3 2" xfId="23126"/>
    <cellStyle name="Normal 2 5 3 5 3 2 2" xfId="37151"/>
    <cellStyle name="Normal 2 5 3 5 3 3" xfId="29140"/>
    <cellStyle name="Normal 2 5 3 5 4" xfId="17117"/>
    <cellStyle name="Normal 2 5 3 5 4 2" xfId="31142"/>
    <cellStyle name="Normal 2 5 3 5 5" xfId="19119"/>
    <cellStyle name="Normal 2 5 3 5 5 2" xfId="33144"/>
    <cellStyle name="Normal 2 5 3 5 6" xfId="25133"/>
    <cellStyle name="Normal 2 5 3 6" xfId="13087"/>
    <cellStyle name="Normal 2 5 3 6 2" xfId="21112"/>
    <cellStyle name="Normal 2 5 3 6 2 2" xfId="35137"/>
    <cellStyle name="Normal 2 5 3 6 3" xfId="27126"/>
    <cellStyle name="Normal 2 5 3 7" xfId="15102"/>
    <cellStyle name="Normal 2 5 3 7 2" xfId="23117"/>
    <cellStyle name="Normal 2 5 3 7 2 2" xfId="37142"/>
    <cellStyle name="Normal 2 5 3 7 3" xfId="29131"/>
    <cellStyle name="Normal 2 5 3 8" xfId="17108"/>
    <cellStyle name="Normal 2 5 3 8 2" xfId="31133"/>
    <cellStyle name="Normal 2 5 3 9" xfId="19110"/>
    <cellStyle name="Normal 2 5 3 9 2" xfId="33135"/>
    <cellStyle name="Normal 2 5 4" xfId="2498"/>
    <cellStyle name="Normal 2 5 4 2" xfId="2499"/>
    <cellStyle name="Normal 2 5 4 2 2" xfId="2500"/>
    <cellStyle name="Normal 2 5 4 2 2 2" xfId="13099"/>
    <cellStyle name="Normal 2 5 4 2 2 2 2" xfId="21124"/>
    <cellStyle name="Normal 2 5 4 2 2 2 2 2" xfId="35149"/>
    <cellStyle name="Normal 2 5 4 2 2 2 3" xfId="27138"/>
    <cellStyle name="Normal 2 5 4 2 2 3" xfId="15114"/>
    <cellStyle name="Normal 2 5 4 2 2 3 2" xfId="23129"/>
    <cellStyle name="Normal 2 5 4 2 2 3 2 2" xfId="37154"/>
    <cellStyle name="Normal 2 5 4 2 2 3 3" xfId="29143"/>
    <cellStyle name="Normal 2 5 4 2 2 4" xfId="17120"/>
    <cellStyle name="Normal 2 5 4 2 2 4 2" xfId="31145"/>
    <cellStyle name="Normal 2 5 4 2 2 5" xfId="19122"/>
    <cellStyle name="Normal 2 5 4 2 2 5 2" xfId="33147"/>
    <cellStyle name="Normal 2 5 4 2 2 6" xfId="25136"/>
    <cellStyle name="Normal 2 5 4 2 3" xfId="13098"/>
    <cellStyle name="Normal 2 5 4 2 3 2" xfId="21123"/>
    <cellStyle name="Normal 2 5 4 2 3 2 2" xfId="35148"/>
    <cellStyle name="Normal 2 5 4 2 3 3" xfId="27137"/>
    <cellStyle name="Normal 2 5 4 2 4" xfId="15113"/>
    <cellStyle name="Normal 2 5 4 2 4 2" xfId="23128"/>
    <cellStyle name="Normal 2 5 4 2 4 2 2" xfId="37153"/>
    <cellStyle name="Normal 2 5 4 2 4 3" xfId="29142"/>
    <cellStyle name="Normal 2 5 4 2 5" xfId="17119"/>
    <cellStyle name="Normal 2 5 4 2 5 2" xfId="31144"/>
    <cellStyle name="Normal 2 5 4 2 6" xfId="19121"/>
    <cellStyle name="Normal 2 5 4 2 6 2" xfId="33146"/>
    <cellStyle name="Normal 2 5 4 2 7" xfId="25135"/>
    <cellStyle name="Normal 2 5 4 3" xfId="2501"/>
    <cellStyle name="Normal 2 5 4 3 2" xfId="13100"/>
    <cellStyle name="Normal 2 5 4 3 2 2" xfId="21125"/>
    <cellStyle name="Normal 2 5 4 3 2 2 2" xfId="35150"/>
    <cellStyle name="Normal 2 5 4 3 2 3" xfId="27139"/>
    <cellStyle name="Normal 2 5 4 3 3" xfId="15115"/>
    <cellStyle name="Normal 2 5 4 3 3 2" xfId="23130"/>
    <cellStyle name="Normal 2 5 4 3 3 2 2" xfId="37155"/>
    <cellStyle name="Normal 2 5 4 3 3 3" xfId="29144"/>
    <cellStyle name="Normal 2 5 4 3 4" xfId="17121"/>
    <cellStyle name="Normal 2 5 4 3 4 2" xfId="31146"/>
    <cellStyle name="Normal 2 5 4 3 5" xfId="19123"/>
    <cellStyle name="Normal 2 5 4 3 5 2" xfId="33148"/>
    <cellStyle name="Normal 2 5 4 3 6" xfId="25137"/>
    <cellStyle name="Normal 2 5 4 4" xfId="13097"/>
    <cellStyle name="Normal 2 5 4 4 2" xfId="21122"/>
    <cellStyle name="Normal 2 5 4 4 2 2" xfId="35147"/>
    <cellStyle name="Normal 2 5 4 4 3" xfId="27136"/>
    <cellStyle name="Normal 2 5 4 5" xfId="15112"/>
    <cellStyle name="Normal 2 5 4 5 2" xfId="23127"/>
    <cellStyle name="Normal 2 5 4 5 2 2" xfId="37152"/>
    <cellStyle name="Normal 2 5 4 5 3" xfId="29141"/>
    <cellStyle name="Normal 2 5 4 6" xfId="17118"/>
    <cellStyle name="Normal 2 5 4 6 2" xfId="31143"/>
    <cellStyle name="Normal 2 5 4 7" xfId="19120"/>
    <cellStyle name="Normal 2 5 4 7 2" xfId="33145"/>
    <cellStyle name="Normal 2 5 4 8" xfId="25134"/>
    <cellStyle name="Normal 2 5 5" xfId="2502"/>
    <cellStyle name="Normal 2 5 5 2" xfId="2503"/>
    <cellStyle name="Normal 2 5 5 2 2" xfId="13102"/>
    <cellStyle name="Normal 2 5 5 2 2 2" xfId="21127"/>
    <cellStyle name="Normal 2 5 5 2 2 2 2" xfId="35152"/>
    <cellStyle name="Normal 2 5 5 2 2 3" xfId="27141"/>
    <cellStyle name="Normal 2 5 5 2 3" xfId="15117"/>
    <cellStyle name="Normal 2 5 5 2 3 2" xfId="23132"/>
    <cellStyle name="Normal 2 5 5 2 3 2 2" xfId="37157"/>
    <cellStyle name="Normal 2 5 5 2 3 3" xfId="29146"/>
    <cellStyle name="Normal 2 5 5 2 4" xfId="17123"/>
    <cellStyle name="Normal 2 5 5 2 4 2" xfId="31148"/>
    <cellStyle name="Normal 2 5 5 2 5" xfId="19125"/>
    <cellStyle name="Normal 2 5 5 2 5 2" xfId="33150"/>
    <cellStyle name="Normal 2 5 5 2 6" xfId="25139"/>
    <cellStyle name="Normal 2 5 5 3" xfId="13101"/>
    <cellStyle name="Normal 2 5 5 3 2" xfId="21126"/>
    <cellStyle name="Normal 2 5 5 3 2 2" xfId="35151"/>
    <cellStyle name="Normal 2 5 5 3 3" xfId="27140"/>
    <cellStyle name="Normal 2 5 5 4" xfId="15116"/>
    <cellStyle name="Normal 2 5 5 4 2" xfId="23131"/>
    <cellStyle name="Normal 2 5 5 4 2 2" xfId="37156"/>
    <cellStyle name="Normal 2 5 5 4 3" xfId="29145"/>
    <cellStyle name="Normal 2 5 5 5" xfId="17122"/>
    <cellStyle name="Normal 2 5 5 5 2" xfId="31147"/>
    <cellStyle name="Normal 2 5 5 6" xfId="19124"/>
    <cellStyle name="Normal 2 5 5 6 2" xfId="33149"/>
    <cellStyle name="Normal 2 5 5 7" xfId="25138"/>
    <cellStyle name="Normal 2 5 6" xfId="2504"/>
    <cellStyle name="Normal 2 5 6 2" xfId="2505"/>
    <cellStyle name="Normal 2 5 6 2 2" xfId="13104"/>
    <cellStyle name="Normal 2 5 6 2 2 2" xfId="21129"/>
    <cellStyle name="Normal 2 5 6 2 2 2 2" xfId="35154"/>
    <cellStyle name="Normal 2 5 6 2 2 3" xfId="27143"/>
    <cellStyle name="Normal 2 5 6 2 3" xfId="15119"/>
    <cellStyle name="Normal 2 5 6 2 3 2" xfId="23134"/>
    <cellStyle name="Normal 2 5 6 2 3 2 2" xfId="37159"/>
    <cellStyle name="Normal 2 5 6 2 3 3" xfId="29148"/>
    <cellStyle name="Normal 2 5 6 2 4" xfId="17125"/>
    <cellStyle name="Normal 2 5 6 2 4 2" xfId="31150"/>
    <cellStyle name="Normal 2 5 6 2 5" xfId="19127"/>
    <cellStyle name="Normal 2 5 6 2 5 2" xfId="33152"/>
    <cellStyle name="Normal 2 5 6 2 6" xfId="25141"/>
    <cellStyle name="Normal 2 5 6 3" xfId="13103"/>
    <cellStyle name="Normal 2 5 6 3 2" xfId="21128"/>
    <cellStyle name="Normal 2 5 6 3 2 2" xfId="35153"/>
    <cellStyle name="Normal 2 5 6 3 3" xfId="27142"/>
    <cellStyle name="Normal 2 5 6 4" xfId="15118"/>
    <cellStyle name="Normal 2 5 6 4 2" xfId="23133"/>
    <cellStyle name="Normal 2 5 6 4 2 2" xfId="37158"/>
    <cellStyle name="Normal 2 5 6 4 3" xfId="29147"/>
    <cellStyle name="Normal 2 5 6 5" xfId="17124"/>
    <cellStyle name="Normal 2 5 6 5 2" xfId="31149"/>
    <cellStyle name="Normal 2 5 6 6" xfId="19126"/>
    <cellStyle name="Normal 2 5 6 6 2" xfId="33151"/>
    <cellStyle name="Normal 2 5 6 7" xfId="25140"/>
    <cellStyle name="Normal 2 5 7" xfId="2506"/>
    <cellStyle name="Normal 2 5 7 2" xfId="13105"/>
    <cellStyle name="Normal 2 5 7 2 2" xfId="21130"/>
    <cellStyle name="Normal 2 5 7 2 2 2" xfId="35155"/>
    <cellStyle name="Normal 2 5 7 2 3" xfId="27144"/>
    <cellStyle name="Normal 2 5 7 3" xfId="15120"/>
    <cellStyle name="Normal 2 5 7 3 2" xfId="23135"/>
    <cellStyle name="Normal 2 5 7 3 2 2" xfId="37160"/>
    <cellStyle name="Normal 2 5 7 3 3" xfId="29149"/>
    <cellStyle name="Normal 2 5 7 4" xfId="17126"/>
    <cellStyle name="Normal 2 5 7 4 2" xfId="31151"/>
    <cellStyle name="Normal 2 5 7 5" xfId="19128"/>
    <cellStyle name="Normal 2 5 7 5 2" xfId="33153"/>
    <cellStyle name="Normal 2 5 7 6" xfId="25142"/>
    <cellStyle name="Normal 2 5 8" xfId="13066"/>
    <cellStyle name="Normal 2 5 8 2" xfId="21091"/>
    <cellStyle name="Normal 2 5 8 2 2" xfId="35116"/>
    <cellStyle name="Normal 2 5 8 3" xfId="27105"/>
    <cellStyle name="Normal 2 5 9" xfId="15081"/>
    <cellStyle name="Normal 2 5 9 2" xfId="23096"/>
    <cellStyle name="Normal 2 5 9 2 2" xfId="37121"/>
    <cellStyle name="Normal 2 5 9 3" xfId="29110"/>
    <cellStyle name="Normal 2 6" xfId="2507"/>
    <cellStyle name="Normal 2 7" xfId="2508"/>
    <cellStyle name="Normal 2 8" xfId="37710"/>
    <cellStyle name="Normal 2 9" xfId="37712"/>
    <cellStyle name="Normal 2_1 - ADIT" xfId="509"/>
    <cellStyle name="Normal 2_5 - Cost Support" xfId="510"/>
    <cellStyle name="Normal 20" xfId="511"/>
    <cellStyle name="Normal 20 2" xfId="11267"/>
    <cellStyle name="Normal 20 2 2" xfId="11277"/>
    <cellStyle name="Normal 20 2 2 2" xfId="13641"/>
    <cellStyle name="Normal 20 2 2 2 2" xfId="21663"/>
    <cellStyle name="Normal 20 2 2 2 2 2" xfId="35688"/>
    <cellStyle name="Normal 20 2 2 2 2 2 2" xfId="37709"/>
    <cellStyle name="Normal 20 2 2 2 3" xfId="27677"/>
    <cellStyle name="Normal 20 2 2 3" xfId="15651"/>
    <cellStyle name="Normal 20 2 2 3 2" xfId="23666"/>
    <cellStyle name="Normal 20 2 2 3 2 2" xfId="37691"/>
    <cellStyle name="Normal 20 2 2 3 3" xfId="29680"/>
    <cellStyle name="Normal 20 2 2 4" xfId="17657"/>
    <cellStyle name="Normal 20 2 2 4 2" xfId="31682"/>
    <cellStyle name="Normal 20 2 2 5" xfId="19659"/>
    <cellStyle name="Normal 20 2 2 5 2" xfId="33684"/>
    <cellStyle name="Normal 20 2 2 6" xfId="25673"/>
    <cellStyle name="Normal 20 2 3" xfId="13636"/>
    <cellStyle name="Normal 20 2 3 2" xfId="21658"/>
    <cellStyle name="Normal 20 2 3 2 2" xfId="35683"/>
    <cellStyle name="Normal 20 2 3 3" xfId="27672"/>
    <cellStyle name="Normal 20 2 4" xfId="15646"/>
    <cellStyle name="Normal 20 2 4 2" xfId="23661"/>
    <cellStyle name="Normal 20 2 4 2 2" xfId="37686"/>
    <cellStyle name="Normal 20 2 4 3" xfId="29675"/>
    <cellStyle name="Normal 20 2 5" xfId="17652"/>
    <cellStyle name="Normal 20 2 5 2" xfId="31677"/>
    <cellStyle name="Normal 20 2 6" xfId="19654"/>
    <cellStyle name="Normal 20 2 6 2" xfId="33679"/>
    <cellStyle name="Normal 20 2 7" xfId="25668"/>
    <cellStyle name="Normal 20 3" xfId="11276"/>
    <cellStyle name="Normal 20 3 2" xfId="13640"/>
    <cellStyle name="Normal 20 3 2 2" xfId="21662"/>
    <cellStyle name="Normal 20 3 2 2 2" xfId="35687"/>
    <cellStyle name="Normal 20 3 2 3" xfId="27676"/>
    <cellStyle name="Normal 20 3 3" xfId="15650"/>
    <cellStyle name="Normal 20 3 3 2" xfId="23665"/>
    <cellStyle name="Normal 20 3 3 2 2" xfId="37690"/>
    <cellStyle name="Normal 20 3 3 3" xfId="29679"/>
    <cellStyle name="Normal 20 3 4" xfId="17656"/>
    <cellStyle name="Normal 20 3 4 2" xfId="31681"/>
    <cellStyle name="Normal 20 3 5" xfId="19658"/>
    <cellStyle name="Normal 20 3 5 2" xfId="33683"/>
    <cellStyle name="Normal 20 3 6" xfId="25672"/>
    <cellStyle name="Normal 20 4" xfId="11635"/>
    <cellStyle name="Normal 20 4 2" xfId="19666"/>
    <cellStyle name="Normal 20 4 2 2" xfId="33691"/>
    <cellStyle name="Normal 20 4 3" xfId="25680"/>
    <cellStyle name="Normal 20 5" xfId="13656"/>
    <cellStyle name="Normal 20 5 2" xfId="21671"/>
    <cellStyle name="Normal 20 5 2 2" xfId="35696"/>
    <cellStyle name="Normal 20 5 3" xfId="27685"/>
    <cellStyle name="Normal 20 6" xfId="15662"/>
    <cellStyle name="Normal 20 6 2" xfId="29687"/>
    <cellStyle name="Normal 20 7" xfId="17664"/>
    <cellStyle name="Normal 20 7 2" xfId="31689"/>
    <cellStyle name="Normal 20 8" xfId="23678"/>
    <cellStyle name="Normal 21" xfId="512"/>
    <cellStyle name="Normal 21 2" xfId="11271"/>
    <cellStyle name="Normal 21 3" xfId="37694"/>
    <cellStyle name="Normal 22" xfId="513"/>
    <cellStyle name="Normal 22 2" xfId="514"/>
    <cellStyle name="Normal 23" xfId="515"/>
    <cellStyle name="Normal 24" xfId="11269"/>
    <cellStyle name="Normal 24 2" xfId="13638"/>
    <cellStyle name="Normal 24 2 2" xfId="21660"/>
    <cellStyle name="Normal 24 2 2 2" xfId="35685"/>
    <cellStyle name="Normal 24 2 3" xfId="27674"/>
    <cellStyle name="Normal 24 3" xfId="15648"/>
    <cellStyle name="Normal 24 3 2" xfId="23663"/>
    <cellStyle name="Normal 24 3 2 2" xfId="37688"/>
    <cellStyle name="Normal 24 3 3" xfId="29677"/>
    <cellStyle name="Normal 24 4" xfId="17654"/>
    <cellStyle name="Normal 24 4 2" xfId="31679"/>
    <cellStyle name="Normal 24 5" xfId="19656"/>
    <cellStyle name="Normal 24 5 2" xfId="33681"/>
    <cellStyle name="Normal 24 6" xfId="25670"/>
    <cellStyle name="Normal 25" xfId="11302"/>
    <cellStyle name="Normal 26" xfId="11314"/>
    <cellStyle name="Normal 27" xfId="11316"/>
    <cellStyle name="Normal 28" xfId="11318"/>
    <cellStyle name="Normal 29" xfId="11320"/>
    <cellStyle name="Normal 3" xfId="516"/>
    <cellStyle name="Normal 3 2" xfId="517"/>
    <cellStyle name="Normal 3 2 2" xfId="518"/>
    <cellStyle name="Normal 3 2 2 2" xfId="519"/>
    <cellStyle name="Normal 3 2 3" xfId="520"/>
    <cellStyle name="Normal 3 2 4" xfId="2509"/>
    <cellStyle name="Normal 3 2_5 - Cost Support" xfId="521"/>
    <cellStyle name="Normal 3 3" xfId="522"/>
    <cellStyle name="Normal 3 3 2" xfId="523"/>
    <cellStyle name="Normal 3 3 2 2" xfId="524"/>
    <cellStyle name="Normal 3 3 3" xfId="525"/>
    <cellStyle name="Normal 3 4" xfId="526"/>
    <cellStyle name="Normal 3 4 2" xfId="527"/>
    <cellStyle name="Normal 3 5" xfId="528"/>
    <cellStyle name="Normal 3 6" xfId="529"/>
    <cellStyle name="Normal 3 7" xfId="530"/>
    <cellStyle name="Normal 3_10-15-10-Stmt AU - Period I - Working 1 0" xfId="531"/>
    <cellStyle name="Normal 3_Attach O, GG, Support -New Method 2-14-11" xfId="37695"/>
    <cellStyle name="Normal 3_ETI Workpapers FINAL" xfId="11272"/>
    <cellStyle name="Normal 30" xfId="11322"/>
    <cellStyle name="Normal 31" xfId="11323"/>
    <cellStyle name="Normal 32" xfId="11324"/>
    <cellStyle name="Normal 33" xfId="11325"/>
    <cellStyle name="Normal 34" xfId="11326"/>
    <cellStyle name="Normal 35" xfId="11643"/>
    <cellStyle name="Normal 36" xfId="13633"/>
    <cellStyle name="Normal 37" xfId="11270"/>
    <cellStyle name="Normal 38" xfId="13649"/>
    <cellStyle name="Normal 39" xfId="13651"/>
    <cellStyle name="Normal 4" xfId="532"/>
    <cellStyle name="Normal 4 2" xfId="533"/>
    <cellStyle name="Normal 4 2 2" xfId="534"/>
    <cellStyle name="Normal 4 3" xfId="535"/>
    <cellStyle name="Normal 4 4" xfId="11636"/>
    <cellStyle name="Normal 4 4 2" xfId="19667"/>
    <cellStyle name="Normal 4 4 2 2" xfId="33692"/>
    <cellStyle name="Normal 4 4 3" xfId="25681"/>
    <cellStyle name="Normal 4 5" xfId="13657"/>
    <cellStyle name="Normal 4 5 2" xfId="21672"/>
    <cellStyle name="Normal 4 5 2 2" xfId="35697"/>
    <cellStyle name="Normal 4 5 3" xfId="27686"/>
    <cellStyle name="Normal 4 6" xfId="15663"/>
    <cellStyle name="Normal 4 6 2" xfId="29688"/>
    <cellStyle name="Normal 4 7" xfId="17665"/>
    <cellStyle name="Normal 4 7 2" xfId="31690"/>
    <cellStyle name="Normal 4 8" xfId="23679"/>
    <cellStyle name="Normal 4_3 - Revenue Credits" xfId="536"/>
    <cellStyle name="Normal 40" xfId="13635"/>
    <cellStyle name="Normal 41" xfId="13631"/>
    <cellStyle name="Normal 42" xfId="13648"/>
    <cellStyle name="Normal 43" xfId="23673"/>
    <cellStyle name="Normal 44" xfId="37699"/>
    <cellStyle name="Normal 44 2" xfId="37704"/>
    <cellStyle name="Normal 45" xfId="37705"/>
    <cellStyle name="Normal 46" xfId="37706"/>
    <cellStyle name="Normal 47" xfId="37707"/>
    <cellStyle name="Normal 5" xfId="537"/>
    <cellStyle name="Normal 5 10" xfId="13632"/>
    <cellStyle name="Normal 5 10 2" xfId="21656"/>
    <cellStyle name="Normal 5 10 2 2" xfId="35681"/>
    <cellStyle name="Normal 5 10 3" xfId="27670"/>
    <cellStyle name="Normal 5 11" xfId="13658"/>
    <cellStyle name="Normal 5 11 2" xfId="21673"/>
    <cellStyle name="Normal 5 11 2 2" xfId="35698"/>
    <cellStyle name="Normal 5 11 3" xfId="27687"/>
    <cellStyle name="Normal 5 12" xfId="15664"/>
    <cellStyle name="Normal 5 12 2" xfId="29689"/>
    <cellStyle name="Normal 5 13" xfId="17666"/>
    <cellStyle name="Normal 5 13 2" xfId="31691"/>
    <cellStyle name="Normal 5 14" xfId="23680"/>
    <cellStyle name="Normal 5 2" xfId="538"/>
    <cellStyle name="Normal 5 2 2" xfId="539"/>
    <cellStyle name="Normal 5 2 2 2" xfId="540"/>
    <cellStyle name="Normal 5 2 3" xfId="541"/>
    <cellStyle name="Normal 5 3" xfId="542"/>
    <cellStyle name="Normal 5 3 2" xfId="543"/>
    <cellStyle name="Normal 5 3 2 2" xfId="544"/>
    <cellStyle name="Normal 5 3 3" xfId="545"/>
    <cellStyle name="Normal 5 3_EAI Workpapers" xfId="546"/>
    <cellStyle name="Normal 5 4" xfId="547"/>
    <cellStyle name="Normal 5 4 2" xfId="548"/>
    <cellStyle name="Normal 5 5" xfId="549"/>
    <cellStyle name="Normal 5 6" xfId="2510"/>
    <cellStyle name="Normal 5 7" xfId="11637"/>
    <cellStyle name="Normal 5 7 2" xfId="19668"/>
    <cellStyle name="Normal 5 7 2 2" xfId="33693"/>
    <cellStyle name="Normal 5 7 3" xfId="25682"/>
    <cellStyle name="Normal 5 8" xfId="13634"/>
    <cellStyle name="Normal 5 8 2" xfId="21657"/>
    <cellStyle name="Normal 5 8 2 2" xfId="35682"/>
    <cellStyle name="Normal 5 8 3" xfId="27671"/>
    <cellStyle name="Normal 5 9" xfId="13650"/>
    <cellStyle name="Normal 5 9 2" xfId="21666"/>
    <cellStyle name="Normal 5 9 2 2" xfId="35691"/>
    <cellStyle name="Normal 5 9 3" xfId="27680"/>
    <cellStyle name="Normal 5_10-15-10-Stmt AU - Period I - Working 1 0" xfId="550"/>
    <cellStyle name="Normal 6" xfId="551"/>
    <cellStyle name="Normal 6 2" xfId="552"/>
    <cellStyle name="Normal 6 2 2" xfId="553"/>
    <cellStyle name="Normal 6 2 2 2" xfId="554"/>
    <cellStyle name="Normal 6 2 3" xfId="555"/>
    <cellStyle name="Normal 6 3" xfId="556"/>
    <cellStyle name="Normal 6 3 2" xfId="557"/>
    <cellStyle name="Normal 6 3 2 2" xfId="558"/>
    <cellStyle name="Normal 6 3 3" xfId="559"/>
    <cellStyle name="Normal 6 4" xfId="560"/>
    <cellStyle name="Normal 6 4 2" xfId="561"/>
    <cellStyle name="Normal 6 5" xfId="562"/>
    <cellStyle name="Normal 6 6" xfId="2511"/>
    <cellStyle name="Normal 6_10-15-10-Stmt AU - Period I - Working 1 0" xfId="563"/>
    <cellStyle name="Normal 7" xfId="564"/>
    <cellStyle name="Normal 7 10" xfId="2512"/>
    <cellStyle name="Normal 7 10 2" xfId="2513"/>
    <cellStyle name="Normal 7 10 2 2" xfId="13107"/>
    <cellStyle name="Normal 7 10 2 2 2" xfId="21132"/>
    <cellStyle name="Normal 7 10 2 2 2 2" xfId="35157"/>
    <cellStyle name="Normal 7 10 2 2 2 2 2" xfId="37700"/>
    <cellStyle name="Normal 7 10 2 2 3" xfId="27146"/>
    <cellStyle name="Normal 7 10 2 3" xfId="15122"/>
    <cellStyle name="Normal 7 10 2 3 2" xfId="23137"/>
    <cellStyle name="Normal 7 10 2 3 2 2" xfId="37162"/>
    <cellStyle name="Normal 7 10 2 3 3" xfId="29151"/>
    <cellStyle name="Normal 7 10 2 4" xfId="17128"/>
    <cellStyle name="Normal 7 10 2 4 2" xfId="31153"/>
    <cellStyle name="Normal 7 10 2 5" xfId="19130"/>
    <cellStyle name="Normal 7 10 2 5 2" xfId="33155"/>
    <cellStyle name="Normal 7 10 2 6" xfId="25144"/>
    <cellStyle name="Normal 7 10 3" xfId="13106"/>
    <cellStyle name="Normal 7 10 3 2" xfId="21131"/>
    <cellStyle name="Normal 7 10 3 2 2" xfId="35156"/>
    <cellStyle name="Normal 7 10 3 3" xfId="27145"/>
    <cellStyle name="Normal 7 10 4" xfId="15121"/>
    <cellStyle name="Normal 7 10 4 2" xfId="23136"/>
    <cellStyle name="Normal 7 10 4 2 2" xfId="37161"/>
    <cellStyle name="Normal 7 10 4 3" xfId="29150"/>
    <cellStyle name="Normal 7 10 5" xfId="17127"/>
    <cellStyle name="Normal 7 10 5 2" xfId="31152"/>
    <cellStyle name="Normal 7 10 6" xfId="19129"/>
    <cellStyle name="Normal 7 10 6 2" xfId="33154"/>
    <cellStyle name="Normal 7 10 7" xfId="25143"/>
    <cellStyle name="Normal 7 11" xfId="2514"/>
    <cellStyle name="Normal 7 11 2" xfId="2515"/>
    <cellStyle name="Normal 7 11 2 2" xfId="13109"/>
    <cellStyle name="Normal 7 11 2 2 2" xfId="21134"/>
    <cellStyle name="Normal 7 11 2 2 2 2" xfId="35159"/>
    <cellStyle name="Normal 7 11 2 2 3" xfId="27148"/>
    <cellStyle name="Normal 7 11 2 3" xfId="15124"/>
    <cellStyle name="Normal 7 11 2 3 2" xfId="23139"/>
    <cellStyle name="Normal 7 11 2 3 2 2" xfId="37164"/>
    <cellStyle name="Normal 7 11 2 3 3" xfId="29153"/>
    <cellStyle name="Normal 7 11 2 4" xfId="17130"/>
    <cellStyle name="Normal 7 11 2 4 2" xfId="31155"/>
    <cellStyle name="Normal 7 11 2 5" xfId="19132"/>
    <cellStyle name="Normal 7 11 2 5 2" xfId="33157"/>
    <cellStyle name="Normal 7 11 2 6" xfId="25146"/>
    <cellStyle name="Normal 7 11 3" xfId="13108"/>
    <cellStyle name="Normal 7 11 3 2" xfId="21133"/>
    <cellStyle name="Normal 7 11 3 2 2" xfId="35158"/>
    <cellStyle name="Normal 7 11 3 3" xfId="27147"/>
    <cellStyle name="Normal 7 11 4" xfId="15123"/>
    <cellStyle name="Normal 7 11 4 2" xfId="23138"/>
    <cellStyle name="Normal 7 11 4 2 2" xfId="37163"/>
    <cellStyle name="Normal 7 11 4 3" xfId="29152"/>
    <cellStyle name="Normal 7 11 5" xfId="17129"/>
    <cellStyle name="Normal 7 11 5 2" xfId="31154"/>
    <cellStyle name="Normal 7 11 6" xfId="19131"/>
    <cellStyle name="Normal 7 11 6 2" xfId="33156"/>
    <cellStyle name="Normal 7 11 7" xfId="25145"/>
    <cellStyle name="Normal 7 12" xfId="2516"/>
    <cellStyle name="Normal 7 12 2" xfId="13110"/>
    <cellStyle name="Normal 7 12 2 2" xfId="21135"/>
    <cellStyle name="Normal 7 12 2 2 2" xfId="35160"/>
    <cellStyle name="Normal 7 12 2 3" xfId="27149"/>
    <cellStyle name="Normal 7 12 3" xfId="15125"/>
    <cellStyle name="Normal 7 12 3 2" xfId="23140"/>
    <cellStyle name="Normal 7 12 3 2 2" xfId="37165"/>
    <cellStyle name="Normal 7 12 3 3" xfId="29154"/>
    <cellStyle name="Normal 7 12 4" xfId="17131"/>
    <cellStyle name="Normal 7 12 4 2" xfId="31156"/>
    <cellStyle name="Normal 7 12 5" xfId="19133"/>
    <cellStyle name="Normal 7 12 5 2" xfId="33158"/>
    <cellStyle name="Normal 7 12 6" xfId="25147"/>
    <cellStyle name="Normal 7 13 2" xfId="37697"/>
    <cellStyle name="Normal 7 2" xfId="565"/>
    <cellStyle name="Normal 7 2 2" xfId="566"/>
    <cellStyle name="Normal 7 2 2 2" xfId="567"/>
    <cellStyle name="Normal 7 2 3" xfId="568"/>
    <cellStyle name="Normal 7 2 4" xfId="569"/>
    <cellStyle name="Normal 7 2 4 2" xfId="11275"/>
    <cellStyle name="Normal 7 3" xfId="570"/>
    <cellStyle name="Normal 7 3 2" xfId="571"/>
    <cellStyle name="Normal 7 3 2 2" xfId="572"/>
    <cellStyle name="Normal 7 3 3" xfId="573"/>
    <cellStyle name="Normal 7 4" xfId="574"/>
    <cellStyle name="Normal 7 4 2" xfId="575"/>
    <cellStyle name="Normal 7 5" xfId="576"/>
    <cellStyle name="Normal 7 6" xfId="2517"/>
    <cellStyle name="Normal 7 6 10" xfId="17132"/>
    <cellStyle name="Normal 7 6 10 2" xfId="31157"/>
    <cellStyle name="Normal 7 6 11" xfId="19134"/>
    <cellStyle name="Normal 7 6 11 2" xfId="33159"/>
    <cellStyle name="Normal 7 6 12" xfId="25148"/>
    <cellStyle name="Normal 7 6 2" xfId="2518"/>
    <cellStyle name="Normal 7 6 2 10" xfId="19135"/>
    <cellStyle name="Normal 7 6 2 10 2" xfId="33160"/>
    <cellStyle name="Normal 7 6 2 11" xfId="25149"/>
    <cellStyle name="Normal 7 6 2 2" xfId="2519"/>
    <cellStyle name="Normal 7 6 2 2 10" xfId="25150"/>
    <cellStyle name="Normal 7 6 2 2 2" xfId="2520"/>
    <cellStyle name="Normal 7 6 2 2 2 2" xfId="2521"/>
    <cellStyle name="Normal 7 6 2 2 2 2 2" xfId="2522"/>
    <cellStyle name="Normal 7 6 2 2 2 2 2 2" xfId="13116"/>
    <cellStyle name="Normal 7 6 2 2 2 2 2 2 2" xfId="21141"/>
    <cellStyle name="Normal 7 6 2 2 2 2 2 2 2 2" xfId="35166"/>
    <cellStyle name="Normal 7 6 2 2 2 2 2 2 3" xfId="27155"/>
    <cellStyle name="Normal 7 6 2 2 2 2 2 3" xfId="15131"/>
    <cellStyle name="Normal 7 6 2 2 2 2 2 3 2" xfId="23146"/>
    <cellStyle name="Normal 7 6 2 2 2 2 2 3 2 2" xfId="37171"/>
    <cellStyle name="Normal 7 6 2 2 2 2 2 3 3" xfId="29160"/>
    <cellStyle name="Normal 7 6 2 2 2 2 2 4" xfId="17137"/>
    <cellStyle name="Normal 7 6 2 2 2 2 2 4 2" xfId="31162"/>
    <cellStyle name="Normal 7 6 2 2 2 2 2 5" xfId="19139"/>
    <cellStyle name="Normal 7 6 2 2 2 2 2 5 2" xfId="33164"/>
    <cellStyle name="Normal 7 6 2 2 2 2 2 6" xfId="25153"/>
    <cellStyle name="Normal 7 6 2 2 2 2 3" xfId="13115"/>
    <cellStyle name="Normal 7 6 2 2 2 2 3 2" xfId="21140"/>
    <cellStyle name="Normal 7 6 2 2 2 2 3 2 2" xfId="35165"/>
    <cellStyle name="Normal 7 6 2 2 2 2 3 3" xfId="27154"/>
    <cellStyle name="Normal 7 6 2 2 2 2 4" xfId="15130"/>
    <cellStyle name="Normal 7 6 2 2 2 2 4 2" xfId="23145"/>
    <cellStyle name="Normal 7 6 2 2 2 2 4 2 2" xfId="37170"/>
    <cellStyle name="Normal 7 6 2 2 2 2 4 3" xfId="29159"/>
    <cellStyle name="Normal 7 6 2 2 2 2 5" xfId="17136"/>
    <cellStyle name="Normal 7 6 2 2 2 2 5 2" xfId="31161"/>
    <cellStyle name="Normal 7 6 2 2 2 2 6" xfId="19138"/>
    <cellStyle name="Normal 7 6 2 2 2 2 6 2" xfId="33163"/>
    <cellStyle name="Normal 7 6 2 2 2 2 7" xfId="25152"/>
    <cellStyle name="Normal 7 6 2 2 2 3" xfId="2523"/>
    <cellStyle name="Normal 7 6 2 2 2 3 2" xfId="13117"/>
    <cellStyle name="Normal 7 6 2 2 2 3 2 2" xfId="21142"/>
    <cellStyle name="Normal 7 6 2 2 2 3 2 2 2" xfId="35167"/>
    <cellStyle name="Normal 7 6 2 2 2 3 2 3" xfId="27156"/>
    <cellStyle name="Normal 7 6 2 2 2 3 3" xfId="15132"/>
    <cellStyle name="Normal 7 6 2 2 2 3 3 2" xfId="23147"/>
    <cellStyle name="Normal 7 6 2 2 2 3 3 2 2" xfId="37172"/>
    <cellStyle name="Normal 7 6 2 2 2 3 3 3" xfId="29161"/>
    <cellStyle name="Normal 7 6 2 2 2 3 4" xfId="17138"/>
    <cellStyle name="Normal 7 6 2 2 2 3 4 2" xfId="31163"/>
    <cellStyle name="Normal 7 6 2 2 2 3 5" xfId="19140"/>
    <cellStyle name="Normal 7 6 2 2 2 3 5 2" xfId="33165"/>
    <cellStyle name="Normal 7 6 2 2 2 3 6" xfId="25154"/>
    <cellStyle name="Normal 7 6 2 2 2 4" xfId="13114"/>
    <cellStyle name="Normal 7 6 2 2 2 4 2" xfId="21139"/>
    <cellStyle name="Normal 7 6 2 2 2 4 2 2" xfId="35164"/>
    <cellStyle name="Normal 7 6 2 2 2 4 3" xfId="27153"/>
    <cellStyle name="Normal 7 6 2 2 2 5" xfId="15129"/>
    <cellStyle name="Normal 7 6 2 2 2 5 2" xfId="23144"/>
    <cellStyle name="Normal 7 6 2 2 2 5 2 2" xfId="37169"/>
    <cellStyle name="Normal 7 6 2 2 2 5 3" xfId="29158"/>
    <cellStyle name="Normal 7 6 2 2 2 6" xfId="17135"/>
    <cellStyle name="Normal 7 6 2 2 2 6 2" xfId="31160"/>
    <cellStyle name="Normal 7 6 2 2 2 7" xfId="19137"/>
    <cellStyle name="Normal 7 6 2 2 2 7 2" xfId="33162"/>
    <cellStyle name="Normal 7 6 2 2 2 8" xfId="25151"/>
    <cellStyle name="Normal 7 6 2 2 3" xfId="2524"/>
    <cellStyle name="Normal 7 6 2 2 3 2" xfId="2525"/>
    <cellStyle name="Normal 7 6 2 2 3 2 2" xfId="13119"/>
    <cellStyle name="Normal 7 6 2 2 3 2 2 2" xfId="21144"/>
    <cellStyle name="Normal 7 6 2 2 3 2 2 2 2" xfId="35169"/>
    <cellStyle name="Normal 7 6 2 2 3 2 2 3" xfId="27158"/>
    <cellStyle name="Normal 7 6 2 2 3 2 3" xfId="15134"/>
    <cellStyle name="Normal 7 6 2 2 3 2 3 2" xfId="23149"/>
    <cellStyle name="Normal 7 6 2 2 3 2 3 2 2" xfId="37174"/>
    <cellStyle name="Normal 7 6 2 2 3 2 3 3" xfId="29163"/>
    <cellStyle name="Normal 7 6 2 2 3 2 4" xfId="17140"/>
    <cellStyle name="Normal 7 6 2 2 3 2 4 2" xfId="31165"/>
    <cellStyle name="Normal 7 6 2 2 3 2 5" xfId="19142"/>
    <cellStyle name="Normal 7 6 2 2 3 2 5 2" xfId="33167"/>
    <cellStyle name="Normal 7 6 2 2 3 2 6" xfId="25156"/>
    <cellStyle name="Normal 7 6 2 2 3 3" xfId="13118"/>
    <cellStyle name="Normal 7 6 2 2 3 3 2" xfId="21143"/>
    <cellStyle name="Normal 7 6 2 2 3 3 2 2" xfId="35168"/>
    <cellStyle name="Normal 7 6 2 2 3 3 3" xfId="27157"/>
    <cellStyle name="Normal 7 6 2 2 3 4" xfId="15133"/>
    <cellStyle name="Normal 7 6 2 2 3 4 2" xfId="23148"/>
    <cellStyle name="Normal 7 6 2 2 3 4 2 2" xfId="37173"/>
    <cellStyle name="Normal 7 6 2 2 3 4 3" xfId="29162"/>
    <cellStyle name="Normal 7 6 2 2 3 5" xfId="17139"/>
    <cellStyle name="Normal 7 6 2 2 3 5 2" xfId="31164"/>
    <cellStyle name="Normal 7 6 2 2 3 6" xfId="19141"/>
    <cellStyle name="Normal 7 6 2 2 3 6 2" xfId="33166"/>
    <cellStyle name="Normal 7 6 2 2 3 7" xfId="25155"/>
    <cellStyle name="Normal 7 6 2 2 4" xfId="2526"/>
    <cellStyle name="Normal 7 6 2 2 4 2" xfId="2527"/>
    <cellStyle name="Normal 7 6 2 2 4 2 2" xfId="13121"/>
    <cellStyle name="Normal 7 6 2 2 4 2 2 2" xfId="21146"/>
    <cellStyle name="Normal 7 6 2 2 4 2 2 2 2" xfId="35171"/>
    <cellStyle name="Normal 7 6 2 2 4 2 2 3" xfId="27160"/>
    <cellStyle name="Normal 7 6 2 2 4 2 3" xfId="15136"/>
    <cellStyle name="Normal 7 6 2 2 4 2 3 2" xfId="23151"/>
    <cellStyle name="Normal 7 6 2 2 4 2 3 2 2" xfId="37176"/>
    <cellStyle name="Normal 7 6 2 2 4 2 3 3" xfId="29165"/>
    <cellStyle name="Normal 7 6 2 2 4 2 4" xfId="17142"/>
    <cellStyle name="Normal 7 6 2 2 4 2 4 2" xfId="31167"/>
    <cellStyle name="Normal 7 6 2 2 4 2 5" xfId="19144"/>
    <cellStyle name="Normal 7 6 2 2 4 2 5 2" xfId="33169"/>
    <cellStyle name="Normal 7 6 2 2 4 2 6" xfId="25158"/>
    <cellStyle name="Normal 7 6 2 2 4 3" xfId="13120"/>
    <cellStyle name="Normal 7 6 2 2 4 3 2" xfId="21145"/>
    <cellStyle name="Normal 7 6 2 2 4 3 2 2" xfId="35170"/>
    <cellStyle name="Normal 7 6 2 2 4 3 3" xfId="27159"/>
    <cellStyle name="Normal 7 6 2 2 4 4" xfId="15135"/>
    <cellStyle name="Normal 7 6 2 2 4 4 2" xfId="23150"/>
    <cellStyle name="Normal 7 6 2 2 4 4 2 2" xfId="37175"/>
    <cellStyle name="Normal 7 6 2 2 4 4 3" xfId="29164"/>
    <cellStyle name="Normal 7 6 2 2 4 5" xfId="17141"/>
    <cellStyle name="Normal 7 6 2 2 4 5 2" xfId="31166"/>
    <cellStyle name="Normal 7 6 2 2 4 6" xfId="19143"/>
    <cellStyle name="Normal 7 6 2 2 4 6 2" xfId="33168"/>
    <cellStyle name="Normal 7 6 2 2 4 7" xfId="25157"/>
    <cellStyle name="Normal 7 6 2 2 5" xfId="2528"/>
    <cellStyle name="Normal 7 6 2 2 5 2" xfId="13122"/>
    <cellStyle name="Normal 7 6 2 2 5 2 2" xfId="21147"/>
    <cellStyle name="Normal 7 6 2 2 5 2 2 2" xfId="35172"/>
    <cellStyle name="Normal 7 6 2 2 5 2 3" xfId="27161"/>
    <cellStyle name="Normal 7 6 2 2 5 3" xfId="15137"/>
    <cellStyle name="Normal 7 6 2 2 5 3 2" xfId="23152"/>
    <cellStyle name="Normal 7 6 2 2 5 3 2 2" xfId="37177"/>
    <cellStyle name="Normal 7 6 2 2 5 3 3" xfId="29166"/>
    <cellStyle name="Normal 7 6 2 2 5 4" xfId="17143"/>
    <cellStyle name="Normal 7 6 2 2 5 4 2" xfId="31168"/>
    <cellStyle name="Normal 7 6 2 2 5 5" xfId="19145"/>
    <cellStyle name="Normal 7 6 2 2 5 5 2" xfId="33170"/>
    <cellStyle name="Normal 7 6 2 2 5 6" xfId="25159"/>
    <cellStyle name="Normal 7 6 2 2 6" xfId="13113"/>
    <cellStyle name="Normal 7 6 2 2 6 2" xfId="21138"/>
    <cellStyle name="Normal 7 6 2 2 6 2 2" xfId="35163"/>
    <cellStyle name="Normal 7 6 2 2 6 3" xfId="27152"/>
    <cellStyle name="Normal 7 6 2 2 7" xfId="15128"/>
    <cellStyle name="Normal 7 6 2 2 7 2" xfId="23143"/>
    <cellStyle name="Normal 7 6 2 2 7 2 2" xfId="37168"/>
    <cellStyle name="Normal 7 6 2 2 7 3" xfId="29157"/>
    <cellStyle name="Normal 7 6 2 2 8" xfId="17134"/>
    <cellStyle name="Normal 7 6 2 2 8 2" xfId="31159"/>
    <cellStyle name="Normal 7 6 2 2 9" xfId="19136"/>
    <cellStyle name="Normal 7 6 2 2 9 2" xfId="33161"/>
    <cellStyle name="Normal 7 6 2 3" xfId="2529"/>
    <cellStyle name="Normal 7 6 2 3 2" xfId="2530"/>
    <cellStyle name="Normal 7 6 2 3 2 2" xfId="2531"/>
    <cellStyle name="Normal 7 6 2 3 2 2 2" xfId="13125"/>
    <cellStyle name="Normal 7 6 2 3 2 2 2 2" xfId="21150"/>
    <cellStyle name="Normal 7 6 2 3 2 2 2 2 2" xfId="35175"/>
    <cellStyle name="Normal 7 6 2 3 2 2 2 3" xfId="27164"/>
    <cellStyle name="Normal 7 6 2 3 2 2 3" xfId="15140"/>
    <cellStyle name="Normal 7 6 2 3 2 2 3 2" xfId="23155"/>
    <cellStyle name="Normal 7 6 2 3 2 2 3 2 2" xfId="37180"/>
    <cellStyle name="Normal 7 6 2 3 2 2 3 3" xfId="29169"/>
    <cellStyle name="Normal 7 6 2 3 2 2 4" xfId="17146"/>
    <cellStyle name="Normal 7 6 2 3 2 2 4 2" xfId="31171"/>
    <cellStyle name="Normal 7 6 2 3 2 2 5" xfId="19148"/>
    <cellStyle name="Normal 7 6 2 3 2 2 5 2" xfId="33173"/>
    <cellStyle name="Normal 7 6 2 3 2 2 6" xfId="25162"/>
    <cellStyle name="Normal 7 6 2 3 2 3" xfId="13124"/>
    <cellStyle name="Normal 7 6 2 3 2 3 2" xfId="21149"/>
    <cellStyle name="Normal 7 6 2 3 2 3 2 2" xfId="35174"/>
    <cellStyle name="Normal 7 6 2 3 2 3 3" xfId="27163"/>
    <cellStyle name="Normal 7 6 2 3 2 4" xfId="15139"/>
    <cellStyle name="Normal 7 6 2 3 2 4 2" xfId="23154"/>
    <cellStyle name="Normal 7 6 2 3 2 4 2 2" xfId="37179"/>
    <cellStyle name="Normal 7 6 2 3 2 4 3" xfId="29168"/>
    <cellStyle name="Normal 7 6 2 3 2 5" xfId="17145"/>
    <cellStyle name="Normal 7 6 2 3 2 5 2" xfId="31170"/>
    <cellStyle name="Normal 7 6 2 3 2 6" xfId="19147"/>
    <cellStyle name="Normal 7 6 2 3 2 6 2" xfId="33172"/>
    <cellStyle name="Normal 7 6 2 3 2 7" xfId="25161"/>
    <cellStyle name="Normal 7 6 2 3 3" xfId="2532"/>
    <cellStyle name="Normal 7 6 2 3 3 2" xfId="13126"/>
    <cellStyle name="Normal 7 6 2 3 3 2 2" xfId="21151"/>
    <cellStyle name="Normal 7 6 2 3 3 2 2 2" xfId="35176"/>
    <cellStyle name="Normal 7 6 2 3 3 2 3" xfId="27165"/>
    <cellStyle name="Normal 7 6 2 3 3 3" xfId="15141"/>
    <cellStyle name="Normal 7 6 2 3 3 3 2" xfId="23156"/>
    <cellStyle name="Normal 7 6 2 3 3 3 2 2" xfId="37181"/>
    <cellStyle name="Normal 7 6 2 3 3 3 3" xfId="29170"/>
    <cellStyle name="Normal 7 6 2 3 3 4" xfId="17147"/>
    <cellStyle name="Normal 7 6 2 3 3 4 2" xfId="31172"/>
    <cellStyle name="Normal 7 6 2 3 3 5" xfId="19149"/>
    <cellStyle name="Normal 7 6 2 3 3 5 2" xfId="33174"/>
    <cellStyle name="Normal 7 6 2 3 3 6" xfId="25163"/>
    <cellStyle name="Normal 7 6 2 3 4" xfId="13123"/>
    <cellStyle name="Normal 7 6 2 3 4 2" xfId="21148"/>
    <cellStyle name="Normal 7 6 2 3 4 2 2" xfId="35173"/>
    <cellStyle name="Normal 7 6 2 3 4 3" xfId="27162"/>
    <cellStyle name="Normal 7 6 2 3 5" xfId="15138"/>
    <cellStyle name="Normal 7 6 2 3 5 2" xfId="23153"/>
    <cellStyle name="Normal 7 6 2 3 5 2 2" xfId="37178"/>
    <cellStyle name="Normal 7 6 2 3 5 3" xfId="29167"/>
    <cellStyle name="Normal 7 6 2 3 6" xfId="17144"/>
    <cellStyle name="Normal 7 6 2 3 6 2" xfId="31169"/>
    <cellStyle name="Normal 7 6 2 3 7" xfId="19146"/>
    <cellStyle name="Normal 7 6 2 3 7 2" xfId="33171"/>
    <cellStyle name="Normal 7 6 2 3 8" xfId="25160"/>
    <cellStyle name="Normal 7 6 2 4" xfId="2533"/>
    <cellStyle name="Normal 7 6 2 4 2" xfId="2534"/>
    <cellStyle name="Normal 7 6 2 4 2 2" xfId="13128"/>
    <cellStyle name="Normal 7 6 2 4 2 2 2" xfId="21153"/>
    <cellStyle name="Normal 7 6 2 4 2 2 2 2" xfId="35178"/>
    <cellStyle name="Normal 7 6 2 4 2 2 3" xfId="27167"/>
    <cellStyle name="Normal 7 6 2 4 2 3" xfId="15143"/>
    <cellStyle name="Normal 7 6 2 4 2 3 2" xfId="23158"/>
    <cellStyle name="Normal 7 6 2 4 2 3 2 2" xfId="37183"/>
    <cellStyle name="Normal 7 6 2 4 2 3 3" xfId="29172"/>
    <cellStyle name="Normal 7 6 2 4 2 4" xfId="17149"/>
    <cellStyle name="Normal 7 6 2 4 2 4 2" xfId="31174"/>
    <cellStyle name="Normal 7 6 2 4 2 5" xfId="19151"/>
    <cellStyle name="Normal 7 6 2 4 2 5 2" xfId="33176"/>
    <cellStyle name="Normal 7 6 2 4 2 6" xfId="25165"/>
    <cellStyle name="Normal 7 6 2 4 3" xfId="13127"/>
    <cellStyle name="Normal 7 6 2 4 3 2" xfId="21152"/>
    <cellStyle name="Normal 7 6 2 4 3 2 2" xfId="35177"/>
    <cellStyle name="Normal 7 6 2 4 3 3" xfId="27166"/>
    <cellStyle name="Normal 7 6 2 4 4" xfId="15142"/>
    <cellStyle name="Normal 7 6 2 4 4 2" xfId="23157"/>
    <cellStyle name="Normal 7 6 2 4 4 2 2" xfId="37182"/>
    <cellStyle name="Normal 7 6 2 4 4 3" xfId="29171"/>
    <cellStyle name="Normal 7 6 2 4 5" xfId="17148"/>
    <cellStyle name="Normal 7 6 2 4 5 2" xfId="31173"/>
    <cellStyle name="Normal 7 6 2 4 6" xfId="19150"/>
    <cellStyle name="Normal 7 6 2 4 6 2" xfId="33175"/>
    <cellStyle name="Normal 7 6 2 4 7" xfId="25164"/>
    <cellStyle name="Normal 7 6 2 5" xfId="2535"/>
    <cellStyle name="Normal 7 6 2 5 2" xfId="2536"/>
    <cellStyle name="Normal 7 6 2 5 2 2" xfId="13130"/>
    <cellStyle name="Normal 7 6 2 5 2 2 2" xfId="21155"/>
    <cellStyle name="Normal 7 6 2 5 2 2 2 2" xfId="35180"/>
    <cellStyle name="Normal 7 6 2 5 2 2 3" xfId="27169"/>
    <cellStyle name="Normal 7 6 2 5 2 3" xfId="15145"/>
    <cellStyle name="Normal 7 6 2 5 2 3 2" xfId="23160"/>
    <cellStyle name="Normal 7 6 2 5 2 3 2 2" xfId="37185"/>
    <cellStyle name="Normal 7 6 2 5 2 3 3" xfId="29174"/>
    <cellStyle name="Normal 7 6 2 5 2 4" xfId="17151"/>
    <cellStyle name="Normal 7 6 2 5 2 4 2" xfId="31176"/>
    <cellStyle name="Normal 7 6 2 5 2 5" xfId="19153"/>
    <cellStyle name="Normal 7 6 2 5 2 5 2" xfId="33178"/>
    <cellStyle name="Normal 7 6 2 5 2 6" xfId="25167"/>
    <cellStyle name="Normal 7 6 2 5 3" xfId="13129"/>
    <cellStyle name="Normal 7 6 2 5 3 2" xfId="21154"/>
    <cellStyle name="Normal 7 6 2 5 3 2 2" xfId="35179"/>
    <cellStyle name="Normal 7 6 2 5 3 3" xfId="27168"/>
    <cellStyle name="Normal 7 6 2 5 4" xfId="15144"/>
    <cellStyle name="Normal 7 6 2 5 4 2" xfId="23159"/>
    <cellStyle name="Normal 7 6 2 5 4 2 2" xfId="37184"/>
    <cellStyle name="Normal 7 6 2 5 4 3" xfId="29173"/>
    <cellStyle name="Normal 7 6 2 5 5" xfId="17150"/>
    <cellStyle name="Normal 7 6 2 5 5 2" xfId="31175"/>
    <cellStyle name="Normal 7 6 2 5 6" xfId="19152"/>
    <cellStyle name="Normal 7 6 2 5 6 2" xfId="33177"/>
    <cellStyle name="Normal 7 6 2 5 7" xfId="25166"/>
    <cellStyle name="Normal 7 6 2 6" xfId="2537"/>
    <cellStyle name="Normal 7 6 2 6 2" xfId="13131"/>
    <cellStyle name="Normal 7 6 2 6 2 2" xfId="21156"/>
    <cellStyle name="Normal 7 6 2 6 2 2 2" xfId="35181"/>
    <cellStyle name="Normal 7 6 2 6 2 3" xfId="27170"/>
    <cellStyle name="Normal 7 6 2 6 3" xfId="15146"/>
    <cellStyle name="Normal 7 6 2 6 3 2" xfId="23161"/>
    <cellStyle name="Normal 7 6 2 6 3 2 2" xfId="37186"/>
    <cellStyle name="Normal 7 6 2 6 3 3" xfId="29175"/>
    <cellStyle name="Normal 7 6 2 6 4" xfId="17152"/>
    <cellStyle name="Normal 7 6 2 6 4 2" xfId="31177"/>
    <cellStyle name="Normal 7 6 2 6 5" xfId="19154"/>
    <cellStyle name="Normal 7 6 2 6 5 2" xfId="33179"/>
    <cellStyle name="Normal 7 6 2 6 6" xfId="25168"/>
    <cellStyle name="Normal 7 6 2 7" xfId="13112"/>
    <cellStyle name="Normal 7 6 2 7 2" xfId="21137"/>
    <cellStyle name="Normal 7 6 2 7 2 2" xfId="35162"/>
    <cellStyle name="Normal 7 6 2 7 3" xfId="27151"/>
    <cellStyle name="Normal 7 6 2 8" xfId="15127"/>
    <cellStyle name="Normal 7 6 2 8 2" xfId="23142"/>
    <cellStyle name="Normal 7 6 2 8 2 2" xfId="37167"/>
    <cellStyle name="Normal 7 6 2 8 3" xfId="29156"/>
    <cellStyle name="Normal 7 6 2 9" xfId="17133"/>
    <cellStyle name="Normal 7 6 2 9 2" xfId="31158"/>
    <cellStyle name="Normal 7 6 3" xfId="2538"/>
    <cellStyle name="Normal 7 6 3 10" xfId="25169"/>
    <cellStyle name="Normal 7 6 3 2" xfId="2539"/>
    <cellStyle name="Normal 7 6 3 2 2" xfId="2540"/>
    <cellStyle name="Normal 7 6 3 2 2 2" xfId="2541"/>
    <cellStyle name="Normal 7 6 3 2 2 2 2" xfId="13135"/>
    <cellStyle name="Normal 7 6 3 2 2 2 2 2" xfId="21160"/>
    <cellStyle name="Normal 7 6 3 2 2 2 2 2 2" xfId="35185"/>
    <cellStyle name="Normal 7 6 3 2 2 2 2 3" xfId="27174"/>
    <cellStyle name="Normal 7 6 3 2 2 2 3" xfId="15150"/>
    <cellStyle name="Normal 7 6 3 2 2 2 3 2" xfId="23165"/>
    <cellStyle name="Normal 7 6 3 2 2 2 3 2 2" xfId="37190"/>
    <cellStyle name="Normal 7 6 3 2 2 2 3 3" xfId="29179"/>
    <cellStyle name="Normal 7 6 3 2 2 2 4" xfId="17156"/>
    <cellStyle name="Normal 7 6 3 2 2 2 4 2" xfId="31181"/>
    <cellStyle name="Normal 7 6 3 2 2 2 5" xfId="19158"/>
    <cellStyle name="Normal 7 6 3 2 2 2 5 2" xfId="33183"/>
    <cellStyle name="Normal 7 6 3 2 2 2 6" xfId="25172"/>
    <cellStyle name="Normal 7 6 3 2 2 3" xfId="13134"/>
    <cellStyle name="Normal 7 6 3 2 2 3 2" xfId="21159"/>
    <cellStyle name="Normal 7 6 3 2 2 3 2 2" xfId="35184"/>
    <cellStyle name="Normal 7 6 3 2 2 3 3" xfId="27173"/>
    <cellStyle name="Normal 7 6 3 2 2 4" xfId="15149"/>
    <cellStyle name="Normal 7 6 3 2 2 4 2" xfId="23164"/>
    <cellStyle name="Normal 7 6 3 2 2 4 2 2" xfId="37189"/>
    <cellStyle name="Normal 7 6 3 2 2 4 3" xfId="29178"/>
    <cellStyle name="Normal 7 6 3 2 2 5" xfId="17155"/>
    <cellStyle name="Normal 7 6 3 2 2 5 2" xfId="31180"/>
    <cellStyle name="Normal 7 6 3 2 2 6" xfId="19157"/>
    <cellStyle name="Normal 7 6 3 2 2 6 2" xfId="33182"/>
    <cellStyle name="Normal 7 6 3 2 2 7" xfId="25171"/>
    <cellStyle name="Normal 7 6 3 2 3" xfId="2542"/>
    <cellStyle name="Normal 7 6 3 2 3 2" xfId="13136"/>
    <cellStyle name="Normal 7 6 3 2 3 2 2" xfId="21161"/>
    <cellStyle name="Normal 7 6 3 2 3 2 2 2" xfId="35186"/>
    <cellStyle name="Normal 7 6 3 2 3 2 3" xfId="27175"/>
    <cellStyle name="Normal 7 6 3 2 3 3" xfId="15151"/>
    <cellStyle name="Normal 7 6 3 2 3 3 2" xfId="23166"/>
    <cellStyle name="Normal 7 6 3 2 3 3 2 2" xfId="37191"/>
    <cellStyle name="Normal 7 6 3 2 3 3 3" xfId="29180"/>
    <cellStyle name="Normal 7 6 3 2 3 4" xfId="17157"/>
    <cellStyle name="Normal 7 6 3 2 3 4 2" xfId="31182"/>
    <cellStyle name="Normal 7 6 3 2 3 5" xfId="19159"/>
    <cellStyle name="Normal 7 6 3 2 3 5 2" xfId="33184"/>
    <cellStyle name="Normal 7 6 3 2 3 6" xfId="25173"/>
    <cellStyle name="Normal 7 6 3 2 4" xfId="13133"/>
    <cellStyle name="Normal 7 6 3 2 4 2" xfId="21158"/>
    <cellStyle name="Normal 7 6 3 2 4 2 2" xfId="35183"/>
    <cellStyle name="Normal 7 6 3 2 4 3" xfId="27172"/>
    <cellStyle name="Normal 7 6 3 2 5" xfId="15148"/>
    <cellStyle name="Normal 7 6 3 2 5 2" xfId="23163"/>
    <cellStyle name="Normal 7 6 3 2 5 2 2" xfId="37188"/>
    <cellStyle name="Normal 7 6 3 2 5 3" xfId="29177"/>
    <cellStyle name="Normal 7 6 3 2 6" xfId="17154"/>
    <cellStyle name="Normal 7 6 3 2 6 2" xfId="31179"/>
    <cellStyle name="Normal 7 6 3 2 7" xfId="19156"/>
    <cellStyle name="Normal 7 6 3 2 7 2" xfId="33181"/>
    <cellStyle name="Normal 7 6 3 2 8" xfId="25170"/>
    <cellStyle name="Normal 7 6 3 3" xfId="2543"/>
    <cellStyle name="Normal 7 6 3 3 2" xfId="2544"/>
    <cellStyle name="Normal 7 6 3 3 2 2" xfId="13138"/>
    <cellStyle name="Normal 7 6 3 3 2 2 2" xfId="21163"/>
    <cellStyle name="Normal 7 6 3 3 2 2 2 2" xfId="35188"/>
    <cellStyle name="Normal 7 6 3 3 2 2 3" xfId="27177"/>
    <cellStyle name="Normal 7 6 3 3 2 3" xfId="15153"/>
    <cellStyle name="Normal 7 6 3 3 2 3 2" xfId="23168"/>
    <cellStyle name="Normal 7 6 3 3 2 3 2 2" xfId="37193"/>
    <cellStyle name="Normal 7 6 3 3 2 3 3" xfId="29182"/>
    <cellStyle name="Normal 7 6 3 3 2 4" xfId="17159"/>
    <cellStyle name="Normal 7 6 3 3 2 4 2" xfId="31184"/>
    <cellStyle name="Normal 7 6 3 3 2 5" xfId="19161"/>
    <cellStyle name="Normal 7 6 3 3 2 5 2" xfId="33186"/>
    <cellStyle name="Normal 7 6 3 3 2 6" xfId="25175"/>
    <cellStyle name="Normal 7 6 3 3 3" xfId="13137"/>
    <cellStyle name="Normal 7 6 3 3 3 2" xfId="21162"/>
    <cellStyle name="Normal 7 6 3 3 3 2 2" xfId="35187"/>
    <cellStyle name="Normal 7 6 3 3 3 3" xfId="27176"/>
    <cellStyle name="Normal 7 6 3 3 4" xfId="15152"/>
    <cellStyle name="Normal 7 6 3 3 4 2" xfId="23167"/>
    <cellStyle name="Normal 7 6 3 3 4 2 2" xfId="37192"/>
    <cellStyle name="Normal 7 6 3 3 4 3" xfId="29181"/>
    <cellStyle name="Normal 7 6 3 3 5" xfId="17158"/>
    <cellStyle name="Normal 7 6 3 3 5 2" xfId="31183"/>
    <cellStyle name="Normal 7 6 3 3 6" xfId="19160"/>
    <cellStyle name="Normal 7 6 3 3 6 2" xfId="33185"/>
    <cellStyle name="Normal 7 6 3 3 7" xfId="25174"/>
    <cellStyle name="Normal 7 6 3 4" xfId="2545"/>
    <cellStyle name="Normal 7 6 3 4 2" xfId="2546"/>
    <cellStyle name="Normal 7 6 3 4 2 2" xfId="13140"/>
    <cellStyle name="Normal 7 6 3 4 2 2 2" xfId="21165"/>
    <cellStyle name="Normal 7 6 3 4 2 2 2 2" xfId="35190"/>
    <cellStyle name="Normal 7 6 3 4 2 2 3" xfId="27179"/>
    <cellStyle name="Normal 7 6 3 4 2 3" xfId="15155"/>
    <cellStyle name="Normal 7 6 3 4 2 3 2" xfId="23170"/>
    <cellStyle name="Normal 7 6 3 4 2 3 2 2" xfId="37195"/>
    <cellStyle name="Normal 7 6 3 4 2 3 3" xfId="29184"/>
    <cellStyle name="Normal 7 6 3 4 2 4" xfId="17161"/>
    <cellStyle name="Normal 7 6 3 4 2 4 2" xfId="31186"/>
    <cellStyle name="Normal 7 6 3 4 2 5" xfId="19163"/>
    <cellStyle name="Normal 7 6 3 4 2 5 2" xfId="33188"/>
    <cellStyle name="Normal 7 6 3 4 2 6" xfId="25177"/>
    <cellStyle name="Normal 7 6 3 4 3" xfId="13139"/>
    <cellStyle name="Normal 7 6 3 4 3 2" xfId="21164"/>
    <cellStyle name="Normal 7 6 3 4 3 2 2" xfId="35189"/>
    <cellStyle name="Normal 7 6 3 4 3 3" xfId="27178"/>
    <cellStyle name="Normal 7 6 3 4 4" xfId="15154"/>
    <cellStyle name="Normal 7 6 3 4 4 2" xfId="23169"/>
    <cellStyle name="Normal 7 6 3 4 4 2 2" xfId="37194"/>
    <cellStyle name="Normal 7 6 3 4 4 3" xfId="29183"/>
    <cellStyle name="Normal 7 6 3 4 5" xfId="17160"/>
    <cellStyle name="Normal 7 6 3 4 5 2" xfId="31185"/>
    <cellStyle name="Normal 7 6 3 4 6" xfId="19162"/>
    <cellStyle name="Normal 7 6 3 4 6 2" xfId="33187"/>
    <cellStyle name="Normal 7 6 3 4 7" xfId="25176"/>
    <cellStyle name="Normal 7 6 3 5" xfId="2547"/>
    <cellStyle name="Normal 7 6 3 5 2" xfId="13141"/>
    <cellStyle name="Normal 7 6 3 5 2 2" xfId="21166"/>
    <cellStyle name="Normal 7 6 3 5 2 2 2" xfId="35191"/>
    <cellStyle name="Normal 7 6 3 5 2 3" xfId="27180"/>
    <cellStyle name="Normal 7 6 3 5 3" xfId="15156"/>
    <cellStyle name="Normal 7 6 3 5 3 2" xfId="23171"/>
    <cellStyle name="Normal 7 6 3 5 3 2 2" xfId="37196"/>
    <cellStyle name="Normal 7 6 3 5 3 3" xfId="29185"/>
    <cellStyle name="Normal 7 6 3 5 4" xfId="17162"/>
    <cellStyle name="Normal 7 6 3 5 4 2" xfId="31187"/>
    <cellStyle name="Normal 7 6 3 5 5" xfId="19164"/>
    <cellStyle name="Normal 7 6 3 5 5 2" xfId="33189"/>
    <cellStyle name="Normal 7 6 3 5 6" xfId="25178"/>
    <cellStyle name="Normal 7 6 3 6" xfId="13132"/>
    <cellStyle name="Normal 7 6 3 6 2" xfId="21157"/>
    <cellStyle name="Normal 7 6 3 6 2 2" xfId="35182"/>
    <cellStyle name="Normal 7 6 3 6 3" xfId="27171"/>
    <cellStyle name="Normal 7 6 3 7" xfId="15147"/>
    <cellStyle name="Normal 7 6 3 7 2" xfId="23162"/>
    <cellStyle name="Normal 7 6 3 7 2 2" xfId="37187"/>
    <cellStyle name="Normal 7 6 3 7 3" xfId="29176"/>
    <cellStyle name="Normal 7 6 3 8" xfId="17153"/>
    <cellStyle name="Normal 7 6 3 8 2" xfId="31178"/>
    <cellStyle name="Normal 7 6 3 9" xfId="19155"/>
    <cellStyle name="Normal 7 6 3 9 2" xfId="33180"/>
    <cellStyle name="Normal 7 6 4" xfId="2548"/>
    <cellStyle name="Normal 7 6 4 2" xfId="2549"/>
    <cellStyle name="Normal 7 6 4 2 2" xfId="2550"/>
    <cellStyle name="Normal 7 6 4 2 2 2" xfId="13144"/>
    <cellStyle name="Normal 7 6 4 2 2 2 2" xfId="21169"/>
    <cellStyle name="Normal 7 6 4 2 2 2 2 2" xfId="35194"/>
    <cellStyle name="Normal 7 6 4 2 2 2 3" xfId="27183"/>
    <cellStyle name="Normal 7 6 4 2 2 3" xfId="15159"/>
    <cellStyle name="Normal 7 6 4 2 2 3 2" xfId="23174"/>
    <cellStyle name="Normal 7 6 4 2 2 3 2 2" xfId="37199"/>
    <cellStyle name="Normal 7 6 4 2 2 3 3" xfId="29188"/>
    <cellStyle name="Normal 7 6 4 2 2 4" xfId="17165"/>
    <cellStyle name="Normal 7 6 4 2 2 4 2" xfId="31190"/>
    <cellStyle name="Normal 7 6 4 2 2 5" xfId="19167"/>
    <cellStyle name="Normal 7 6 4 2 2 5 2" xfId="33192"/>
    <cellStyle name="Normal 7 6 4 2 2 6" xfId="25181"/>
    <cellStyle name="Normal 7 6 4 2 3" xfId="13143"/>
    <cellStyle name="Normal 7 6 4 2 3 2" xfId="21168"/>
    <cellStyle name="Normal 7 6 4 2 3 2 2" xfId="35193"/>
    <cellStyle name="Normal 7 6 4 2 3 3" xfId="27182"/>
    <cellStyle name="Normal 7 6 4 2 4" xfId="15158"/>
    <cellStyle name="Normal 7 6 4 2 4 2" xfId="23173"/>
    <cellStyle name="Normal 7 6 4 2 4 2 2" xfId="37198"/>
    <cellStyle name="Normal 7 6 4 2 4 3" xfId="29187"/>
    <cellStyle name="Normal 7 6 4 2 5" xfId="17164"/>
    <cellStyle name="Normal 7 6 4 2 5 2" xfId="31189"/>
    <cellStyle name="Normal 7 6 4 2 6" xfId="19166"/>
    <cellStyle name="Normal 7 6 4 2 6 2" xfId="33191"/>
    <cellStyle name="Normal 7 6 4 2 7" xfId="25180"/>
    <cellStyle name="Normal 7 6 4 3" xfId="2551"/>
    <cellStyle name="Normal 7 6 4 3 2" xfId="13145"/>
    <cellStyle name="Normal 7 6 4 3 2 2" xfId="21170"/>
    <cellStyle name="Normal 7 6 4 3 2 2 2" xfId="35195"/>
    <cellStyle name="Normal 7 6 4 3 2 3" xfId="27184"/>
    <cellStyle name="Normal 7 6 4 3 3" xfId="15160"/>
    <cellStyle name="Normal 7 6 4 3 3 2" xfId="23175"/>
    <cellStyle name="Normal 7 6 4 3 3 2 2" xfId="37200"/>
    <cellStyle name="Normal 7 6 4 3 3 3" xfId="29189"/>
    <cellStyle name="Normal 7 6 4 3 4" xfId="17166"/>
    <cellStyle name="Normal 7 6 4 3 4 2" xfId="31191"/>
    <cellStyle name="Normal 7 6 4 3 5" xfId="19168"/>
    <cellStyle name="Normal 7 6 4 3 5 2" xfId="33193"/>
    <cellStyle name="Normal 7 6 4 3 6" xfId="25182"/>
    <cellStyle name="Normal 7 6 4 4" xfId="13142"/>
    <cellStyle name="Normal 7 6 4 4 2" xfId="21167"/>
    <cellStyle name="Normal 7 6 4 4 2 2" xfId="35192"/>
    <cellStyle name="Normal 7 6 4 4 3" xfId="27181"/>
    <cellStyle name="Normal 7 6 4 5" xfId="15157"/>
    <cellStyle name="Normal 7 6 4 5 2" xfId="23172"/>
    <cellStyle name="Normal 7 6 4 5 2 2" xfId="37197"/>
    <cellStyle name="Normal 7 6 4 5 3" xfId="29186"/>
    <cellStyle name="Normal 7 6 4 6" xfId="17163"/>
    <cellStyle name="Normal 7 6 4 6 2" xfId="31188"/>
    <cellStyle name="Normal 7 6 4 7" xfId="19165"/>
    <cellStyle name="Normal 7 6 4 7 2" xfId="33190"/>
    <cellStyle name="Normal 7 6 4 8" xfId="25179"/>
    <cellStyle name="Normal 7 6 5" xfId="2552"/>
    <cellStyle name="Normal 7 6 5 2" xfId="2553"/>
    <cellStyle name="Normal 7 6 5 2 2" xfId="13147"/>
    <cellStyle name="Normal 7 6 5 2 2 2" xfId="21172"/>
    <cellStyle name="Normal 7 6 5 2 2 2 2" xfId="35197"/>
    <cellStyle name="Normal 7 6 5 2 2 3" xfId="27186"/>
    <cellStyle name="Normal 7 6 5 2 3" xfId="15162"/>
    <cellStyle name="Normal 7 6 5 2 3 2" xfId="23177"/>
    <cellStyle name="Normal 7 6 5 2 3 2 2" xfId="37202"/>
    <cellStyle name="Normal 7 6 5 2 3 3" xfId="29191"/>
    <cellStyle name="Normal 7 6 5 2 4" xfId="17168"/>
    <cellStyle name="Normal 7 6 5 2 4 2" xfId="31193"/>
    <cellStyle name="Normal 7 6 5 2 5" xfId="19170"/>
    <cellStyle name="Normal 7 6 5 2 5 2" xfId="33195"/>
    <cellStyle name="Normal 7 6 5 2 6" xfId="25184"/>
    <cellStyle name="Normal 7 6 5 3" xfId="13146"/>
    <cellStyle name="Normal 7 6 5 3 2" xfId="21171"/>
    <cellStyle name="Normal 7 6 5 3 2 2" xfId="35196"/>
    <cellStyle name="Normal 7 6 5 3 3" xfId="27185"/>
    <cellStyle name="Normal 7 6 5 4" xfId="15161"/>
    <cellStyle name="Normal 7 6 5 4 2" xfId="23176"/>
    <cellStyle name="Normal 7 6 5 4 2 2" xfId="37201"/>
    <cellStyle name="Normal 7 6 5 4 3" xfId="29190"/>
    <cellStyle name="Normal 7 6 5 5" xfId="17167"/>
    <cellStyle name="Normal 7 6 5 5 2" xfId="31192"/>
    <cellStyle name="Normal 7 6 5 6" xfId="19169"/>
    <cellStyle name="Normal 7 6 5 6 2" xfId="33194"/>
    <cellStyle name="Normal 7 6 5 7" xfId="25183"/>
    <cellStyle name="Normal 7 6 6" xfId="2554"/>
    <cellStyle name="Normal 7 6 6 2" xfId="2555"/>
    <cellStyle name="Normal 7 6 6 2 2" xfId="13149"/>
    <cellStyle name="Normal 7 6 6 2 2 2" xfId="21174"/>
    <cellStyle name="Normal 7 6 6 2 2 2 2" xfId="35199"/>
    <cellStyle name="Normal 7 6 6 2 2 3" xfId="27188"/>
    <cellStyle name="Normal 7 6 6 2 3" xfId="15164"/>
    <cellStyle name="Normal 7 6 6 2 3 2" xfId="23179"/>
    <cellStyle name="Normal 7 6 6 2 3 2 2" xfId="37204"/>
    <cellStyle name="Normal 7 6 6 2 3 3" xfId="29193"/>
    <cellStyle name="Normal 7 6 6 2 4" xfId="17170"/>
    <cellStyle name="Normal 7 6 6 2 4 2" xfId="31195"/>
    <cellStyle name="Normal 7 6 6 2 5" xfId="19172"/>
    <cellStyle name="Normal 7 6 6 2 5 2" xfId="33197"/>
    <cellStyle name="Normal 7 6 6 2 6" xfId="25186"/>
    <cellStyle name="Normal 7 6 6 3" xfId="13148"/>
    <cellStyle name="Normal 7 6 6 3 2" xfId="21173"/>
    <cellStyle name="Normal 7 6 6 3 2 2" xfId="35198"/>
    <cellStyle name="Normal 7 6 6 3 3" xfId="27187"/>
    <cellStyle name="Normal 7 6 6 4" xfId="15163"/>
    <cellStyle name="Normal 7 6 6 4 2" xfId="23178"/>
    <cellStyle name="Normal 7 6 6 4 2 2" xfId="37203"/>
    <cellStyle name="Normal 7 6 6 4 3" xfId="29192"/>
    <cellStyle name="Normal 7 6 6 5" xfId="17169"/>
    <cellStyle name="Normal 7 6 6 5 2" xfId="31194"/>
    <cellStyle name="Normal 7 6 6 6" xfId="19171"/>
    <cellStyle name="Normal 7 6 6 6 2" xfId="33196"/>
    <cellStyle name="Normal 7 6 6 7" xfId="25185"/>
    <cellStyle name="Normal 7 6 7" xfId="2556"/>
    <cellStyle name="Normal 7 6 7 2" xfId="13150"/>
    <cellStyle name="Normal 7 6 7 2 2" xfId="21175"/>
    <cellStyle name="Normal 7 6 7 2 2 2" xfId="35200"/>
    <cellStyle name="Normal 7 6 7 2 3" xfId="27189"/>
    <cellStyle name="Normal 7 6 7 3" xfId="15165"/>
    <cellStyle name="Normal 7 6 7 3 2" xfId="23180"/>
    <cellStyle name="Normal 7 6 7 3 2 2" xfId="37205"/>
    <cellStyle name="Normal 7 6 7 3 3" xfId="29194"/>
    <cellStyle name="Normal 7 6 7 4" xfId="17171"/>
    <cellStyle name="Normal 7 6 7 4 2" xfId="31196"/>
    <cellStyle name="Normal 7 6 7 5" xfId="19173"/>
    <cellStyle name="Normal 7 6 7 5 2" xfId="33198"/>
    <cellStyle name="Normal 7 6 7 6" xfId="25187"/>
    <cellStyle name="Normal 7 6 8" xfId="13111"/>
    <cellStyle name="Normal 7 6 8 2" xfId="21136"/>
    <cellStyle name="Normal 7 6 8 2 2" xfId="35161"/>
    <cellStyle name="Normal 7 6 8 3" xfId="27150"/>
    <cellStyle name="Normal 7 6 9" xfId="15126"/>
    <cellStyle name="Normal 7 6 9 2" xfId="23141"/>
    <cellStyle name="Normal 7 6 9 2 2" xfId="37166"/>
    <cellStyle name="Normal 7 6 9 3" xfId="29155"/>
    <cellStyle name="Normal 7 7" xfId="2557"/>
    <cellStyle name="Normal 7 7 10" xfId="19174"/>
    <cellStyle name="Normal 7 7 10 2" xfId="33199"/>
    <cellStyle name="Normal 7 7 11" xfId="25188"/>
    <cellStyle name="Normal 7 7 2" xfId="2558"/>
    <cellStyle name="Normal 7 7 2 10" xfId="25189"/>
    <cellStyle name="Normal 7 7 2 2" xfId="2559"/>
    <cellStyle name="Normal 7 7 2 2 2" xfId="2560"/>
    <cellStyle name="Normal 7 7 2 2 2 2" xfId="2561"/>
    <cellStyle name="Normal 7 7 2 2 2 2 2" xfId="13155"/>
    <cellStyle name="Normal 7 7 2 2 2 2 2 2" xfId="21180"/>
    <cellStyle name="Normal 7 7 2 2 2 2 2 2 2" xfId="35205"/>
    <cellStyle name="Normal 7 7 2 2 2 2 2 3" xfId="27194"/>
    <cellStyle name="Normal 7 7 2 2 2 2 3" xfId="15170"/>
    <cellStyle name="Normal 7 7 2 2 2 2 3 2" xfId="23185"/>
    <cellStyle name="Normal 7 7 2 2 2 2 3 2 2" xfId="37210"/>
    <cellStyle name="Normal 7 7 2 2 2 2 3 3" xfId="29199"/>
    <cellStyle name="Normal 7 7 2 2 2 2 4" xfId="17176"/>
    <cellStyle name="Normal 7 7 2 2 2 2 4 2" xfId="31201"/>
    <cellStyle name="Normal 7 7 2 2 2 2 5" xfId="19178"/>
    <cellStyle name="Normal 7 7 2 2 2 2 5 2" xfId="33203"/>
    <cellStyle name="Normal 7 7 2 2 2 2 6" xfId="25192"/>
    <cellStyle name="Normal 7 7 2 2 2 3" xfId="13154"/>
    <cellStyle name="Normal 7 7 2 2 2 3 2" xfId="21179"/>
    <cellStyle name="Normal 7 7 2 2 2 3 2 2" xfId="35204"/>
    <cellStyle name="Normal 7 7 2 2 2 3 3" xfId="27193"/>
    <cellStyle name="Normal 7 7 2 2 2 4" xfId="15169"/>
    <cellStyle name="Normal 7 7 2 2 2 4 2" xfId="23184"/>
    <cellStyle name="Normal 7 7 2 2 2 4 2 2" xfId="37209"/>
    <cellStyle name="Normal 7 7 2 2 2 4 3" xfId="29198"/>
    <cellStyle name="Normal 7 7 2 2 2 5" xfId="17175"/>
    <cellStyle name="Normal 7 7 2 2 2 5 2" xfId="31200"/>
    <cellStyle name="Normal 7 7 2 2 2 6" xfId="19177"/>
    <cellStyle name="Normal 7 7 2 2 2 6 2" xfId="33202"/>
    <cellStyle name="Normal 7 7 2 2 2 7" xfId="25191"/>
    <cellStyle name="Normal 7 7 2 2 3" xfId="2562"/>
    <cellStyle name="Normal 7 7 2 2 3 2" xfId="13156"/>
    <cellStyle name="Normal 7 7 2 2 3 2 2" xfId="21181"/>
    <cellStyle name="Normal 7 7 2 2 3 2 2 2" xfId="35206"/>
    <cellStyle name="Normal 7 7 2 2 3 2 3" xfId="27195"/>
    <cellStyle name="Normal 7 7 2 2 3 3" xfId="15171"/>
    <cellStyle name="Normal 7 7 2 2 3 3 2" xfId="23186"/>
    <cellStyle name="Normal 7 7 2 2 3 3 2 2" xfId="37211"/>
    <cellStyle name="Normal 7 7 2 2 3 3 3" xfId="29200"/>
    <cellStyle name="Normal 7 7 2 2 3 4" xfId="17177"/>
    <cellStyle name="Normal 7 7 2 2 3 4 2" xfId="31202"/>
    <cellStyle name="Normal 7 7 2 2 3 5" xfId="19179"/>
    <cellStyle name="Normal 7 7 2 2 3 5 2" xfId="33204"/>
    <cellStyle name="Normal 7 7 2 2 3 6" xfId="25193"/>
    <cellStyle name="Normal 7 7 2 2 4" xfId="13153"/>
    <cellStyle name="Normal 7 7 2 2 4 2" xfId="21178"/>
    <cellStyle name="Normal 7 7 2 2 4 2 2" xfId="35203"/>
    <cellStyle name="Normal 7 7 2 2 4 3" xfId="27192"/>
    <cellStyle name="Normal 7 7 2 2 5" xfId="15168"/>
    <cellStyle name="Normal 7 7 2 2 5 2" xfId="23183"/>
    <cellStyle name="Normal 7 7 2 2 5 2 2" xfId="37208"/>
    <cellStyle name="Normal 7 7 2 2 5 3" xfId="29197"/>
    <cellStyle name="Normal 7 7 2 2 6" xfId="17174"/>
    <cellStyle name="Normal 7 7 2 2 6 2" xfId="31199"/>
    <cellStyle name="Normal 7 7 2 2 7" xfId="19176"/>
    <cellStyle name="Normal 7 7 2 2 7 2" xfId="33201"/>
    <cellStyle name="Normal 7 7 2 2 8" xfId="25190"/>
    <cellStyle name="Normal 7 7 2 3" xfId="2563"/>
    <cellStyle name="Normal 7 7 2 3 2" xfId="2564"/>
    <cellStyle name="Normal 7 7 2 3 2 2" xfId="13158"/>
    <cellStyle name="Normal 7 7 2 3 2 2 2" xfId="21183"/>
    <cellStyle name="Normal 7 7 2 3 2 2 2 2" xfId="35208"/>
    <cellStyle name="Normal 7 7 2 3 2 2 3" xfId="27197"/>
    <cellStyle name="Normal 7 7 2 3 2 3" xfId="15173"/>
    <cellStyle name="Normal 7 7 2 3 2 3 2" xfId="23188"/>
    <cellStyle name="Normal 7 7 2 3 2 3 2 2" xfId="37213"/>
    <cellStyle name="Normal 7 7 2 3 2 3 3" xfId="29202"/>
    <cellStyle name="Normal 7 7 2 3 2 4" xfId="17179"/>
    <cellStyle name="Normal 7 7 2 3 2 4 2" xfId="31204"/>
    <cellStyle name="Normal 7 7 2 3 2 5" xfId="19181"/>
    <cellStyle name="Normal 7 7 2 3 2 5 2" xfId="33206"/>
    <cellStyle name="Normal 7 7 2 3 2 6" xfId="25195"/>
    <cellStyle name="Normal 7 7 2 3 3" xfId="13157"/>
    <cellStyle name="Normal 7 7 2 3 3 2" xfId="21182"/>
    <cellStyle name="Normal 7 7 2 3 3 2 2" xfId="35207"/>
    <cellStyle name="Normal 7 7 2 3 3 3" xfId="27196"/>
    <cellStyle name="Normal 7 7 2 3 4" xfId="15172"/>
    <cellStyle name="Normal 7 7 2 3 4 2" xfId="23187"/>
    <cellStyle name="Normal 7 7 2 3 4 2 2" xfId="37212"/>
    <cellStyle name="Normal 7 7 2 3 4 3" xfId="29201"/>
    <cellStyle name="Normal 7 7 2 3 5" xfId="17178"/>
    <cellStyle name="Normal 7 7 2 3 5 2" xfId="31203"/>
    <cellStyle name="Normal 7 7 2 3 6" xfId="19180"/>
    <cellStyle name="Normal 7 7 2 3 6 2" xfId="33205"/>
    <cellStyle name="Normal 7 7 2 3 7" xfId="25194"/>
    <cellStyle name="Normal 7 7 2 4" xfId="2565"/>
    <cellStyle name="Normal 7 7 2 4 2" xfId="2566"/>
    <cellStyle name="Normal 7 7 2 4 2 2" xfId="13160"/>
    <cellStyle name="Normal 7 7 2 4 2 2 2" xfId="21185"/>
    <cellStyle name="Normal 7 7 2 4 2 2 2 2" xfId="35210"/>
    <cellStyle name="Normal 7 7 2 4 2 2 3" xfId="27199"/>
    <cellStyle name="Normal 7 7 2 4 2 3" xfId="15175"/>
    <cellStyle name="Normal 7 7 2 4 2 3 2" xfId="23190"/>
    <cellStyle name="Normal 7 7 2 4 2 3 2 2" xfId="37215"/>
    <cellStyle name="Normal 7 7 2 4 2 3 3" xfId="29204"/>
    <cellStyle name="Normal 7 7 2 4 2 4" xfId="17181"/>
    <cellStyle name="Normal 7 7 2 4 2 4 2" xfId="31206"/>
    <cellStyle name="Normal 7 7 2 4 2 5" xfId="19183"/>
    <cellStyle name="Normal 7 7 2 4 2 5 2" xfId="33208"/>
    <cellStyle name="Normal 7 7 2 4 2 6" xfId="25197"/>
    <cellStyle name="Normal 7 7 2 4 3" xfId="13159"/>
    <cellStyle name="Normal 7 7 2 4 3 2" xfId="21184"/>
    <cellStyle name="Normal 7 7 2 4 3 2 2" xfId="35209"/>
    <cellStyle name="Normal 7 7 2 4 3 3" xfId="27198"/>
    <cellStyle name="Normal 7 7 2 4 4" xfId="15174"/>
    <cellStyle name="Normal 7 7 2 4 4 2" xfId="23189"/>
    <cellStyle name="Normal 7 7 2 4 4 2 2" xfId="37214"/>
    <cellStyle name="Normal 7 7 2 4 4 3" xfId="29203"/>
    <cellStyle name="Normal 7 7 2 4 5" xfId="17180"/>
    <cellStyle name="Normal 7 7 2 4 5 2" xfId="31205"/>
    <cellStyle name="Normal 7 7 2 4 6" xfId="19182"/>
    <cellStyle name="Normal 7 7 2 4 6 2" xfId="33207"/>
    <cellStyle name="Normal 7 7 2 4 7" xfId="25196"/>
    <cellStyle name="Normal 7 7 2 5" xfId="2567"/>
    <cellStyle name="Normal 7 7 2 5 2" xfId="13161"/>
    <cellStyle name="Normal 7 7 2 5 2 2" xfId="21186"/>
    <cellStyle name="Normal 7 7 2 5 2 2 2" xfId="35211"/>
    <cellStyle name="Normal 7 7 2 5 2 3" xfId="27200"/>
    <cellStyle name="Normal 7 7 2 5 3" xfId="15176"/>
    <cellStyle name="Normal 7 7 2 5 3 2" xfId="23191"/>
    <cellStyle name="Normal 7 7 2 5 3 2 2" xfId="37216"/>
    <cellStyle name="Normal 7 7 2 5 3 3" xfId="29205"/>
    <cellStyle name="Normal 7 7 2 5 4" xfId="17182"/>
    <cellStyle name="Normal 7 7 2 5 4 2" xfId="31207"/>
    <cellStyle name="Normal 7 7 2 5 5" xfId="19184"/>
    <cellStyle name="Normal 7 7 2 5 5 2" xfId="33209"/>
    <cellStyle name="Normal 7 7 2 5 6" xfId="25198"/>
    <cellStyle name="Normal 7 7 2 6" xfId="13152"/>
    <cellStyle name="Normal 7 7 2 6 2" xfId="21177"/>
    <cellStyle name="Normal 7 7 2 6 2 2" xfId="35202"/>
    <cellStyle name="Normal 7 7 2 6 3" xfId="27191"/>
    <cellStyle name="Normal 7 7 2 7" xfId="15167"/>
    <cellStyle name="Normal 7 7 2 7 2" xfId="23182"/>
    <cellStyle name="Normal 7 7 2 7 2 2" xfId="37207"/>
    <cellStyle name="Normal 7 7 2 7 3" xfId="29196"/>
    <cellStyle name="Normal 7 7 2 8" xfId="17173"/>
    <cellStyle name="Normal 7 7 2 8 2" xfId="31198"/>
    <cellStyle name="Normal 7 7 2 9" xfId="19175"/>
    <cellStyle name="Normal 7 7 2 9 2" xfId="33200"/>
    <cellStyle name="Normal 7 7 3" xfId="2568"/>
    <cellStyle name="Normal 7 7 3 2" xfId="2569"/>
    <cellStyle name="Normal 7 7 3 2 2" xfId="2570"/>
    <cellStyle name="Normal 7 7 3 2 2 2" xfId="13164"/>
    <cellStyle name="Normal 7 7 3 2 2 2 2" xfId="21189"/>
    <cellStyle name="Normal 7 7 3 2 2 2 2 2" xfId="35214"/>
    <cellStyle name="Normal 7 7 3 2 2 2 3" xfId="27203"/>
    <cellStyle name="Normal 7 7 3 2 2 3" xfId="15179"/>
    <cellStyle name="Normal 7 7 3 2 2 3 2" xfId="23194"/>
    <cellStyle name="Normal 7 7 3 2 2 3 2 2" xfId="37219"/>
    <cellStyle name="Normal 7 7 3 2 2 3 3" xfId="29208"/>
    <cellStyle name="Normal 7 7 3 2 2 4" xfId="17185"/>
    <cellStyle name="Normal 7 7 3 2 2 4 2" xfId="31210"/>
    <cellStyle name="Normal 7 7 3 2 2 5" xfId="19187"/>
    <cellStyle name="Normal 7 7 3 2 2 5 2" xfId="33212"/>
    <cellStyle name="Normal 7 7 3 2 2 6" xfId="25201"/>
    <cellStyle name="Normal 7 7 3 2 3" xfId="13163"/>
    <cellStyle name="Normal 7 7 3 2 3 2" xfId="21188"/>
    <cellStyle name="Normal 7 7 3 2 3 2 2" xfId="35213"/>
    <cellStyle name="Normal 7 7 3 2 3 3" xfId="27202"/>
    <cellStyle name="Normal 7 7 3 2 4" xfId="15178"/>
    <cellStyle name="Normal 7 7 3 2 4 2" xfId="23193"/>
    <cellStyle name="Normal 7 7 3 2 4 2 2" xfId="37218"/>
    <cellStyle name="Normal 7 7 3 2 4 3" xfId="29207"/>
    <cellStyle name="Normal 7 7 3 2 5" xfId="17184"/>
    <cellStyle name="Normal 7 7 3 2 5 2" xfId="31209"/>
    <cellStyle name="Normal 7 7 3 2 6" xfId="19186"/>
    <cellStyle name="Normal 7 7 3 2 6 2" xfId="33211"/>
    <cellStyle name="Normal 7 7 3 2 7" xfId="25200"/>
    <cellStyle name="Normal 7 7 3 3" xfId="2571"/>
    <cellStyle name="Normal 7 7 3 3 2" xfId="13165"/>
    <cellStyle name="Normal 7 7 3 3 2 2" xfId="21190"/>
    <cellStyle name="Normal 7 7 3 3 2 2 2" xfId="35215"/>
    <cellStyle name="Normal 7 7 3 3 2 3" xfId="27204"/>
    <cellStyle name="Normal 7 7 3 3 3" xfId="15180"/>
    <cellStyle name="Normal 7 7 3 3 3 2" xfId="23195"/>
    <cellStyle name="Normal 7 7 3 3 3 2 2" xfId="37220"/>
    <cellStyle name="Normal 7 7 3 3 3 3" xfId="29209"/>
    <cellStyle name="Normal 7 7 3 3 4" xfId="17186"/>
    <cellStyle name="Normal 7 7 3 3 4 2" xfId="31211"/>
    <cellStyle name="Normal 7 7 3 3 5" xfId="19188"/>
    <cellStyle name="Normal 7 7 3 3 5 2" xfId="33213"/>
    <cellStyle name="Normal 7 7 3 3 6" xfId="25202"/>
    <cellStyle name="Normal 7 7 3 4" xfId="13162"/>
    <cellStyle name="Normal 7 7 3 4 2" xfId="21187"/>
    <cellStyle name="Normal 7 7 3 4 2 2" xfId="35212"/>
    <cellStyle name="Normal 7 7 3 4 3" xfId="27201"/>
    <cellStyle name="Normal 7 7 3 5" xfId="15177"/>
    <cellStyle name="Normal 7 7 3 5 2" xfId="23192"/>
    <cellStyle name="Normal 7 7 3 5 2 2" xfId="37217"/>
    <cellStyle name="Normal 7 7 3 5 3" xfId="29206"/>
    <cellStyle name="Normal 7 7 3 6" xfId="17183"/>
    <cellStyle name="Normal 7 7 3 6 2" xfId="31208"/>
    <cellStyle name="Normal 7 7 3 7" xfId="19185"/>
    <cellStyle name="Normal 7 7 3 7 2" xfId="33210"/>
    <cellStyle name="Normal 7 7 3 8" xfId="25199"/>
    <cellStyle name="Normal 7 7 4" xfId="2572"/>
    <cellStyle name="Normal 7 7 4 2" xfId="2573"/>
    <cellStyle name="Normal 7 7 4 2 2" xfId="13167"/>
    <cellStyle name="Normal 7 7 4 2 2 2" xfId="21192"/>
    <cellStyle name="Normal 7 7 4 2 2 2 2" xfId="35217"/>
    <cellStyle name="Normal 7 7 4 2 2 3" xfId="27206"/>
    <cellStyle name="Normal 7 7 4 2 3" xfId="15182"/>
    <cellStyle name="Normal 7 7 4 2 3 2" xfId="23197"/>
    <cellStyle name="Normal 7 7 4 2 3 2 2" xfId="37222"/>
    <cellStyle name="Normal 7 7 4 2 3 3" xfId="29211"/>
    <cellStyle name="Normal 7 7 4 2 4" xfId="17188"/>
    <cellStyle name="Normal 7 7 4 2 4 2" xfId="31213"/>
    <cellStyle name="Normal 7 7 4 2 5" xfId="19190"/>
    <cellStyle name="Normal 7 7 4 2 5 2" xfId="33215"/>
    <cellStyle name="Normal 7 7 4 2 6" xfId="25204"/>
    <cellStyle name="Normal 7 7 4 3" xfId="13166"/>
    <cellStyle name="Normal 7 7 4 3 2" xfId="21191"/>
    <cellStyle name="Normal 7 7 4 3 2 2" xfId="35216"/>
    <cellStyle name="Normal 7 7 4 3 3" xfId="27205"/>
    <cellStyle name="Normal 7 7 4 4" xfId="15181"/>
    <cellStyle name="Normal 7 7 4 4 2" xfId="23196"/>
    <cellStyle name="Normal 7 7 4 4 2 2" xfId="37221"/>
    <cellStyle name="Normal 7 7 4 4 3" xfId="29210"/>
    <cellStyle name="Normal 7 7 4 5" xfId="17187"/>
    <cellStyle name="Normal 7 7 4 5 2" xfId="31212"/>
    <cellStyle name="Normal 7 7 4 6" xfId="19189"/>
    <cellStyle name="Normal 7 7 4 6 2" xfId="33214"/>
    <cellStyle name="Normal 7 7 4 7" xfId="25203"/>
    <cellStyle name="Normal 7 7 5" xfId="2574"/>
    <cellStyle name="Normal 7 7 5 2" xfId="2575"/>
    <cellStyle name="Normal 7 7 5 2 2" xfId="13169"/>
    <cellStyle name="Normal 7 7 5 2 2 2" xfId="21194"/>
    <cellStyle name="Normal 7 7 5 2 2 2 2" xfId="35219"/>
    <cellStyle name="Normal 7 7 5 2 2 3" xfId="27208"/>
    <cellStyle name="Normal 7 7 5 2 3" xfId="15184"/>
    <cellStyle name="Normal 7 7 5 2 3 2" xfId="23199"/>
    <cellStyle name="Normal 7 7 5 2 3 2 2" xfId="37224"/>
    <cellStyle name="Normal 7 7 5 2 3 3" xfId="29213"/>
    <cellStyle name="Normal 7 7 5 2 4" xfId="17190"/>
    <cellStyle name="Normal 7 7 5 2 4 2" xfId="31215"/>
    <cellStyle name="Normal 7 7 5 2 5" xfId="19192"/>
    <cellStyle name="Normal 7 7 5 2 5 2" xfId="33217"/>
    <cellStyle name="Normal 7 7 5 2 6" xfId="25206"/>
    <cellStyle name="Normal 7 7 5 3" xfId="13168"/>
    <cellStyle name="Normal 7 7 5 3 2" xfId="21193"/>
    <cellStyle name="Normal 7 7 5 3 2 2" xfId="35218"/>
    <cellStyle name="Normal 7 7 5 3 3" xfId="27207"/>
    <cellStyle name="Normal 7 7 5 4" xfId="15183"/>
    <cellStyle name="Normal 7 7 5 4 2" xfId="23198"/>
    <cellStyle name="Normal 7 7 5 4 2 2" xfId="37223"/>
    <cellStyle name="Normal 7 7 5 4 3" xfId="29212"/>
    <cellStyle name="Normal 7 7 5 5" xfId="17189"/>
    <cellStyle name="Normal 7 7 5 5 2" xfId="31214"/>
    <cellStyle name="Normal 7 7 5 6" xfId="19191"/>
    <cellStyle name="Normal 7 7 5 6 2" xfId="33216"/>
    <cellStyle name="Normal 7 7 5 7" xfId="25205"/>
    <cellStyle name="Normal 7 7 6" xfId="2576"/>
    <cellStyle name="Normal 7 7 6 2" xfId="13170"/>
    <cellStyle name="Normal 7 7 6 2 2" xfId="21195"/>
    <cellStyle name="Normal 7 7 6 2 2 2" xfId="35220"/>
    <cellStyle name="Normal 7 7 6 2 3" xfId="27209"/>
    <cellStyle name="Normal 7 7 6 3" xfId="15185"/>
    <cellStyle name="Normal 7 7 6 3 2" xfId="23200"/>
    <cellStyle name="Normal 7 7 6 3 2 2" xfId="37225"/>
    <cellStyle name="Normal 7 7 6 3 3" xfId="29214"/>
    <cellStyle name="Normal 7 7 6 4" xfId="17191"/>
    <cellStyle name="Normal 7 7 6 4 2" xfId="31216"/>
    <cellStyle name="Normal 7 7 6 5" xfId="19193"/>
    <cellStyle name="Normal 7 7 6 5 2" xfId="33218"/>
    <cellStyle name="Normal 7 7 6 6" xfId="25207"/>
    <cellStyle name="Normal 7 7 7" xfId="13151"/>
    <cellStyle name="Normal 7 7 7 2" xfId="21176"/>
    <cellStyle name="Normal 7 7 7 2 2" xfId="35201"/>
    <cellStyle name="Normal 7 7 7 3" xfId="27190"/>
    <cellStyle name="Normal 7 7 8" xfId="15166"/>
    <cellStyle name="Normal 7 7 8 2" xfId="23181"/>
    <cellStyle name="Normal 7 7 8 2 2" xfId="37206"/>
    <cellStyle name="Normal 7 7 8 3" xfId="29195"/>
    <cellStyle name="Normal 7 7 9" xfId="17172"/>
    <cellStyle name="Normal 7 7 9 2" xfId="31197"/>
    <cellStyle name="Normal 7 8" xfId="2577"/>
    <cellStyle name="Normal 7 8 10" xfId="25208"/>
    <cellStyle name="Normal 7 8 2" xfId="2578"/>
    <cellStyle name="Normal 7 8 2 2" xfId="2579"/>
    <cellStyle name="Normal 7 8 2 2 2" xfId="2580"/>
    <cellStyle name="Normal 7 8 2 2 2 2" xfId="13174"/>
    <cellStyle name="Normal 7 8 2 2 2 2 2" xfId="21199"/>
    <cellStyle name="Normal 7 8 2 2 2 2 2 2" xfId="35224"/>
    <cellStyle name="Normal 7 8 2 2 2 2 3" xfId="27213"/>
    <cellStyle name="Normal 7 8 2 2 2 3" xfId="15189"/>
    <cellStyle name="Normal 7 8 2 2 2 3 2" xfId="23204"/>
    <cellStyle name="Normal 7 8 2 2 2 3 2 2" xfId="37229"/>
    <cellStyle name="Normal 7 8 2 2 2 3 3" xfId="29218"/>
    <cellStyle name="Normal 7 8 2 2 2 4" xfId="17195"/>
    <cellStyle name="Normal 7 8 2 2 2 4 2" xfId="31220"/>
    <cellStyle name="Normal 7 8 2 2 2 5" xfId="19197"/>
    <cellStyle name="Normal 7 8 2 2 2 5 2" xfId="33222"/>
    <cellStyle name="Normal 7 8 2 2 2 6" xfId="25211"/>
    <cellStyle name="Normal 7 8 2 2 3" xfId="13173"/>
    <cellStyle name="Normal 7 8 2 2 3 2" xfId="21198"/>
    <cellStyle name="Normal 7 8 2 2 3 2 2" xfId="35223"/>
    <cellStyle name="Normal 7 8 2 2 3 3" xfId="27212"/>
    <cellStyle name="Normal 7 8 2 2 4" xfId="15188"/>
    <cellStyle name="Normal 7 8 2 2 4 2" xfId="23203"/>
    <cellStyle name="Normal 7 8 2 2 4 2 2" xfId="37228"/>
    <cellStyle name="Normal 7 8 2 2 4 3" xfId="29217"/>
    <cellStyle name="Normal 7 8 2 2 5" xfId="17194"/>
    <cellStyle name="Normal 7 8 2 2 5 2" xfId="31219"/>
    <cellStyle name="Normal 7 8 2 2 6" xfId="19196"/>
    <cellStyle name="Normal 7 8 2 2 6 2" xfId="33221"/>
    <cellStyle name="Normal 7 8 2 2 7" xfId="25210"/>
    <cellStyle name="Normal 7 8 2 3" xfId="2581"/>
    <cellStyle name="Normal 7 8 2 3 2" xfId="13175"/>
    <cellStyle name="Normal 7 8 2 3 2 2" xfId="21200"/>
    <cellStyle name="Normal 7 8 2 3 2 2 2" xfId="35225"/>
    <cellStyle name="Normal 7 8 2 3 2 3" xfId="27214"/>
    <cellStyle name="Normal 7 8 2 3 3" xfId="15190"/>
    <cellStyle name="Normal 7 8 2 3 3 2" xfId="23205"/>
    <cellStyle name="Normal 7 8 2 3 3 2 2" xfId="37230"/>
    <cellStyle name="Normal 7 8 2 3 3 3" xfId="29219"/>
    <cellStyle name="Normal 7 8 2 3 4" xfId="17196"/>
    <cellStyle name="Normal 7 8 2 3 4 2" xfId="31221"/>
    <cellStyle name="Normal 7 8 2 3 5" xfId="19198"/>
    <cellStyle name="Normal 7 8 2 3 5 2" xfId="33223"/>
    <cellStyle name="Normal 7 8 2 3 6" xfId="25212"/>
    <cellStyle name="Normal 7 8 2 4" xfId="13172"/>
    <cellStyle name="Normal 7 8 2 4 2" xfId="21197"/>
    <cellStyle name="Normal 7 8 2 4 2 2" xfId="35222"/>
    <cellStyle name="Normal 7 8 2 4 3" xfId="27211"/>
    <cellStyle name="Normal 7 8 2 5" xfId="15187"/>
    <cellStyle name="Normal 7 8 2 5 2" xfId="23202"/>
    <cellStyle name="Normal 7 8 2 5 2 2" xfId="37227"/>
    <cellStyle name="Normal 7 8 2 5 3" xfId="29216"/>
    <cellStyle name="Normal 7 8 2 6" xfId="17193"/>
    <cellStyle name="Normal 7 8 2 6 2" xfId="31218"/>
    <cellStyle name="Normal 7 8 2 7" xfId="19195"/>
    <cellStyle name="Normal 7 8 2 7 2" xfId="33220"/>
    <cellStyle name="Normal 7 8 2 8" xfId="25209"/>
    <cellStyle name="Normal 7 8 3" xfId="2582"/>
    <cellStyle name="Normal 7 8 3 2" xfId="2583"/>
    <cellStyle name="Normal 7 8 3 2 2" xfId="13177"/>
    <cellStyle name="Normal 7 8 3 2 2 2" xfId="21202"/>
    <cellStyle name="Normal 7 8 3 2 2 2 2" xfId="35227"/>
    <cellStyle name="Normal 7 8 3 2 2 3" xfId="27216"/>
    <cellStyle name="Normal 7 8 3 2 3" xfId="15192"/>
    <cellStyle name="Normal 7 8 3 2 3 2" xfId="23207"/>
    <cellStyle name="Normal 7 8 3 2 3 2 2" xfId="37232"/>
    <cellStyle name="Normal 7 8 3 2 3 3" xfId="29221"/>
    <cellStyle name="Normal 7 8 3 2 4" xfId="17198"/>
    <cellStyle name="Normal 7 8 3 2 4 2" xfId="31223"/>
    <cellStyle name="Normal 7 8 3 2 5" xfId="19200"/>
    <cellStyle name="Normal 7 8 3 2 5 2" xfId="33225"/>
    <cellStyle name="Normal 7 8 3 2 6" xfId="25214"/>
    <cellStyle name="Normal 7 8 3 3" xfId="13176"/>
    <cellStyle name="Normal 7 8 3 3 2" xfId="21201"/>
    <cellStyle name="Normal 7 8 3 3 2 2" xfId="35226"/>
    <cellStyle name="Normal 7 8 3 3 3" xfId="27215"/>
    <cellStyle name="Normal 7 8 3 4" xfId="15191"/>
    <cellStyle name="Normal 7 8 3 4 2" xfId="23206"/>
    <cellStyle name="Normal 7 8 3 4 2 2" xfId="37231"/>
    <cellStyle name="Normal 7 8 3 4 3" xfId="29220"/>
    <cellStyle name="Normal 7 8 3 5" xfId="17197"/>
    <cellStyle name="Normal 7 8 3 5 2" xfId="31222"/>
    <cellStyle name="Normal 7 8 3 6" xfId="19199"/>
    <cellStyle name="Normal 7 8 3 6 2" xfId="33224"/>
    <cellStyle name="Normal 7 8 3 7" xfId="25213"/>
    <cellStyle name="Normal 7 8 4" xfId="2584"/>
    <cellStyle name="Normal 7 8 4 2" xfId="2585"/>
    <cellStyle name="Normal 7 8 4 2 2" xfId="13179"/>
    <cellStyle name="Normal 7 8 4 2 2 2" xfId="21204"/>
    <cellStyle name="Normal 7 8 4 2 2 2 2" xfId="35229"/>
    <cellStyle name="Normal 7 8 4 2 2 3" xfId="27218"/>
    <cellStyle name="Normal 7 8 4 2 3" xfId="15194"/>
    <cellStyle name="Normal 7 8 4 2 3 2" xfId="23209"/>
    <cellStyle name="Normal 7 8 4 2 3 2 2" xfId="37234"/>
    <cellStyle name="Normal 7 8 4 2 3 3" xfId="29223"/>
    <cellStyle name="Normal 7 8 4 2 4" xfId="17200"/>
    <cellStyle name="Normal 7 8 4 2 4 2" xfId="31225"/>
    <cellStyle name="Normal 7 8 4 2 5" xfId="19202"/>
    <cellStyle name="Normal 7 8 4 2 5 2" xfId="33227"/>
    <cellStyle name="Normal 7 8 4 2 6" xfId="25216"/>
    <cellStyle name="Normal 7 8 4 3" xfId="13178"/>
    <cellStyle name="Normal 7 8 4 3 2" xfId="21203"/>
    <cellStyle name="Normal 7 8 4 3 2 2" xfId="35228"/>
    <cellStyle name="Normal 7 8 4 3 3" xfId="27217"/>
    <cellStyle name="Normal 7 8 4 4" xfId="15193"/>
    <cellStyle name="Normal 7 8 4 4 2" xfId="23208"/>
    <cellStyle name="Normal 7 8 4 4 2 2" xfId="37233"/>
    <cellStyle name="Normal 7 8 4 4 3" xfId="29222"/>
    <cellStyle name="Normal 7 8 4 5" xfId="17199"/>
    <cellStyle name="Normal 7 8 4 5 2" xfId="31224"/>
    <cellStyle name="Normal 7 8 4 6" xfId="19201"/>
    <cellStyle name="Normal 7 8 4 6 2" xfId="33226"/>
    <cellStyle name="Normal 7 8 4 7" xfId="25215"/>
    <cellStyle name="Normal 7 8 5" xfId="2586"/>
    <cellStyle name="Normal 7 8 5 2" xfId="13180"/>
    <cellStyle name="Normal 7 8 5 2 2" xfId="21205"/>
    <cellStyle name="Normal 7 8 5 2 2 2" xfId="35230"/>
    <cellStyle name="Normal 7 8 5 2 3" xfId="27219"/>
    <cellStyle name="Normal 7 8 5 3" xfId="15195"/>
    <cellStyle name="Normal 7 8 5 3 2" xfId="23210"/>
    <cellStyle name="Normal 7 8 5 3 2 2" xfId="37235"/>
    <cellStyle name="Normal 7 8 5 3 3" xfId="29224"/>
    <cellStyle name="Normal 7 8 5 4" xfId="17201"/>
    <cellStyle name="Normal 7 8 5 4 2" xfId="31226"/>
    <cellStyle name="Normal 7 8 5 5" xfId="19203"/>
    <cellStyle name="Normal 7 8 5 5 2" xfId="33228"/>
    <cellStyle name="Normal 7 8 5 6" xfId="25217"/>
    <cellStyle name="Normal 7 8 6" xfId="13171"/>
    <cellStyle name="Normal 7 8 6 2" xfId="21196"/>
    <cellStyle name="Normal 7 8 6 2 2" xfId="35221"/>
    <cellStyle name="Normal 7 8 6 3" xfId="27210"/>
    <cellStyle name="Normal 7 8 7" xfId="15186"/>
    <cellStyle name="Normal 7 8 7 2" xfId="23201"/>
    <cellStyle name="Normal 7 8 7 2 2" xfId="37226"/>
    <cellStyle name="Normal 7 8 7 3" xfId="29215"/>
    <cellStyle name="Normal 7 8 8" xfId="17192"/>
    <cellStyle name="Normal 7 8 8 2" xfId="31217"/>
    <cellStyle name="Normal 7 8 9" xfId="19194"/>
    <cellStyle name="Normal 7 8 9 2" xfId="33219"/>
    <cellStyle name="Normal 7 9" xfId="2587"/>
    <cellStyle name="Normal 7 9 2" xfId="2588"/>
    <cellStyle name="Normal 7 9 2 2" xfId="2589"/>
    <cellStyle name="Normal 7 9 2 2 2" xfId="13183"/>
    <cellStyle name="Normal 7 9 2 2 2 2" xfId="21208"/>
    <cellStyle name="Normal 7 9 2 2 2 2 2" xfId="35233"/>
    <cellStyle name="Normal 7 9 2 2 2 3" xfId="27222"/>
    <cellStyle name="Normal 7 9 2 2 3" xfId="15198"/>
    <cellStyle name="Normal 7 9 2 2 3 2" xfId="23213"/>
    <cellStyle name="Normal 7 9 2 2 3 2 2" xfId="37238"/>
    <cellStyle name="Normal 7 9 2 2 3 3" xfId="29227"/>
    <cellStyle name="Normal 7 9 2 2 4" xfId="17204"/>
    <cellStyle name="Normal 7 9 2 2 4 2" xfId="31229"/>
    <cellStyle name="Normal 7 9 2 2 5" xfId="19206"/>
    <cellStyle name="Normal 7 9 2 2 5 2" xfId="33231"/>
    <cellStyle name="Normal 7 9 2 2 6" xfId="25220"/>
    <cellStyle name="Normal 7 9 2 3" xfId="13182"/>
    <cellStyle name="Normal 7 9 2 3 2" xfId="21207"/>
    <cellStyle name="Normal 7 9 2 3 2 2" xfId="35232"/>
    <cellStyle name="Normal 7 9 2 3 3" xfId="27221"/>
    <cellStyle name="Normal 7 9 2 4" xfId="15197"/>
    <cellStyle name="Normal 7 9 2 4 2" xfId="23212"/>
    <cellStyle name="Normal 7 9 2 4 2 2" xfId="37237"/>
    <cellStyle name="Normal 7 9 2 4 3" xfId="29226"/>
    <cellStyle name="Normal 7 9 2 5" xfId="17203"/>
    <cellStyle name="Normal 7 9 2 5 2" xfId="31228"/>
    <cellStyle name="Normal 7 9 2 6" xfId="19205"/>
    <cellStyle name="Normal 7 9 2 6 2" xfId="33230"/>
    <cellStyle name="Normal 7 9 2 7" xfId="25219"/>
    <cellStyle name="Normal 7 9 3" xfId="2590"/>
    <cellStyle name="Normal 7 9 3 2" xfId="13184"/>
    <cellStyle name="Normal 7 9 3 2 2" xfId="21209"/>
    <cellStyle name="Normal 7 9 3 2 2 2" xfId="35234"/>
    <cellStyle name="Normal 7 9 3 2 3" xfId="27223"/>
    <cellStyle name="Normal 7 9 3 3" xfId="15199"/>
    <cellStyle name="Normal 7 9 3 3 2" xfId="23214"/>
    <cellStyle name="Normal 7 9 3 3 2 2" xfId="37239"/>
    <cellStyle name="Normal 7 9 3 3 3" xfId="29228"/>
    <cellStyle name="Normal 7 9 3 4" xfId="17205"/>
    <cellStyle name="Normal 7 9 3 4 2" xfId="31230"/>
    <cellStyle name="Normal 7 9 3 5" xfId="19207"/>
    <cellStyle name="Normal 7 9 3 5 2" xfId="33232"/>
    <cellStyle name="Normal 7 9 3 6" xfId="25221"/>
    <cellStyle name="Normal 7 9 4" xfId="13181"/>
    <cellStyle name="Normal 7 9 4 2" xfId="21206"/>
    <cellStyle name="Normal 7 9 4 2 2" xfId="35231"/>
    <cellStyle name="Normal 7 9 4 3" xfId="27220"/>
    <cellStyle name="Normal 7 9 5" xfId="15196"/>
    <cellStyle name="Normal 7 9 5 2" xfId="23211"/>
    <cellStyle name="Normal 7 9 5 2 2" xfId="37236"/>
    <cellStyle name="Normal 7 9 5 3" xfId="29225"/>
    <cellStyle name="Normal 7 9 6" xfId="17202"/>
    <cellStyle name="Normal 7 9 6 2" xfId="31227"/>
    <cellStyle name="Normal 7 9 7" xfId="19204"/>
    <cellStyle name="Normal 7 9 7 2" xfId="33229"/>
    <cellStyle name="Normal 7 9 8" xfId="25218"/>
    <cellStyle name="Normal 7_10-15-10-Stmt AU - Period I - Working 1 0" xfId="577"/>
    <cellStyle name="Normal 8" xfId="578"/>
    <cellStyle name="Normal 8 10" xfId="2591"/>
    <cellStyle name="Normal 8 10 2" xfId="13185"/>
    <cellStyle name="Normal 8 10 2 2" xfId="21210"/>
    <cellStyle name="Normal 8 10 2 2 2" xfId="35235"/>
    <cellStyle name="Normal 8 10 2 3" xfId="27224"/>
    <cellStyle name="Normal 8 10 3" xfId="15200"/>
    <cellStyle name="Normal 8 10 3 2" xfId="23215"/>
    <cellStyle name="Normal 8 10 3 2 2" xfId="37240"/>
    <cellStyle name="Normal 8 10 3 3" xfId="29229"/>
    <cellStyle name="Normal 8 10 4" xfId="17206"/>
    <cellStyle name="Normal 8 10 4 2" xfId="31231"/>
    <cellStyle name="Normal 8 10 5" xfId="19208"/>
    <cellStyle name="Normal 8 10 5 2" xfId="33233"/>
    <cellStyle name="Normal 8 10 6" xfId="25222"/>
    <cellStyle name="Normal 8 11" xfId="2592"/>
    <cellStyle name="Normal 8 11 2" xfId="13186"/>
    <cellStyle name="Normal 8 11 2 2" xfId="21211"/>
    <cellStyle name="Normal 8 11 2 2 2" xfId="35236"/>
    <cellStyle name="Normal 8 11 2 3" xfId="27225"/>
    <cellStyle name="Normal 8 11 3" xfId="15201"/>
    <cellStyle name="Normal 8 11 3 2" xfId="23216"/>
    <cellStyle name="Normal 8 11 3 2 2" xfId="37241"/>
    <cellStyle name="Normal 8 11 3 3" xfId="29230"/>
    <cellStyle name="Normal 8 11 4" xfId="17207"/>
    <cellStyle name="Normal 8 11 4 2" xfId="31232"/>
    <cellStyle name="Normal 8 11 5" xfId="19209"/>
    <cellStyle name="Normal 8 11 5 2" xfId="33234"/>
    <cellStyle name="Normal 8 11 6" xfId="25223"/>
    <cellStyle name="Normal 8 12" xfId="11638"/>
    <cellStyle name="Normal 8 2" xfId="579"/>
    <cellStyle name="Normal 8 2 10" xfId="11639"/>
    <cellStyle name="Normal 8 2 2" xfId="580"/>
    <cellStyle name="Normal 8 2 3" xfId="2593"/>
    <cellStyle name="Normal 8 2 3 10" xfId="17208"/>
    <cellStyle name="Normal 8 2 3 10 2" xfId="31233"/>
    <cellStyle name="Normal 8 2 3 11" xfId="19210"/>
    <cellStyle name="Normal 8 2 3 11 2" xfId="33235"/>
    <cellStyle name="Normal 8 2 3 12" xfId="25224"/>
    <cellStyle name="Normal 8 2 3 2" xfId="2594"/>
    <cellStyle name="Normal 8 2 3 2 10" xfId="19211"/>
    <cellStyle name="Normal 8 2 3 2 10 2" xfId="33236"/>
    <cellStyle name="Normal 8 2 3 2 11" xfId="25225"/>
    <cellStyle name="Normal 8 2 3 2 2" xfId="2595"/>
    <cellStyle name="Normal 8 2 3 2 2 10" xfId="25226"/>
    <cellStyle name="Normal 8 2 3 2 2 2" xfId="2596"/>
    <cellStyle name="Normal 8 2 3 2 2 2 2" xfId="2597"/>
    <cellStyle name="Normal 8 2 3 2 2 2 2 2" xfId="2598"/>
    <cellStyle name="Normal 8 2 3 2 2 2 2 2 2" xfId="13192"/>
    <cellStyle name="Normal 8 2 3 2 2 2 2 2 2 2" xfId="21217"/>
    <cellStyle name="Normal 8 2 3 2 2 2 2 2 2 2 2" xfId="35242"/>
    <cellStyle name="Normal 8 2 3 2 2 2 2 2 2 3" xfId="27231"/>
    <cellStyle name="Normal 8 2 3 2 2 2 2 2 3" xfId="15207"/>
    <cellStyle name="Normal 8 2 3 2 2 2 2 2 3 2" xfId="23222"/>
    <cellStyle name="Normal 8 2 3 2 2 2 2 2 3 2 2" xfId="37247"/>
    <cellStyle name="Normal 8 2 3 2 2 2 2 2 3 3" xfId="29236"/>
    <cellStyle name="Normal 8 2 3 2 2 2 2 2 4" xfId="17213"/>
    <cellStyle name="Normal 8 2 3 2 2 2 2 2 4 2" xfId="31238"/>
    <cellStyle name="Normal 8 2 3 2 2 2 2 2 5" xfId="19215"/>
    <cellStyle name="Normal 8 2 3 2 2 2 2 2 5 2" xfId="33240"/>
    <cellStyle name="Normal 8 2 3 2 2 2 2 2 6" xfId="25229"/>
    <cellStyle name="Normal 8 2 3 2 2 2 2 3" xfId="13191"/>
    <cellStyle name="Normal 8 2 3 2 2 2 2 3 2" xfId="21216"/>
    <cellStyle name="Normal 8 2 3 2 2 2 2 3 2 2" xfId="35241"/>
    <cellStyle name="Normal 8 2 3 2 2 2 2 3 3" xfId="27230"/>
    <cellStyle name="Normal 8 2 3 2 2 2 2 4" xfId="15206"/>
    <cellStyle name="Normal 8 2 3 2 2 2 2 4 2" xfId="23221"/>
    <cellStyle name="Normal 8 2 3 2 2 2 2 4 2 2" xfId="37246"/>
    <cellStyle name="Normal 8 2 3 2 2 2 2 4 3" xfId="29235"/>
    <cellStyle name="Normal 8 2 3 2 2 2 2 5" xfId="17212"/>
    <cellStyle name="Normal 8 2 3 2 2 2 2 5 2" xfId="31237"/>
    <cellStyle name="Normal 8 2 3 2 2 2 2 6" xfId="19214"/>
    <cellStyle name="Normal 8 2 3 2 2 2 2 6 2" xfId="33239"/>
    <cellStyle name="Normal 8 2 3 2 2 2 2 7" xfId="25228"/>
    <cellStyle name="Normal 8 2 3 2 2 2 3" xfId="2599"/>
    <cellStyle name="Normal 8 2 3 2 2 2 3 2" xfId="13193"/>
    <cellStyle name="Normal 8 2 3 2 2 2 3 2 2" xfId="21218"/>
    <cellStyle name="Normal 8 2 3 2 2 2 3 2 2 2" xfId="35243"/>
    <cellStyle name="Normal 8 2 3 2 2 2 3 2 3" xfId="27232"/>
    <cellStyle name="Normal 8 2 3 2 2 2 3 3" xfId="15208"/>
    <cellStyle name="Normal 8 2 3 2 2 2 3 3 2" xfId="23223"/>
    <cellStyle name="Normal 8 2 3 2 2 2 3 3 2 2" xfId="37248"/>
    <cellStyle name="Normal 8 2 3 2 2 2 3 3 3" xfId="29237"/>
    <cellStyle name="Normal 8 2 3 2 2 2 3 4" xfId="17214"/>
    <cellStyle name="Normal 8 2 3 2 2 2 3 4 2" xfId="31239"/>
    <cellStyle name="Normal 8 2 3 2 2 2 3 5" xfId="19216"/>
    <cellStyle name="Normal 8 2 3 2 2 2 3 5 2" xfId="33241"/>
    <cellStyle name="Normal 8 2 3 2 2 2 3 6" xfId="25230"/>
    <cellStyle name="Normal 8 2 3 2 2 2 4" xfId="13190"/>
    <cellStyle name="Normal 8 2 3 2 2 2 4 2" xfId="21215"/>
    <cellStyle name="Normal 8 2 3 2 2 2 4 2 2" xfId="35240"/>
    <cellStyle name="Normal 8 2 3 2 2 2 4 3" xfId="27229"/>
    <cellStyle name="Normal 8 2 3 2 2 2 5" xfId="15205"/>
    <cellStyle name="Normal 8 2 3 2 2 2 5 2" xfId="23220"/>
    <cellStyle name="Normal 8 2 3 2 2 2 5 2 2" xfId="37245"/>
    <cellStyle name="Normal 8 2 3 2 2 2 5 3" xfId="29234"/>
    <cellStyle name="Normal 8 2 3 2 2 2 6" xfId="17211"/>
    <cellStyle name="Normal 8 2 3 2 2 2 6 2" xfId="31236"/>
    <cellStyle name="Normal 8 2 3 2 2 2 7" xfId="19213"/>
    <cellStyle name="Normal 8 2 3 2 2 2 7 2" xfId="33238"/>
    <cellStyle name="Normal 8 2 3 2 2 2 8" xfId="25227"/>
    <cellStyle name="Normal 8 2 3 2 2 3" xfId="2600"/>
    <cellStyle name="Normal 8 2 3 2 2 3 2" xfId="2601"/>
    <cellStyle name="Normal 8 2 3 2 2 3 2 2" xfId="13195"/>
    <cellStyle name="Normal 8 2 3 2 2 3 2 2 2" xfId="21220"/>
    <cellStyle name="Normal 8 2 3 2 2 3 2 2 2 2" xfId="35245"/>
    <cellStyle name="Normal 8 2 3 2 2 3 2 2 3" xfId="27234"/>
    <cellStyle name="Normal 8 2 3 2 2 3 2 3" xfId="15210"/>
    <cellStyle name="Normal 8 2 3 2 2 3 2 3 2" xfId="23225"/>
    <cellStyle name="Normal 8 2 3 2 2 3 2 3 2 2" xfId="37250"/>
    <cellStyle name="Normal 8 2 3 2 2 3 2 3 3" xfId="29239"/>
    <cellStyle name="Normal 8 2 3 2 2 3 2 4" xfId="17216"/>
    <cellStyle name="Normal 8 2 3 2 2 3 2 4 2" xfId="31241"/>
    <cellStyle name="Normal 8 2 3 2 2 3 2 5" xfId="19218"/>
    <cellStyle name="Normal 8 2 3 2 2 3 2 5 2" xfId="33243"/>
    <cellStyle name="Normal 8 2 3 2 2 3 2 6" xfId="25232"/>
    <cellStyle name="Normal 8 2 3 2 2 3 3" xfId="13194"/>
    <cellStyle name="Normal 8 2 3 2 2 3 3 2" xfId="21219"/>
    <cellStyle name="Normal 8 2 3 2 2 3 3 2 2" xfId="35244"/>
    <cellStyle name="Normal 8 2 3 2 2 3 3 3" xfId="27233"/>
    <cellStyle name="Normal 8 2 3 2 2 3 4" xfId="15209"/>
    <cellStyle name="Normal 8 2 3 2 2 3 4 2" xfId="23224"/>
    <cellStyle name="Normal 8 2 3 2 2 3 4 2 2" xfId="37249"/>
    <cellStyle name="Normal 8 2 3 2 2 3 4 3" xfId="29238"/>
    <cellStyle name="Normal 8 2 3 2 2 3 5" xfId="17215"/>
    <cellStyle name="Normal 8 2 3 2 2 3 5 2" xfId="31240"/>
    <cellStyle name="Normal 8 2 3 2 2 3 6" xfId="19217"/>
    <cellStyle name="Normal 8 2 3 2 2 3 6 2" xfId="33242"/>
    <cellStyle name="Normal 8 2 3 2 2 3 7" xfId="25231"/>
    <cellStyle name="Normal 8 2 3 2 2 4" xfId="2602"/>
    <cellStyle name="Normal 8 2 3 2 2 4 2" xfId="2603"/>
    <cellStyle name="Normal 8 2 3 2 2 4 2 2" xfId="13197"/>
    <cellStyle name="Normal 8 2 3 2 2 4 2 2 2" xfId="21222"/>
    <cellStyle name="Normal 8 2 3 2 2 4 2 2 2 2" xfId="35247"/>
    <cellStyle name="Normal 8 2 3 2 2 4 2 2 3" xfId="27236"/>
    <cellStyle name="Normal 8 2 3 2 2 4 2 3" xfId="15212"/>
    <cellStyle name="Normal 8 2 3 2 2 4 2 3 2" xfId="23227"/>
    <cellStyle name="Normal 8 2 3 2 2 4 2 3 2 2" xfId="37252"/>
    <cellStyle name="Normal 8 2 3 2 2 4 2 3 3" xfId="29241"/>
    <cellStyle name="Normal 8 2 3 2 2 4 2 4" xfId="17218"/>
    <cellStyle name="Normal 8 2 3 2 2 4 2 4 2" xfId="31243"/>
    <cellStyle name="Normal 8 2 3 2 2 4 2 5" xfId="19220"/>
    <cellStyle name="Normal 8 2 3 2 2 4 2 5 2" xfId="33245"/>
    <cellStyle name="Normal 8 2 3 2 2 4 2 6" xfId="25234"/>
    <cellStyle name="Normal 8 2 3 2 2 4 3" xfId="13196"/>
    <cellStyle name="Normal 8 2 3 2 2 4 3 2" xfId="21221"/>
    <cellStyle name="Normal 8 2 3 2 2 4 3 2 2" xfId="35246"/>
    <cellStyle name="Normal 8 2 3 2 2 4 3 3" xfId="27235"/>
    <cellStyle name="Normal 8 2 3 2 2 4 4" xfId="15211"/>
    <cellStyle name="Normal 8 2 3 2 2 4 4 2" xfId="23226"/>
    <cellStyle name="Normal 8 2 3 2 2 4 4 2 2" xfId="37251"/>
    <cellStyle name="Normal 8 2 3 2 2 4 4 3" xfId="29240"/>
    <cellStyle name="Normal 8 2 3 2 2 4 5" xfId="17217"/>
    <cellStyle name="Normal 8 2 3 2 2 4 5 2" xfId="31242"/>
    <cellStyle name="Normal 8 2 3 2 2 4 6" xfId="19219"/>
    <cellStyle name="Normal 8 2 3 2 2 4 6 2" xfId="33244"/>
    <cellStyle name="Normal 8 2 3 2 2 4 7" xfId="25233"/>
    <cellStyle name="Normal 8 2 3 2 2 5" xfId="2604"/>
    <cellStyle name="Normal 8 2 3 2 2 5 2" xfId="13198"/>
    <cellStyle name="Normal 8 2 3 2 2 5 2 2" xfId="21223"/>
    <cellStyle name="Normal 8 2 3 2 2 5 2 2 2" xfId="35248"/>
    <cellStyle name="Normal 8 2 3 2 2 5 2 3" xfId="27237"/>
    <cellStyle name="Normal 8 2 3 2 2 5 3" xfId="15213"/>
    <cellStyle name="Normal 8 2 3 2 2 5 3 2" xfId="23228"/>
    <cellStyle name="Normal 8 2 3 2 2 5 3 2 2" xfId="37253"/>
    <cellStyle name="Normal 8 2 3 2 2 5 3 3" xfId="29242"/>
    <cellStyle name="Normal 8 2 3 2 2 5 4" xfId="17219"/>
    <cellStyle name="Normal 8 2 3 2 2 5 4 2" xfId="31244"/>
    <cellStyle name="Normal 8 2 3 2 2 5 5" xfId="19221"/>
    <cellStyle name="Normal 8 2 3 2 2 5 5 2" xfId="33246"/>
    <cellStyle name="Normal 8 2 3 2 2 5 6" xfId="25235"/>
    <cellStyle name="Normal 8 2 3 2 2 6" xfId="13189"/>
    <cellStyle name="Normal 8 2 3 2 2 6 2" xfId="21214"/>
    <cellStyle name="Normal 8 2 3 2 2 6 2 2" xfId="35239"/>
    <cellStyle name="Normal 8 2 3 2 2 6 3" xfId="27228"/>
    <cellStyle name="Normal 8 2 3 2 2 7" xfId="15204"/>
    <cellStyle name="Normal 8 2 3 2 2 7 2" xfId="23219"/>
    <cellStyle name="Normal 8 2 3 2 2 7 2 2" xfId="37244"/>
    <cellStyle name="Normal 8 2 3 2 2 7 3" xfId="29233"/>
    <cellStyle name="Normal 8 2 3 2 2 8" xfId="17210"/>
    <cellStyle name="Normal 8 2 3 2 2 8 2" xfId="31235"/>
    <cellStyle name="Normal 8 2 3 2 2 9" xfId="19212"/>
    <cellStyle name="Normal 8 2 3 2 2 9 2" xfId="33237"/>
    <cellStyle name="Normal 8 2 3 2 3" xfId="2605"/>
    <cellStyle name="Normal 8 2 3 2 3 2" xfId="2606"/>
    <cellStyle name="Normal 8 2 3 2 3 2 2" xfId="2607"/>
    <cellStyle name="Normal 8 2 3 2 3 2 2 2" xfId="13201"/>
    <cellStyle name="Normal 8 2 3 2 3 2 2 2 2" xfId="21226"/>
    <cellStyle name="Normal 8 2 3 2 3 2 2 2 2 2" xfId="35251"/>
    <cellStyle name="Normal 8 2 3 2 3 2 2 2 3" xfId="27240"/>
    <cellStyle name="Normal 8 2 3 2 3 2 2 3" xfId="15216"/>
    <cellStyle name="Normal 8 2 3 2 3 2 2 3 2" xfId="23231"/>
    <cellStyle name="Normal 8 2 3 2 3 2 2 3 2 2" xfId="37256"/>
    <cellStyle name="Normal 8 2 3 2 3 2 2 3 3" xfId="29245"/>
    <cellStyle name="Normal 8 2 3 2 3 2 2 4" xfId="17222"/>
    <cellStyle name="Normal 8 2 3 2 3 2 2 4 2" xfId="31247"/>
    <cellStyle name="Normal 8 2 3 2 3 2 2 5" xfId="19224"/>
    <cellStyle name="Normal 8 2 3 2 3 2 2 5 2" xfId="33249"/>
    <cellStyle name="Normal 8 2 3 2 3 2 2 6" xfId="25238"/>
    <cellStyle name="Normal 8 2 3 2 3 2 3" xfId="13200"/>
    <cellStyle name="Normal 8 2 3 2 3 2 3 2" xfId="21225"/>
    <cellStyle name="Normal 8 2 3 2 3 2 3 2 2" xfId="35250"/>
    <cellStyle name="Normal 8 2 3 2 3 2 3 3" xfId="27239"/>
    <cellStyle name="Normal 8 2 3 2 3 2 4" xfId="15215"/>
    <cellStyle name="Normal 8 2 3 2 3 2 4 2" xfId="23230"/>
    <cellStyle name="Normal 8 2 3 2 3 2 4 2 2" xfId="37255"/>
    <cellStyle name="Normal 8 2 3 2 3 2 4 3" xfId="29244"/>
    <cellStyle name="Normal 8 2 3 2 3 2 5" xfId="17221"/>
    <cellStyle name="Normal 8 2 3 2 3 2 5 2" xfId="31246"/>
    <cellStyle name="Normal 8 2 3 2 3 2 6" xfId="19223"/>
    <cellStyle name="Normal 8 2 3 2 3 2 6 2" xfId="33248"/>
    <cellStyle name="Normal 8 2 3 2 3 2 7" xfId="25237"/>
    <cellStyle name="Normal 8 2 3 2 3 3" xfId="2608"/>
    <cellStyle name="Normal 8 2 3 2 3 3 2" xfId="13202"/>
    <cellStyle name="Normal 8 2 3 2 3 3 2 2" xfId="21227"/>
    <cellStyle name="Normal 8 2 3 2 3 3 2 2 2" xfId="35252"/>
    <cellStyle name="Normal 8 2 3 2 3 3 2 3" xfId="27241"/>
    <cellStyle name="Normal 8 2 3 2 3 3 3" xfId="15217"/>
    <cellStyle name="Normal 8 2 3 2 3 3 3 2" xfId="23232"/>
    <cellStyle name="Normal 8 2 3 2 3 3 3 2 2" xfId="37257"/>
    <cellStyle name="Normal 8 2 3 2 3 3 3 3" xfId="29246"/>
    <cellStyle name="Normal 8 2 3 2 3 3 4" xfId="17223"/>
    <cellStyle name="Normal 8 2 3 2 3 3 4 2" xfId="31248"/>
    <cellStyle name="Normal 8 2 3 2 3 3 5" xfId="19225"/>
    <cellStyle name="Normal 8 2 3 2 3 3 5 2" xfId="33250"/>
    <cellStyle name="Normal 8 2 3 2 3 3 6" xfId="25239"/>
    <cellStyle name="Normal 8 2 3 2 3 4" xfId="13199"/>
    <cellStyle name="Normal 8 2 3 2 3 4 2" xfId="21224"/>
    <cellStyle name="Normal 8 2 3 2 3 4 2 2" xfId="35249"/>
    <cellStyle name="Normal 8 2 3 2 3 4 3" xfId="27238"/>
    <cellStyle name="Normal 8 2 3 2 3 5" xfId="15214"/>
    <cellStyle name="Normal 8 2 3 2 3 5 2" xfId="23229"/>
    <cellStyle name="Normal 8 2 3 2 3 5 2 2" xfId="37254"/>
    <cellStyle name="Normal 8 2 3 2 3 5 3" xfId="29243"/>
    <cellStyle name="Normal 8 2 3 2 3 6" xfId="17220"/>
    <cellStyle name="Normal 8 2 3 2 3 6 2" xfId="31245"/>
    <cellStyle name="Normal 8 2 3 2 3 7" xfId="19222"/>
    <cellStyle name="Normal 8 2 3 2 3 7 2" xfId="33247"/>
    <cellStyle name="Normal 8 2 3 2 3 8" xfId="25236"/>
    <cellStyle name="Normal 8 2 3 2 4" xfId="2609"/>
    <cellStyle name="Normal 8 2 3 2 4 2" xfId="2610"/>
    <cellStyle name="Normal 8 2 3 2 4 2 2" xfId="13204"/>
    <cellStyle name="Normal 8 2 3 2 4 2 2 2" xfId="21229"/>
    <cellStyle name="Normal 8 2 3 2 4 2 2 2 2" xfId="35254"/>
    <cellStyle name="Normal 8 2 3 2 4 2 2 3" xfId="27243"/>
    <cellStyle name="Normal 8 2 3 2 4 2 3" xfId="15219"/>
    <cellStyle name="Normal 8 2 3 2 4 2 3 2" xfId="23234"/>
    <cellStyle name="Normal 8 2 3 2 4 2 3 2 2" xfId="37259"/>
    <cellStyle name="Normal 8 2 3 2 4 2 3 3" xfId="29248"/>
    <cellStyle name="Normal 8 2 3 2 4 2 4" xfId="17225"/>
    <cellStyle name="Normal 8 2 3 2 4 2 4 2" xfId="31250"/>
    <cellStyle name="Normal 8 2 3 2 4 2 5" xfId="19227"/>
    <cellStyle name="Normal 8 2 3 2 4 2 5 2" xfId="33252"/>
    <cellStyle name="Normal 8 2 3 2 4 2 6" xfId="25241"/>
    <cellStyle name="Normal 8 2 3 2 4 3" xfId="13203"/>
    <cellStyle name="Normal 8 2 3 2 4 3 2" xfId="21228"/>
    <cellStyle name="Normal 8 2 3 2 4 3 2 2" xfId="35253"/>
    <cellStyle name="Normal 8 2 3 2 4 3 3" xfId="27242"/>
    <cellStyle name="Normal 8 2 3 2 4 4" xfId="15218"/>
    <cellStyle name="Normal 8 2 3 2 4 4 2" xfId="23233"/>
    <cellStyle name="Normal 8 2 3 2 4 4 2 2" xfId="37258"/>
    <cellStyle name="Normal 8 2 3 2 4 4 3" xfId="29247"/>
    <cellStyle name="Normal 8 2 3 2 4 5" xfId="17224"/>
    <cellStyle name="Normal 8 2 3 2 4 5 2" xfId="31249"/>
    <cellStyle name="Normal 8 2 3 2 4 6" xfId="19226"/>
    <cellStyle name="Normal 8 2 3 2 4 6 2" xfId="33251"/>
    <cellStyle name="Normal 8 2 3 2 4 7" xfId="25240"/>
    <cellStyle name="Normal 8 2 3 2 5" xfId="2611"/>
    <cellStyle name="Normal 8 2 3 2 5 2" xfId="2612"/>
    <cellStyle name="Normal 8 2 3 2 5 2 2" xfId="13206"/>
    <cellStyle name="Normal 8 2 3 2 5 2 2 2" xfId="21231"/>
    <cellStyle name="Normal 8 2 3 2 5 2 2 2 2" xfId="35256"/>
    <cellStyle name="Normal 8 2 3 2 5 2 2 3" xfId="27245"/>
    <cellStyle name="Normal 8 2 3 2 5 2 3" xfId="15221"/>
    <cellStyle name="Normal 8 2 3 2 5 2 3 2" xfId="23236"/>
    <cellStyle name="Normal 8 2 3 2 5 2 3 2 2" xfId="37261"/>
    <cellStyle name="Normal 8 2 3 2 5 2 3 3" xfId="29250"/>
    <cellStyle name="Normal 8 2 3 2 5 2 4" xfId="17227"/>
    <cellStyle name="Normal 8 2 3 2 5 2 4 2" xfId="31252"/>
    <cellStyle name="Normal 8 2 3 2 5 2 5" xfId="19229"/>
    <cellStyle name="Normal 8 2 3 2 5 2 5 2" xfId="33254"/>
    <cellStyle name="Normal 8 2 3 2 5 2 6" xfId="25243"/>
    <cellStyle name="Normal 8 2 3 2 5 3" xfId="13205"/>
    <cellStyle name="Normal 8 2 3 2 5 3 2" xfId="21230"/>
    <cellStyle name="Normal 8 2 3 2 5 3 2 2" xfId="35255"/>
    <cellStyle name="Normal 8 2 3 2 5 3 3" xfId="27244"/>
    <cellStyle name="Normal 8 2 3 2 5 4" xfId="15220"/>
    <cellStyle name="Normal 8 2 3 2 5 4 2" xfId="23235"/>
    <cellStyle name="Normal 8 2 3 2 5 4 2 2" xfId="37260"/>
    <cellStyle name="Normal 8 2 3 2 5 4 3" xfId="29249"/>
    <cellStyle name="Normal 8 2 3 2 5 5" xfId="17226"/>
    <cellStyle name="Normal 8 2 3 2 5 5 2" xfId="31251"/>
    <cellStyle name="Normal 8 2 3 2 5 6" xfId="19228"/>
    <cellStyle name="Normal 8 2 3 2 5 6 2" xfId="33253"/>
    <cellStyle name="Normal 8 2 3 2 5 7" xfId="25242"/>
    <cellStyle name="Normal 8 2 3 2 6" xfId="2613"/>
    <cellStyle name="Normal 8 2 3 2 6 2" xfId="13207"/>
    <cellStyle name="Normal 8 2 3 2 6 2 2" xfId="21232"/>
    <cellStyle name="Normal 8 2 3 2 6 2 2 2" xfId="35257"/>
    <cellStyle name="Normal 8 2 3 2 6 2 3" xfId="27246"/>
    <cellStyle name="Normal 8 2 3 2 6 3" xfId="15222"/>
    <cellStyle name="Normal 8 2 3 2 6 3 2" xfId="23237"/>
    <cellStyle name="Normal 8 2 3 2 6 3 2 2" xfId="37262"/>
    <cellStyle name="Normal 8 2 3 2 6 3 3" xfId="29251"/>
    <cellStyle name="Normal 8 2 3 2 6 4" xfId="17228"/>
    <cellStyle name="Normal 8 2 3 2 6 4 2" xfId="31253"/>
    <cellStyle name="Normal 8 2 3 2 6 5" xfId="19230"/>
    <cellStyle name="Normal 8 2 3 2 6 5 2" xfId="33255"/>
    <cellStyle name="Normal 8 2 3 2 6 6" xfId="25244"/>
    <cellStyle name="Normal 8 2 3 2 7" xfId="13188"/>
    <cellStyle name="Normal 8 2 3 2 7 2" xfId="21213"/>
    <cellStyle name="Normal 8 2 3 2 7 2 2" xfId="35238"/>
    <cellStyle name="Normal 8 2 3 2 7 3" xfId="27227"/>
    <cellStyle name="Normal 8 2 3 2 8" xfId="15203"/>
    <cellStyle name="Normal 8 2 3 2 8 2" xfId="23218"/>
    <cellStyle name="Normal 8 2 3 2 8 2 2" xfId="37243"/>
    <cellStyle name="Normal 8 2 3 2 8 3" xfId="29232"/>
    <cellStyle name="Normal 8 2 3 2 9" xfId="17209"/>
    <cellStyle name="Normal 8 2 3 2 9 2" xfId="31234"/>
    <cellStyle name="Normal 8 2 3 3" xfId="2614"/>
    <cellStyle name="Normal 8 2 3 3 10" xfId="25245"/>
    <cellStyle name="Normal 8 2 3 3 2" xfId="2615"/>
    <cellStyle name="Normal 8 2 3 3 2 2" xfId="2616"/>
    <cellStyle name="Normal 8 2 3 3 2 2 2" xfId="2617"/>
    <cellStyle name="Normal 8 2 3 3 2 2 2 2" xfId="13211"/>
    <cellStyle name="Normal 8 2 3 3 2 2 2 2 2" xfId="21236"/>
    <cellStyle name="Normal 8 2 3 3 2 2 2 2 2 2" xfId="35261"/>
    <cellStyle name="Normal 8 2 3 3 2 2 2 2 3" xfId="27250"/>
    <cellStyle name="Normal 8 2 3 3 2 2 2 3" xfId="15226"/>
    <cellStyle name="Normal 8 2 3 3 2 2 2 3 2" xfId="23241"/>
    <cellStyle name="Normal 8 2 3 3 2 2 2 3 2 2" xfId="37266"/>
    <cellStyle name="Normal 8 2 3 3 2 2 2 3 3" xfId="29255"/>
    <cellStyle name="Normal 8 2 3 3 2 2 2 4" xfId="17232"/>
    <cellStyle name="Normal 8 2 3 3 2 2 2 4 2" xfId="31257"/>
    <cellStyle name="Normal 8 2 3 3 2 2 2 5" xfId="19234"/>
    <cellStyle name="Normal 8 2 3 3 2 2 2 5 2" xfId="33259"/>
    <cellStyle name="Normal 8 2 3 3 2 2 2 6" xfId="25248"/>
    <cellStyle name="Normal 8 2 3 3 2 2 3" xfId="13210"/>
    <cellStyle name="Normal 8 2 3 3 2 2 3 2" xfId="21235"/>
    <cellStyle name="Normal 8 2 3 3 2 2 3 2 2" xfId="35260"/>
    <cellStyle name="Normal 8 2 3 3 2 2 3 3" xfId="27249"/>
    <cellStyle name="Normal 8 2 3 3 2 2 4" xfId="15225"/>
    <cellStyle name="Normal 8 2 3 3 2 2 4 2" xfId="23240"/>
    <cellStyle name="Normal 8 2 3 3 2 2 4 2 2" xfId="37265"/>
    <cellStyle name="Normal 8 2 3 3 2 2 4 3" xfId="29254"/>
    <cellStyle name="Normal 8 2 3 3 2 2 5" xfId="17231"/>
    <cellStyle name="Normal 8 2 3 3 2 2 5 2" xfId="31256"/>
    <cellStyle name="Normal 8 2 3 3 2 2 6" xfId="19233"/>
    <cellStyle name="Normal 8 2 3 3 2 2 6 2" xfId="33258"/>
    <cellStyle name="Normal 8 2 3 3 2 2 7" xfId="25247"/>
    <cellStyle name="Normal 8 2 3 3 2 3" xfId="2618"/>
    <cellStyle name="Normal 8 2 3 3 2 3 2" xfId="13212"/>
    <cellStyle name="Normal 8 2 3 3 2 3 2 2" xfId="21237"/>
    <cellStyle name="Normal 8 2 3 3 2 3 2 2 2" xfId="35262"/>
    <cellStyle name="Normal 8 2 3 3 2 3 2 3" xfId="27251"/>
    <cellStyle name="Normal 8 2 3 3 2 3 3" xfId="15227"/>
    <cellStyle name="Normal 8 2 3 3 2 3 3 2" xfId="23242"/>
    <cellStyle name="Normal 8 2 3 3 2 3 3 2 2" xfId="37267"/>
    <cellStyle name="Normal 8 2 3 3 2 3 3 3" xfId="29256"/>
    <cellStyle name="Normal 8 2 3 3 2 3 4" xfId="17233"/>
    <cellStyle name="Normal 8 2 3 3 2 3 4 2" xfId="31258"/>
    <cellStyle name="Normal 8 2 3 3 2 3 5" xfId="19235"/>
    <cellStyle name="Normal 8 2 3 3 2 3 5 2" xfId="33260"/>
    <cellStyle name="Normal 8 2 3 3 2 3 6" xfId="25249"/>
    <cellStyle name="Normal 8 2 3 3 2 4" xfId="13209"/>
    <cellStyle name="Normal 8 2 3 3 2 4 2" xfId="21234"/>
    <cellStyle name="Normal 8 2 3 3 2 4 2 2" xfId="35259"/>
    <cellStyle name="Normal 8 2 3 3 2 4 3" xfId="27248"/>
    <cellStyle name="Normal 8 2 3 3 2 5" xfId="15224"/>
    <cellStyle name="Normal 8 2 3 3 2 5 2" xfId="23239"/>
    <cellStyle name="Normal 8 2 3 3 2 5 2 2" xfId="37264"/>
    <cellStyle name="Normal 8 2 3 3 2 5 3" xfId="29253"/>
    <cellStyle name="Normal 8 2 3 3 2 6" xfId="17230"/>
    <cellStyle name="Normal 8 2 3 3 2 6 2" xfId="31255"/>
    <cellStyle name="Normal 8 2 3 3 2 7" xfId="19232"/>
    <cellStyle name="Normal 8 2 3 3 2 7 2" xfId="33257"/>
    <cellStyle name="Normal 8 2 3 3 2 8" xfId="25246"/>
    <cellStyle name="Normal 8 2 3 3 3" xfId="2619"/>
    <cellStyle name="Normal 8 2 3 3 3 2" xfId="2620"/>
    <cellStyle name="Normal 8 2 3 3 3 2 2" xfId="13214"/>
    <cellStyle name="Normal 8 2 3 3 3 2 2 2" xfId="21239"/>
    <cellStyle name="Normal 8 2 3 3 3 2 2 2 2" xfId="35264"/>
    <cellStyle name="Normal 8 2 3 3 3 2 2 3" xfId="27253"/>
    <cellStyle name="Normal 8 2 3 3 3 2 3" xfId="15229"/>
    <cellStyle name="Normal 8 2 3 3 3 2 3 2" xfId="23244"/>
    <cellStyle name="Normal 8 2 3 3 3 2 3 2 2" xfId="37269"/>
    <cellStyle name="Normal 8 2 3 3 3 2 3 3" xfId="29258"/>
    <cellStyle name="Normal 8 2 3 3 3 2 4" xfId="17235"/>
    <cellStyle name="Normal 8 2 3 3 3 2 4 2" xfId="31260"/>
    <cellStyle name="Normal 8 2 3 3 3 2 5" xfId="19237"/>
    <cellStyle name="Normal 8 2 3 3 3 2 5 2" xfId="33262"/>
    <cellStyle name="Normal 8 2 3 3 3 2 6" xfId="25251"/>
    <cellStyle name="Normal 8 2 3 3 3 3" xfId="13213"/>
    <cellStyle name="Normal 8 2 3 3 3 3 2" xfId="21238"/>
    <cellStyle name="Normal 8 2 3 3 3 3 2 2" xfId="35263"/>
    <cellStyle name="Normal 8 2 3 3 3 3 3" xfId="27252"/>
    <cellStyle name="Normal 8 2 3 3 3 4" xfId="15228"/>
    <cellStyle name="Normal 8 2 3 3 3 4 2" xfId="23243"/>
    <cellStyle name="Normal 8 2 3 3 3 4 2 2" xfId="37268"/>
    <cellStyle name="Normal 8 2 3 3 3 4 3" xfId="29257"/>
    <cellStyle name="Normal 8 2 3 3 3 5" xfId="17234"/>
    <cellStyle name="Normal 8 2 3 3 3 5 2" xfId="31259"/>
    <cellStyle name="Normal 8 2 3 3 3 6" xfId="19236"/>
    <cellStyle name="Normal 8 2 3 3 3 6 2" xfId="33261"/>
    <cellStyle name="Normal 8 2 3 3 3 7" xfId="25250"/>
    <cellStyle name="Normal 8 2 3 3 4" xfId="2621"/>
    <cellStyle name="Normal 8 2 3 3 4 2" xfId="2622"/>
    <cellStyle name="Normal 8 2 3 3 4 2 2" xfId="13216"/>
    <cellStyle name="Normal 8 2 3 3 4 2 2 2" xfId="21241"/>
    <cellStyle name="Normal 8 2 3 3 4 2 2 2 2" xfId="35266"/>
    <cellStyle name="Normal 8 2 3 3 4 2 2 3" xfId="27255"/>
    <cellStyle name="Normal 8 2 3 3 4 2 3" xfId="15231"/>
    <cellStyle name="Normal 8 2 3 3 4 2 3 2" xfId="23246"/>
    <cellStyle name="Normal 8 2 3 3 4 2 3 2 2" xfId="37271"/>
    <cellStyle name="Normal 8 2 3 3 4 2 3 3" xfId="29260"/>
    <cellStyle name="Normal 8 2 3 3 4 2 4" xfId="17237"/>
    <cellStyle name="Normal 8 2 3 3 4 2 4 2" xfId="31262"/>
    <cellStyle name="Normal 8 2 3 3 4 2 5" xfId="19239"/>
    <cellStyle name="Normal 8 2 3 3 4 2 5 2" xfId="33264"/>
    <cellStyle name="Normal 8 2 3 3 4 2 6" xfId="25253"/>
    <cellStyle name="Normal 8 2 3 3 4 3" xfId="13215"/>
    <cellStyle name="Normal 8 2 3 3 4 3 2" xfId="21240"/>
    <cellStyle name="Normal 8 2 3 3 4 3 2 2" xfId="35265"/>
    <cellStyle name="Normal 8 2 3 3 4 3 3" xfId="27254"/>
    <cellStyle name="Normal 8 2 3 3 4 4" xfId="15230"/>
    <cellStyle name="Normal 8 2 3 3 4 4 2" xfId="23245"/>
    <cellStyle name="Normal 8 2 3 3 4 4 2 2" xfId="37270"/>
    <cellStyle name="Normal 8 2 3 3 4 4 3" xfId="29259"/>
    <cellStyle name="Normal 8 2 3 3 4 5" xfId="17236"/>
    <cellStyle name="Normal 8 2 3 3 4 5 2" xfId="31261"/>
    <cellStyle name="Normal 8 2 3 3 4 6" xfId="19238"/>
    <cellStyle name="Normal 8 2 3 3 4 6 2" xfId="33263"/>
    <cellStyle name="Normal 8 2 3 3 4 7" xfId="25252"/>
    <cellStyle name="Normal 8 2 3 3 5" xfId="2623"/>
    <cellStyle name="Normal 8 2 3 3 5 2" xfId="13217"/>
    <cellStyle name="Normal 8 2 3 3 5 2 2" xfId="21242"/>
    <cellStyle name="Normal 8 2 3 3 5 2 2 2" xfId="35267"/>
    <cellStyle name="Normal 8 2 3 3 5 2 3" xfId="27256"/>
    <cellStyle name="Normal 8 2 3 3 5 3" xfId="15232"/>
    <cellStyle name="Normal 8 2 3 3 5 3 2" xfId="23247"/>
    <cellStyle name="Normal 8 2 3 3 5 3 2 2" xfId="37272"/>
    <cellStyle name="Normal 8 2 3 3 5 3 3" xfId="29261"/>
    <cellStyle name="Normal 8 2 3 3 5 4" xfId="17238"/>
    <cellStyle name="Normal 8 2 3 3 5 4 2" xfId="31263"/>
    <cellStyle name="Normal 8 2 3 3 5 5" xfId="19240"/>
    <cellStyle name="Normal 8 2 3 3 5 5 2" xfId="33265"/>
    <cellStyle name="Normal 8 2 3 3 5 6" xfId="25254"/>
    <cellStyle name="Normal 8 2 3 3 6" xfId="13208"/>
    <cellStyle name="Normal 8 2 3 3 6 2" xfId="21233"/>
    <cellStyle name="Normal 8 2 3 3 6 2 2" xfId="35258"/>
    <cellStyle name="Normal 8 2 3 3 6 3" xfId="27247"/>
    <cellStyle name="Normal 8 2 3 3 7" xfId="15223"/>
    <cellStyle name="Normal 8 2 3 3 7 2" xfId="23238"/>
    <cellStyle name="Normal 8 2 3 3 7 2 2" xfId="37263"/>
    <cellStyle name="Normal 8 2 3 3 7 3" xfId="29252"/>
    <cellStyle name="Normal 8 2 3 3 8" xfId="17229"/>
    <cellStyle name="Normal 8 2 3 3 8 2" xfId="31254"/>
    <cellStyle name="Normal 8 2 3 3 9" xfId="19231"/>
    <cellStyle name="Normal 8 2 3 3 9 2" xfId="33256"/>
    <cellStyle name="Normal 8 2 3 4" xfId="2624"/>
    <cellStyle name="Normal 8 2 3 4 2" xfId="2625"/>
    <cellStyle name="Normal 8 2 3 4 2 2" xfId="2626"/>
    <cellStyle name="Normal 8 2 3 4 2 2 2" xfId="13220"/>
    <cellStyle name="Normal 8 2 3 4 2 2 2 2" xfId="21245"/>
    <cellStyle name="Normal 8 2 3 4 2 2 2 2 2" xfId="35270"/>
    <cellStyle name="Normal 8 2 3 4 2 2 2 3" xfId="27259"/>
    <cellStyle name="Normal 8 2 3 4 2 2 3" xfId="15235"/>
    <cellStyle name="Normal 8 2 3 4 2 2 3 2" xfId="23250"/>
    <cellStyle name="Normal 8 2 3 4 2 2 3 2 2" xfId="37275"/>
    <cellStyle name="Normal 8 2 3 4 2 2 3 3" xfId="29264"/>
    <cellStyle name="Normal 8 2 3 4 2 2 4" xfId="17241"/>
    <cellStyle name="Normal 8 2 3 4 2 2 4 2" xfId="31266"/>
    <cellStyle name="Normal 8 2 3 4 2 2 5" xfId="19243"/>
    <cellStyle name="Normal 8 2 3 4 2 2 5 2" xfId="33268"/>
    <cellStyle name="Normal 8 2 3 4 2 2 6" xfId="25257"/>
    <cellStyle name="Normal 8 2 3 4 2 3" xfId="13219"/>
    <cellStyle name="Normal 8 2 3 4 2 3 2" xfId="21244"/>
    <cellStyle name="Normal 8 2 3 4 2 3 2 2" xfId="35269"/>
    <cellStyle name="Normal 8 2 3 4 2 3 3" xfId="27258"/>
    <cellStyle name="Normal 8 2 3 4 2 4" xfId="15234"/>
    <cellStyle name="Normal 8 2 3 4 2 4 2" xfId="23249"/>
    <cellStyle name="Normal 8 2 3 4 2 4 2 2" xfId="37274"/>
    <cellStyle name="Normal 8 2 3 4 2 4 3" xfId="29263"/>
    <cellStyle name="Normal 8 2 3 4 2 5" xfId="17240"/>
    <cellStyle name="Normal 8 2 3 4 2 5 2" xfId="31265"/>
    <cellStyle name="Normal 8 2 3 4 2 6" xfId="19242"/>
    <cellStyle name="Normal 8 2 3 4 2 6 2" xfId="33267"/>
    <cellStyle name="Normal 8 2 3 4 2 7" xfId="25256"/>
    <cellStyle name="Normal 8 2 3 4 3" xfId="2627"/>
    <cellStyle name="Normal 8 2 3 4 3 2" xfId="13221"/>
    <cellStyle name="Normal 8 2 3 4 3 2 2" xfId="21246"/>
    <cellStyle name="Normal 8 2 3 4 3 2 2 2" xfId="35271"/>
    <cellStyle name="Normal 8 2 3 4 3 2 3" xfId="27260"/>
    <cellStyle name="Normal 8 2 3 4 3 3" xfId="15236"/>
    <cellStyle name="Normal 8 2 3 4 3 3 2" xfId="23251"/>
    <cellStyle name="Normal 8 2 3 4 3 3 2 2" xfId="37276"/>
    <cellStyle name="Normal 8 2 3 4 3 3 3" xfId="29265"/>
    <cellStyle name="Normal 8 2 3 4 3 4" xfId="17242"/>
    <cellStyle name="Normal 8 2 3 4 3 4 2" xfId="31267"/>
    <cellStyle name="Normal 8 2 3 4 3 5" xfId="19244"/>
    <cellStyle name="Normal 8 2 3 4 3 5 2" xfId="33269"/>
    <cellStyle name="Normal 8 2 3 4 3 6" xfId="25258"/>
    <cellStyle name="Normal 8 2 3 4 4" xfId="13218"/>
    <cellStyle name="Normal 8 2 3 4 4 2" xfId="21243"/>
    <cellStyle name="Normal 8 2 3 4 4 2 2" xfId="35268"/>
    <cellStyle name="Normal 8 2 3 4 4 3" xfId="27257"/>
    <cellStyle name="Normal 8 2 3 4 5" xfId="15233"/>
    <cellStyle name="Normal 8 2 3 4 5 2" xfId="23248"/>
    <cellStyle name="Normal 8 2 3 4 5 2 2" xfId="37273"/>
    <cellStyle name="Normal 8 2 3 4 5 3" xfId="29262"/>
    <cellStyle name="Normal 8 2 3 4 6" xfId="17239"/>
    <cellStyle name="Normal 8 2 3 4 6 2" xfId="31264"/>
    <cellStyle name="Normal 8 2 3 4 7" xfId="19241"/>
    <cellStyle name="Normal 8 2 3 4 7 2" xfId="33266"/>
    <cellStyle name="Normal 8 2 3 4 8" xfId="25255"/>
    <cellStyle name="Normal 8 2 3 5" xfId="2628"/>
    <cellStyle name="Normal 8 2 3 5 2" xfId="2629"/>
    <cellStyle name="Normal 8 2 3 5 2 2" xfId="13223"/>
    <cellStyle name="Normal 8 2 3 5 2 2 2" xfId="21248"/>
    <cellStyle name="Normal 8 2 3 5 2 2 2 2" xfId="35273"/>
    <cellStyle name="Normal 8 2 3 5 2 2 3" xfId="27262"/>
    <cellStyle name="Normal 8 2 3 5 2 3" xfId="15238"/>
    <cellStyle name="Normal 8 2 3 5 2 3 2" xfId="23253"/>
    <cellStyle name="Normal 8 2 3 5 2 3 2 2" xfId="37278"/>
    <cellStyle name="Normal 8 2 3 5 2 3 3" xfId="29267"/>
    <cellStyle name="Normal 8 2 3 5 2 4" xfId="17244"/>
    <cellStyle name="Normal 8 2 3 5 2 4 2" xfId="31269"/>
    <cellStyle name="Normal 8 2 3 5 2 5" xfId="19246"/>
    <cellStyle name="Normal 8 2 3 5 2 5 2" xfId="33271"/>
    <cellStyle name="Normal 8 2 3 5 2 6" xfId="25260"/>
    <cellStyle name="Normal 8 2 3 5 3" xfId="13222"/>
    <cellStyle name="Normal 8 2 3 5 3 2" xfId="21247"/>
    <cellStyle name="Normal 8 2 3 5 3 2 2" xfId="35272"/>
    <cellStyle name="Normal 8 2 3 5 3 3" xfId="27261"/>
    <cellStyle name="Normal 8 2 3 5 4" xfId="15237"/>
    <cellStyle name="Normal 8 2 3 5 4 2" xfId="23252"/>
    <cellStyle name="Normal 8 2 3 5 4 2 2" xfId="37277"/>
    <cellStyle name="Normal 8 2 3 5 4 3" xfId="29266"/>
    <cellStyle name="Normal 8 2 3 5 5" xfId="17243"/>
    <cellStyle name="Normal 8 2 3 5 5 2" xfId="31268"/>
    <cellStyle name="Normal 8 2 3 5 6" xfId="19245"/>
    <cellStyle name="Normal 8 2 3 5 6 2" xfId="33270"/>
    <cellStyle name="Normal 8 2 3 5 7" xfId="25259"/>
    <cellStyle name="Normal 8 2 3 6" xfId="2630"/>
    <cellStyle name="Normal 8 2 3 6 2" xfId="2631"/>
    <cellStyle name="Normal 8 2 3 6 2 2" xfId="13225"/>
    <cellStyle name="Normal 8 2 3 6 2 2 2" xfId="21250"/>
    <cellStyle name="Normal 8 2 3 6 2 2 2 2" xfId="35275"/>
    <cellStyle name="Normal 8 2 3 6 2 2 3" xfId="27264"/>
    <cellStyle name="Normal 8 2 3 6 2 3" xfId="15240"/>
    <cellStyle name="Normal 8 2 3 6 2 3 2" xfId="23255"/>
    <cellStyle name="Normal 8 2 3 6 2 3 2 2" xfId="37280"/>
    <cellStyle name="Normal 8 2 3 6 2 3 3" xfId="29269"/>
    <cellStyle name="Normal 8 2 3 6 2 4" xfId="17246"/>
    <cellStyle name="Normal 8 2 3 6 2 4 2" xfId="31271"/>
    <cellStyle name="Normal 8 2 3 6 2 5" xfId="19248"/>
    <cellStyle name="Normal 8 2 3 6 2 5 2" xfId="33273"/>
    <cellStyle name="Normal 8 2 3 6 2 6" xfId="25262"/>
    <cellStyle name="Normal 8 2 3 6 3" xfId="13224"/>
    <cellStyle name="Normal 8 2 3 6 3 2" xfId="21249"/>
    <cellStyle name="Normal 8 2 3 6 3 2 2" xfId="35274"/>
    <cellStyle name="Normal 8 2 3 6 3 3" xfId="27263"/>
    <cellStyle name="Normal 8 2 3 6 4" xfId="15239"/>
    <cellStyle name="Normal 8 2 3 6 4 2" xfId="23254"/>
    <cellStyle name="Normal 8 2 3 6 4 2 2" xfId="37279"/>
    <cellStyle name="Normal 8 2 3 6 4 3" xfId="29268"/>
    <cellStyle name="Normal 8 2 3 6 5" xfId="17245"/>
    <cellStyle name="Normal 8 2 3 6 5 2" xfId="31270"/>
    <cellStyle name="Normal 8 2 3 6 6" xfId="19247"/>
    <cellStyle name="Normal 8 2 3 6 6 2" xfId="33272"/>
    <cellStyle name="Normal 8 2 3 6 7" xfId="25261"/>
    <cellStyle name="Normal 8 2 3 7" xfId="2632"/>
    <cellStyle name="Normal 8 2 3 7 2" xfId="13226"/>
    <cellStyle name="Normal 8 2 3 7 2 2" xfId="21251"/>
    <cellStyle name="Normal 8 2 3 7 2 2 2" xfId="35276"/>
    <cellStyle name="Normal 8 2 3 7 2 3" xfId="27265"/>
    <cellStyle name="Normal 8 2 3 7 3" xfId="15241"/>
    <cellStyle name="Normal 8 2 3 7 3 2" xfId="23256"/>
    <cellStyle name="Normal 8 2 3 7 3 2 2" xfId="37281"/>
    <cellStyle name="Normal 8 2 3 7 3 3" xfId="29270"/>
    <cellStyle name="Normal 8 2 3 7 4" xfId="17247"/>
    <cellStyle name="Normal 8 2 3 7 4 2" xfId="31272"/>
    <cellStyle name="Normal 8 2 3 7 5" xfId="19249"/>
    <cellStyle name="Normal 8 2 3 7 5 2" xfId="33274"/>
    <cellStyle name="Normal 8 2 3 7 6" xfId="25263"/>
    <cellStyle name="Normal 8 2 3 8" xfId="13187"/>
    <cellStyle name="Normal 8 2 3 8 2" xfId="21212"/>
    <cellStyle name="Normal 8 2 3 8 2 2" xfId="35237"/>
    <cellStyle name="Normal 8 2 3 8 3" xfId="27226"/>
    <cellStyle name="Normal 8 2 3 9" xfId="15202"/>
    <cellStyle name="Normal 8 2 3 9 2" xfId="23217"/>
    <cellStyle name="Normal 8 2 3 9 2 2" xfId="37242"/>
    <cellStyle name="Normal 8 2 3 9 3" xfId="29231"/>
    <cellStyle name="Normal 8 2 4" xfId="2633"/>
    <cellStyle name="Normal 8 2 4 10" xfId="19250"/>
    <cellStyle name="Normal 8 2 4 10 2" xfId="33275"/>
    <cellStyle name="Normal 8 2 4 11" xfId="25264"/>
    <cellStyle name="Normal 8 2 4 2" xfId="2634"/>
    <cellStyle name="Normal 8 2 4 2 10" xfId="25265"/>
    <cellStyle name="Normal 8 2 4 2 2" xfId="2635"/>
    <cellStyle name="Normal 8 2 4 2 2 2" xfId="2636"/>
    <cellStyle name="Normal 8 2 4 2 2 2 2" xfId="2637"/>
    <cellStyle name="Normal 8 2 4 2 2 2 2 2" xfId="13231"/>
    <cellStyle name="Normal 8 2 4 2 2 2 2 2 2" xfId="21256"/>
    <cellStyle name="Normal 8 2 4 2 2 2 2 2 2 2" xfId="35281"/>
    <cellStyle name="Normal 8 2 4 2 2 2 2 2 3" xfId="27270"/>
    <cellStyle name="Normal 8 2 4 2 2 2 2 3" xfId="15246"/>
    <cellStyle name="Normal 8 2 4 2 2 2 2 3 2" xfId="23261"/>
    <cellStyle name="Normal 8 2 4 2 2 2 2 3 2 2" xfId="37286"/>
    <cellStyle name="Normal 8 2 4 2 2 2 2 3 3" xfId="29275"/>
    <cellStyle name="Normal 8 2 4 2 2 2 2 4" xfId="17252"/>
    <cellStyle name="Normal 8 2 4 2 2 2 2 4 2" xfId="31277"/>
    <cellStyle name="Normal 8 2 4 2 2 2 2 5" xfId="19254"/>
    <cellStyle name="Normal 8 2 4 2 2 2 2 5 2" xfId="33279"/>
    <cellStyle name="Normal 8 2 4 2 2 2 2 6" xfId="25268"/>
    <cellStyle name="Normal 8 2 4 2 2 2 3" xfId="13230"/>
    <cellStyle name="Normal 8 2 4 2 2 2 3 2" xfId="21255"/>
    <cellStyle name="Normal 8 2 4 2 2 2 3 2 2" xfId="35280"/>
    <cellStyle name="Normal 8 2 4 2 2 2 3 3" xfId="27269"/>
    <cellStyle name="Normal 8 2 4 2 2 2 4" xfId="15245"/>
    <cellStyle name="Normal 8 2 4 2 2 2 4 2" xfId="23260"/>
    <cellStyle name="Normal 8 2 4 2 2 2 4 2 2" xfId="37285"/>
    <cellStyle name="Normal 8 2 4 2 2 2 4 3" xfId="29274"/>
    <cellStyle name="Normal 8 2 4 2 2 2 5" xfId="17251"/>
    <cellStyle name="Normal 8 2 4 2 2 2 5 2" xfId="31276"/>
    <cellStyle name="Normal 8 2 4 2 2 2 6" xfId="19253"/>
    <cellStyle name="Normal 8 2 4 2 2 2 6 2" xfId="33278"/>
    <cellStyle name="Normal 8 2 4 2 2 2 7" xfId="25267"/>
    <cellStyle name="Normal 8 2 4 2 2 3" xfId="2638"/>
    <cellStyle name="Normal 8 2 4 2 2 3 2" xfId="13232"/>
    <cellStyle name="Normal 8 2 4 2 2 3 2 2" xfId="21257"/>
    <cellStyle name="Normal 8 2 4 2 2 3 2 2 2" xfId="35282"/>
    <cellStyle name="Normal 8 2 4 2 2 3 2 3" xfId="27271"/>
    <cellStyle name="Normal 8 2 4 2 2 3 3" xfId="15247"/>
    <cellStyle name="Normal 8 2 4 2 2 3 3 2" xfId="23262"/>
    <cellStyle name="Normal 8 2 4 2 2 3 3 2 2" xfId="37287"/>
    <cellStyle name="Normal 8 2 4 2 2 3 3 3" xfId="29276"/>
    <cellStyle name="Normal 8 2 4 2 2 3 4" xfId="17253"/>
    <cellStyle name="Normal 8 2 4 2 2 3 4 2" xfId="31278"/>
    <cellStyle name="Normal 8 2 4 2 2 3 5" xfId="19255"/>
    <cellStyle name="Normal 8 2 4 2 2 3 5 2" xfId="33280"/>
    <cellStyle name="Normal 8 2 4 2 2 3 6" xfId="25269"/>
    <cellStyle name="Normal 8 2 4 2 2 4" xfId="13229"/>
    <cellStyle name="Normal 8 2 4 2 2 4 2" xfId="21254"/>
    <cellStyle name="Normal 8 2 4 2 2 4 2 2" xfId="35279"/>
    <cellStyle name="Normal 8 2 4 2 2 4 3" xfId="27268"/>
    <cellStyle name="Normal 8 2 4 2 2 5" xfId="15244"/>
    <cellStyle name="Normal 8 2 4 2 2 5 2" xfId="23259"/>
    <cellStyle name="Normal 8 2 4 2 2 5 2 2" xfId="37284"/>
    <cellStyle name="Normal 8 2 4 2 2 5 3" xfId="29273"/>
    <cellStyle name="Normal 8 2 4 2 2 6" xfId="17250"/>
    <cellStyle name="Normal 8 2 4 2 2 6 2" xfId="31275"/>
    <cellStyle name="Normal 8 2 4 2 2 7" xfId="19252"/>
    <cellStyle name="Normal 8 2 4 2 2 7 2" xfId="33277"/>
    <cellStyle name="Normal 8 2 4 2 2 8" xfId="25266"/>
    <cellStyle name="Normal 8 2 4 2 3" xfId="2639"/>
    <cellStyle name="Normal 8 2 4 2 3 2" xfId="2640"/>
    <cellStyle name="Normal 8 2 4 2 3 2 2" xfId="13234"/>
    <cellStyle name="Normal 8 2 4 2 3 2 2 2" xfId="21259"/>
    <cellStyle name="Normal 8 2 4 2 3 2 2 2 2" xfId="35284"/>
    <cellStyle name="Normal 8 2 4 2 3 2 2 3" xfId="27273"/>
    <cellStyle name="Normal 8 2 4 2 3 2 3" xfId="15249"/>
    <cellStyle name="Normal 8 2 4 2 3 2 3 2" xfId="23264"/>
    <cellStyle name="Normal 8 2 4 2 3 2 3 2 2" xfId="37289"/>
    <cellStyle name="Normal 8 2 4 2 3 2 3 3" xfId="29278"/>
    <cellStyle name="Normal 8 2 4 2 3 2 4" xfId="17255"/>
    <cellStyle name="Normal 8 2 4 2 3 2 4 2" xfId="31280"/>
    <cellStyle name="Normal 8 2 4 2 3 2 5" xfId="19257"/>
    <cellStyle name="Normal 8 2 4 2 3 2 5 2" xfId="33282"/>
    <cellStyle name="Normal 8 2 4 2 3 2 6" xfId="25271"/>
    <cellStyle name="Normal 8 2 4 2 3 3" xfId="13233"/>
    <cellStyle name="Normal 8 2 4 2 3 3 2" xfId="21258"/>
    <cellStyle name="Normal 8 2 4 2 3 3 2 2" xfId="35283"/>
    <cellStyle name="Normal 8 2 4 2 3 3 3" xfId="27272"/>
    <cellStyle name="Normal 8 2 4 2 3 4" xfId="15248"/>
    <cellStyle name="Normal 8 2 4 2 3 4 2" xfId="23263"/>
    <cellStyle name="Normal 8 2 4 2 3 4 2 2" xfId="37288"/>
    <cellStyle name="Normal 8 2 4 2 3 4 3" xfId="29277"/>
    <cellStyle name="Normal 8 2 4 2 3 5" xfId="17254"/>
    <cellStyle name="Normal 8 2 4 2 3 5 2" xfId="31279"/>
    <cellStyle name="Normal 8 2 4 2 3 6" xfId="19256"/>
    <cellStyle name="Normal 8 2 4 2 3 6 2" xfId="33281"/>
    <cellStyle name="Normal 8 2 4 2 3 7" xfId="25270"/>
    <cellStyle name="Normal 8 2 4 2 4" xfId="2641"/>
    <cellStyle name="Normal 8 2 4 2 4 2" xfId="2642"/>
    <cellStyle name="Normal 8 2 4 2 4 2 2" xfId="13236"/>
    <cellStyle name="Normal 8 2 4 2 4 2 2 2" xfId="21261"/>
    <cellStyle name="Normal 8 2 4 2 4 2 2 2 2" xfId="35286"/>
    <cellStyle name="Normal 8 2 4 2 4 2 2 3" xfId="27275"/>
    <cellStyle name="Normal 8 2 4 2 4 2 3" xfId="15251"/>
    <cellStyle name="Normal 8 2 4 2 4 2 3 2" xfId="23266"/>
    <cellStyle name="Normal 8 2 4 2 4 2 3 2 2" xfId="37291"/>
    <cellStyle name="Normal 8 2 4 2 4 2 3 3" xfId="29280"/>
    <cellStyle name="Normal 8 2 4 2 4 2 4" xfId="17257"/>
    <cellStyle name="Normal 8 2 4 2 4 2 4 2" xfId="31282"/>
    <cellStyle name="Normal 8 2 4 2 4 2 5" xfId="19259"/>
    <cellStyle name="Normal 8 2 4 2 4 2 5 2" xfId="33284"/>
    <cellStyle name="Normal 8 2 4 2 4 2 6" xfId="25273"/>
    <cellStyle name="Normal 8 2 4 2 4 3" xfId="13235"/>
    <cellStyle name="Normal 8 2 4 2 4 3 2" xfId="21260"/>
    <cellStyle name="Normal 8 2 4 2 4 3 2 2" xfId="35285"/>
    <cellStyle name="Normal 8 2 4 2 4 3 3" xfId="27274"/>
    <cellStyle name="Normal 8 2 4 2 4 4" xfId="15250"/>
    <cellStyle name="Normal 8 2 4 2 4 4 2" xfId="23265"/>
    <cellStyle name="Normal 8 2 4 2 4 4 2 2" xfId="37290"/>
    <cellStyle name="Normal 8 2 4 2 4 4 3" xfId="29279"/>
    <cellStyle name="Normal 8 2 4 2 4 5" xfId="17256"/>
    <cellStyle name="Normal 8 2 4 2 4 5 2" xfId="31281"/>
    <cellStyle name="Normal 8 2 4 2 4 6" xfId="19258"/>
    <cellStyle name="Normal 8 2 4 2 4 6 2" xfId="33283"/>
    <cellStyle name="Normal 8 2 4 2 4 7" xfId="25272"/>
    <cellStyle name="Normal 8 2 4 2 5" xfId="2643"/>
    <cellStyle name="Normal 8 2 4 2 5 2" xfId="13237"/>
    <cellStyle name="Normal 8 2 4 2 5 2 2" xfId="21262"/>
    <cellStyle name="Normal 8 2 4 2 5 2 2 2" xfId="35287"/>
    <cellStyle name="Normal 8 2 4 2 5 2 3" xfId="27276"/>
    <cellStyle name="Normal 8 2 4 2 5 3" xfId="15252"/>
    <cellStyle name="Normal 8 2 4 2 5 3 2" xfId="23267"/>
    <cellStyle name="Normal 8 2 4 2 5 3 2 2" xfId="37292"/>
    <cellStyle name="Normal 8 2 4 2 5 3 3" xfId="29281"/>
    <cellStyle name="Normal 8 2 4 2 5 4" xfId="17258"/>
    <cellStyle name="Normal 8 2 4 2 5 4 2" xfId="31283"/>
    <cellStyle name="Normal 8 2 4 2 5 5" xfId="19260"/>
    <cellStyle name="Normal 8 2 4 2 5 5 2" xfId="33285"/>
    <cellStyle name="Normal 8 2 4 2 5 6" xfId="25274"/>
    <cellStyle name="Normal 8 2 4 2 6" xfId="13228"/>
    <cellStyle name="Normal 8 2 4 2 6 2" xfId="21253"/>
    <cellStyle name="Normal 8 2 4 2 6 2 2" xfId="35278"/>
    <cellStyle name="Normal 8 2 4 2 6 3" xfId="27267"/>
    <cellStyle name="Normal 8 2 4 2 7" xfId="15243"/>
    <cellStyle name="Normal 8 2 4 2 7 2" xfId="23258"/>
    <cellStyle name="Normal 8 2 4 2 7 2 2" xfId="37283"/>
    <cellStyle name="Normal 8 2 4 2 7 3" xfId="29272"/>
    <cellStyle name="Normal 8 2 4 2 8" xfId="17249"/>
    <cellStyle name="Normal 8 2 4 2 8 2" xfId="31274"/>
    <cellStyle name="Normal 8 2 4 2 9" xfId="19251"/>
    <cellStyle name="Normal 8 2 4 2 9 2" xfId="33276"/>
    <cellStyle name="Normal 8 2 4 3" xfId="2644"/>
    <cellStyle name="Normal 8 2 4 3 2" xfId="2645"/>
    <cellStyle name="Normal 8 2 4 3 2 2" xfId="2646"/>
    <cellStyle name="Normal 8 2 4 3 2 2 2" xfId="13240"/>
    <cellStyle name="Normal 8 2 4 3 2 2 2 2" xfId="21265"/>
    <cellStyle name="Normal 8 2 4 3 2 2 2 2 2" xfId="35290"/>
    <cellStyle name="Normal 8 2 4 3 2 2 2 3" xfId="27279"/>
    <cellStyle name="Normal 8 2 4 3 2 2 3" xfId="15255"/>
    <cellStyle name="Normal 8 2 4 3 2 2 3 2" xfId="23270"/>
    <cellStyle name="Normal 8 2 4 3 2 2 3 2 2" xfId="37295"/>
    <cellStyle name="Normal 8 2 4 3 2 2 3 3" xfId="29284"/>
    <cellStyle name="Normal 8 2 4 3 2 2 4" xfId="17261"/>
    <cellStyle name="Normal 8 2 4 3 2 2 4 2" xfId="31286"/>
    <cellStyle name="Normal 8 2 4 3 2 2 5" xfId="19263"/>
    <cellStyle name="Normal 8 2 4 3 2 2 5 2" xfId="33288"/>
    <cellStyle name="Normal 8 2 4 3 2 2 6" xfId="25277"/>
    <cellStyle name="Normal 8 2 4 3 2 3" xfId="13239"/>
    <cellStyle name="Normal 8 2 4 3 2 3 2" xfId="21264"/>
    <cellStyle name="Normal 8 2 4 3 2 3 2 2" xfId="35289"/>
    <cellStyle name="Normal 8 2 4 3 2 3 3" xfId="27278"/>
    <cellStyle name="Normal 8 2 4 3 2 4" xfId="15254"/>
    <cellStyle name="Normal 8 2 4 3 2 4 2" xfId="23269"/>
    <cellStyle name="Normal 8 2 4 3 2 4 2 2" xfId="37294"/>
    <cellStyle name="Normal 8 2 4 3 2 4 3" xfId="29283"/>
    <cellStyle name="Normal 8 2 4 3 2 5" xfId="17260"/>
    <cellStyle name="Normal 8 2 4 3 2 5 2" xfId="31285"/>
    <cellStyle name="Normal 8 2 4 3 2 6" xfId="19262"/>
    <cellStyle name="Normal 8 2 4 3 2 6 2" xfId="33287"/>
    <cellStyle name="Normal 8 2 4 3 2 7" xfId="25276"/>
    <cellStyle name="Normal 8 2 4 3 3" xfId="2647"/>
    <cellStyle name="Normal 8 2 4 3 3 2" xfId="13241"/>
    <cellStyle name="Normal 8 2 4 3 3 2 2" xfId="21266"/>
    <cellStyle name="Normal 8 2 4 3 3 2 2 2" xfId="35291"/>
    <cellStyle name="Normal 8 2 4 3 3 2 3" xfId="27280"/>
    <cellStyle name="Normal 8 2 4 3 3 3" xfId="15256"/>
    <cellStyle name="Normal 8 2 4 3 3 3 2" xfId="23271"/>
    <cellStyle name="Normal 8 2 4 3 3 3 2 2" xfId="37296"/>
    <cellStyle name="Normal 8 2 4 3 3 3 3" xfId="29285"/>
    <cellStyle name="Normal 8 2 4 3 3 4" xfId="17262"/>
    <cellStyle name="Normal 8 2 4 3 3 4 2" xfId="31287"/>
    <cellStyle name="Normal 8 2 4 3 3 5" xfId="19264"/>
    <cellStyle name="Normal 8 2 4 3 3 5 2" xfId="33289"/>
    <cellStyle name="Normal 8 2 4 3 3 6" xfId="25278"/>
    <cellStyle name="Normal 8 2 4 3 4" xfId="13238"/>
    <cellStyle name="Normal 8 2 4 3 4 2" xfId="21263"/>
    <cellStyle name="Normal 8 2 4 3 4 2 2" xfId="35288"/>
    <cellStyle name="Normal 8 2 4 3 4 3" xfId="27277"/>
    <cellStyle name="Normal 8 2 4 3 5" xfId="15253"/>
    <cellStyle name="Normal 8 2 4 3 5 2" xfId="23268"/>
    <cellStyle name="Normal 8 2 4 3 5 2 2" xfId="37293"/>
    <cellStyle name="Normal 8 2 4 3 5 3" xfId="29282"/>
    <cellStyle name="Normal 8 2 4 3 6" xfId="17259"/>
    <cellStyle name="Normal 8 2 4 3 6 2" xfId="31284"/>
    <cellStyle name="Normal 8 2 4 3 7" xfId="19261"/>
    <cellStyle name="Normal 8 2 4 3 7 2" xfId="33286"/>
    <cellStyle name="Normal 8 2 4 3 8" xfId="25275"/>
    <cellStyle name="Normal 8 2 4 4" xfId="2648"/>
    <cellStyle name="Normal 8 2 4 4 2" xfId="2649"/>
    <cellStyle name="Normal 8 2 4 4 2 2" xfId="13243"/>
    <cellStyle name="Normal 8 2 4 4 2 2 2" xfId="21268"/>
    <cellStyle name="Normal 8 2 4 4 2 2 2 2" xfId="35293"/>
    <cellStyle name="Normal 8 2 4 4 2 2 3" xfId="27282"/>
    <cellStyle name="Normal 8 2 4 4 2 3" xfId="15258"/>
    <cellStyle name="Normal 8 2 4 4 2 3 2" xfId="23273"/>
    <cellStyle name="Normal 8 2 4 4 2 3 2 2" xfId="37298"/>
    <cellStyle name="Normal 8 2 4 4 2 3 3" xfId="29287"/>
    <cellStyle name="Normal 8 2 4 4 2 4" xfId="17264"/>
    <cellStyle name="Normal 8 2 4 4 2 4 2" xfId="31289"/>
    <cellStyle name="Normal 8 2 4 4 2 5" xfId="19266"/>
    <cellStyle name="Normal 8 2 4 4 2 5 2" xfId="33291"/>
    <cellStyle name="Normal 8 2 4 4 2 6" xfId="25280"/>
    <cellStyle name="Normal 8 2 4 4 3" xfId="13242"/>
    <cellStyle name="Normal 8 2 4 4 3 2" xfId="21267"/>
    <cellStyle name="Normal 8 2 4 4 3 2 2" xfId="35292"/>
    <cellStyle name="Normal 8 2 4 4 3 3" xfId="27281"/>
    <cellStyle name="Normal 8 2 4 4 4" xfId="15257"/>
    <cellStyle name="Normal 8 2 4 4 4 2" xfId="23272"/>
    <cellStyle name="Normal 8 2 4 4 4 2 2" xfId="37297"/>
    <cellStyle name="Normal 8 2 4 4 4 3" xfId="29286"/>
    <cellStyle name="Normal 8 2 4 4 5" xfId="17263"/>
    <cellStyle name="Normal 8 2 4 4 5 2" xfId="31288"/>
    <cellStyle name="Normal 8 2 4 4 6" xfId="19265"/>
    <cellStyle name="Normal 8 2 4 4 6 2" xfId="33290"/>
    <cellStyle name="Normal 8 2 4 4 7" xfId="25279"/>
    <cellStyle name="Normal 8 2 4 5" xfId="2650"/>
    <cellStyle name="Normal 8 2 4 5 2" xfId="2651"/>
    <cellStyle name="Normal 8 2 4 5 2 2" xfId="13245"/>
    <cellStyle name="Normal 8 2 4 5 2 2 2" xfId="21270"/>
    <cellStyle name="Normal 8 2 4 5 2 2 2 2" xfId="35295"/>
    <cellStyle name="Normal 8 2 4 5 2 2 3" xfId="27284"/>
    <cellStyle name="Normal 8 2 4 5 2 3" xfId="15260"/>
    <cellStyle name="Normal 8 2 4 5 2 3 2" xfId="23275"/>
    <cellStyle name="Normal 8 2 4 5 2 3 2 2" xfId="37300"/>
    <cellStyle name="Normal 8 2 4 5 2 3 3" xfId="29289"/>
    <cellStyle name="Normal 8 2 4 5 2 4" xfId="17266"/>
    <cellStyle name="Normal 8 2 4 5 2 4 2" xfId="31291"/>
    <cellStyle name="Normal 8 2 4 5 2 5" xfId="19268"/>
    <cellStyle name="Normal 8 2 4 5 2 5 2" xfId="33293"/>
    <cellStyle name="Normal 8 2 4 5 2 6" xfId="25282"/>
    <cellStyle name="Normal 8 2 4 5 3" xfId="13244"/>
    <cellStyle name="Normal 8 2 4 5 3 2" xfId="21269"/>
    <cellStyle name="Normal 8 2 4 5 3 2 2" xfId="35294"/>
    <cellStyle name="Normal 8 2 4 5 3 3" xfId="27283"/>
    <cellStyle name="Normal 8 2 4 5 4" xfId="15259"/>
    <cellStyle name="Normal 8 2 4 5 4 2" xfId="23274"/>
    <cellStyle name="Normal 8 2 4 5 4 2 2" xfId="37299"/>
    <cellStyle name="Normal 8 2 4 5 4 3" xfId="29288"/>
    <cellStyle name="Normal 8 2 4 5 5" xfId="17265"/>
    <cellStyle name="Normal 8 2 4 5 5 2" xfId="31290"/>
    <cellStyle name="Normal 8 2 4 5 6" xfId="19267"/>
    <cellStyle name="Normal 8 2 4 5 6 2" xfId="33292"/>
    <cellStyle name="Normal 8 2 4 5 7" xfId="25281"/>
    <cellStyle name="Normal 8 2 4 6" xfId="2652"/>
    <cellStyle name="Normal 8 2 4 6 2" xfId="13246"/>
    <cellStyle name="Normal 8 2 4 6 2 2" xfId="21271"/>
    <cellStyle name="Normal 8 2 4 6 2 2 2" xfId="35296"/>
    <cellStyle name="Normal 8 2 4 6 2 3" xfId="27285"/>
    <cellStyle name="Normal 8 2 4 6 3" xfId="15261"/>
    <cellStyle name="Normal 8 2 4 6 3 2" xfId="23276"/>
    <cellStyle name="Normal 8 2 4 6 3 2 2" xfId="37301"/>
    <cellStyle name="Normal 8 2 4 6 3 3" xfId="29290"/>
    <cellStyle name="Normal 8 2 4 6 4" xfId="17267"/>
    <cellStyle name="Normal 8 2 4 6 4 2" xfId="31292"/>
    <cellStyle name="Normal 8 2 4 6 5" xfId="19269"/>
    <cellStyle name="Normal 8 2 4 6 5 2" xfId="33294"/>
    <cellStyle name="Normal 8 2 4 6 6" xfId="25283"/>
    <cellStyle name="Normal 8 2 4 7" xfId="13227"/>
    <cellStyle name="Normal 8 2 4 7 2" xfId="21252"/>
    <cellStyle name="Normal 8 2 4 7 2 2" xfId="35277"/>
    <cellStyle name="Normal 8 2 4 7 3" xfId="27266"/>
    <cellStyle name="Normal 8 2 4 8" xfId="15242"/>
    <cellStyle name="Normal 8 2 4 8 2" xfId="23257"/>
    <cellStyle name="Normal 8 2 4 8 2 2" xfId="37282"/>
    <cellStyle name="Normal 8 2 4 8 3" xfId="29271"/>
    <cellStyle name="Normal 8 2 4 9" xfId="17248"/>
    <cellStyle name="Normal 8 2 4 9 2" xfId="31273"/>
    <cellStyle name="Normal 8 2 5" xfId="2653"/>
    <cellStyle name="Normal 8 2 5 10" xfId="25284"/>
    <cellStyle name="Normal 8 2 5 2" xfId="2654"/>
    <cellStyle name="Normal 8 2 5 2 2" xfId="2655"/>
    <cellStyle name="Normal 8 2 5 2 2 2" xfId="2656"/>
    <cellStyle name="Normal 8 2 5 2 2 2 2" xfId="13250"/>
    <cellStyle name="Normal 8 2 5 2 2 2 2 2" xfId="21275"/>
    <cellStyle name="Normal 8 2 5 2 2 2 2 2 2" xfId="35300"/>
    <cellStyle name="Normal 8 2 5 2 2 2 2 3" xfId="27289"/>
    <cellStyle name="Normal 8 2 5 2 2 2 3" xfId="15265"/>
    <cellStyle name="Normal 8 2 5 2 2 2 3 2" xfId="23280"/>
    <cellStyle name="Normal 8 2 5 2 2 2 3 2 2" xfId="37305"/>
    <cellStyle name="Normal 8 2 5 2 2 2 3 3" xfId="29294"/>
    <cellStyle name="Normal 8 2 5 2 2 2 4" xfId="17271"/>
    <cellStyle name="Normal 8 2 5 2 2 2 4 2" xfId="31296"/>
    <cellStyle name="Normal 8 2 5 2 2 2 5" xfId="19273"/>
    <cellStyle name="Normal 8 2 5 2 2 2 5 2" xfId="33298"/>
    <cellStyle name="Normal 8 2 5 2 2 2 6" xfId="25287"/>
    <cellStyle name="Normal 8 2 5 2 2 3" xfId="13249"/>
    <cellStyle name="Normal 8 2 5 2 2 3 2" xfId="21274"/>
    <cellStyle name="Normal 8 2 5 2 2 3 2 2" xfId="35299"/>
    <cellStyle name="Normal 8 2 5 2 2 3 3" xfId="27288"/>
    <cellStyle name="Normal 8 2 5 2 2 4" xfId="15264"/>
    <cellStyle name="Normal 8 2 5 2 2 4 2" xfId="23279"/>
    <cellStyle name="Normal 8 2 5 2 2 4 2 2" xfId="37304"/>
    <cellStyle name="Normal 8 2 5 2 2 4 3" xfId="29293"/>
    <cellStyle name="Normal 8 2 5 2 2 5" xfId="17270"/>
    <cellStyle name="Normal 8 2 5 2 2 5 2" xfId="31295"/>
    <cellStyle name="Normal 8 2 5 2 2 6" xfId="19272"/>
    <cellStyle name="Normal 8 2 5 2 2 6 2" xfId="33297"/>
    <cellStyle name="Normal 8 2 5 2 2 7" xfId="25286"/>
    <cellStyle name="Normal 8 2 5 2 3" xfId="2657"/>
    <cellStyle name="Normal 8 2 5 2 3 2" xfId="13251"/>
    <cellStyle name="Normal 8 2 5 2 3 2 2" xfId="21276"/>
    <cellStyle name="Normal 8 2 5 2 3 2 2 2" xfId="35301"/>
    <cellStyle name="Normal 8 2 5 2 3 2 3" xfId="27290"/>
    <cellStyle name="Normal 8 2 5 2 3 3" xfId="15266"/>
    <cellStyle name="Normal 8 2 5 2 3 3 2" xfId="23281"/>
    <cellStyle name="Normal 8 2 5 2 3 3 2 2" xfId="37306"/>
    <cellStyle name="Normal 8 2 5 2 3 3 3" xfId="29295"/>
    <cellStyle name="Normal 8 2 5 2 3 4" xfId="17272"/>
    <cellStyle name="Normal 8 2 5 2 3 4 2" xfId="31297"/>
    <cellStyle name="Normal 8 2 5 2 3 5" xfId="19274"/>
    <cellStyle name="Normal 8 2 5 2 3 5 2" xfId="33299"/>
    <cellStyle name="Normal 8 2 5 2 3 6" xfId="25288"/>
    <cellStyle name="Normal 8 2 5 2 4" xfId="13248"/>
    <cellStyle name="Normal 8 2 5 2 4 2" xfId="21273"/>
    <cellStyle name="Normal 8 2 5 2 4 2 2" xfId="35298"/>
    <cellStyle name="Normal 8 2 5 2 4 3" xfId="27287"/>
    <cellStyle name="Normal 8 2 5 2 5" xfId="15263"/>
    <cellStyle name="Normal 8 2 5 2 5 2" xfId="23278"/>
    <cellStyle name="Normal 8 2 5 2 5 2 2" xfId="37303"/>
    <cellStyle name="Normal 8 2 5 2 5 3" xfId="29292"/>
    <cellStyle name="Normal 8 2 5 2 6" xfId="17269"/>
    <cellStyle name="Normal 8 2 5 2 6 2" xfId="31294"/>
    <cellStyle name="Normal 8 2 5 2 7" xfId="19271"/>
    <cellStyle name="Normal 8 2 5 2 7 2" xfId="33296"/>
    <cellStyle name="Normal 8 2 5 2 8" xfId="25285"/>
    <cellStyle name="Normal 8 2 5 3" xfId="2658"/>
    <cellStyle name="Normal 8 2 5 3 2" xfId="2659"/>
    <cellStyle name="Normal 8 2 5 3 2 2" xfId="13253"/>
    <cellStyle name="Normal 8 2 5 3 2 2 2" xfId="21278"/>
    <cellStyle name="Normal 8 2 5 3 2 2 2 2" xfId="35303"/>
    <cellStyle name="Normal 8 2 5 3 2 2 3" xfId="27292"/>
    <cellStyle name="Normal 8 2 5 3 2 3" xfId="15268"/>
    <cellStyle name="Normal 8 2 5 3 2 3 2" xfId="23283"/>
    <cellStyle name="Normal 8 2 5 3 2 3 2 2" xfId="37308"/>
    <cellStyle name="Normal 8 2 5 3 2 3 3" xfId="29297"/>
    <cellStyle name="Normal 8 2 5 3 2 4" xfId="17274"/>
    <cellStyle name="Normal 8 2 5 3 2 4 2" xfId="31299"/>
    <cellStyle name="Normal 8 2 5 3 2 5" xfId="19276"/>
    <cellStyle name="Normal 8 2 5 3 2 5 2" xfId="33301"/>
    <cellStyle name="Normal 8 2 5 3 2 6" xfId="25290"/>
    <cellStyle name="Normal 8 2 5 3 3" xfId="13252"/>
    <cellStyle name="Normal 8 2 5 3 3 2" xfId="21277"/>
    <cellStyle name="Normal 8 2 5 3 3 2 2" xfId="35302"/>
    <cellStyle name="Normal 8 2 5 3 3 3" xfId="27291"/>
    <cellStyle name="Normal 8 2 5 3 4" xfId="15267"/>
    <cellStyle name="Normal 8 2 5 3 4 2" xfId="23282"/>
    <cellStyle name="Normal 8 2 5 3 4 2 2" xfId="37307"/>
    <cellStyle name="Normal 8 2 5 3 4 3" xfId="29296"/>
    <cellStyle name="Normal 8 2 5 3 5" xfId="17273"/>
    <cellStyle name="Normal 8 2 5 3 5 2" xfId="31298"/>
    <cellStyle name="Normal 8 2 5 3 6" xfId="19275"/>
    <cellStyle name="Normal 8 2 5 3 6 2" xfId="33300"/>
    <cellStyle name="Normal 8 2 5 3 7" xfId="25289"/>
    <cellStyle name="Normal 8 2 5 4" xfId="2660"/>
    <cellStyle name="Normal 8 2 5 4 2" xfId="2661"/>
    <cellStyle name="Normal 8 2 5 4 2 2" xfId="13255"/>
    <cellStyle name="Normal 8 2 5 4 2 2 2" xfId="21280"/>
    <cellStyle name="Normal 8 2 5 4 2 2 2 2" xfId="35305"/>
    <cellStyle name="Normal 8 2 5 4 2 2 3" xfId="27294"/>
    <cellStyle name="Normal 8 2 5 4 2 3" xfId="15270"/>
    <cellStyle name="Normal 8 2 5 4 2 3 2" xfId="23285"/>
    <cellStyle name="Normal 8 2 5 4 2 3 2 2" xfId="37310"/>
    <cellStyle name="Normal 8 2 5 4 2 3 3" xfId="29299"/>
    <cellStyle name="Normal 8 2 5 4 2 4" xfId="17276"/>
    <cellStyle name="Normal 8 2 5 4 2 4 2" xfId="31301"/>
    <cellStyle name="Normal 8 2 5 4 2 5" xfId="19278"/>
    <cellStyle name="Normal 8 2 5 4 2 5 2" xfId="33303"/>
    <cellStyle name="Normal 8 2 5 4 2 6" xfId="25292"/>
    <cellStyle name="Normal 8 2 5 4 3" xfId="13254"/>
    <cellStyle name="Normal 8 2 5 4 3 2" xfId="21279"/>
    <cellStyle name="Normal 8 2 5 4 3 2 2" xfId="35304"/>
    <cellStyle name="Normal 8 2 5 4 3 3" xfId="27293"/>
    <cellStyle name="Normal 8 2 5 4 4" xfId="15269"/>
    <cellStyle name="Normal 8 2 5 4 4 2" xfId="23284"/>
    <cellStyle name="Normal 8 2 5 4 4 2 2" xfId="37309"/>
    <cellStyle name="Normal 8 2 5 4 4 3" xfId="29298"/>
    <cellStyle name="Normal 8 2 5 4 5" xfId="17275"/>
    <cellStyle name="Normal 8 2 5 4 5 2" xfId="31300"/>
    <cellStyle name="Normal 8 2 5 4 6" xfId="19277"/>
    <cellStyle name="Normal 8 2 5 4 6 2" xfId="33302"/>
    <cellStyle name="Normal 8 2 5 4 7" xfId="25291"/>
    <cellStyle name="Normal 8 2 5 5" xfId="2662"/>
    <cellStyle name="Normal 8 2 5 5 2" xfId="13256"/>
    <cellStyle name="Normal 8 2 5 5 2 2" xfId="21281"/>
    <cellStyle name="Normal 8 2 5 5 2 2 2" xfId="35306"/>
    <cellStyle name="Normal 8 2 5 5 2 3" xfId="27295"/>
    <cellStyle name="Normal 8 2 5 5 3" xfId="15271"/>
    <cellStyle name="Normal 8 2 5 5 3 2" xfId="23286"/>
    <cellStyle name="Normal 8 2 5 5 3 2 2" xfId="37311"/>
    <cellStyle name="Normal 8 2 5 5 3 3" xfId="29300"/>
    <cellStyle name="Normal 8 2 5 5 4" xfId="17277"/>
    <cellStyle name="Normal 8 2 5 5 4 2" xfId="31302"/>
    <cellStyle name="Normal 8 2 5 5 5" xfId="19279"/>
    <cellStyle name="Normal 8 2 5 5 5 2" xfId="33304"/>
    <cellStyle name="Normal 8 2 5 5 6" xfId="25293"/>
    <cellStyle name="Normal 8 2 5 6" xfId="13247"/>
    <cellStyle name="Normal 8 2 5 6 2" xfId="21272"/>
    <cellStyle name="Normal 8 2 5 6 2 2" xfId="35297"/>
    <cellStyle name="Normal 8 2 5 6 3" xfId="27286"/>
    <cellStyle name="Normal 8 2 5 7" xfId="15262"/>
    <cellStyle name="Normal 8 2 5 7 2" xfId="23277"/>
    <cellStyle name="Normal 8 2 5 7 2 2" xfId="37302"/>
    <cellStyle name="Normal 8 2 5 7 3" xfId="29291"/>
    <cellStyle name="Normal 8 2 5 8" xfId="17268"/>
    <cellStyle name="Normal 8 2 5 8 2" xfId="31293"/>
    <cellStyle name="Normal 8 2 5 9" xfId="19270"/>
    <cellStyle name="Normal 8 2 5 9 2" xfId="33295"/>
    <cellStyle name="Normal 8 2 6" xfId="2663"/>
    <cellStyle name="Normal 8 2 6 2" xfId="2664"/>
    <cellStyle name="Normal 8 2 6 2 2" xfId="2665"/>
    <cellStyle name="Normal 8 2 6 2 2 2" xfId="13259"/>
    <cellStyle name="Normal 8 2 6 2 2 2 2" xfId="21284"/>
    <cellStyle name="Normal 8 2 6 2 2 2 2 2" xfId="35309"/>
    <cellStyle name="Normal 8 2 6 2 2 2 3" xfId="27298"/>
    <cellStyle name="Normal 8 2 6 2 2 3" xfId="15274"/>
    <cellStyle name="Normal 8 2 6 2 2 3 2" xfId="23289"/>
    <cellStyle name="Normal 8 2 6 2 2 3 2 2" xfId="37314"/>
    <cellStyle name="Normal 8 2 6 2 2 3 3" xfId="29303"/>
    <cellStyle name="Normal 8 2 6 2 2 4" xfId="17280"/>
    <cellStyle name="Normal 8 2 6 2 2 4 2" xfId="31305"/>
    <cellStyle name="Normal 8 2 6 2 2 5" xfId="19282"/>
    <cellStyle name="Normal 8 2 6 2 2 5 2" xfId="33307"/>
    <cellStyle name="Normal 8 2 6 2 2 6" xfId="25296"/>
    <cellStyle name="Normal 8 2 6 2 3" xfId="13258"/>
    <cellStyle name="Normal 8 2 6 2 3 2" xfId="21283"/>
    <cellStyle name="Normal 8 2 6 2 3 2 2" xfId="35308"/>
    <cellStyle name="Normal 8 2 6 2 3 3" xfId="27297"/>
    <cellStyle name="Normal 8 2 6 2 4" xfId="15273"/>
    <cellStyle name="Normal 8 2 6 2 4 2" xfId="23288"/>
    <cellStyle name="Normal 8 2 6 2 4 2 2" xfId="37313"/>
    <cellStyle name="Normal 8 2 6 2 4 3" xfId="29302"/>
    <cellStyle name="Normal 8 2 6 2 5" xfId="17279"/>
    <cellStyle name="Normal 8 2 6 2 5 2" xfId="31304"/>
    <cellStyle name="Normal 8 2 6 2 6" xfId="19281"/>
    <cellStyle name="Normal 8 2 6 2 6 2" xfId="33306"/>
    <cellStyle name="Normal 8 2 6 2 7" xfId="25295"/>
    <cellStyle name="Normal 8 2 6 3" xfId="2666"/>
    <cellStyle name="Normal 8 2 6 3 2" xfId="13260"/>
    <cellStyle name="Normal 8 2 6 3 2 2" xfId="21285"/>
    <cellStyle name="Normal 8 2 6 3 2 2 2" xfId="35310"/>
    <cellStyle name="Normal 8 2 6 3 2 3" xfId="27299"/>
    <cellStyle name="Normal 8 2 6 3 3" xfId="15275"/>
    <cellStyle name="Normal 8 2 6 3 3 2" xfId="23290"/>
    <cellStyle name="Normal 8 2 6 3 3 2 2" xfId="37315"/>
    <cellStyle name="Normal 8 2 6 3 3 3" xfId="29304"/>
    <cellStyle name="Normal 8 2 6 3 4" xfId="17281"/>
    <cellStyle name="Normal 8 2 6 3 4 2" xfId="31306"/>
    <cellStyle name="Normal 8 2 6 3 5" xfId="19283"/>
    <cellStyle name="Normal 8 2 6 3 5 2" xfId="33308"/>
    <cellStyle name="Normal 8 2 6 3 6" xfId="25297"/>
    <cellStyle name="Normal 8 2 6 4" xfId="13257"/>
    <cellStyle name="Normal 8 2 6 4 2" xfId="21282"/>
    <cellStyle name="Normal 8 2 6 4 2 2" xfId="35307"/>
    <cellStyle name="Normal 8 2 6 4 3" xfId="27296"/>
    <cellStyle name="Normal 8 2 6 5" xfId="15272"/>
    <cellStyle name="Normal 8 2 6 5 2" xfId="23287"/>
    <cellStyle name="Normal 8 2 6 5 2 2" xfId="37312"/>
    <cellStyle name="Normal 8 2 6 5 3" xfId="29301"/>
    <cellStyle name="Normal 8 2 6 6" xfId="17278"/>
    <cellStyle name="Normal 8 2 6 6 2" xfId="31303"/>
    <cellStyle name="Normal 8 2 6 7" xfId="19280"/>
    <cellStyle name="Normal 8 2 6 7 2" xfId="33305"/>
    <cellStyle name="Normal 8 2 6 8" xfId="25294"/>
    <cellStyle name="Normal 8 2 7" xfId="2667"/>
    <cellStyle name="Normal 8 2 7 2" xfId="2668"/>
    <cellStyle name="Normal 8 2 7 2 2" xfId="13262"/>
    <cellStyle name="Normal 8 2 7 2 2 2" xfId="21287"/>
    <cellStyle name="Normal 8 2 7 2 2 2 2" xfId="35312"/>
    <cellStyle name="Normal 8 2 7 2 2 3" xfId="27301"/>
    <cellStyle name="Normal 8 2 7 2 3" xfId="15277"/>
    <cellStyle name="Normal 8 2 7 2 3 2" xfId="23292"/>
    <cellStyle name="Normal 8 2 7 2 3 2 2" xfId="37317"/>
    <cellStyle name="Normal 8 2 7 2 3 3" xfId="29306"/>
    <cellStyle name="Normal 8 2 7 2 4" xfId="17283"/>
    <cellStyle name="Normal 8 2 7 2 4 2" xfId="31308"/>
    <cellStyle name="Normal 8 2 7 2 5" xfId="19285"/>
    <cellStyle name="Normal 8 2 7 2 5 2" xfId="33310"/>
    <cellStyle name="Normal 8 2 7 2 6" xfId="25299"/>
    <cellStyle name="Normal 8 2 7 3" xfId="13261"/>
    <cellStyle name="Normal 8 2 7 3 2" xfId="21286"/>
    <cellStyle name="Normal 8 2 7 3 2 2" xfId="35311"/>
    <cellStyle name="Normal 8 2 7 3 3" xfId="27300"/>
    <cellStyle name="Normal 8 2 7 4" xfId="15276"/>
    <cellStyle name="Normal 8 2 7 4 2" xfId="23291"/>
    <cellStyle name="Normal 8 2 7 4 2 2" xfId="37316"/>
    <cellStyle name="Normal 8 2 7 4 3" xfId="29305"/>
    <cellStyle name="Normal 8 2 7 5" xfId="17282"/>
    <cellStyle name="Normal 8 2 7 5 2" xfId="31307"/>
    <cellStyle name="Normal 8 2 7 6" xfId="19284"/>
    <cellStyle name="Normal 8 2 7 6 2" xfId="33309"/>
    <cellStyle name="Normal 8 2 7 7" xfId="25298"/>
    <cellStyle name="Normal 8 2 8" xfId="2669"/>
    <cellStyle name="Normal 8 2 8 2" xfId="2670"/>
    <cellStyle name="Normal 8 2 8 2 2" xfId="13264"/>
    <cellStyle name="Normal 8 2 8 2 2 2" xfId="21289"/>
    <cellStyle name="Normal 8 2 8 2 2 2 2" xfId="35314"/>
    <cellStyle name="Normal 8 2 8 2 2 3" xfId="27303"/>
    <cellStyle name="Normal 8 2 8 2 3" xfId="15279"/>
    <cellStyle name="Normal 8 2 8 2 3 2" xfId="23294"/>
    <cellStyle name="Normal 8 2 8 2 3 2 2" xfId="37319"/>
    <cellStyle name="Normal 8 2 8 2 3 3" xfId="29308"/>
    <cellStyle name="Normal 8 2 8 2 4" xfId="17285"/>
    <cellStyle name="Normal 8 2 8 2 4 2" xfId="31310"/>
    <cellStyle name="Normal 8 2 8 2 5" xfId="19287"/>
    <cellStyle name="Normal 8 2 8 2 5 2" xfId="33312"/>
    <cellStyle name="Normal 8 2 8 2 6" xfId="25301"/>
    <cellStyle name="Normal 8 2 8 3" xfId="13263"/>
    <cellStyle name="Normal 8 2 8 3 2" xfId="21288"/>
    <cellStyle name="Normal 8 2 8 3 2 2" xfId="35313"/>
    <cellStyle name="Normal 8 2 8 3 3" xfId="27302"/>
    <cellStyle name="Normal 8 2 8 4" xfId="15278"/>
    <cellStyle name="Normal 8 2 8 4 2" xfId="23293"/>
    <cellStyle name="Normal 8 2 8 4 2 2" xfId="37318"/>
    <cellStyle name="Normal 8 2 8 4 3" xfId="29307"/>
    <cellStyle name="Normal 8 2 8 5" xfId="17284"/>
    <cellStyle name="Normal 8 2 8 5 2" xfId="31309"/>
    <cellStyle name="Normal 8 2 8 6" xfId="19286"/>
    <cellStyle name="Normal 8 2 8 6 2" xfId="33311"/>
    <cellStyle name="Normal 8 2 8 7" xfId="25300"/>
    <cellStyle name="Normal 8 2 9" xfId="2671"/>
    <cellStyle name="Normal 8 2 9 2" xfId="13265"/>
    <cellStyle name="Normal 8 2 9 2 2" xfId="21290"/>
    <cellStyle name="Normal 8 2 9 2 2 2" xfId="35315"/>
    <cellStyle name="Normal 8 2 9 2 3" xfId="27304"/>
    <cellStyle name="Normal 8 2 9 3" xfId="15280"/>
    <cellStyle name="Normal 8 2 9 3 2" xfId="23295"/>
    <cellStyle name="Normal 8 2 9 3 2 2" xfId="37320"/>
    <cellStyle name="Normal 8 2 9 3 3" xfId="29309"/>
    <cellStyle name="Normal 8 2 9 4" xfId="17286"/>
    <cellStyle name="Normal 8 2 9 4 2" xfId="31311"/>
    <cellStyle name="Normal 8 2 9 5" xfId="19288"/>
    <cellStyle name="Normal 8 2 9 5 2" xfId="33313"/>
    <cellStyle name="Normal 8 2 9 6" xfId="25302"/>
    <cellStyle name="Normal 8 2_3 - Revenue Credits" xfId="581"/>
    <cellStyle name="Normal 8 3" xfId="582"/>
    <cellStyle name="Normal 8 4" xfId="2672"/>
    <cellStyle name="Normal 8 4 10" xfId="17287"/>
    <cellStyle name="Normal 8 4 10 2" xfId="31312"/>
    <cellStyle name="Normal 8 4 11" xfId="19289"/>
    <cellStyle name="Normal 8 4 11 2" xfId="33314"/>
    <cellStyle name="Normal 8 4 12" xfId="25303"/>
    <cellStyle name="Normal 8 4 2" xfId="2673"/>
    <cellStyle name="Normal 8 4 2 10" xfId="19290"/>
    <cellStyle name="Normal 8 4 2 10 2" xfId="33315"/>
    <cellStyle name="Normal 8 4 2 11" xfId="25304"/>
    <cellStyle name="Normal 8 4 2 2" xfId="2674"/>
    <cellStyle name="Normal 8 4 2 2 10" xfId="25305"/>
    <cellStyle name="Normal 8 4 2 2 2" xfId="2675"/>
    <cellStyle name="Normal 8 4 2 2 2 2" xfId="2676"/>
    <cellStyle name="Normal 8 4 2 2 2 2 2" xfId="2677"/>
    <cellStyle name="Normal 8 4 2 2 2 2 2 2" xfId="13271"/>
    <cellStyle name="Normal 8 4 2 2 2 2 2 2 2" xfId="21296"/>
    <cellStyle name="Normal 8 4 2 2 2 2 2 2 2 2" xfId="35321"/>
    <cellStyle name="Normal 8 4 2 2 2 2 2 2 3" xfId="27310"/>
    <cellStyle name="Normal 8 4 2 2 2 2 2 3" xfId="15286"/>
    <cellStyle name="Normal 8 4 2 2 2 2 2 3 2" xfId="23301"/>
    <cellStyle name="Normal 8 4 2 2 2 2 2 3 2 2" xfId="37326"/>
    <cellStyle name="Normal 8 4 2 2 2 2 2 3 3" xfId="29315"/>
    <cellStyle name="Normal 8 4 2 2 2 2 2 4" xfId="17292"/>
    <cellStyle name="Normal 8 4 2 2 2 2 2 4 2" xfId="31317"/>
    <cellStyle name="Normal 8 4 2 2 2 2 2 5" xfId="19294"/>
    <cellStyle name="Normal 8 4 2 2 2 2 2 5 2" xfId="33319"/>
    <cellStyle name="Normal 8 4 2 2 2 2 2 6" xfId="25308"/>
    <cellStyle name="Normal 8 4 2 2 2 2 3" xfId="13270"/>
    <cellStyle name="Normal 8 4 2 2 2 2 3 2" xfId="21295"/>
    <cellStyle name="Normal 8 4 2 2 2 2 3 2 2" xfId="35320"/>
    <cellStyle name="Normal 8 4 2 2 2 2 3 3" xfId="27309"/>
    <cellStyle name="Normal 8 4 2 2 2 2 4" xfId="15285"/>
    <cellStyle name="Normal 8 4 2 2 2 2 4 2" xfId="23300"/>
    <cellStyle name="Normal 8 4 2 2 2 2 4 2 2" xfId="37325"/>
    <cellStyle name="Normal 8 4 2 2 2 2 4 3" xfId="29314"/>
    <cellStyle name="Normal 8 4 2 2 2 2 5" xfId="17291"/>
    <cellStyle name="Normal 8 4 2 2 2 2 5 2" xfId="31316"/>
    <cellStyle name="Normal 8 4 2 2 2 2 6" xfId="19293"/>
    <cellStyle name="Normal 8 4 2 2 2 2 6 2" xfId="33318"/>
    <cellStyle name="Normal 8 4 2 2 2 2 7" xfId="25307"/>
    <cellStyle name="Normal 8 4 2 2 2 3" xfId="2678"/>
    <cellStyle name="Normal 8 4 2 2 2 3 2" xfId="13272"/>
    <cellStyle name="Normal 8 4 2 2 2 3 2 2" xfId="21297"/>
    <cellStyle name="Normal 8 4 2 2 2 3 2 2 2" xfId="35322"/>
    <cellStyle name="Normal 8 4 2 2 2 3 2 3" xfId="27311"/>
    <cellStyle name="Normal 8 4 2 2 2 3 3" xfId="15287"/>
    <cellStyle name="Normal 8 4 2 2 2 3 3 2" xfId="23302"/>
    <cellStyle name="Normal 8 4 2 2 2 3 3 2 2" xfId="37327"/>
    <cellStyle name="Normal 8 4 2 2 2 3 3 3" xfId="29316"/>
    <cellStyle name="Normal 8 4 2 2 2 3 4" xfId="17293"/>
    <cellStyle name="Normal 8 4 2 2 2 3 4 2" xfId="31318"/>
    <cellStyle name="Normal 8 4 2 2 2 3 5" xfId="19295"/>
    <cellStyle name="Normal 8 4 2 2 2 3 5 2" xfId="33320"/>
    <cellStyle name="Normal 8 4 2 2 2 3 6" xfId="25309"/>
    <cellStyle name="Normal 8 4 2 2 2 4" xfId="13269"/>
    <cellStyle name="Normal 8 4 2 2 2 4 2" xfId="21294"/>
    <cellStyle name="Normal 8 4 2 2 2 4 2 2" xfId="35319"/>
    <cellStyle name="Normal 8 4 2 2 2 4 3" xfId="27308"/>
    <cellStyle name="Normal 8 4 2 2 2 5" xfId="15284"/>
    <cellStyle name="Normal 8 4 2 2 2 5 2" xfId="23299"/>
    <cellStyle name="Normal 8 4 2 2 2 5 2 2" xfId="37324"/>
    <cellStyle name="Normal 8 4 2 2 2 5 3" xfId="29313"/>
    <cellStyle name="Normal 8 4 2 2 2 6" xfId="17290"/>
    <cellStyle name="Normal 8 4 2 2 2 6 2" xfId="31315"/>
    <cellStyle name="Normal 8 4 2 2 2 7" xfId="19292"/>
    <cellStyle name="Normal 8 4 2 2 2 7 2" xfId="33317"/>
    <cellStyle name="Normal 8 4 2 2 2 8" xfId="25306"/>
    <cellStyle name="Normal 8 4 2 2 3" xfId="2679"/>
    <cellStyle name="Normal 8 4 2 2 3 2" xfId="2680"/>
    <cellStyle name="Normal 8 4 2 2 3 2 2" xfId="13274"/>
    <cellStyle name="Normal 8 4 2 2 3 2 2 2" xfId="21299"/>
    <cellStyle name="Normal 8 4 2 2 3 2 2 2 2" xfId="35324"/>
    <cellStyle name="Normal 8 4 2 2 3 2 2 3" xfId="27313"/>
    <cellStyle name="Normal 8 4 2 2 3 2 3" xfId="15289"/>
    <cellStyle name="Normal 8 4 2 2 3 2 3 2" xfId="23304"/>
    <cellStyle name="Normal 8 4 2 2 3 2 3 2 2" xfId="37329"/>
    <cellStyle name="Normal 8 4 2 2 3 2 3 3" xfId="29318"/>
    <cellStyle name="Normal 8 4 2 2 3 2 4" xfId="17295"/>
    <cellStyle name="Normal 8 4 2 2 3 2 4 2" xfId="31320"/>
    <cellStyle name="Normal 8 4 2 2 3 2 5" xfId="19297"/>
    <cellStyle name="Normal 8 4 2 2 3 2 5 2" xfId="33322"/>
    <cellStyle name="Normal 8 4 2 2 3 2 6" xfId="25311"/>
    <cellStyle name="Normal 8 4 2 2 3 3" xfId="13273"/>
    <cellStyle name="Normal 8 4 2 2 3 3 2" xfId="21298"/>
    <cellStyle name="Normal 8 4 2 2 3 3 2 2" xfId="35323"/>
    <cellStyle name="Normal 8 4 2 2 3 3 3" xfId="27312"/>
    <cellStyle name="Normal 8 4 2 2 3 4" xfId="15288"/>
    <cellStyle name="Normal 8 4 2 2 3 4 2" xfId="23303"/>
    <cellStyle name="Normal 8 4 2 2 3 4 2 2" xfId="37328"/>
    <cellStyle name="Normal 8 4 2 2 3 4 3" xfId="29317"/>
    <cellStyle name="Normal 8 4 2 2 3 5" xfId="17294"/>
    <cellStyle name="Normal 8 4 2 2 3 5 2" xfId="31319"/>
    <cellStyle name="Normal 8 4 2 2 3 6" xfId="19296"/>
    <cellStyle name="Normal 8 4 2 2 3 6 2" xfId="33321"/>
    <cellStyle name="Normal 8 4 2 2 3 7" xfId="25310"/>
    <cellStyle name="Normal 8 4 2 2 4" xfId="2681"/>
    <cellStyle name="Normal 8 4 2 2 4 2" xfId="2682"/>
    <cellStyle name="Normal 8 4 2 2 4 2 2" xfId="13276"/>
    <cellStyle name="Normal 8 4 2 2 4 2 2 2" xfId="21301"/>
    <cellStyle name="Normal 8 4 2 2 4 2 2 2 2" xfId="35326"/>
    <cellStyle name="Normal 8 4 2 2 4 2 2 3" xfId="27315"/>
    <cellStyle name="Normal 8 4 2 2 4 2 3" xfId="15291"/>
    <cellStyle name="Normal 8 4 2 2 4 2 3 2" xfId="23306"/>
    <cellStyle name="Normal 8 4 2 2 4 2 3 2 2" xfId="37331"/>
    <cellStyle name="Normal 8 4 2 2 4 2 3 3" xfId="29320"/>
    <cellStyle name="Normal 8 4 2 2 4 2 4" xfId="17297"/>
    <cellStyle name="Normal 8 4 2 2 4 2 4 2" xfId="31322"/>
    <cellStyle name="Normal 8 4 2 2 4 2 5" xfId="19299"/>
    <cellStyle name="Normal 8 4 2 2 4 2 5 2" xfId="33324"/>
    <cellStyle name="Normal 8 4 2 2 4 2 6" xfId="25313"/>
    <cellStyle name="Normal 8 4 2 2 4 3" xfId="13275"/>
    <cellStyle name="Normal 8 4 2 2 4 3 2" xfId="21300"/>
    <cellStyle name="Normal 8 4 2 2 4 3 2 2" xfId="35325"/>
    <cellStyle name="Normal 8 4 2 2 4 3 3" xfId="27314"/>
    <cellStyle name="Normal 8 4 2 2 4 4" xfId="15290"/>
    <cellStyle name="Normal 8 4 2 2 4 4 2" xfId="23305"/>
    <cellStyle name="Normal 8 4 2 2 4 4 2 2" xfId="37330"/>
    <cellStyle name="Normal 8 4 2 2 4 4 3" xfId="29319"/>
    <cellStyle name="Normal 8 4 2 2 4 5" xfId="17296"/>
    <cellStyle name="Normal 8 4 2 2 4 5 2" xfId="31321"/>
    <cellStyle name="Normal 8 4 2 2 4 6" xfId="19298"/>
    <cellStyle name="Normal 8 4 2 2 4 6 2" xfId="33323"/>
    <cellStyle name="Normal 8 4 2 2 4 7" xfId="25312"/>
    <cellStyle name="Normal 8 4 2 2 5" xfId="2683"/>
    <cellStyle name="Normal 8 4 2 2 5 2" xfId="13277"/>
    <cellStyle name="Normal 8 4 2 2 5 2 2" xfId="21302"/>
    <cellStyle name="Normal 8 4 2 2 5 2 2 2" xfId="35327"/>
    <cellStyle name="Normal 8 4 2 2 5 2 3" xfId="27316"/>
    <cellStyle name="Normal 8 4 2 2 5 3" xfId="15292"/>
    <cellStyle name="Normal 8 4 2 2 5 3 2" xfId="23307"/>
    <cellStyle name="Normal 8 4 2 2 5 3 2 2" xfId="37332"/>
    <cellStyle name="Normal 8 4 2 2 5 3 3" xfId="29321"/>
    <cellStyle name="Normal 8 4 2 2 5 4" xfId="17298"/>
    <cellStyle name="Normal 8 4 2 2 5 4 2" xfId="31323"/>
    <cellStyle name="Normal 8 4 2 2 5 5" xfId="19300"/>
    <cellStyle name="Normal 8 4 2 2 5 5 2" xfId="33325"/>
    <cellStyle name="Normal 8 4 2 2 5 6" xfId="25314"/>
    <cellStyle name="Normal 8 4 2 2 6" xfId="13268"/>
    <cellStyle name="Normal 8 4 2 2 6 2" xfId="21293"/>
    <cellStyle name="Normal 8 4 2 2 6 2 2" xfId="35318"/>
    <cellStyle name="Normal 8 4 2 2 6 3" xfId="27307"/>
    <cellStyle name="Normal 8 4 2 2 7" xfId="15283"/>
    <cellStyle name="Normal 8 4 2 2 7 2" xfId="23298"/>
    <cellStyle name="Normal 8 4 2 2 7 2 2" xfId="37323"/>
    <cellStyle name="Normal 8 4 2 2 7 3" xfId="29312"/>
    <cellStyle name="Normal 8 4 2 2 8" xfId="17289"/>
    <cellStyle name="Normal 8 4 2 2 8 2" xfId="31314"/>
    <cellStyle name="Normal 8 4 2 2 9" xfId="19291"/>
    <cellStyle name="Normal 8 4 2 2 9 2" xfId="33316"/>
    <cellStyle name="Normal 8 4 2 3" xfId="2684"/>
    <cellStyle name="Normal 8 4 2 3 2" xfId="2685"/>
    <cellStyle name="Normal 8 4 2 3 2 2" xfId="2686"/>
    <cellStyle name="Normal 8 4 2 3 2 2 2" xfId="13280"/>
    <cellStyle name="Normal 8 4 2 3 2 2 2 2" xfId="21305"/>
    <cellStyle name="Normal 8 4 2 3 2 2 2 2 2" xfId="35330"/>
    <cellStyle name="Normal 8 4 2 3 2 2 2 3" xfId="27319"/>
    <cellStyle name="Normal 8 4 2 3 2 2 3" xfId="15295"/>
    <cellStyle name="Normal 8 4 2 3 2 2 3 2" xfId="23310"/>
    <cellStyle name="Normal 8 4 2 3 2 2 3 2 2" xfId="37335"/>
    <cellStyle name="Normal 8 4 2 3 2 2 3 3" xfId="29324"/>
    <cellStyle name="Normal 8 4 2 3 2 2 4" xfId="17301"/>
    <cellStyle name="Normal 8 4 2 3 2 2 4 2" xfId="31326"/>
    <cellStyle name="Normal 8 4 2 3 2 2 5" xfId="19303"/>
    <cellStyle name="Normal 8 4 2 3 2 2 5 2" xfId="33328"/>
    <cellStyle name="Normal 8 4 2 3 2 2 6" xfId="25317"/>
    <cellStyle name="Normal 8 4 2 3 2 3" xfId="13279"/>
    <cellStyle name="Normal 8 4 2 3 2 3 2" xfId="21304"/>
    <cellStyle name="Normal 8 4 2 3 2 3 2 2" xfId="35329"/>
    <cellStyle name="Normal 8 4 2 3 2 3 3" xfId="27318"/>
    <cellStyle name="Normal 8 4 2 3 2 4" xfId="15294"/>
    <cellStyle name="Normal 8 4 2 3 2 4 2" xfId="23309"/>
    <cellStyle name="Normal 8 4 2 3 2 4 2 2" xfId="37334"/>
    <cellStyle name="Normal 8 4 2 3 2 4 3" xfId="29323"/>
    <cellStyle name="Normal 8 4 2 3 2 5" xfId="17300"/>
    <cellStyle name="Normal 8 4 2 3 2 5 2" xfId="31325"/>
    <cellStyle name="Normal 8 4 2 3 2 6" xfId="19302"/>
    <cellStyle name="Normal 8 4 2 3 2 6 2" xfId="33327"/>
    <cellStyle name="Normal 8 4 2 3 2 7" xfId="25316"/>
    <cellStyle name="Normal 8 4 2 3 3" xfId="2687"/>
    <cellStyle name="Normal 8 4 2 3 3 2" xfId="13281"/>
    <cellStyle name="Normal 8 4 2 3 3 2 2" xfId="21306"/>
    <cellStyle name="Normal 8 4 2 3 3 2 2 2" xfId="35331"/>
    <cellStyle name="Normal 8 4 2 3 3 2 3" xfId="27320"/>
    <cellStyle name="Normal 8 4 2 3 3 3" xfId="15296"/>
    <cellStyle name="Normal 8 4 2 3 3 3 2" xfId="23311"/>
    <cellStyle name="Normal 8 4 2 3 3 3 2 2" xfId="37336"/>
    <cellStyle name="Normal 8 4 2 3 3 3 3" xfId="29325"/>
    <cellStyle name="Normal 8 4 2 3 3 4" xfId="17302"/>
    <cellStyle name="Normal 8 4 2 3 3 4 2" xfId="31327"/>
    <cellStyle name="Normal 8 4 2 3 3 5" xfId="19304"/>
    <cellStyle name="Normal 8 4 2 3 3 5 2" xfId="33329"/>
    <cellStyle name="Normal 8 4 2 3 3 6" xfId="25318"/>
    <cellStyle name="Normal 8 4 2 3 4" xfId="13278"/>
    <cellStyle name="Normal 8 4 2 3 4 2" xfId="21303"/>
    <cellStyle name="Normal 8 4 2 3 4 2 2" xfId="35328"/>
    <cellStyle name="Normal 8 4 2 3 4 3" xfId="27317"/>
    <cellStyle name="Normal 8 4 2 3 5" xfId="15293"/>
    <cellStyle name="Normal 8 4 2 3 5 2" xfId="23308"/>
    <cellStyle name="Normal 8 4 2 3 5 2 2" xfId="37333"/>
    <cellStyle name="Normal 8 4 2 3 5 3" xfId="29322"/>
    <cellStyle name="Normal 8 4 2 3 6" xfId="17299"/>
    <cellStyle name="Normal 8 4 2 3 6 2" xfId="31324"/>
    <cellStyle name="Normal 8 4 2 3 7" xfId="19301"/>
    <cellStyle name="Normal 8 4 2 3 7 2" xfId="33326"/>
    <cellStyle name="Normal 8 4 2 3 8" xfId="25315"/>
    <cellStyle name="Normal 8 4 2 4" xfId="2688"/>
    <cellStyle name="Normal 8 4 2 4 2" xfId="2689"/>
    <cellStyle name="Normal 8 4 2 4 2 2" xfId="13283"/>
    <cellStyle name="Normal 8 4 2 4 2 2 2" xfId="21308"/>
    <cellStyle name="Normal 8 4 2 4 2 2 2 2" xfId="35333"/>
    <cellStyle name="Normal 8 4 2 4 2 2 3" xfId="27322"/>
    <cellStyle name="Normal 8 4 2 4 2 3" xfId="15298"/>
    <cellStyle name="Normal 8 4 2 4 2 3 2" xfId="23313"/>
    <cellStyle name="Normal 8 4 2 4 2 3 2 2" xfId="37338"/>
    <cellStyle name="Normal 8 4 2 4 2 3 3" xfId="29327"/>
    <cellStyle name="Normal 8 4 2 4 2 4" xfId="17304"/>
    <cellStyle name="Normal 8 4 2 4 2 4 2" xfId="31329"/>
    <cellStyle name="Normal 8 4 2 4 2 5" xfId="19306"/>
    <cellStyle name="Normal 8 4 2 4 2 5 2" xfId="33331"/>
    <cellStyle name="Normal 8 4 2 4 2 6" xfId="25320"/>
    <cellStyle name="Normal 8 4 2 4 3" xfId="13282"/>
    <cellStyle name="Normal 8 4 2 4 3 2" xfId="21307"/>
    <cellStyle name="Normal 8 4 2 4 3 2 2" xfId="35332"/>
    <cellStyle name="Normal 8 4 2 4 3 3" xfId="27321"/>
    <cellStyle name="Normal 8 4 2 4 4" xfId="15297"/>
    <cellStyle name="Normal 8 4 2 4 4 2" xfId="23312"/>
    <cellStyle name="Normal 8 4 2 4 4 2 2" xfId="37337"/>
    <cellStyle name="Normal 8 4 2 4 4 3" xfId="29326"/>
    <cellStyle name="Normal 8 4 2 4 5" xfId="17303"/>
    <cellStyle name="Normal 8 4 2 4 5 2" xfId="31328"/>
    <cellStyle name="Normal 8 4 2 4 6" xfId="19305"/>
    <cellStyle name="Normal 8 4 2 4 6 2" xfId="33330"/>
    <cellStyle name="Normal 8 4 2 4 7" xfId="25319"/>
    <cellStyle name="Normal 8 4 2 5" xfId="2690"/>
    <cellStyle name="Normal 8 4 2 5 2" xfId="2691"/>
    <cellStyle name="Normal 8 4 2 5 2 2" xfId="13285"/>
    <cellStyle name="Normal 8 4 2 5 2 2 2" xfId="21310"/>
    <cellStyle name="Normal 8 4 2 5 2 2 2 2" xfId="35335"/>
    <cellStyle name="Normal 8 4 2 5 2 2 3" xfId="27324"/>
    <cellStyle name="Normal 8 4 2 5 2 3" xfId="15300"/>
    <cellStyle name="Normal 8 4 2 5 2 3 2" xfId="23315"/>
    <cellStyle name="Normal 8 4 2 5 2 3 2 2" xfId="37340"/>
    <cellStyle name="Normal 8 4 2 5 2 3 3" xfId="29329"/>
    <cellStyle name="Normal 8 4 2 5 2 4" xfId="17306"/>
    <cellStyle name="Normal 8 4 2 5 2 4 2" xfId="31331"/>
    <cellStyle name="Normal 8 4 2 5 2 5" xfId="19308"/>
    <cellStyle name="Normal 8 4 2 5 2 5 2" xfId="33333"/>
    <cellStyle name="Normal 8 4 2 5 2 6" xfId="25322"/>
    <cellStyle name="Normal 8 4 2 5 3" xfId="13284"/>
    <cellStyle name="Normal 8 4 2 5 3 2" xfId="21309"/>
    <cellStyle name="Normal 8 4 2 5 3 2 2" xfId="35334"/>
    <cellStyle name="Normal 8 4 2 5 3 3" xfId="27323"/>
    <cellStyle name="Normal 8 4 2 5 4" xfId="15299"/>
    <cellStyle name="Normal 8 4 2 5 4 2" xfId="23314"/>
    <cellStyle name="Normal 8 4 2 5 4 2 2" xfId="37339"/>
    <cellStyle name="Normal 8 4 2 5 4 3" xfId="29328"/>
    <cellStyle name="Normal 8 4 2 5 5" xfId="17305"/>
    <cellStyle name="Normal 8 4 2 5 5 2" xfId="31330"/>
    <cellStyle name="Normal 8 4 2 5 6" xfId="19307"/>
    <cellStyle name="Normal 8 4 2 5 6 2" xfId="33332"/>
    <cellStyle name="Normal 8 4 2 5 7" xfId="25321"/>
    <cellStyle name="Normal 8 4 2 6" xfId="2692"/>
    <cellStyle name="Normal 8 4 2 6 2" xfId="13286"/>
    <cellStyle name="Normal 8 4 2 6 2 2" xfId="21311"/>
    <cellStyle name="Normal 8 4 2 6 2 2 2" xfId="35336"/>
    <cellStyle name="Normal 8 4 2 6 2 3" xfId="27325"/>
    <cellStyle name="Normal 8 4 2 6 3" xfId="15301"/>
    <cellStyle name="Normal 8 4 2 6 3 2" xfId="23316"/>
    <cellStyle name="Normal 8 4 2 6 3 2 2" xfId="37341"/>
    <cellStyle name="Normal 8 4 2 6 3 3" xfId="29330"/>
    <cellStyle name="Normal 8 4 2 6 4" xfId="17307"/>
    <cellStyle name="Normal 8 4 2 6 4 2" xfId="31332"/>
    <cellStyle name="Normal 8 4 2 6 5" xfId="19309"/>
    <cellStyle name="Normal 8 4 2 6 5 2" xfId="33334"/>
    <cellStyle name="Normal 8 4 2 6 6" xfId="25323"/>
    <cellStyle name="Normal 8 4 2 7" xfId="13267"/>
    <cellStyle name="Normal 8 4 2 7 2" xfId="21292"/>
    <cellStyle name="Normal 8 4 2 7 2 2" xfId="35317"/>
    <cellStyle name="Normal 8 4 2 7 3" xfId="27306"/>
    <cellStyle name="Normal 8 4 2 8" xfId="15282"/>
    <cellStyle name="Normal 8 4 2 8 2" xfId="23297"/>
    <cellStyle name="Normal 8 4 2 8 2 2" xfId="37322"/>
    <cellStyle name="Normal 8 4 2 8 3" xfId="29311"/>
    <cellStyle name="Normal 8 4 2 9" xfId="17288"/>
    <cellStyle name="Normal 8 4 2 9 2" xfId="31313"/>
    <cellStyle name="Normal 8 4 3" xfId="2693"/>
    <cellStyle name="Normal 8 4 3 10" xfId="25324"/>
    <cellStyle name="Normal 8 4 3 2" xfId="2694"/>
    <cellStyle name="Normal 8 4 3 2 2" xfId="2695"/>
    <cellStyle name="Normal 8 4 3 2 2 2" xfId="2696"/>
    <cellStyle name="Normal 8 4 3 2 2 2 2" xfId="13290"/>
    <cellStyle name="Normal 8 4 3 2 2 2 2 2" xfId="21315"/>
    <cellStyle name="Normal 8 4 3 2 2 2 2 2 2" xfId="35340"/>
    <cellStyle name="Normal 8 4 3 2 2 2 2 3" xfId="27329"/>
    <cellStyle name="Normal 8 4 3 2 2 2 3" xfId="15305"/>
    <cellStyle name="Normal 8 4 3 2 2 2 3 2" xfId="23320"/>
    <cellStyle name="Normal 8 4 3 2 2 2 3 2 2" xfId="37345"/>
    <cellStyle name="Normal 8 4 3 2 2 2 3 3" xfId="29334"/>
    <cellStyle name="Normal 8 4 3 2 2 2 4" xfId="17311"/>
    <cellStyle name="Normal 8 4 3 2 2 2 4 2" xfId="31336"/>
    <cellStyle name="Normal 8 4 3 2 2 2 5" xfId="19313"/>
    <cellStyle name="Normal 8 4 3 2 2 2 5 2" xfId="33338"/>
    <cellStyle name="Normal 8 4 3 2 2 2 6" xfId="25327"/>
    <cellStyle name="Normal 8 4 3 2 2 3" xfId="13289"/>
    <cellStyle name="Normal 8 4 3 2 2 3 2" xfId="21314"/>
    <cellStyle name="Normal 8 4 3 2 2 3 2 2" xfId="35339"/>
    <cellStyle name="Normal 8 4 3 2 2 3 3" xfId="27328"/>
    <cellStyle name="Normal 8 4 3 2 2 4" xfId="15304"/>
    <cellStyle name="Normal 8 4 3 2 2 4 2" xfId="23319"/>
    <cellStyle name="Normal 8 4 3 2 2 4 2 2" xfId="37344"/>
    <cellStyle name="Normal 8 4 3 2 2 4 3" xfId="29333"/>
    <cellStyle name="Normal 8 4 3 2 2 5" xfId="17310"/>
    <cellStyle name="Normal 8 4 3 2 2 5 2" xfId="31335"/>
    <cellStyle name="Normal 8 4 3 2 2 6" xfId="19312"/>
    <cellStyle name="Normal 8 4 3 2 2 6 2" xfId="33337"/>
    <cellStyle name="Normal 8 4 3 2 2 7" xfId="25326"/>
    <cellStyle name="Normal 8 4 3 2 3" xfId="2697"/>
    <cellStyle name="Normal 8 4 3 2 3 2" xfId="13291"/>
    <cellStyle name="Normal 8 4 3 2 3 2 2" xfId="21316"/>
    <cellStyle name="Normal 8 4 3 2 3 2 2 2" xfId="35341"/>
    <cellStyle name="Normal 8 4 3 2 3 2 3" xfId="27330"/>
    <cellStyle name="Normal 8 4 3 2 3 3" xfId="15306"/>
    <cellStyle name="Normal 8 4 3 2 3 3 2" xfId="23321"/>
    <cellStyle name="Normal 8 4 3 2 3 3 2 2" xfId="37346"/>
    <cellStyle name="Normal 8 4 3 2 3 3 3" xfId="29335"/>
    <cellStyle name="Normal 8 4 3 2 3 4" xfId="17312"/>
    <cellStyle name="Normal 8 4 3 2 3 4 2" xfId="31337"/>
    <cellStyle name="Normal 8 4 3 2 3 5" xfId="19314"/>
    <cellStyle name="Normal 8 4 3 2 3 5 2" xfId="33339"/>
    <cellStyle name="Normal 8 4 3 2 3 6" xfId="25328"/>
    <cellStyle name="Normal 8 4 3 2 4" xfId="13288"/>
    <cellStyle name="Normal 8 4 3 2 4 2" xfId="21313"/>
    <cellStyle name="Normal 8 4 3 2 4 2 2" xfId="35338"/>
    <cellStyle name="Normal 8 4 3 2 4 3" xfId="27327"/>
    <cellStyle name="Normal 8 4 3 2 5" xfId="15303"/>
    <cellStyle name="Normal 8 4 3 2 5 2" xfId="23318"/>
    <cellStyle name="Normal 8 4 3 2 5 2 2" xfId="37343"/>
    <cellStyle name="Normal 8 4 3 2 5 3" xfId="29332"/>
    <cellStyle name="Normal 8 4 3 2 6" xfId="17309"/>
    <cellStyle name="Normal 8 4 3 2 6 2" xfId="31334"/>
    <cellStyle name="Normal 8 4 3 2 7" xfId="19311"/>
    <cellStyle name="Normal 8 4 3 2 7 2" xfId="33336"/>
    <cellStyle name="Normal 8 4 3 2 8" xfId="25325"/>
    <cellStyle name="Normal 8 4 3 3" xfId="2698"/>
    <cellStyle name="Normal 8 4 3 3 2" xfId="2699"/>
    <cellStyle name="Normal 8 4 3 3 2 2" xfId="13293"/>
    <cellStyle name="Normal 8 4 3 3 2 2 2" xfId="21318"/>
    <cellStyle name="Normal 8 4 3 3 2 2 2 2" xfId="35343"/>
    <cellStyle name="Normal 8 4 3 3 2 2 3" xfId="27332"/>
    <cellStyle name="Normal 8 4 3 3 2 3" xfId="15308"/>
    <cellStyle name="Normal 8 4 3 3 2 3 2" xfId="23323"/>
    <cellStyle name="Normal 8 4 3 3 2 3 2 2" xfId="37348"/>
    <cellStyle name="Normal 8 4 3 3 2 3 3" xfId="29337"/>
    <cellStyle name="Normal 8 4 3 3 2 4" xfId="17314"/>
    <cellStyle name="Normal 8 4 3 3 2 4 2" xfId="31339"/>
    <cellStyle name="Normal 8 4 3 3 2 5" xfId="19316"/>
    <cellStyle name="Normal 8 4 3 3 2 5 2" xfId="33341"/>
    <cellStyle name="Normal 8 4 3 3 2 6" xfId="25330"/>
    <cellStyle name="Normal 8 4 3 3 3" xfId="13292"/>
    <cellStyle name="Normal 8 4 3 3 3 2" xfId="21317"/>
    <cellStyle name="Normal 8 4 3 3 3 2 2" xfId="35342"/>
    <cellStyle name="Normal 8 4 3 3 3 3" xfId="27331"/>
    <cellStyle name="Normal 8 4 3 3 4" xfId="15307"/>
    <cellStyle name="Normal 8 4 3 3 4 2" xfId="23322"/>
    <cellStyle name="Normal 8 4 3 3 4 2 2" xfId="37347"/>
    <cellStyle name="Normal 8 4 3 3 4 3" xfId="29336"/>
    <cellStyle name="Normal 8 4 3 3 5" xfId="17313"/>
    <cellStyle name="Normal 8 4 3 3 5 2" xfId="31338"/>
    <cellStyle name="Normal 8 4 3 3 6" xfId="19315"/>
    <cellStyle name="Normal 8 4 3 3 6 2" xfId="33340"/>
    <cellStyle name="Normal 8 4 3 3 7" xfId="25329"/>
    <cellStyle name="Normal 8 4 3 4" xfId="2700"/>
    <cellStyle name="Normal 8 4 3 4 2" xfId="2701"/>
    <cellStyle name="Normal 8 4 3 4 2 2" xfId="13295"/>
    <cellStyle name="Normal 8 4 3 4 2 2 2" xfId="21320"/>
    <cellStyle name="Normal 8 4 3 4 2 2 2 2" xfId="35345"/>
    <cellStyle name="Normal 8 4 3 4 2 2 3" xfId="27334"/>
    <cellStyle name="Normal 8 4 3 4 2 3" xfId="15310"/>
    <cellStyle name="Normal 8 4 3 4 2 3 2" xfId="23325"/>
    <cellStyle name="Normal 8 4 3 4 2 3 2 2" xfId="37350"/>
    <cellStyle name="Normal 8 4 3 4 2 3 3" xfId="29339"/>
    <cellStyle name="Normal 8 4 3 4 2 4" xfId="17316"/>
    <cellStyle name="Normal 8 4 3 4 2 4 2" xfId="31341"/>
    <cellStyle name="Normal 8 4 3 4 2 5" xfId="19318"/>
    <cellStyle name="Normal 8 4 3 4 2 5 2" xfId="33343"/>
    <cellStyle name="Normal 8 4 3 4 2 6" xfId="25332"/>
    <cellStyle name="Normal 8 4 3 4 3" xfId="13294"/>
    <cellStyle name="Normal 8 4 3 4 3 2" xfId="21319"/>
    <cellStyle name="Normal 8 4 3 4 3 2 2" xfId="35344"/>
    <cellStyle name="Normal 8 4 3 4 3 3" xfId="27333"/>
    <cellStyle name="Normal 8 4 3 4 4" xfId="15309"/>
    <cellStyle name="Normal 8 4 3 4 4 2" xfId="23324"/>
    <cellStyle name="Normal 8 4 3 4 4 2 2" xfId="37349"/>
    <cellStyle name="Normal 8 4 3 4 4 3" xfId="29338"/>
    <cellStyle name="Normal 8 4 3 4 5" xfId="17315"/>
    <cellStyle name="Normal 8 4 3 4 5 2" xfId="31340"/>
    <cellStyle name="Normal 8 4 3 4 6" xfId="19317"/>
    <cellStyle name="Normal 8 4 3 4 6 2" xfId="33342"/>
    <cellStyle name="Normal 8 4 3 4 7" xfId="25331"/>
    <cellStyle name="Normal 8 4 3 5" xfId="2702"/>
    <cellStyle name="Normal 8 4 3 5 2" xfId="13296"/>
    <cellStyle name="Normal 8 4 3 5 2 2" xfId="21321"/>
    <cellStyle name="Normal 8 4 3 5 2 2 2" xfId="35346"/>
    <cellStyle name="Normal 8 4 3 5 2 3" xfId="27335"/>
    <cellStyle name="Normal 8 4 3 5 3" xfId="15311"/>
    <cellStyle name="Normal 8 4 3 5 3 2" xfId="23326"/>
    <cellStyle name="Normal 8 4 3 5 3 2 2" xfId="37351"/>
    <cellStyle name="Normal 8 4 3 5 3 3" xfId="29340"/>
    <cellStyle name="Normal 8 4 3 5 4" xfId="17317"/>
    <cellStyle name="Normal 8 4 3 5 4 2" xfId="31342"/>
    <cellStyle name="Normal 8 4 3 5 5" xfId="19319"/>
    <cellStyle name="Normal 8 4 3 5 5 2" xfId="33344"/>
    <cellStyle name="Normal 8 4 3 5 6" xfId="25333"/>
    <cellStyle name="Normal 8 4 3 6" xfId="13287"/>
    <cellStyle name="Normal 8 4 3 6 2" xfId="21312"/>
    <cellStyle name="Normal 8 4 3 6 2 2" xfId="35337"/>
    <cellStyle name="Normal 8 4 3 6 3" xfId="27326"/>
    <cellStyle name="Normal 8 4 3 7" xfId="15302"/>
    <cellStyle name="Normal 8 4 3 7 2" xfId="23317"/>
    <cellStyle name="Normal 8 4 3 7 2 2" xfId="37342"/>
    <cellStyle name="Normal 8 4 3 7 3" xfId="29331"/>
    <cellStyle name="Normal 8 4 3 8" xfId="17308"/>
    <cellStyle name="Normal 8 4 3 8 2" xfId="31333"/>
    <cellStyle name="Normal 8 4 3 9" xfId="19310"/>
    <cellStyle name="Normal 8 4 3 9 2" xfId="33335"/>
    <cellStyle name="Normal 8 4 4" xfId="2703"/>
    <cellStyle name="Normal 8 4 4 2" xfId="2704"/>
    <cellStyle name="Normal 8 4 4 2 2" xfId="2705"/>
    <cellStyle name="Normal 8 4 4 2 2 2" xfId="13299"/>
    <cellStyle name="Normal 8 4 4 2 2 2 2" xfId="21324"/>
    <cellStyle name="Normal 8 4 4 2 2 2 2 2" xfId="35349"/>
    <cellStyle name="Normal 8 4 4 2 2 2 3" xfId="27338"/>
    <cellStyle name="Normal 8 4 4 2 2 3" xfId="15314"/>
    <cellStyle name="Normal 8 4 4 2 2 3 2" xfId="23329"/>
    <cellStyle name="Normal 8 4 4 2 2 3 2 2" xfId="37354"/>
    <cellStyle name="Normal 8 4 4 2 2 3 3" xfId="29343"/>
    <cellStyle name="Normal 8 4 4 2 2 4" xfId="17320"/>
    <cellStyle name="Normal 8 4 4 2 2 4 2" xfId="31345"/>
    <cellStyle name="Normal 8 4 4 2 2 5" xfId="19322"/>
    <cellStyle name="Normal 8 4 4 2 2 5 2" xfId="33347"/>
    <cellStyle name="Normal 8 4 4 2 2 6" xfId="25336"/>
    <cellStyle name="Normal 8 4 4 2 3" xfId="13298"/>
    <cellStyle name="Normal 8 4 4 2 3 2" xfId="21323"/>
    <cellStyle name="Normal 8 4 4 2 3 2 2" xfId="35348"/>
    <cellStyle name="Normal 8 4 4 2 3 3" xfId="27337"/>
    <cellStyle name="Normal 8 4 4 2 4" xfId="15313"/>
    <cellStyle name="Normal 8 4 4 2 4 2" xfId="23328"/>
    <cellStyle name="Normal 8 4 4 2 4 2 2" xfId="37353"/>
    <cellStyle name="Normal 8 4 4 2 4 3" xfId="29342"/>
    <cellStyle name="Normal 8 4 4 2 5" xfId="17319"/>
    <cellStyle name="Normal 8 4 4 2 5 2" xfId="31344"/>
    <cellStyle name="Normal 8 4 4 2 6" xfId="19321"/>
    <cellStyle name="Normal 8 4 4 2 6 2" xfId="33346"/>
    <cellStyle name="Normal 8 4 4 2 7" xfId="25335"/>
    <cellStyle name="Normal 8 4 4 3" xfId="2706"/>
    <cellStyle name="Normal 8 4 4 3 2" xfId="13300"/>
    <cellStyle name="Normal 8 4 4 3 2 2" xfId="21325"/>
    <cellStyle name="Normal 8 4 4 3 2 2 2" xfId="35350"/>
    <cellStyle name="Normal 8 4 4 3 2 3" xfId="27339"/>
    <cellStyle name="Normal 8 4 4 3 3" xfId="15315"/>
    <cellStyle name="Normal 8 4 4 3 3 2" xfId="23330"/>
    <cellStyle name="Normal 8 4 4 3 3 2 2" xfId="37355"/>
    <cellStyle name="Normal 8 4 4 3 3 3" xfId="29344"/>
    <cellStyle name="Normal 8 4 4 3 4" xfId="17321"/>
    <cellStyle name="Normal 8 4 4 3 4 2" xfId="31346"/>
    <cellStyle name="Normal 8 4 4 3 5" xfId="19323"/>
    <cellStyle name="Normal 8 4 4 3 5 2" xfId="33348"/>
    <cellStyle name="Normal 8 4 4 3 6" xfId="25337"/>
    <cellStyle name="Normal 8 4 4 4" xfId="13297"/>
    <cellStyle name="Normal 8 4 4 4 2" xfId="21322"/>
    <cellStyle name="Normal 8 4 4 4 2 2" xfId="35347"/>
    <cellStyle name="Normal 8 4 4 4 3" xfId="27336"/>
    <cellStyle name="Normal 8 4 4 5" xfId="15312"/>
    <cellStyle name="Normal 8 4 4 5 2" xfId="23327"/>
    <cellStyle name="Normal 8 4 4 5 2 2" xfId="37352"/>
    <cellStyle name="Normal 8 4 4 5 3" xfId="29341"/>
    <cellStyle name="Normal 8 4 4 6" xfId="17318"/>
    <cellStyle name="Normal 8 4 4 6 2" xfId="31343"/>
    <cellStyle name="Normal 8 4 4 7" xfId="19320"/>
    <cellStyle name="Normal 8 4 4 7 2" xfId="33345"/>
    <cellStyle name="Normal 8 4 4 8" xfId="25334"/>
    <cellStyle name="Normal 8 4 5" xfId="2707"/>
    <cellStyle name="Normal 8 4 5 2" xfId="2708"/>
    <cellStyle name="Normal 8 4 5 2 2" xfId="13302"/>
    <cellStyle name="Normal 8 4 5 2 2 2" xfId="21327"/>
    <cellStyle name="Normal 8 4 5 2 2 2 2" xfId="35352"/>
    <cellStyle name="Normal 8 4 5 2 2 3" xfId="27341"/>
    <cellStyle name="Normal 8 4 5 2 3" xfId="15317"/>
    <cellStyle name="Normal 8 4 5 2 3 2" xfId="23332"/>
    <cellStyle name="Normal 8 4 5 2 3 2 2" xfId="37357"/>
    <cellStyle name="Normal 8 4 5 2 3 3" xfId="29346"/>
    <cellStyle name="Normal 8 4 5 2 4" xfId="17323"/>
    <cellStyle name="Normal 8 4 5 2 4 2" xfId="31348"/>
    <cellStyle name="Normal 8 4 5 2 5" xfId="19325"/>
    <cellStyle name="Normal 8 4 5 2 5 2" xfId="33350"/>
    <cellStyle name="Normal 8 4 5 2 6" xfId="25339"/>
    <cellStyle name="Normal 8 4 5 3" xfId="13301"/>
    <cellStyle name="Normal 8 4 5 3 2" xfId="21326"/>
    <cellStyle name="Normal 8 4 5 3 2 2" xfId="35351"/>
    <cellStyle name="Normal 8 4 5 3 3" xfId="27340"/>
    <cellStyle name="Normal 8 4 5 4" xfId="15316"/>
    <cellStyle name="Normal 8 4 5 4 2" xfId="23331"/>
    <cellStyle name="Normal 8 4 5 4 2 2" xfId="37356"/>
    <cellStyle name="Normal 8 4 5 4 3" xfId="29345"/>
    <cellStyle name="Normal 8 4 5 5" xfId="17322"/>
    <cellStyle name="Normal 8 4 5 5 2" xfId="31347"/>
    <cellStyle name="Normal 8 4 5 6" xfId="19324"/>
    <cellStyle name="Normal 8 4 5 6 2" xfId="33349"/>
    <cellStyle name="Normal 8 4 5 7" xfId="25338"/>
    <cellStyle name="Normal 8 4 6" xfId="2709"/>
    <cellStyle name="Normal 8 4 6 2" xfId="2710"/>
    <cellStyle name="Normal 8 4 6 2 2" xfId="13304"/>
    <cellStyle name="Normal 8 4 6 2 2 2" xfId="21329"/>
    <cellStyle name="Normal 8 4 6 2 2 2 2" xfId="35354"/>
    <cellStyle name="Normal 8 4 6 2 2 3" xfId="27343"/>
    <cellStyle name="Normal 8 4 6 2 3" xfId="15319"/>
    <cellStyle name="Normal 8 4 6 2 3 2" xfId="23334"/>
    <cellStyle name="Normal 8 4 6 2 3 2 2" xfId="37359"/>
    <cellStyle name="Normal 8 4 6 2 3 3" xfId="29348"/>
    <cellStyle name="Normal 8 4 6 2 4" xfId="17325"/>
    <cellStyle name="Normal 8 4 6 2 4 2" xfId="31350"/>
    <cellStyle name="Normal 8 4 6 2 5" xfId="19327"/>
    <cellStyle name="Normal 8 4 6 2 5 2" xfId="33352"/>
    <cellStyle name="Normal 8 4 6 2 6" xfId="25341"/>
    <cellStyle name="Normal 8 4 6 3" xfId="13303"/>
    <cellStyle name="Normal 8 4 6 3 2" xfId="21328"/>
    <cellStyle name="Normal 8 4 6 3 2 2" xfId="35353"/>
    <cellStyle name="Normal 8 4 6 3 3" xfId="27342"/>
    <cellStyle name="Normal 8 4 6 4" xfId="15318"/>
    <cellStyle name="Normal 8 4 6 4 2" xfId="23333"/>
    <cellStyle name="Normal 8 4 6 4 2 2" xfId="37358"/>
    <cellStyle name="Normal 8 4 6 4 3" xfId="29347"/>
    <cellStyle name="Normal 8 4 6 5" xfId="17324"/>
    <cellStyle name="Normal 8 4 6 5 2" xfId="31349"/>
    <cellStyle name="Normal 8 4 6 6" xfId="19326"/>
    <cellStyle name="Normal 8 4 6 6 2" xfId="33351"/>
    <cellStyle name="Normal 8 4 6 7" xfId="25340"/>
    <cellStyle name="Normal 8 4 7" xfId="2711"/>
    <cellStyle name="Normal 8 4 7 2" xfId="13305"/>
    <cellStyle name="Normal 8 4 7 2 2" xfId="21330"/>
    <cellStyle name="Normal 8 4 7 2 2 2" xfId="35355"/>
    <cellStyle name="Normal 8 4 7 2 3" xfId="27344"/>
    <cellStyle name="Normal 8 4 7 3" xfId="15320"/>
    <cellStyle name="Normal 8 4 7 3 2" xfId="23335"/>
    <cellStyle name="Normal 8 4 7 3 2 2" xfId="37360"/>
    <cellStyle name="Normal 8 4 7 3 3" xfId="29349"/>
    <cellStyle name="Normal 8 4 7 4" xfId="17326"/>
    <cellStyle name="Normal 8 4 7 4 2" xfId="31351"/>
    <cellStyle name="Normal 8 4 7 5" xfId="19328"/>
    <cellStyle name="Normal 8 4 7 5 2" xfId="33353"/>
    <cellStyle name="Normal 8 4 7 6" xfId="25342"/>
    <cellStyle name="Normal 8 4 8" xfId="13266"/>
    <cellStyle name="Normal 8 4 8 2" xfId="21291"/>
    <cellStyle name="Normal 8 4 8 2 2" xfId="35316"/>
    <cellStyle name="Normal 8 4 8 3" xfId="27305"/>
    <cellStyle name="Normal 8 4 9" xfId="15281"/>
    <cellStyle name="Normal 8 4 9 2" xfId="23296"/>
    <cellStyle name="Normal 8 4 9 2 2" xfId="37321"/>
    <cellStyle name="Normal 8 4 9 3" xfId="29310"/>
    <cellStyle name="Normal 8 5" xfId="2712"/>
    <cellStyle name="Normal 8 5 10" xfId="19329"/>
    <cellStyle name="Normal 8 5 10 2" xfId="33354"/>
    <cellStyle name="Normal 8 5 11" xfId="25343"/>
    <cellStyle name="Normal 8 5 2" xfId="2713"/>
    <cellStyle name="Normal 8 5 2 10" xfId="25344"/>
    <cellStyle name="Normal 8 5 2 2" xfId="2714"/>
    <cellStyle name="Normal 8 5 2 2 2" xfId="2715"/>
    <cellStyle name="Normal 8 5 2 2 2 2" xfId="2716"/>
    <cellStyle name="Normal 8 5 2 2 2 2 2" xfId="13310"/>
    <cellStyle name="Normal 8 5 2 2 2 2 2 2" xfId="21335"/>
    <cellStyle name="Normal 8 5 2 2 2 2 2 2 2" xfId="35360"/>
    <cellStyle name="Normal 8 5 2 2 2 2 2 3" xfId="27349"/>
    <cellStyle name="Normal 8 5 2 2 2 2 3" xfId="15325"/>
    <cellStyle name="Normal 8 5 2 2 2 2 3 2" xfId="23340"/>
    <cellStyle name="Normal 8 5 2 2 2 2 3 2 2" xfId="37365"/>
    <cellStyle name="Normal 8 5 2 2 2 2 3 3" xfId="29354"/>
    <cellStyle name="Normal 8 5 2 2 2 2 4" xfId="17331"/>
    <cellStyle name="Normal 8 5 2 2 2 2 4 2" xfId="31356"/>
    <cellStyle name="Normal 8 5 2 2 2 2 5" xfId="19333"/>
    <cellStyle name="Normal 8 5 2 2 2 2 5 2" xfId="33358"/>
    <cellStyle name="Normal 8 5 2 2 2 2 6" xfId="25347"/>
    <cellStyle name="Normal 8 5 2 2 2 3" xfId="13309"/>
    <cellStyle name="Normal 8 5 2 2 2 3 2" xfId="21334"/>
    <cellStyle name="Normal 8 5 2 2 2 3 2 2" xfId="35359"/>
    <cellStyle name="Normal 8 5 2 2 2 3 3" xfId="27348"/>
    <cellStyle name="Normal 8 5 2 2 2 4" xfId="15324"/>
    <cellStyle name="Normal 8 5 2 2 2 4 2" xfId="23339"/>
    <cellStyle name="Normal 8 5 2 2 2 4 2 2" xfId="37364"/>
    <cellStyle name="Normal 8 5 2 2 2 4 3" xfId="29353"/>
    <cellStyle name="Normal 8 5 2 2 2 5" xfId="17330"/>
    <cellStyle name="Normal 8 5 2 2 2 5 2" xfId="31355"/>
    <cellStyle name="Normal 8 5 2 2 2 6" xfId="19332"/>
    <cellStyle name="Normal 8 5 2 2 2 6 2" xfId="33357"/>
    <cellStyle name="Normal 8 5 2 2 2 7" xfId="25346"/>
    <cellStyle name="Normal 8 5 2 2 3" xfId="2717"/>
    <cellStyle name="Normal 8 5 2 2 3 2" xfId="13311"/>
    <cellStyle name="Normal 8 5 2 2 3 2 2" xfId="21336"/>
    <cellStyle name="Normal 8 5 2 2 3 2 2 2" xfId="35361"/>
    <cellStyle name="Normal 8 5 2 2 3 2 3" xfId="27350"/>
    <cellStyle name="Normal 8 5 2 2 3 3" xfId="15326"/>
    <cellStyle name="Normal 8 5 2 2 3 3 2" xfId="23341"/>
    <cellStyle name="Normal 8 5 2 2 3 3 2 2" xfId="37366"/>
    <cellStyle name="Normal 8 5 2 2 3 3 3" xfId="29355"/>
    <cellStyle name="Normal 8 5 2 2 3 4" xfId="17332"/>
    <cellStyle name="Normal 8 5 2 2 3 4 2" xfId="31357"/>
    <cellStyle name="Normal 8 5 2 2 3 5" xfId="19334"/>
    <cellStyle name="Normal 8 5 2 2 3 5 2" xfId="33359"/>
    <cellStyle name="Normal 8 5 2 2 3 6" xfId="25348"/>
    <cellStyle name="Normal 8 5 2 2 4" xfId="13308"/>
    <cellStyle name="Normal 8 5 2 2 4 2" xfId="21333"/>
    <cellStyle name="Normal 8 5 2 2 4 2 2" xfId="35358"/>
    <cellStyle name="Normal 8 5 2 2 4 3" xfId="27347"/>
    <cellStyle name="Normal 8 5 2 2 5" xfId="15323"/>
    <cellStyle name="Normal 8 5 2 2 5 2" xfId="23338"/>
    <cellStyle name="Normal 8 5 2 2 5 2 2" xfId="37363"/>
    <cellStyle name="Normal 8 5 2 2 5 3" xfId="29352"/>
    <cellStyle name="Normal 8 5 2 2 6" xfId="17329"/>
    <cellStyle name="Normal 8 5 2 2 6 2" xfId="31354"/>
    <cellStyle name="Normal 8 5 2 2 7" xfId="19331"/>
    <cellStyle name="Normal 8 5 2 2 7 2" xfId="33356"/>
    <cellStyle name="Normal 8 5 2 2 8" xfId="25345"/>
    <cellStyle name="Normal 8 5 2 3" xfId="2718"/>
    <cellStyle name="Normal 8 5 2 3 2" xfId="2719"/>
    <cellStyle name="Normal 8 5 2 3 2 2" xfId="13313"/>
    <cellStyle name="Normal 8 5 2 3 2 2 2" xfId="21338"/>
    <cellStyle name="Normal 8 5 2 3 2 2 2 2" xfId="35363"/>
    <cellStyle name="Normal 8 5 2 3 2 2 3" xfId="27352"/>
    <cellStyle name="Normal 8 5 2 3 2 3" xfId="15328"/>
    <cellStyle name="Normal 8 5 2 3 2 3 2" xfId="23343"/>
    <cellStyle name="Normal 8 5 2 3 2 3 2 2" xfId="37368"/>
    <cellStyle name="Normal 8 5 2 3 2 3 3" xfId="29357"/>
    <cellStyle name="Normal 8 5 2 3 2 4" xfId="17334"/>
    <cellStyle name="Normal 8 5 2 3 2 4 2" xfId="31359"/>
    <cellStyle name="Normal 8 5 2 3 2 5" xfId="19336"/>
    <cellStyle name="Normal 8 5 2 3 2 5 2" xfId="33361"/>
    <cellStyle name="Normal 8 5 2 3 2 6" xfId="25350"/>
    <cellStyle name="Normal 8 5 2 3 3" xfId="13312"/>
    <cellStyle name="Normal 8 5 2 3 3 2" xfId="21337"/>
    <cellStyle name="Normal 8 5 2 3 3 2 2" xfId="35362"/>
    <cellStyle name="Normal 8 5 2 3 3 3" xfId="27351"/>
    <cellStyle name="Normal 8 5 2 3 4" xfId="15327"/>
    <cellStyle name="Normal 8 5 2 3 4 2" xfId="23342"/>
    <cellStyle name="Normal 8 5 2 3 4 2 2" xfId="37367"/>
    <cellStyle name="Normal 8 5 2 3 4 3" xfId="29356"/>
    <cellStyle name="Normal 8 5 2 3 5" xfId="17333"/>
    <cellStyle name="Normal 8 5 2 3 5 2" xfId="31358"/>
    <cellStyle name="Normal 8 5 2 3 6" xfId="19335"/>
    <cellStyle name="Normal 8 5 2 3 6 2" xfId="33360"/>
    <cellStyle name="Normal 8 5 2 3 7" xfId="25349"/>
    <cellStyle name="Normal 8 5 2 4" xfId="2720"/>
    <cellStyle name="Normal 8 5 2 4 2" xfId="2721"/>
    <cellStyle name="Normal 8 5 2 4 2 2" xfId="13315"/>
    <cellStyle name="Normal 8 5 2 4 2 2 2" xfId="21340"/>
    <cellStyle name="Normal 8 5 2 4 2 2 2 2" xfId="35365"/>
    <cellStyle name="Normal 8 5 2 4 2 2 3" xfId="27354"/>
    <cellStyle name="Normal 8 5 2 4 2 3" xfId="15330"/>
    <cellStyle name="Normal 8 5 2 4 2 3 2" xfId="23345"/>
    <cellStyle name="Normal 8 5 2 4 2 3 2 2" xfId="37370"/>
    <cellStyle name="Normal 8 5 2 4 2 3 3" xfId="29359"/>
    <cellStyle name="Normal 8 5 2 4 2 4" xfId="17336"/>
    <cellStyle name="Normal 8 5 2 4 2 4 2" xfId="31361"/>
    <cellStyle name="Normal 8 5 2 4 2 5" xfId="19338"/>
    <cellStyle name="Normal 8 5 2 4 2 5 2" xfId="33363"/>
    <cellStyle name="Normal 8 5 2 4 2 6" xfId="25352"/>
    <cellStyle name="Normal 8 5 2 4 3" xfId="13314"/>
    <cellStyle name="Normal 8 5 2 4 3 2" xfId="21339"/>
    <cellStyle name="Normal 8 5 2 4 3 2 2" xfId="35364"/>
    <cellStyle name="Normal 8 5 2 4 3 3" xfId="27353"/>
    <cellStyle name="Normal 8 5 2 4 4" xfId="15329"/>
    <cellStyle name="Normal 8 5 2 4 4 2" xfId="23344"/>
    <cellStyle name="Normal 8 5 2 4 4 2 2" xfId="37369"/>
    <cellStyle name="Normal 8 5 2 4 4 3" xfId="29358"/>
    <cellStyle name="Normal 8 5 2 4 5" xfId="17335"/>
    <cellStyle name="Normal 8 5 2 4 5 2" xfId="31360"/>
    <cellStyle name="Normal 8 5 2 4 6" xfId="19337"/>
    <cellStyle name="Normal 8 5 2 4 6 2" xfId="33362"/>
    <cellStyle name="Normal 8 5 2 4 7" xfId="25351"/>
    <cellStyle name="Normal 8 5 2 5" xfId="2722"/>
    <cellStyle name="Normal 8 5 2 5 2" xfId="13316"/>
    <cellStyle name="Normal 8 5 2 5 2 2" xfId="21341"/>
    <cellStyle name="Normal 8 5 2 5 2 2 2" xfId="35366"/>
    <cellStyle name="Normal 8 5 2 5 2 3" xfId="27355"/>
    <cellStyle name="Normal 8 5 2 5 3" xfId="15331"/>
    <cellStyle name="Normal 8 5 2 5 3 2" xfId="23346"/>
    <cellStyle name="Normal 8 5 2 5 3 2 2" xfId="37371"/>
    <cellStyle name="Normal 8 5 2 5 3 3" xfId="29360"/>
    <cellStyle name="Normal 8 5 2 5 4" xfId="17337"/>
    <cellStyle name="Normal 8 5 2 5 4 2" xfId="31362"/>
    <cellStyle name="Normal 8 5 2 5 5" xfId="19339"/>
    <cellStyle name="Normal 8 5 2 5 5 2" xfId="33364"/>
    <cellStyle name="Normal 8 5 2 5 6" xfId="25353"/>
    <cellStyle name="Normal 8 5 2 6" xfId="13307"/>
    <cellStyle name="Normal 8 5 2 6 2" xfId="21332"/>
    <cellStyle name="Normal 8 5 2 6 2 2" xfId="35357"/>
    <cellStyle name="Normal 8 5 2 6 3" xfId="27346"/>
    <cellStyle name="Normal 8 5 2 7" xfId="15322"/>
    <cellStyle name="Normal 8 5 2 7 2" xfId="23337"/>
    <cellStyle name="Normal 8 5 2 7 2 2" xfId="37362"/>
    <cellStyle name="Normal 8 5 2 7 3" xfId="29351"/>
    <cellStyle name="Normal 8 5 2 8" xfId="17328"/>
    <cellStyle name="Normal 8 5 2 8 2" xfId="31353"/>
    <cellStyle name="Normal 8 5 2 9" xfId="19330"/>
    <cellStyle name="Normal 8 5 2 9 2" xfId="33355"/>
    <cellStyle name="Normal 8 5 3" xfId="2723"/>
    <cellStyle name="Normal 8 5 3 2" xfId="2724"/>
    <cellStyle name="Normal 8 5 3 2 2" xfId="2725"/>
    <cellStyle name="Normal 8 5 3 2 2 2" xfId="13319"/>
    <cellStyle name="Normal 8 5 3 2 2 2 2" xfId="21344"/>
    <cellStyle name="Normal 8 5 3 2 2 2 2 2" xfId="35369"/>
    <cellStyle name="Normal 8 5 3 2 2 2 3" xfId="27358"/>
    <cellStyle name="Normal 8 5 3 2 2 3" xfId="15334"/>
    <cellStyle name="Normal 8 5 3 2 2 3 2" xfId="23349"/>
    <cellStyle name="Normal 8 5 3 2 2 3 2 2" xfId="37374"/>
    <cellStyle name="Normal 8 5 3 2 2 3 3" xfId="29363"/>
    <cellStyle name="Normal 8 5 3 2 2 4" xfId="17340"/>
    <cellStyle name="Normal 8 5 3 2 2 4 2" xfId="31365"/>
    <cellStyle name="Normal 8 5 3 2 2 5" xfId="19342"/>
    <cellStyle name="Normal 8 5 3 2 2 5 2" xfId="33367"/>
    <cellStyle name="Normal 8 5 3 2 2 6" xfId="25356"/>
    <cellStyle name="Normal 8 5 3 2 3" xfId="13318"/>
    <cellStyle name="Normal 8 5 3 2 3 2" xfId="21343"/>
    <cellStyle name="Normal 8 5 3 2 3 2 2" xfId="35368"/>
    <cellStyle name="Normal 8 5 3 2 3 3" xfId="27357"/>
    <cellStyle name="Normal 8 5 3 2 4" xfId="15333"/>
    <cellStyle name="Normal 8 5 3 2 4 2" xfId="23348"/>
    <cellStyle name="Normal 8 5 3 2 4 2 2" xfId="37373"/>
    <cellStyle name="Normal 8 5 3 2 4 3" xfId="29362"/>
    <cellStyle name="Normal 8 5 3 2 5" xfId="17339"/>
    <cellStyle name="Normal 8 5 3 2 5 2" xfId="31364"/>
    <cellStyle name="Normal 8 5 3 2 6" xfId="19341"/>
    <cellStyle name="Normal 8 5 3 2 6 2" xfId="33366"/>
    <cellStyle name="Normal 8 5 3 2 7" xfId="25355"/>
    <cellStyle name="Normal 8 5 3 3" xfId="2726"/>
    <cellStyle name="Normal 8 5 3 3 2" xfId="13320"/>
    <cellStyle name="Normal 8 5 3 3 2 2" xfId="21345"/>
    <cellStyle name="Normal 8 5 3 3 2 2 2" xfId="35370"/>
    <cellStyle name="Normal 8 5 3 3 2 3" xfId="27359"/>
    <cellStyle name="Normal 8 5 3 3 3" xfId="15335"/>
    <cellStyle name="Normal 8 5 3 3 3 2" xfId="23350"/>
    <cellStyle name="Normal 8 5 3 3 3 2 2" xfId="37375"/>
    <cellStyle name="Normal 8 5 3 3 3 3" xfId="29364"/>
    <cellStyle name="Normal 8 5 3 3 4" xfId="17341"/>
    <cellStyle name="Normal 8 5 3 3 4 2" xfId="31366"/>
    <cellStyle name="Normal 8 5 3 3 5" xfId="19343"/>
    <cellStyle name="Normal 8 5 3 3 5 2" xfId="33368"/>
    <cellStyle name="Normal 8 5 3 3 6" xfId="25357"/>
    <cellStyle name="Normal 8 5 3 4" xfId="13317"/>
    <cellStyle name="Normal 8 5 3 4 2" xfId="21342"/>
    <cellStyle name="Normal 8 5 3 4 2 2" xfId="35367"/>
    <cellStyle name="Normal 8 5 3 4 3" xfId="27356"/>
    <cellStyle name="Normal 8 5 3 5" xfId="15332"/>
    <cellStyle name="Normal 8 5 3 5 2" xfId="23347"/>
    <cellStyle name="Normal 8 5 3 5 2 2" xfId="37372"/>
    <cellStyle name="Normal 8 5 3 5 3" xfId="29361"/>
    <cellStyle name="Normal 8 5 3 6" xfId="17338"/>
    <cellStyle name="Normal 8 5 3 6 2" xfId="31363"/>
    <cellStyle name="Normal 8 5 3 7" xfId="19340"/>
    <cellStyle name="Normal 8 5 3 7 2" xfId="33365"/>
    <cellStyle name="Normal 8 5 3 8" xfId="25354"/>
    <cellStyle name="Normal 8 5 4" xfId="2727"/>
    <cellStyle name="Normal 8 5 4 2" xfId="2728"/>
    <cellStyle name="Normal 8 5 4 2 2" xfId="13322"/>
    <cellStyle name="Normal 8 5 4 2 2 2" xfId="21347"/>
    <cellStyle name="Normal 8 5 4 2 2 2 2" xfId="35372"/>
    <cellStyle name="Normal 8 5 4 2 2 3" xfId="27361"/>
    <cellStyle name="Normal 8 5 4 2 3" xfId="15337"/>
    <cellStyle name="Normal 8 5 4 2 3 2" xfId="23352"/>
    <cellStyle name="Normal 8 5 4 2 3 2 2" xfId="37377"/>
    <cellStyle name="Normal 8 5 4 2 3 3" xfId="29366"/>
    <cellStyle name="Normal 8 5 4 2 4" xfId="17343"/>
    <cellStyle name="Normal 8 5 4 2 4 2" xfId="31368"/>
    <cellStyle name="Normal 8 5 4 2 5" xfId="19345"/>
    <cellStyle name="Normal 8 5 4 2 5 2" xfId="33370"/>
    <cellStyle name="Normal 8 5 4 2 6" xfId="25359"/>
    <cellStyle name="Normal 8 5 4 3" xfId="13321"/>
    <cellStyle name="Normal 8 5 4 3 2" xfId="21346"/>
    <cellStyle name="Normal 8 5 4 3 2 2" xfId="35371"/>
    <cellStyle name="Normal 8 5 4 3 3" xfId="27360"/>
    <cellStyle name="Normal 8 5 4 4" xfId="15336"/>
    <cellStyle name="Normal 8 5 4 4 2" xfId="23351"/>
    <cellStyle name="Normal 8 5 4 4 2 2" xfId="37376"/>
    <cellStyle name="Normal 8 5 4 4 3" xfId="29365"/>
    <cellStyle name="Normal 8 5 4 5" xfId="17342"/>
    <cellStyle name="Normal 8 5 4 5 2" xfId="31367"/>
    <cellStyle name="Normal 8 5 4 6" xfId="19344"/>
    <cellStyle name="Normal 8 5 4 6 2" xfId="33369"/>
    <cellStyle name="Normal 8 5 4 7" xfId="25358"/>
    <cellStyle name="Normal 8 5 5" xfId="2729"/>
    <cellStyle name="Normal 8 5 5 2" xfId="2730"/>
    <cellStyle name="Normal 8 5 5 2 2" xfId="13324"/>
    <cellStyle name="Normal 8 5 5 2 2 2" xfId="21349"/>
    <cellStyle name="Normal 8 5 5 2 2 2 2" xfId="35374"/>
    <cellStyle name="Normal 8 5 5 2 2 3" xfId="27363"/>
    <cellStyle name="Normal 8 5 5 2 3" xfId="15339"/>
    <cellStyle name="Normal 8 5 5 2 3 2" xfId="23354"/>
    <cellStyle name="Normal 8 5 5 2 3 2 2" xfId="37379"/>
    <cellStyle name="Normal 8 5 5 2 3 3" xfId="29368"/>
    <cellStyle name="Normal 8 5 5 2 4" xfId="17345"/>
    <cellStyle name="Normal 8 5 5 2 4 2" xfId="31370"/>
    <cellStyle name="Normal 8 5 5 2 5" xfId="19347"/>
    <cellStyle name="Normal 8 5 5 2 5 2" xfId="33372"/>
    <cellStyle name="Normal 8 5 5 2 6" xfId="25361"/>
    <cellStyle name="Normal 8 5 5 3" xfId="13323"/>
    <cellStyle name="Normal 8 5 5 3 2" xfId="21348"/>
    <cellStyle name="Normal 8 5 5 3 2 2" xfId="35373"/>
    <cellStyle name="Normal 8 5 5 3 3" xfId="27362"/>
    <cellStyle name="Normal 8 5 5 4" xfId="15338"/>
    <cellStyle name="Normal 8 5 5 4 2" xfId="23353"/>
    <cellStyle name="Normal 8 5 5 4 2 2" xfId="37378"/>
    <cellStyle name="Normal 8 5 5 4 3" xfId="29367"/>
    <cellStyle name="Normal 8 5 5 5" xfId="17344"/>
    <cellStyle name="Normal 8 5 5 5 2" xfId="31369"/>
    <cellStyle name="Normal 8 5 5 6" xfId="19346"/>
    <cellStyle name="Normal 8 5 5 6 2" xfId="33371"/>
    <cellStyle name="Normal 8 5 5 7" xfId="25360"/>
    <cellStyle name="Normal 8 5 6" xfId="2731"/>
    <cellStyle name="Normal 8 5 6 2" xfId="13325"/>
    <cellStyle name="Normal 8 5 6 2 2" xfId="21350"/>
    <cellStyle name="Normal 8 5 6 2 2 2" xfId="35375"/>
    <cellStyle name="Normal 8 5 6 2 3" xfId="27364"/>
    <cellStyle name="Normal 8 5 6 3" xfId="15340"/>
    <cellStyle name="Normal 8 5 6 3 2" xfId="23355"/>
    <cellStyle name="Normal 8 5 6 3 2 2" xfId="37380"/>
    <cellStyle name="Normal 8 5 6 3 3" xfId="29369"/>
    <cellStyle name="Normal 8 5 6 4" xfId="17346"/>
    <cellStyle name="Normal 8 5 6 4 2" xfId="31371"/>
    <cellStyle name="Normal 8 5 6 5" xfId="19348"/>
    <cellStyle name="Normal 8 5 6 5 2" xfId="33373"/>
    <cellStyle name="Normal 8 5 6 6" xfId="25362"/>
    <cellStyle name="Normal 8 5 7" xfId="13306"/>
    <cellStyle name="Normal 8 5 7 2" xfId="21331"/>
    <cellStyle name="Normal 8 5 7 2 2" xfId="35356"/>
    <cellStyle name="Normal 8 5 7 3" xfId="27345"/>
    <cellStyle name="Normal 8 5 8" xfId="15321"/>
    <cellStyle name="Normal 8 5 8 2" xfId="23336"/>
    <cellStyle name="Normal 8 5 8 2 2" xfId="37361"/>
    <cellStyle name="Normal 8 5 8 3" xfId="29350"/>
    <cellStyle name="Normal 8 5 9" xfId="17327"/>
    <cellStyle name="Normal 8 5 9 2" xfId="31352"/>
    <cellStyle name="Normal 8 6" xfId="2732"/>
    <cellStyle name="Normal 8 6 10" xfId="25363"/>
    <cellStyle name="Normal 8 6 2" xfId="2733"/>
    <cellStyle name="Normal 8 6 2 2" xfId="2734"/>
    <cellStyle name="Normal 8 6 2 2 2" xfId="2735"/>
    <cellStyle name="Normal 8 6 2 2 2 2" xfId="13329"/>
    <cellStyle name="Normal 8 6 2 2 2 2 2" xfId="21354"/>
    <cellStyle name="Normal 8 6 2 2 2 2 2 2" xfId="35379"/>
    <cellStyle name="Normal 8 6 2 2 2 2 3" xfId="27368"/>
    <cellStyle name="Normal 8 6 2 2 2 3" xfId="15344"/>
    <cellStyle name="Normal 8 6 2 2 2 3 2" xfId="23359"/>
    <cellStyle name="Normal 8 6 2 2 2 3 2 2" xfId="37384"/>
    <cellStyle name="Normal 8 6 2 2 2 3 3" xfId="29373"/>
    <cellStyle name="Normal 8 6 2 2 2 4" xfId="17350"/>
    <cellStyle name="Normal 8 6 2 2 2 4 2" xfId="31375"/>
    <cellStyle name="Normal 8 6 2 2 2 5" xfId="19352"/>
    <cellStyle name="Normal 8 6 2 2 2 5 2" xfId="33377"/>
    <cellStyle name="Normal 8 6 2 2 2 6" xfId="25366"/>
    <cellStyle name="Normal 8 6 2 2 3" xfId="13328"/>
    <cellStyle name="Normal 8 6 2 2 3 2" xfId="21353"/>
    <cellStyle name="Normal 8 6 2 2 3 2 2" xfId="35378"/>
    <cellStyle name="Normal 8 6 2 2 3 3" xfId="27367"/>
    <cellStyle name="Normal 8 6 2 2 4" xfId="15343"/>
    <cellStyle name="Normal 8 6 2 2 4 2" xfId="23358"/>
    <cellStyle name="Normal 8 6 2 2 4 2 2" xfId="37383"/>
    <cellStyle name="Normal 8 6 2 2 4 3" xfId="29372"/>
    <cellStyle name="Normal 8 6 2 2 5" xfId="17349"/>
    <cellStyle name="Normal 8 6 2 2 5 2" xfId="31374"/>
    <cellStyle name="Normal 8 6 2 2 6" xfId="19351"/>
    <cellStyle name="Normal 8 6 2 2 6 2" xfId="33376"/>
    <cellStyle name="Normal 8 6 2 2 7" xfId="25365"/>
    <cellStyle name="Normal 8 6 2 3" xfId="2736"/>
    <cellStyle name="Normal 8 6 2 3 2" xfId="13330"/>
    <cellStyle name="Normal 8 6 2 3 2 2" xfId="21355"/>
    <cellStyle name="Normal 8 6 2 3 2 2 2" xfId="35380"/>
    <cellStyle name="Normal 8 6 2 3 2 3" xfId="27369"/>
    <cellStyle name="Normal 8 6 2 3 3" xfId="15345"/>
    <cellStyle name="Normal 8 6 2 3 3 2" xfId="23360"/>
    <cellStyle name="Normal 8 6 2 3 3 2 2" xfId="37385"/>
    <cellStyle name="Normal 8 6 2 3 3 3" xfId="29374"/>
    <cellStyle name="Normal 8 6 2 3 4" xfId="17351"/>
    <cellStyle name="Normal 8 6 2 3 4 2" xfId="31376"/>
    <cellStyle name="Normal 8 6 2 3 5" xfId="19353"/>
    <cellStyle name="Normal 8 6 2 3 5 2" xfId="33378"/>
    <cellStyle name="Normal 8 6 2 3 6" xfId="25367"/>
    <cellStyle name="Normal 8 6 2 4" xfId="13327"/>
    <cellStyle name="Normal 8 6 2 4 2" xfId="21352"/>
    <cellStyle name="Normal 8 6 2 4 2 2" xfId="35377"/>
    <cellStyle name="Normal 8 6 2 4 3" xfId="27366"/>
    <cellStyle name="Normal 8 6 2 5" xfId="15342"/>
    <cellStyle name="Normal 8 6 2 5 2" xfId="23357"/>
    <cellStyle name="Normal 8 6 2 5 2 2" xfId="37382"/>
    <cellStyle name="Normal 8 6 2 5 3" xfId="29371"/>
    <cellStyle name="Normal 8 6 2 6" xfId="17348"/>
    <cellStyle name="Normal 8 6 2 6 2" xfId="31373"/>
    <cellStyle name="Normal 8 6 2 7" xfId="19350"/>
    <cellStyle name="Normal 8 6 2 7 2" xfId="33375"/>
    <cellStyle name="Normal 8 6 2 8" xfId="25364"/>
    <cellStyle name="Normal 8 6 3" xfId="2737"/>
    <cellStyle name="Normal 8 6 3 2" xfId="2738"/>
    <cellStyle name="Normal 8 6 3 2 2" xfId="13332"/>
    <cellStyle name="Normal 8 6 3 2 2 2" xfId="21357"/>
    <cellStyle name="Normal 8 6 3 2 2 2 2" xfId="35382"/>
    <cellStyle name="Normal 8 6 3 2 2 3" xfId="27371"/>
    <cellStyle name="Normal 8 6 3 2 3" xfId="15347"/>
    <cellStyle name="Normal 8 6 3 2 3 2" xfId="23362"/>
    <cellStyle name="Normal 8 6 3 2 3 2 2" xfId="37387"/>
    <cellStyle name="Normal 8 6 3 2 3 3" xfId="29376"/>
    <cellStyle name="Normal 8 6 3 2 4" xfId="17353"/>
    <cellStyle name="Normal 8 6 3 2 4 2" xfId="31378"/>
    <cellStyle name="Normal 8 6 3 2 5" xfId="19355"/>
    <cellStyle name="Normal 8 6 3 2 5 2" xfId="33380"/>
    <cellStyle name="Normal 8 6 3 2 6" xfId="25369"/>
    <cellStyle name="Normal 8 6 3 3" xfId="13331"/>
    <cellStyle name="Normal 8 6 3 3 2" xfId="21356"/>
    <cellStyle name="Normal 8 6 3 3 2 2" xfId="35381"/>
    <cellStyle name="Normal 8 6 3 3 3" xfId="27370"/>
    <cellStyle name="Normal 8 6 3 4" xfId="15346"/>
    <cellStyle name="Normal 8 6 3 4 2" xfId="23361"/>
    <cellStyle name="Normal 8 6 3 4 2 2" xfId="37386"/>
    <cellStyle name="Normal 8 6 3 4 3" xfId="29375"/>
    <cellStyle name="Normal 8 6 3 5" xfId="17352"/>
    <cellStyle name="Normal 8 6 3 5 2" xfId="31377"/>
    <cellStyle name="Normal 8 6 3 6" xfId="19354"/>
    <cellStyle name="Normal 8 6 3 6 2" xfId="33379"/>
    <cellStyle name="Normal 8 6 3 7" xfId="25368"/>
    <cellStyle name="Normal 8 6 4" xfId="2739"/>
    <cellStyle name="Normal 8 6 4 2" xfId="2740"/>
    <cellStyle name="Normal 8 6 4 2 2" xfId="13334"/>
    <cellStyle name="Normal 8 6 4 2 2 2" xfId="21359"/>
    <cellStyle name="Normal 8 6 4 2 2 2 2" xfId="35384"/>
    <cellStyle name="Normal 8 6 4 2 2 3" xfId="27373"/>
    <cellStyle name="Normal 8 6 4 2 3" xfId="15349"/>
    <cellStyle name="Normal 8 6 4 2 3 2" xfId="23364"/>
    <cellStyle name="Normal 8 6 4 2 3 2 2" xfId="37389"/>
    <cellStyle name="Normal 8 6 4 2 3 3" xfId="29378"/>
    <cellStyle name="Normal 8 6 4 2 4" xfId="17355"/>
    <cellStyle name="Normal 8 6 4 2 4 2" xfId="31380"/>
    <cellStyle name="Normal 8 6 4 2 5" xfId="19357"/>
    <cellStyle name="Normal 8 6 4 2 5 2" xfId="33382"/>
    <cellStyle name="Normal 8 6 4 2 6" xfId="25371"/>
    <cellStyle name="Normal 8 6 4 3" xfId="13333"/>
    <cellStyle name="Normal 8 6 4 3 2" xfId="21358"/>
    <cellStyle name="Normal 8 6 4 3 2 2" xfId="35383"/>
    <cellStyle name="Normal 8 6 4 3 3" xfId="27372"/>
    <cellStyle name="Normal 8 6 4 4" xfId="15348"/>
    <cellStyle name="Normal 8 6 4 4 2" xfId="23363"/>
    <cellStyle name="Normal 8 6 4 4 2 2" xfId="37388"/>
    <cellStyle name="Normal 8 6 4 4 3" xfId="29377"/>
    <cellStyle name="Normal 8 6 4 5" xfId="17354"/>
    <cellStyle name="Normal 8 6 4 5 2" xfId="31379"/>
    <cellStyle name="Normal 8 6 4 6" xfId="19356"/>
    <cellStyle name="Normal 8 6 4 6 2" xfId="33381"/>
    <cellStyle name="Normal 8 6 4 7" xfId="25370"/>
    <cellStyle name="Normal 8 6 5" xfId="2741"/>
    <cellStyle name="Normal 8 6 5 2" xfId="13335"/>
    <cellStyle name="Normal 8 6 5 2 2" xfId="21360"/>
    <cellStyle name="Normal 8 6 5 2 2 2" xfId="35385"/>
    <cellStyle name="Normal 8 6 5 2 3" xfId="27374"/>
    <cellStyle name="Normal 8 6 5 3" xfId="15350"/>
    <cellStyle name="Normal 8 6 5 3 2" xfId="23365"/>
    <cellStyle name="Normal 8 6 5 3 2 2" xfId="37390"/>
    <cellStyle name="Normal 8 6 5 3 3" xfId="29379"/>
    <cellStyle name="Normal 8 6 5 4" xfId="17356"/>
    <cellStyle name="Normal 8 6 5 4 2" xfId="31381"/>
    <cellStyle name="Normal 8 6 5 5" xfId="19358"/>
    <cellStyle name="Normal 8 6 5 5 2" xfId="33383"/>
    <cellStyle name="Normal 8 6 5 6" xfId="25372"/>
    <cellStyle name="Normal 8 6 6" xfId="13326"/>
    <cellStyle name="Normal 8 6 6 2" xfId="21351"/>
    <cellStyle name="Normal 8 6 6 2 2" xfId="35376"/>
    <cellStyle name="Normal 8 6 6 3" xfId="27365"/>
    <cellStyle name="Normal 8 6 7" xfId="15341"/>
    <cellStyle name="Normal 8 6 7 2" xfId="23356"/>
    <cellStyle name="Normal 8 6 7 2 2" xfId="37381"/>
    <cellStyle name="Normal 8 6 7 3" xfId="29370"/>
    <cellStyle name="Normal 8 6 8" xfId="17347"/>
    <cellStyle name="Normal 8 6 8 2" xfId="31372"/>
    <cellStyle name="Normal 8 6 9" xfId="19349"/>
    <cellStyle name="Normal 8 6 9 2" xfId="33374"/>
    <cellStyle name="Normal 8 7" xfId="2742"/>
    <cellStyle name="Normal 8 7 2" xfId="2743"/>
    <cellStyle name="Normal 8 7 2 2" xfId="2744"/>
    <cellStyle name="Normal 8 7 2 2 2" xfId="13338"/>
    <cellStyle name="Normal 8 7 2 2 2 2" xfId="21363"/>
    <cellStyle name="Normal 8 7 2 2 2 2 2" xfId="35388"/>
    <cellStyle name="Normal 8 7 2 2 2 3" xfId="27377"/>
    <cellStyle name="Normal 8 7 2 2 3" xfId="15353"/>
    <cellStyle name="Normal 8 7 2 2 3 2" xfId="23368"/>
    <cellStyle name="Normal 8 7 2 2 3 2 2" xfId="37393"/>
    <cellStyle name="Normal 8 7 2 2 3 3" xfId="29382"/>
    <cellStyle name="Normal 8 7 2 2 4" xfId="17359"/>
    <cellStyle name="Normal 8 7 2 2 4 2" xfId="31384"/>
    <cellStyle name="Normal 8 7 2 2 5" xfId="19361"/>
    <cellStyle name="Normal 8 7 2 2 5 2" xfId="33386"/>
    <cellStyle name="Normal 8 7 2 2 6" xfId="25375"/>
    <cellStyle name="Normal 8 7 2 3" xfId="13337"/>
    <cellStyle name="Normal 8 7 2 3 2" xfId="21362"/>
    <cellStyle name="Normal 8 7 2 3 2 2" xfId="35387"/>
    <cellStyle name="Normal 8 7 2 3 3" xfId="27376"/>
    <cellStyle name="Normal 8 7 2 4" xfId="15352"/>
    <cellStyle name="Normal 8 7 2 4 2" xfId="23367"/>
    <cellStyle name="Normal 8 7 2 4 2 2" xfId="37392"/>
    <cellStyle name="Normal 8 7 2 4 3" xfId="29381"/>
    <cellStyle name="Normal 8 7 2 5" xfId="17358"/>
    <cellStyle name="Normal 8 7 2 5 2" xfId="31383"/>
    <cellStyle name="Normal 8 7 2 6" xfId="19360"/>
    <cellStyle name="Normal 8 7 2 6 2" xfId="33385"/>
    <cellStyle name="Normal 8 7 2 7" xfId="25374"/>
    <cellStyle name="Normal 8 7 3" xfId="2745"/>
    <cellStyle name="Normal 8 7 3 2" xfId="13339"/>
    <cellStyle name="Normal 8 7 3 2 2" xfId="21364"/>
    <cellStyle name="Normal 8 7 3 2 2 2" xfId="35389"/>
    <cellStyle name="Normal 8 7 3 2 3" xfId="27378"/>
    <cellStyle name="Normal 8 7 3 3" xfId="15354"/>
    <cellStyle name="Normal 8 7 3 3 2" xfId="23369"/>
    <cellStyle name="Normal 8 7 3 3 2 2" xfId="37394"/>
    <cellStyle name="Normal 8 7 3 3 3" xfId="29383"/>
    <cellStyle name="Normal 8 7 3 4" xfId="17360"/>
    <cellStyle name="Normal 8 7 3 4 2" xfId="31385"/>
    <cellStyle name="Normal 8 7 3 5" xfId="19362"/>
    <cellStyle name="Normal 8 7 3 5 2" xfId="33387"/>
    <cellStyle name="Normal 8 7 3 6" xfId="25376"/>
    <cellStyle name="Normal 8 7 4" xfId="13336"/>
    <cellStyle name="Normal 8 7 4 2" xfId="21361"/>
    <cellStyle name="Normal 8 7 4 2 2" xfId="35386"/>
    <cellStyle name="Normal 8 7 4 3" xfId="27375"/>
    <cellStyle name="Normal 8 7 5" xfId="15351"/>
    <cellStyle name="Normal 8 7 5 2" xfId="23366"/>
    <cellStyle name="Normal 8 7 5 2 2" xfId="37391"/>
    <cellStyle name="Normal 8 7 5 3" xfId="29380"/>
    <cellStyle name="Normal 8 7 6" xfId="17357"/>
    <cellStyle name="Normal 8 7 6 2" xfId="31382"/>
    <cellStyle name="Normal 8 7 7" xfId="19359"/>
    <cellStyle name="Normal 8 7 7 2" xfId="33384"/>
    <cellStyle name="Normal 8 7 8" xfId="25373"/>
    <cellStyle name="Normal 8 8" xfId="2746"/>
    <cellStyle name="Normal 8 8 2" xfId="2747"/>
    <cellStyle name="Normal 8 8 2 2" xfId="13341"/>
    <cellStyle name="Normal 8 8 2 2 2" xfId="21366"/>
    <cellStyle name="Normal 8 8 2 2 2 2" xfId="35391"/>
    <cellStyle name="Normal 8 8 2 2 3" xfId="27380"/>
    <cellStyle name="Normal 8 8 2 3" xfId="15356"/>
    <cellStyle name="Normal 8 8 2 3 2" xfId="23371"/>
    <cellStyle name="Normal 8 8 2 3 2 2" xfId="37396"/>
    <cellStyle name="Normal 8 8 2 3 3" xfId="29385"/>
    <cellStyle name="Normal 8 8 2 4" xfId="17362"/>
    <cellStyle name="Normal 8 8 2 4 2" xfId="31387"/>
    <cellStyle name="Normal 8 8 2 5" xfId="19364"/>
    <cellStyle name="Normal 8 8 2 5 2" xfId="33389"/>
    <cellStyle name="Normal 8 8 2 6" xfId="25378"/>
    <cellStyle name="Normal 8 8 3" xfId="13340"/>
    <cellStyle name="Normal 8 8 3 2" xfId="21365"/>
    <cellStyle name="Normal 8 8 3 2 2" xfId="35390"/>
    <cellStyle name="Normal 8 8 3 3" xfId="27379"/>
    <cellStyle name="Normal 8 8 4" xfId="15355"/>
    <cellStyle name="Normal 8 8 4 2" xfId="23370"/>
    <cellStyle name="Normal 8 8 4 2 2" xfId="37395"/>
    <cellStyle name="Normal 8 8 4 3" xfId="29384"/>
    <cellStyle name="Normal 8 8 5" xfId="17361"/>
    <cellStyle name="Normal 8 8 5 2" xfId="31386"/>
    <cellStyle name="Normal 8 8 6" xfId="19363"/>
    <cellStyle name="Normal 8 8 6 2" xfId="33388"/>
    <cellStyle name="Normal 8 8 7" xfId="25377"/>
    <cellStyle name="Normal 8 9" xfId="2748"/>
    <cellStyle name="Normal 8 9 2" xfId="2749"/>
    <cellStyle name="Normal 8 9 2 2" xfId="13343"/>
    <cellStyle name="Normal 8 9 2 2 2" xfId="21368"/>
    <cellStyle name="Normal 8 9 2 2 2 2" xfId="35393"/>
    <cellStyle name="Normal 8 9 2 2 3" xfId="27382"/>
    <cellStyle name="Normal 8 9 2 3" xfId="15358"/>
    <cellStyle name="Normal 8 9 2 3 2" xfId="23373"/>
    <cellStyle name="Normal 8 9 2 3 2 2" xfId="37398"/>
    <cellStyle name="Normal 8 9 2 3 3" xfId="29387"/>
    <cellStyle name="Normal 8 9 2 4" xfId="17364"/>
    <cellStyle name="Normal 8 9 2 4 2" xfId="31389"/>
    <cellStyle name="Normal 8 9 2 5" xfId="19366"/>
    <cellStyle name="Normal 8 9 2 5 2" xfId="33391"/>
    <cellStyle name="Normal 8 9 2 6" xfId="25380"/>
    <cellStyle name="Normal 8 9 3" xfId="13342"/>
    <cellStyle name="Normal 8 9 3 2" xfId="21367"/>
    <cellStyle name="Normal 8 9 3 2 2" xfId="35392"/>
    <cellStyle name="Normal 8 9 3 3" xfId="27381"/>
    <cellStyle name="Normal 8 9 4" xfId="15357"/>
    <cellStyle name="Normal 8 9 4 2" xfId="23372"/>
    <cellStyle name="Normal 8 9 4 2 2" xfId="37397"/>
    <cellStyle name="Normal 8 9 4 3" xfId="29386"/>
    <cellStyle name="Normal 8 9 5" xfId="17363"/>
    <cellStyle name="Normal 8 9 5 2" xfId="31388"/>
    <cellStyle name="Normal 8 9 6" xfId="19365"/>
    <cellStyle name="Normal 8 9 6 2" xfId="33390"/>
    <cellStyle name="Normal 8 9 7" xfId="25379"/>
    <cellStyle name="Normal 8_10-15-10-Stmt AU - Period I - Working 1 0" xfId="583"/>
    <cellStyle name="Normal 9" xfId="584"/>
    <cellStyle name="Normal 9 10" xfId="2750"/>
    <cellStyle name="Normal 9 10 2" xfId="13344"/>
    <cellStyle name="Normal 9 10 2 2" xfId="21369"/>
    <cellStyle name="Normal 9 10 2 2 2" xfId="35394"/>
    <cellStyle name="Normal 9 10 2 3" xfId="27383"/>
    <cellStyle name="Normal 9 10 3" xfId="15359"/>
    <cellStyle name="Normal 9 10 3 2" xfId="23374"/>
    <cellStyle name="Normal 9 10 3 2 2" xfId="37399"/>
    <cellStyle name="Normal 9 10 3 3" xfId="29388"/>
    <cellStyle name="Normal 9 10 4" xfId="17365"/>
    <cellStyle name="Normal 9 10 4 2" xfId="31390"/>
    <cellStyle name="Normal 9 10 5" xfId="19367"/>
    <cellStyle name="Normal 9 10 5 2" xfId="33392"/>
    <cellStyle name="Normal 9 10 6" xfId="25381"/>
    <cellStyle name="Normal 9 11" xfId="11640"/>
    <cellStyle name="Normal 9 2" xfId="585"/>
    <cellStyle name="Normal 9 2 10" xfId="2751"/>
    <cellStyle name="Normal 9 2 10 2" xfId="13345"/>
    <cellStyle name="Normal 9 2 10 2 2" xfId="21370"/>
    <cellStyle name="Normal 9 2 10 2 2 2" xfId="35395"/>
    <cellStyle name="Normal 9 2 10 2 3" xfId="27384"/>
    <cellStyle name="Normal 9 2 10 3" xfId="15360"/>
    <cellStyle name="Normal 9 2 10 3 2" xfId="23375"/>
    <cellStyle name="Normal 9 2 10 3 2 2" xfId="37400"/>
    <cellStyle name="Normal 9 2 10 3 3" xfId="29389"/>
    <cellStyle name="Normal 9 2 10 4" xfId="17366"/>
    <cellStyle name="Normal 9 2 10 4 2" xfId="31391"/>
    <cellStyle name="Normal 9 2 10 5" xfId="19368"/>
    <cellStyle name="Normal 9 2 10 5 2" xfId="33393"/>
    <cellStyle name="Normal 9 2 10 6" xfId="25382"/>
    <cellStyle name="Normal 9 2 11" xfId="11641"/>
    <cellStyle name="Normal 9 2 2" xfId="586"/>
    <cellStyle name="Normal 9 2 3" xfId="2752"/>
    <cellStyle name="Normal 9 2 3 10" xfId="17367"/>
    <cellStyle name="Normal 9 2 3 10 2" xfId="31392"/>
    <cellStyle name="Normal 9 2 3 11" xfId="19369"/>
    <cellStyle name="Normal 9 2 3 11 2" xfId="33394"/>
    <cellStyle name="Normal 9 2 3 12" xfId="25383"/>
    <cellStyle name="Normal 9 2 3 2" xfId="2753"/>
    <cellStyle name="Normal 9 2 3 2 10" xfId="19370"/>
    <cellStyle name="Normal 9 2 3 2 10 2" xfId="33395"/>
    <cellStyle name="Normal 9 2 3 2 11" xfId="25384"/>
    <cellStyle name="Normal 9 2 3 2 2" xfId="2754"/>
    <cellStyle name="Normal 9 2 3 2 2 10" xfId="25385"/>
    <cellStyle name="Normal 9 2 3 2 2 2" xfId="2755"/>
    <cellStyle name="Normal 9 2 3 2 2 2 2" xfId="2756"/>
    <cellStyle name="Normal 9 2 3 2 2 2 2 2" xfId="2757"/>
    <cellStyle name="Normal 9 2 3 2 2 2 2 2 2" xfId="13351"/>
    <cellStyle name="Normal 9 2 3 2 2 2 2 2 2 2" xfId="21376"/>
    <cellStyle name="Normal 9 2 3 2 2 2 2 2 2 2 2" xfId="35401"/>
    <cellStyle name="Normal 9 2 3 2 2 2 2 2 2 3" xfId="27390"/>
    <cellStyle name="Normal 9 2 3 2 2 2 2 2 3" xfId="15366"/>
    <cellStyle name="Normal 9 2 3 2 2 2 2 2 3 2" xfId="23381"/>
    <cellStyle name="Normal 9 2 3 2 2 2 2 2 3 2 2" xfId="37406"/>
    <cellStyle name="Normal 9 2 3 2 2 2 2 2 3 3" xfId="29395"/>
    <cellStyle name="Normal 9 2 3 2 2 2 2 2 4" xfId="17372"/>
    <cellStyle name="Normal 9 2 3 2 2 2 2 2 4 2" xfId="31397"/>
    <cellStyle name="Normal 9 2 3 2 2 2 2 2 5" xfId="19374"/>
    <cellStyle name="Normal 9 2 3 2 2 2 2 2 5 2" xfId="33399"/>
    <cellStyle name="Normal 9 2 3 2 2 2 2 2 6" xfId="25388"/>
    <cellStyle name="Normal 9 2 3 2 2 2 2 3" xfId="13350"/>
    <cellStyle name="Normal 9 2 3 2 2 2 2 3 2" xfId="21375"/>
    <cellStyle name="Normal 9 2 3 2 2 2 2 3 2 2" xfId="35400"/>
    <cellStyle name="Normal 9 2 3 2 2 2 2 3 3" xfId="27389"/>
    <cellStyle name="Normal 9 2 3 2 2 2 2 4" xfId="15365"/>
    <cellStyle name="Normal 9 2 3 2 2 2 2 4 2" xfId="23380"/>
    <cellStyle name="Normal 9 2 3 2 2 2 2 4 2 2" xfId="37405"/>
    <cellStyle name="Normal 9 2 3 2 2 2 2 4 3" xfId="29394"/>
    <cellStyle name="Normal 9 2 3 2 2 2 2 5" xfId="17371"/>
    <cellStyle name="Normal 9 2 3 2 2 2 2 5 2" xfId="31396"/>
    <cellStyle name="Normal 9 2 3 2 2 2 2 6" xfId="19373"/>
    <cellStyle name="Normal 9 2 3 2 2 2 2 6 2" xfId="33398"/>
    <cellStyle name="Normal 9 2 3 2 2 2 2 7" xfId="25387"/>
    <cellStyle name="Normal 9 2 3 2 2 2 3" xfId="2758"/>
    <cellStyle name="Normal 9 2 3 2 2 2 3 2" xfId="13352"/>
    <cellStyle name="Normal 9 2 3 2 2 2 3 2 2" xfId="21377"/>
    <cellStyle name="Normal 9 2 3 2 2 2 3 2 2 2" xfId="35402"/>
    <cellStyle name="Normal 9 2 3 2 2 2 3 2 3" xfId="27391"/>
    <cellStyle name="Normal 9 2 3 2 2 2 3 3" xfId="15367"/>
    <cellStyle name="Normal 9 2 3 2 2 2 3 3 2" xfId="23382"/>
    <cellStyle name="Normal 9 2 3 2 2 2 3 3 2 2" xfId="37407"/>
    <cellStyle name="Normal 9 2 3 2 2 2 3 3 3" xfId="29396"/>
    <cellStyle name="Normal 9 2 3 2 2 2 3 4" xfId="17373"/>
    <cellStyle name="Normal 9 2 3 2 2 2 3 4 2" xfId="31398"/>
    <cellStyle name="Normal 9 2 3 2 2 2 3 5" xfId="19375"/>
    <cellStyle name="Normal 9 2 3 2 2 2 3 5 2" xfId="33400"/>
    <cellStyle name="Normal 9 2 3 2 2 2 3 6" xfId="25389"/>
    <cellStyle name="Normal 9 2 3 2 2 2 4" xfId="13349"/>
    <cellStyle name="Normal 9 2 3 2 2 2 4 2" xfId="21374"/>
    <cellStyle name="Normal 9 2 3 2 2 2 4 2 2" xfId="35399"/>
    <cellStyle name="Normal 9 2 3 2 2 2 4 3" xfId="27388"/>
    <cellStyle name="Normal 9 2 3 2 2 2 5" xfId="15364"/>
    <cellStyle name="Normal 9 2 3 2 2 2 5 2" xfId="23379"/>
    <cellStyle name="Normal 9 2 3 2 2 2 5 2 2" xfId="37404"/>
    <cellStyle name="Normal 9 2 3 2 2 2 5 3" xfId="29393"/>
    <cellStyle name="Normal 9 2 3 2 2 2 6" xfId="17370"/>
    <cellStyle name="Normal 9 2 3 2 2 2 6 2" xfId="31395"/>
    <cellStyle name="Normal 9 2 3 2 2 2 7" xfId="19372"/>
    <cellStyle name="Normal 9 2 3 2 2 2 7 2" xfId="33397"/>
    <cellStyle name="Normal 9 2 3 2 2 2 8" xfId="25386"/>
    <cellStyle name="Normal 9 2 3 2 2 3" xfId="2759"/>
    <cellStyle name="Normal 9 2 3 2 2 3 2" xfId="2760"/>
    <cellStyle name="Normal 9 2 3 2 2 3 2 2" xfId="13354"/>
    <cellStyle name="Normal 9 2 3 2 2 3 2 2 2" xfId="21379"/>
    <cellStyle name="Normal 9 2 3 2 2 3 2 2 2 2" xfId="35404"/>
    <cellStyle name="Normal 9 2 3 2 2 3 2 2 3" xfId="27393"/>
    <cellStyle name="Normal 9 2 3 2 2 3 2 3" xfId="15369"/>
    <cellStyle name="Normal 9 2 3 2 2 3 2 3 2" xfId="23384"/>
    <cellStyle name="Normal 9 2 3 2 2 3 2 3 2 2" xfId="37409"/>
    <cellStyle name="Normal 9 2 3 2 2 3 2 3 3" xfId="29398"/>
    <cellStyle name="Normal 9 2 3 2 2 3 2 4" xfId="17375"/>
    <cellStyle name="Normal 9 2 3 2 2 3 2 4 2" xfId="31400"/>
    <cellStyle name="Normal 9 2 3 2 2 3 2 5" xfId="19377"/>
    <cellStyle name="Normal 9 2 3 2 2 3 2 5 2" xfId="33402"/>
    <cellStyle name="Normal 9 2 3 2 2 3 2 6" xfId="25391"/>
    <cellStyle name="Normal 9 2 3 2 2 3 3" xfId="13353"/>
    <cellStyle name="Normal 9 2 3 2 2 3 3 2" xfId="21378"/>
    <cellStyle name="Normal 9 2 3 2 2 3 3 2 2" xfId="35403"/>
    <cellStyle name="Normal 9 2 3 2 2 3 3 3" xfId="27392"/>
    <cellStyle name="Normal 9 2 3 2 2 3 4" xfId="15368"/>
    <cellStyle name="Normal 9 2 3 2 2 3 4 2" xfId="23383"/>
    <cellStyle name="Normal 9 2 3 2 2 3 4 2 2" xfId="37408"/>
    <cellStyle name="Normal 9 2 3 2 2 3 4 3" xfId="29397"/>
    <cellStyle name="Normal 9 2 3 2 2 3 5" xfId="17374"/>
    <cellStyle name="Normal 9 2 3 2 2 3 5 2" xfId="31399"/>
    <cellStyle name="Normal 9 2 3 2 2 3 6" xfId="19376"/>
    <cellStyle name="Normal 9 2 3 2 2 3 6 2" xfId="33401"/>
    <cellStyle name="Normal 9 2 3 2 2 3 7" xfId="25390"/>
    <cellStyle name="Normal 9 2 3 2 2 4" xfId="2761"/>
    <cellStyle name="Normal 9 2 3 2 2 4 2" xfId="2762"/>
    <cellStyle name="Normal 9 2 3 2 2 4 2 2" xfId="13356"/>
    <cellStyle name="Normal 9 2 3 2 2 4 2 2 2" xfId="21381"/>
    <cellStyle name="Normal 9 2 3 2 2 4 2 2 2 2" xfId="35406"/>
    <cellStyle name="Normal 9 2 3 2 2 4 2 2 3" xfId="27395"/>
    <cellStyle name="Normal 9 2 3 2 2 4 2 3" xfId="15371"/>
    <cellStyle name="Normal 9 2 3 2 2 4 2 3 2" xfId="23386"/>
    <cellStyle name="Normal 9 2 3 2 2 4 2 3 2 2" xfId="37411"/>
    <cellStyle name="Normal 9 2 3 2 2 4 2 3 3" xfId="29400"/>
    <cellStyle name="Normal 9 2 3 2 2 4 2 4" xfId="17377"/>
    <cellStyle name="Normal 9 2 3 2 2 4 2 4 2" xfId="31402"/>
    <cellStyle name="Normal 9 2 3 2 2 4 2 5" xfId="19379"/>
    <cellStyle name="Normal 9 2 3 2 2 4 2 5 2" xfId="33404"/>
    <cellStyle name="Normal 9 2 3 2 2 4 2 6" xfId="25393"/>
    <cellStyle name="Normal 9 2 3 2 2 4 3" xfId="13355"/>
    <cellStyle name="Normal 9 2 3 2 2 4 3 2" xfId="21380"/>
    <cellStyle name="Normal 9 2 3 2 2 4 3 2 2" xfId="35405"/>
    <cellStyle name="Normal 9 2 3 2 2 4 3 3" xfId="27394"/>
    <cellStyle name="Normal 9 2 3 2 2 4 4" xfId="15370"/>
    <cellStyle name="Normal 9 2 3 2 2 4 4 2" xfId="23385"/>
    <cellStyle name="Normal 9 2 3 2 2 4 4 2 2" xfId="37410"/>
    <cellStyle name="Normal 9 2 3 2 2 4 4 3" xfId="29399"/>
    <cellStyle name="Normal 9 2 3 2 2 4 5" xfId="17376"/>
    <cellStyle name="Normal 9 2 3 2 2 4 5 2" xfId="31401"/>
    <cellStyle name="Normal 9 2 3 2 2 4 6" xfId="19378"/>
    <cellStyle name="Normal 9 2 3 2 2 4 6 2" xfId="33403"/>
    <cellStyle name="Normal 9 2 3 2 2 4 7" xfId="25392"/>
    <cellStyle name="Normal 9 2 3 2 2 5" xfId="2763"/>
    <cellStyle name="Normal 9 2 3 2 2 5 2" xfId="13357"/>
    <cellStyle name="Normal 9 2 3 2 2 5 2 2" xfId="21382"/>
    <cellStyle name="Normal 9 2 3 2 2 5 2 2 2" xfId="35407"/>
    <cellStyle name="Normal 9 2 3 2 2 5 2 3" xfId="27396"/>
    <cellStyle name="Normal 9 2 3 2 2 5 3" xfId="15372"/>
    <cellStyle name="Normal 9 2 3 2 2 5 3 2" xfId="23387"/>
    <cellStyle name="Normal 9 2 3 2 2 5 3 2 2" xfId="37412"/>
    <cellStyle name="Normal 9 2 3 2 2 5 3 3" xfId="29401"/>
    <cellStyle name="Normal 9 2 3 2 2 5 4" xfId="17378"/>
    <cellStyle name="Normal 9 2 3 2 2 5 4 2" xfId="31403"/>
    <cellStyle name="Normal 9 2 3 2 2 5 5" xfId="19380"/>
    <cellStyle name="Normal 9 2 3 2 2 5 5 2" xfId="33405"/>
    <cellStyle name="Normal 9 2 3 2 2 5 6" xfId="25394"/>
    <cellStyle name="Normal 9 2 3 2 2 6" xfId="13348"/>
    <cellStyle name="Normal 9 2 3 2 2 6 2" xfId="21373"/>
    <cellStyle name="Normal 9 2 3 2 2 6 2 2" xfId="35398"/>
    <cellStyle name="Normal 9 2 3 2 2 6 3" xfId="27387"/>
    <cellStyle name="Normal 9 2 3 2 2 7" xfId="15363"/>
    <cellStyle name="Normal 9 2 3 2 2 7 2" xfId="23378"/>
    <cellStyle name="Normal 9 2 3 2 2 7 2 2" xfId="37403"/>
    <cellStyle name="Normal 9 2 3 2 2 7 3" xfId="29392"/>
    <cellStyle name="Normal 9 2 3 2 2 8" xfId="17369"/>
    <cellStyle name="Normal 9 2 3 2 2 8 2" xfId="31394"/>
    <cellStyle name="Normal 9 2 3 2 2 9" xfId="19371"/>
    <cellStyle name="Normal 9 2 3 2 2 9 2" xfId="33396"/>
    <cellStyle name="Normal 9 2 3 2 3" xfId="2764"/>
    <cellStyle name="Normal 9 2 3 2 3 2" xfId="2765"/>
    <cellStyle name="Normal 9 2 3 2 3 2 2" xfId="2766"/>
    <cellStyle name="Normal 9 2 3 2 3 2 2 2" xfId="13360"/>
    <cellStyle name="Normal 9 2 3 2 3 2 2 2 2" xfId="21385"/>
    <cellStyle name="Normal 9 2 3 2 3 2 2 2 2 2" xfId="35410"/>
    <cellStyle name="Normal 9 2 3 2 3 2 2 2 3" xfId="27399"/>
    <cellStyle name="Normal 9 2 3 2 3 2 2 3" xfId="15375"/>
    <cellStyle name="Normal 9 2 3 2 3 2 2 3 2" xfId="23390"/>
    <cellStyle name="Normal 9 2 3 2 3 2 2 3 2 2" xfId="37415"/>
    <cellStyle name="Normal 9 2 3 2 3 2 2 3 3" xfId="29404"/>
    <cellStyle name="Normal 9 2 3 2 3 2 2 4" xfId="17381"/>
    <cellStyle name="Normal 9 2 3 2 3 2 2 4 2" xfId="31406"/>
    <cellStyle name="Normal 9 2 3 2 3 2 2 5" xfId="19383"/>
    <cellStyle name="Normal 9 2 3 2 3 2 2 5 2" xfId="33408"/>
    <cellStyle name="Normal 9 2 3 2 3 2 2 6" xfId="25397"/>
    <cellStyle name="Normal 9 2 3 2 3 2 3" xfId="13359"/>
    <cellStyle name="Normal 9 2 3 2 3 2 3 2" xfId="21384"/>
    <cellStyle name="Normal 9 2 3 2 3 2 3 2 2" xfId="35409"/>
    <cellStyle name="Normal 9 2 3 2 3 2 3 3" xfId="27398"/>
    <cellStyle name="Normal 9 2 3 2 3 2 4" xfId="15374"/>
    <cellStyle name="Normal 9 2 3 2 3 2 4 2" xfId="23389"/>
    <cellStyle name="Normal 9 2 3 2 3 2 4 2 2" xfId="37414"/>
    <cellStyle name="Normal 9 2 3 2 3 2 4 3" xfId="29403"/>
    <cellStyle name="Normal 9 2 3 2 3 2 5" xfId="17380"/>
    <cellStyle name="Normal 9 2 3 2 3 2 5 2" xfId="31405"/>
    <cellStyle name="Normal 9 2 3 2 3 2 6" xfId="19382"/>
    <cellStyle name="Normal 9 2 3 2 3 2 6 2" xfId="33407"/>
    <cellStyle name="Normal 9 2 3 2 3 2 7" xfId="25396"/>
    <cellStyle name="Normal 9 2 3 2 3 3" xfId="2767"/>
    <cellStyle name="Normal 9 2 3 2 3 3 2" xfId="13361"/>
    <cellStyle name="Normal 9 2 3 2 3 3 2 2" xfId="21386"/>
    <cellStyle name="Normal 9 2 3 2 3 3 2 2 2" xfId="35411"/>
    <cellStyle name="Normal 9 2 3 2 3 3 2 3" xfId="27400"/>
    <cellStyle name="Normal 9 2 3 2 3 3 3" xfId="15376"/>
    <cellStyle name="Normal 9 2 3 2 3 3 3 2" xfId="23391"/>
    <cellStyle name="Normal 9 2 3 2 3 3 3 2 2" xfId="37416"/>
    <cellStyle name="Normal 9 2 3 2 3 3 3 3" xfId="29405"/>
    <cellStyle name="Normal 9 2 3 2 3 3 4" xfId="17382"/>
    <cellStyle name="Normal 9 2 3 2 3 3 4 2" xfId="31407"/>
    <cellStyle name="Normal 9 2 3 2 3 3 5" xfId="19384"/>
    <cellStyle name="Normal 9 2 3 2 3 3 5 2" xfId="33409"/>
    <cellStyle name="Normal 9 2 3 2 3 3 6" xfId="25398"/>
    <cellStyle name="Normal 9 2 3 2 3 4" xfId="13358"/>
    <cellStyle name="Normal 9 2 3 2 3 4 2" xfId="21383"/>
    <cellStyle name="Normal 9 2 3 2 3 4 2 2" xfId="35408"/>
    <cellStyle name="Normal 9 2 3 2 3 4 3" xfId="27397"/>
    <cellStyle name="Normal 9 2 3 2 3 5" xfId="15373"/>
    <cellStyle name="Normal 9 2 3 2 3 5 2" xfId="23388"/>
    <cellStyle name="Normal 9 2 3 2 3 5 2 2" xfId="37413"/>
    <cellStyle name="Normal 9 2 3 2 3 5 3" xfId="29402"/>
    <cellStyle name="Normal 9 2 3 2 3 6" xfId="17379"/>
    <cellStyle name="Normal 9 2 3 2 3 6 2" xfId="31404"/>
    <cellStyle name="Normal 9 2 3 2 3 7" xfId="19381"/>
    <cellStyle name="Normal 9 2 3 2 3 7 2" xfId="33406"/>
    <cellStyle name="Normal 9 2 3 2 3 8" xfId="25395"/>
    <cellStyle name="Normal 9 2 3 2 4" xfId="2768"/>
    <cellStyle name="Normal 9 2 3 2 4 2" xfId="2769"/>
    <cellStyle name="Normal 9 2 3 2 4 2 2" xfId="13363"/>
    <cellStyle name="Normal 9 2 3 2 4 2 2 2" xfId="21388"/>
    <cellStyle name="Normal 9 2 3 2 4 2 2 2 2" xfId="35413"/>
    <cellStyle name="Normal 9 2 3 2 4 2 2 3" xfId="27402"/>
    <cellStyle name="Normal 9 2 3 2 4 2 3" xfId="15378"/>
    <cellStyle name="Normal 9 2 3 2 4 2 3 2" xfId="23393"/>
    <cellStyle name="Normal 9 2 3 2 4 2 3 2 2" xfId="37418"/>
    <cellStyle name="Normal 9 2 3 2 4 2 3 3" xfId="29407"/>
    <cellStyle name="Normal 9 2 3 2 4 2 4" xfId="17384"/>
    <cellStyle name="Normal 9 2 3 2 4 2 4 2" xfId="31409"/>
    <cellStyle name="Normal 9 2 3 2 4 2 5" xfId="19386"/>
    <cellStyle name="Normal 9 2 3 2 4 2 5 2" xfId="33411"/>
    <cellStyle name="Normal 9 2 3 2 4 2 6" xfId="25400"/>
    <cellStyle name="Normal 9 2 3 2 4 3" xfId="13362"/>
    <cellStyle name="Normal 9 2 3 2 4 3 2" xfId="21387"/>
    <cellStyle name="Normal 9 2 3 2 4 3 2 2" xfId="35412"/>
    <cellStyle name="Normal 9 2 3 2 4 3 3" xfId="27401"/>
    <cellStyle name="Normal 9 2 3 2 4 4" xfId="15377"/>
    <cellStyle name="Normal 9 2 3 2 4 4 2" xfId="23392"/>
    <cellStyle name="Normal 9 2 3 2 4 4 2 2" xfId="37417"/>
    <cellStyle name="Normal 9 2 3 2 4 4 3" xfId="29406"/>
    <cellStyle name="Normal 9 2 3 2 4 5" xfId="17383"/>
    <cellStyle name="Normal 9 2 3 2 4 5 2" xfId="31408"/>
    <cellStyle name="Normal 9 2 3 2 4 6" xfId="19385"/>
    <cellStyle name="Normal 9 2 3 2 4 6 2" xfId="33410"/>
    <cellStyle name="Normal 9 2 3 2 4 7" xfId="25399"/>
    <cellStyle name="Normal 9 2 3 2 5" xfId="2770"/>
    <cellStyle name="Normal 9 2 3 2 5 2" xfId="2771"/>
    <cellStyle name="Normal 9 2 3 2 5 2 2" xfId="13365"/>
    <cellStyle name="Normal 9 2 3 2 5 2 2 2" xfId="21390"/>
    <cellStyle name="Normal 9 2 3 2 5 2 2 2 2" xfId="35415"/>
    <cellStyle name="Normal 9 2 3 2 5 2 2 3" xfId="27404"/>
    <cellStyle name="Normal 9 2 3 2 5 2 3" xfId="15380"/>
    <cellStyle name="Normal 9 2 3 2 5 2 3 2" xfId="23395"/>
    <cellStyle name="Normal 9 2 3 2 5 2 3 2 2" xfId="37420"/>
    <cellStyle name="Normal 9 2 3 2 5 2 3 3" xfId="29409"/>
    <cellStyle name="Normal 9 2 3 2 5 2 4" xfId="17386"/>
    <cellStyle name="Normal 9 2 3 2 5 2 4 2" xfId="31411"/>
    <cellStyle name="Normal 9 2 3 2 5 2 5" xfId="19388"/>
    <cellStyle name="Normal 9 2 3 2 5 2 5 2" xfId="33413"/>
    <cellStyle name="Normal 9 2 3 2 5 2 6" xfId="25402"/>
    <cellStyle name="Normal 9 2 3 2 5 3" xfId="13364"/>
    <cellStyle name="Normal 9 2 3 2 5 3 2" xfId="21389"/>
    <cellStyle name="Normal 9 2 3 2 5 3 2 2" xfId="35414"/>
    <cellStyle name="Normal 9 2 3 2 5 3 3" xfId="27403"/>
    <cellStyle name="Normal 9 2 3 2 5 4" xfId="15379"/>
    <cellStyle name="Normal 9 2 3 2 5 4 2" xfId="23394"/>
    <cellStyle name="Normal 9 2 3 2 5 4 2 2" xfId="37419"/>
    <cellStyle name="Normal 9 2 3 2 5 4 3" xfId="29408"/>
    <cellStyle name="Normal 9 2 3 2 5 5" xfId="17385"/>
    <cellStyle name="Normal 9 2 3 2 5 5 2" xfId="31410"/>
    <cellStyle name="Normal 9 2 3 2 5 6" xfId="19387"/>
    <cellStyle name="Normal 9 2 3 2 5 6 2" xfId="33412"/>
    <cellStyle name="Normal 9 2 3 2 5 7" xfId="25401"/>
    <cellStyle name="Normal 9 2 3 2 6" xfId="2772"/>
    <cellStyle name="Normal 9 2 3 2 6 2" xfId="13366"/>
    <cellStyle name="Normal 9 2 3 2 6 2 2" xfId="21391"/>
    <cellStyle name="Normal 9 2 3 2 6 2 2 2" xfId="35416"/>
    <cellStyle name="Normal 9 2 3 2 6 2 3" xfId="27405"/>
    <cellStyle name="Normal 9 2 3 2 6 3" xfId="15381"/>
    <cellStyle name="Normal 9 2 3 2 6 3 2" xfId="23396"/>
    <cellStyle name="Normal 9 2 3 2 6 3 2 2" xfId="37421"/>
    <cellStyle name="Normal 9 2 3 2 6 3 3" xfId="29410"/>
    <cellStyle name="Normal 9 2 3 2 6 4" xfId="17387"/>
    <cellStyle name="Normal 9 2 3 2 6 4 2" xfId="31412"/>
    <cellStyle name="Normal 9 2 3 2 6 5" xfId="19389"/>
    <cellStyle name="Normal 9 2 3 2 6 5 2" xfId="33414"/>
    <cellStyle name="Normal 9 2 3 2 6 6" xfId="25403"/>
    <cellStyle name="Normal 9 2 3 2 7" xfId="13347"/>
    <cellStyle name="Normal 9 2 3 2 7 2" xfId="21372"/>
    <cellStyle name="Normal 9 2 3 2 7 2 2" xfId="35397"/>
    <cellStyle name="Normal 9 2 3 2 7 3" xfId="27386"/>
    <cellStyle name="Normal 9 2 3 2 8" xfId="15362"/>
    <cellStyle name="Normal 9 2 3 2 8 2" xfId="23377"/>
    <cellStyle name="Normal 9 2 3 2 8 2 2" xfId="37402"/>
    <cellStyle name="Normal 9 2 3 2 8 3" xfId="29391"/>
    <cellStyle name="Normal 9 2 3 2 9" xfId="17368"/>
    <cellStyle name="Normal 9 2 3 2 9 2" xfId="31393"/>
    <cellStyle name="Normal 9 2 3 3" xfId="2773"/>
    <cellStyle name="Normal 9 2 3 3 10" xfId="25404"/>
    <cellStyle name="Normal 9 2 3 3 2" xfId="2774"/>
    <cellStyle name="Normal 9 2 3 3 2 2" xfId="2775"/>
    <cellStyle name="Normal 9 2 3 3 2 2 2" xfId="2776"/>
    <cellStyle name="Normal 9 2 3 3 2 2 2 2" xfId="13370"/>
    <cellStyle name="Normal 9 2 3 3 2 2 2 2 2" xfId="21395"/>
    <cellStyle name="Normal 9 2 3 3 2 2 2 2 2 2" xfId="35420"/>
    <cellStyle name="Normal 9 2 3 3 2 2 2 2 3" xfId="27409"/>
    <cellStyle name="Normal 9 2 3 3 2 2 2 3" xfId="15385"/>
    <cellStyle name="Normal 9 2 3 3 2 2 2 3 2" xfId="23400"/>
    <cellStyle name="Normal 9 2 3 3 2 2 2 3 2 2" xfId="37425"/>
    <cellStyle name="Normal 9 2 3 3 2 2 2 3 3" xfId="29414"/>
    <cellStyle name="Normal 9 2 3 3 2 2 2 4" xfId="17391"/>
    <cellStyle name="Normal 9 2 3 3 2 2 2 4 2" xfId="31416"/>
    <cellStyle name="Normal 9 2 3 3 2 2 2 5" xfId="19393"/>
    <cellStyle name="Normal 9 2 3 3 2 2 2 5 2" xfId="33418"/>
    <cellStyle name="Normal 9 2 3 3 2 2 2 6" xfId="25407"/>
    <cellStyle name="Normal 9 2 3 3 2 2 3" xfId="13369"/>
    <cellStyle name="Normal 9 2 3 3 2 2 3 2" xfId="21394"/>
    <cellStyle name="Normal 9 2 3 3 2 2 3 2 2" xfId="35419"/>
    <cellStyle name="Normal 9 2 3 3 2 2 3 3" xfId="27408"/>
    <cellStyle name="Normal 9 2 3 3 2 2 4" xfId="15384"/>
    <cellStyle name="Normal 9 2 3 3 2 2 4 2" xfId="23399"/>
    <cellStyle name="Normal 9 2 3 3 2 2 4 2 2" xfId="37424"/>
    <cellStyle name="Normal 9 2 3 3 2 2 4 3" xfId="29413"/>
    <cellStyle name="Normal 9 2 3 3 2 2 5" xfId="17390"/>
    <cellStyle name="Normal 9 2 3 3 2 2 5 2" xfId="31415"/>
    <cellStyle name="Normal 9 2 3 3 2 2 6" xfId="19392"/>
    <cellStyle name="Normal 9 2 3 3 2 2 6 2" xfId="33417"/>
    <cellStyle name="Normal 9 2 3 3 2 2 7" xfId="25406"/>
    <cellStyle name="Normal 9 2 3 3 2 3" xfId="2777"/>
    <cellStyle name="Normal 9 2 3 3 2 3 2" xfId="13371"/>
    <cellStyle name="Normal 9 2 3 3 2 3 2 2" xfId="21396"/>
    <cellStyle name="Normal 9 2 3 3 2 3 2 2 2" xfId="35421"/>
    <cellStyle name="Normal 9 2 3 3 2 3 2 3" xfId="27410"/>
    <cellStyle name="Normal 9 2 3 3 2 3 3" xfId="15386"/>
    <cellStyle name="Normal 9 2 3 3 2 3 3 2" xfId="23401"/>
    <cellStyle name="Normal 9 2 3 3 2 3 3 2 2" xfId="37426"/>
    <cellStyle name="Normal 9 2 3 3 2 3 3 3" xfId="29415"/>
    <cellStyle name="Normal 9 2 3 3 2 3 4" xfId="17392"/>
    <cellStyle name="Normal 9 2 3 3 2 3 4 2" xfId="31417"/>
    <cellStyle name="Normal 9 2 3 3 2 3 5" xfId="19394"/>
    <cellStyle name="Normal 9 2 3 3 2 3 5 2" xfId="33419"/>
    <cellStyle name="Normal 9 2 3 3 2 3 6" xfId="25408"/>
    <cellStyle name="Normal 9 2 3 3 2 4" xfId="13368"/>
    <cellStyle name="Normal 9 2 3 3 2 4 2" xfId="21393"/>
    <cellStyle name="Normal 9 2 3 3 2 4 2 2" xfId="35418"/>
    <cellStyle name="Normal 9 2 3 3 2 4 3" xfId="27407"/>
    <cellStyle name="Normal 9 2 3 3 2 5" xfId="15383"/>
    <cellStyle name="Normal 9 2 3 3 2 5 2" xfId="23398"/>
    <cellStyle name="Normal 9 2 3 3 2 5 2 2" xfId="37423"/>
    <cellStyle name="Normal 9 2 3 3 2 5 3" xfId="29412"/>
    <cellStyle name="Normal 9 2 3 3 2 6" xfId="17389"/>
    <cellStyle name="Normal 9 2 3 3 2 6 2" xfId="31414"/>
    <cellStyle name="Normal 9 2 3 3 2 7" xfId="19391"/>
    <cellStyle name="Normal 9 2 3 3 2 7 2" xfId="33416"/>
    <cellStyle name="Normal 9 2 3 3 2 8" xfId="25405"/>
    <cellStyle name="Normal 9 2 3 3 3" xfId="2778"/>
    <cellStyle name="Normal 9 2 3 3 3 2" xfId="2779"/>
    <cellStyle name="Normal 9 2 3 3 3 2 2" xfId="13373"/>
    <cellStyle name="Normal 9 2 3 3 3 2 2 2" xfId="21398"/>
    <cellStyle name="Normal 9 2 3 3 3 2 2 2 2" xfId="35423"/>
    <cellStyle name="Normal 9 2 3 3 3 2 2 3" xfId="27412"/>
    <cellStyle name="Normal 9 2 3 3 3 2 3" xfId="15388"/>
    <cellStyle name="Normal 9 2 3 3 3 2 3 2" xfId="23403"/>
    <cellStyle name="Normal 9 2 3 3 3 2 3 2 2" xfId="37428"/>
    <cellStyle name="Normal 9 2 3 3 3 2 3 3" xfId="29417"/>
    <cellStyle name="Normal 9 2 3 3 3 2 4" xfId="17394"/>
    <cellStyle name="Normal 9 2 3 3 3 2 4 2" xfId="31419"/>
    <cellStyle name="Normal 9 2 3 3 3 2 5" xfId="19396"/>
    <cellStyle name="Normal 9 2 3 3 3 2 5 2" xfId="33421"/>
    <cellStyle name="Normal 9 2 3 3 3 2 6" xfId="25410"/>
    <cellStyle name="Normal 9 2 3 3 3 3" xfId="13372"/>
    <cellStyle name="Normal 9 2 3 3 3 3 2" xfId="21397"/>
    <cellStyle name="Normal 9 2 3 3 3 3 2 2" xfId="35422"/>
    <cellStyle name="Normal 9 2 3 3 3 3 3" xfId="27411"/>
    <cellStyle name="Normal 9 2 3 3 3 4" xfId="15387"/>
    <cellStyle name="Normal 9 2 3 3 3 4 2" xfId="23402"/>
    <cellStyle name="Normal 9 2 3 3 3 4 2 2" xfId="37427"/>
    <cellStyle name="Normal 9 2 3 3 3 4 3" xfId="29416"/>
    <cellStyle name="Normal 9 2 3 3 3 5" xfId="17393"/>
    <cellStyle name="Normal 9 2 3 3 3 5 2" xfId="31418"/>
    <cellStyle name="Normal 9 2 3 3 3 6" xfId="19395"/>
    <cellStyle name="Normal 9 2 3 3 3 6 2" xfId="33420"/>
    <cellStyle name="Normal 9 2 3 3 3 7" xfId="25409"/>
    <cellStyle name="Normal 9 2 3 3 4" xfId="2780"/>
    <cellStyle name="Normal 9 2 3 3 4 2" xfId="2781"/>
    <cellStyle name="Normal 9 2 3 3 4 2 2" xfId="13375"/>
    <cellStyle name="Normal 9 2 3 3 4 2 2 2" xfId="21400"/>
    <cellStyle name="Normal 9 2 3 3 4 2 2 2 2" xfId="35425"/>
    <cellStyle name="Normal 9 2 3 3 4 2 2 3" xfId="27414"/>
    <cellStyle name="Normal 9 2 3 3 4 2 3" xfId="15390"/>
    <cellStyle name="Normal 9 2 3 3 4 2 3 2" xfId="23405"/>
    <cellStyle name="Normal 9 2 3 3 4 2 3 2 2" xfId="37430"/>
    <cellStyle name="Normal 9 2 3 3 4 2 3 3" xfId="29419"/>
    <cellStyle name="Normal 9 2 3 3 4 2 4" xfId="17396"/>
    <cellStyle name="Normal 9 2 3 3 4 2 4 2" xfId="31421"/>
    <cellStyle name="Normal 9 2 3 3 4 2 5" xfId="19398"/>
    <cellStyle name="Normal 9 2 3 3 4 2 5 2" xfId="33423"/>
    <cellStyle name="Normal 9 2 3 3 4 2 6" xfId="25412"/>
    <cellStyle name="Normal 9 2 3 3 4 3" xfId="13374"/>
    <cellStyle name="Normal 9 2 3 3 4 3 2" xfId="21399"/>
    <cellStyle name="Normal 9 2 3 3 4 3 2 2" xfId="35424"/>
    <cellStyle name="Normal 9 2 3 3 4 3 3" xfId="27413"/>
    <cellStyle name="Normal 9 2 3 3 4 4" xfId="15389"/>
    <cellStyle name="Normal 9 2 3 3 4 4 2" xfId="23404"/>
    <cellStyle name="Normal 9 2 3 3 4 4 2 2" xfId="37429"/>
    <cellStyle name="Normal 9 2 3 3 4 4 3" xfId="29418"/>
    <cellStyle name="Normal 9 2 3 3 4 5" xfId="17395"/>
    <cellStyle name="Normal 9 2 3 3 4 5 2" xfId="31420"/>
    <cellStyle name="Normal 9 2 3 3 4 6" xfId="19397"/>
    <cellStyle name="Normal 9 2 3 3 4 6 2" xfId="33422"/>
    <cellStyle name="Normal 9 2 3 3 4 7" xfId="25411"/>
    <cellStyle name="Normal 9 2 3 3 5" xfId="2782"/>
    <cellStyle name="Normal 9 2 3 3 5 2" xfId="13376"/>
    <cellStyle name="Normal 9 2 3 3 5 2 2" xfId="21401"/>
    <cellStyle name="Normal 9 2 3 3 5 2 2 2" xfId="35426"/>
    <cellStyle name="Normal 9 2 3 3 5 2 3" xfId="27415"/>
    <cellStyle name="Normal 9 2 3 3 5 3" xfId="15391"/>
    <cellStyle name="Normal 9 2 3 3 5 3 2" xfId="23406"/>
    <cellStyle name="Normal 9 2 3 3 5 3 2 2" xfId="37431"/>
    <cellStyle name="Normal 9 2 3 3 5 3 3" xfId="29420"/>
    <cellStyle name="Normal 9 2 3 3 5 4" xfId="17397"/>
    <cellStyle name="Normal 9 2 3 3 5 4 2" xfId="31422"/>
    <cellStyle name="Normal 9 2 3 3 5 5" xfId="19399"/>
    <cellStyle name="Normal 9 2 3 3 5 5 2" xfId="33424"/>
    <cellStyle name="Normal 9 2 3 3 5 6" xfId="25413"/>
    <cellStyle name="Normal 9 2 3 3 6" xfId="13367"/>
    <cellStyle name="Normal 9 2 3 3 6 2" xfId="21392"/>
    <cellStyle name="Normal 9 2 3 3 6 2 2" xfId="35417"/>
    <cellStyle name="Normal 9 2 3 3 6 3" xfId="27406"/>
    <cellStyle name="Normal 9 2 3 3 7" xfId="15382"/>
    <cellStyle name="Normal 9 2 3 3 7 2" xfId="23397"/>
    <cellStyle name="Normal 9 2 3 3 7 2 2" xfId="37422"/>
    <cellStyle name="Normal 9 2 3 3 7 3" xfId="29411"/>
    <cellStyle name="Normal 9 2 3 3 8" xfId="17388"/>
    <cellStyle name="Normal 9 2 3 3 8 2" xfId="31413"/>
    <cellStyle name="Normal 9 2 3 3 9" xfId="19390"/>
    <cellStyle name="Normal 9 2 3 3 9 2" xfId="33415"/>
    <cellStyle name="Normal 9 2 3 4" xfId="2783"/>
    <cellStyle name="Normal 9 2 3 4 2" xfId="2784"/>
    <cellStyle name="Normal 9 2 3 4 2 2" xfId="2785"/>
    <cellStyle name="Normal 9 2 3 4 2 2 2" xfId="13379"/>
    <cellStyle name="Normal 9 2 3 4 2 2 2 2" xfId="21404"/>
    <cellStyle name="Normal 9 2 3 4 2 2 2 2 2" xfId="35429"/>
    <cellStyle name="Normal 9 2 3 4 2 2 2 3" xfId="27418"/>
    <cellStyle name="Normal 9 2 3 4 2 2 3" xfId="15394"/>
    <cellStyle name="Normal 9 2 3 4 2 2 3 2" xfId="23409"/>
    <cellStyle name="Normal 9 2 3 4 2 2 3 2 2" xfId="37434"/>
    <cellStyle name="Normal 9 2 3 4 2 2 3 3" xfId="29423"/>
    <cellStyle name="Normal 9 2 3 4 2 2 4" xfId="17400"/>
    <cellStyle name="Normal 9 2 3 4 2 2 4 2" xfId="31425"/>
    <cellStyle name="Normal 9 2 3 4 2 2 5" xfId="19402"/>
    <cellStyle name="Normal 9 2 3 4 2 2 5 2" xfId="33427"/>
    <cellStyle name="Normal 9 2 3 4 2 2 6" xfId="25416"/>
    <cellStyle name="Normal 9 2 3 4 2 3" xfId="13378"/>
    <cellStyle name="Normal 9 2 3 4 2 3 2" xfId="21403"/>
    <cellStyle name="Normal 9 2 3 4 2 3 2 2" xfId="35428"/>
    <cellStyle name="Normal 9 2 3 4 2 3 3" xfId="27417"/>
    <cellStyle name="Normal 9 2 3 4 2 4" xfId="15393"/>
    <cellStyle name="Normal 9 2 3 4 2 4 2" xfId="23408"/>
    <cellStyle name="Normal 9 2 3 4 2 4 2 2" xfId="37433"/>
    <cellStyle name="Normal 9 2 3 4 2 4 3" xfId="29422"/>
    <cellStyle name="Normal 9 2 3 4 2 5" xfId="17399"/>
    <cellStyle name="Normal 9 2 3 4 2 5 2" xfId="31424"/>
    <cellStyle name="Normal 9 2 3 4 2 6" xfId="19401"/>
    <cellStyle name="Normal 9 2 3 4 2 6 2" xfId="33426"/>
    <cellStyle name="Normal 9 2 3 4 2 7" xfId="25415"/>
    <cellStyle name="Normal 9 2 3 4 3" xfId="2786"/>
    <cellStyle name="Normal 9 2 3 4 3 2" xfId="13380"/>
    <cellStyle name="Normal 9 2 3 4 3 2 2" xfId="21405"/>
    <cellStyle name="Normal 9 2 3 4 3 2 2 2" xfId="35430"/>
    <cellStyle name="Normal 9 2 3 4 3 2 3" xfId="27419"/>
    <cellStyle name="Normal 9 2 3 4 3 3" xfId="15395"/>
    <cellStyle name="Normal 9 2 3 4 3 3 2" xfId="23410"/>
    <cellStyle name="Normal 9 2 3 4 3 3 2 2" xfId="37435"/>
    <cellStyle name="Normal 9 2 3 4 3 3 3" xfId="29424"/>
    <cellStyle name="Normal 9 2 3 4 3 4" xfId="17401"/>
    <cellStyle name="Normal 9 2 3 4 3 4 2" xfId="31426"/>
    <cellStyle name="Normal 9 2 3 4 3 5" xfId="19403"/>
    <cellStyle name="Normal 9 2 3 4 3 5 2" xfId="33428"/>
    <cellStyle name="Normal 9 2 3 4 3 6" xfId="25417"/>
    <cellStyle name="Normal 9 2 3 4 4" xfId="13377"/>
    <cellStyle name="Normal 9 2 3 4 4 2" xfId="21402"/>
    <cellStyle name="Normal 9 2 3 4 4 2 2" xfId="35427"/>
    <cellStyle name="Normal 9 2 3 4 4 3" xfId="27416"/>
    <cellStyle name="Normal 9 2 3 4 5" xfId="15392"/>
    <cellStyle name="Normal 9 2 3 4 5 2" xfId="23407"/>
    <cellStyle name="Normal 9 2 3 4 5 2 2" xfId="37432"/>
    <cellStyle name="Normal 9 2 3 4 5 3" xfId="29421"/>
    <cellStyle name="Normal 9 2 3 4 6" xfId="17398"/>
    <cellStyle name="Normal 9 2 3 4 6 2" xfId="31423"/>
    <cellStyle name="Normal 9 2 3 4 7" xfId="19400"/>
    <cellStyle name="Normal 9 2 3 4 7 2" xfId="33425"/>
    <cellStyle name="Normal 9 2 3 4 8" xfId="25414"/>
    <cellStyle name="Normal 9 2 3 5" xfId="2787"/>
    <cellStyle name="Normal 9 2 3 5 2" xfId="2788"/>
    <cellStyle name="Normal 9 2 3 5 2 2" xfId="13382"/>
    <cellStyle name="Normal 9 2 3 5 2 2 2" xfId="21407"/>
    <cellStyle name="Normal 9 2 3 5 2 2 2 2" xfId="35432"/>
    <cellStyle name="Normal 9 2 3 5 2 2 3" xfId="27421"/>
    <cellStyle name="Normal 9 2 3 5 2 3" xfId="15397"/>
    <cellStyle name="Normal 9 2 3 5 2 3 2" xfId="23412"/>
    <cellStyle name="Normal 9 2 3 5 2 3 2 2" xfId="37437"/>
    <cellStyle name="Normal 9 2 3 5 2 3 3" xfId="29426"/>
    <cellStyle name="Normal 9 2 3 5 2 4" xfId="17403"/>
    <cellStyle name="Normal 9 2 3 5 2 4 2" xfId="31428"/>
    <cellStyle name="Normal 9 2 3 5 2 5" xfId="19405"/>
    <cellStyle name="Normal 9 2 3 5 2 5 2" xfId="33430"/>
    <cellStyle name="Normal 9 2 3 5 2 6" xfId="25419"/>
    <cellStyle name="Normal 9 2 3 5 3" xfId="13381"/>
    <cellStyle name="Normal 9 2 3 5 3 2" xfId="21406"/>
    <cellStyle name="Normal 9 2 3 5 3 2 2" xfId="35431"/>
    <cellStyle name="Normal 9 2 3 5 3 3" xfId="27420"/>
    <cellStyle name="Normal 9 2 3 5 4" xfId="15396"/>
    <cellStyle name="Normal 9 2 3 5 4 2" xfId="23411"/>
    <cellStyle name="Normal 9 2 3 5 4 2 2" xfId="37436"/>
    <cellStyle name="Normal 9 2 3 5 4 3" xfId="29425"/>
    <cellStyle name="Normal 9 2 3 5 5" xfId="17402"/>
    <cellStyle name="Normal 9 2 3 5 5 2" xfId="31427"/>
    <cellStyle name="Normal 9 2 3 5 6" xfId="19404"/>
    <cellStyle name="Normal 9 2 3 5 6 2" xfId="33429"/>
    <cellStyle name="Normal 9 2 3 5 7" xfId="25418"/>
    <cellStyle name="Normal 9 2 3 6" xfId="2789"/>
    <cellStyle name="Normal 9 2 3 6 2" xfId="2790"/>
    <cellStyle name="Normal 9 2 3 6 2 2" xfId="13384"/>
    <cellStyle name="Normal 9 2 3 6 2 2 2" xfId="21409"/>
    <cellStyle name="Normal 9 2 3 6 2 2 2 2" xfId="35434"/>
    <cellStyle name="Normal 9 2 3 6 2 2 3" xfId="27423"/>
    <cellStyle name="Normal 9 2 3 6 2 3" xfId="15399"/>
    <cellStyle name="Normal 9 2 3 6 2 3 2" xfId="23414"/>
    <cellStyle name="Normal 9 2 3 6 2 3 2 2" xfId="37439"/>
    <cellStyle name="Normal 9 2 3 6 2 3 3" xfId="29428"/>
    <cellStyle name="Normal 9 2 3 6 2 4" xfId="17405"/>
    <cellStyle name="Normal 9 2 3 6 2 4 2" xfId="31430"/>
    <cellStyle name="Normal 9 2 3 6 2 5" xfId="19407"/>
    <cellStyle name="Normal 9 2 3 6 2 5 2" xfId="33432"/>
    <cellStyle name="Normal 9 2 3 6 2 6" xfId="25421"/>
    <cellStyle name="Normal 9 2 3 6 3" xfId="13383"/>
    <cellStyle name="Normal 9 2 3 6 3 2" xfId="21408"/>
    <cellStyle name="Normal 9 2 3 6 3 2 2" xfId="35433"/>
    <cellStyle name="Normal 9 2 3 6 3 3" xfId="27422"/>
    <cellStyle name="Normal 9 2 3 6 4" xfId="15398"/>
    <cellStyle name="Normal 9 2 3 6 4 2" xfId="23413"/>
    <cellStyle name="Normal 9 2 3 6 4 2 2" xfId="37438"/>
    <cellStyle name="Normal 9 2 3 6 4 3" xfId="29427"/>
    <cellStyle name="Normal 9 2 3 6 5" xfId="17404"/>
    <cellStyle name="Normal 9 2 3 6 5 2" xfId="31429"/>
    <cellStyle name="Normal 9 2 3 6 6" xfId="19406"/>
    <cellStyle name="Normal 9 2 3 6 6 2" xfId="33431"/>
    <cellStyle name="Normal 9 2 3 6 7" xfId="25420"/>
    <cellStyle name="Normal 9 2 3 7" xfId="2791"/>
    <cellStyle name="Normal 9 2 3 7 2" xfId="13385"/>
    <cellStyle name="Normal 9 2 3 7 2 2" xfId="21410"/>
    <cellStyle name="Normal 9 2 3 7 2 2 2" xfId="35435"/>
    <cellStyle name="Normal 9 2 3 7 2 3" xfId="27424"/>
    <cellStyle name="Normal 9 2 3 7 3" xfId="15400"/>
    <cellStyle name="Normal 9 2 3 7 3 2" xfId="23415"/>
    <cellStyle name="Normal 9 2 3 7 3 2 2" xfId="37440"/>
    <cellStyle name="Normal 9 2 3 7 3 3" xfId="29429"/>
    <cellStyle name="Normal 9 2 3 7 4" xfId="17406"/>
    <cellStyle name="Normal 9 2 3 7 4 2" xfId="31431"/>
    <cellStyle name="Normal 9 2 3 7 5" xfId="19408"/>
    <cellStyle name="Normal 9 2 3 7 5 2" xfId="33433"/>
    <cellStyle name="Normal 9 2 3 7 6" xfId="25422"/>
    <cellStyle name="Normal 9 2 3 8" xfId="13346"/>
    <cellStyle name="Normal 9 2 3 8 2" xfId="21371"/>
    <cellStyle name="Normal 9 2 3 8 2 2" xfId="35396"/>
    <cellStyle name="Normal 9 2 3 8 3" xfId="27385"/>
    <cellStyle name="Normal 9 2 3 9" xfId="15361"/>
    <cellStyle name="Normal 9 2 3 9 2" xfId="23376"/>
    <cellStyle name="Normal 9 2 3 9 2 2" xfId="37401"/>
    <cellStyle name="Normal 9 2 3 9 3" xfId="29390"/>
    <cellStyle name="Normal 9 2 4" xfId="2792"/>
    <cellStyle name="Normal 9 2 4 10" xfId="19409"/>
    <cellStyle name="Normal 9 2 4 10 2" xfId="33434"/>
    <cellStyle name="Normal 9 2 4 11" xfId="25423"/>
    <cellStyle name="Normal 9 2 4 2" xfId="2793"/>
    <cellStyle name="Normal 9 2 4 2 10" xfId="25424"/>
    <cellStyle name="Normal 9 2 4 2 2" xfId="2794"/>
    <cellStyle name="Normal 9 2 4 2 2 2" xfId="2795"/>
    <cellStyle name="Normal 9 2 4 2 2 2 2" xfId="2796"/>
    <cellStyle name="Normal 9 2 4 2 2 2 2 2" xfId="13390"/>
    <cellStyle name="Normal 9 2 4 2 2 2 2 2 2" xfId="21415"/>
    <cellStyle name="Normal 9 2 4 2 2 2 2 2 2 2" xfId="35440"/>
    <cellStyle name="Normal 9 2 4 2 2 2 2 2 3" xfId="27429"/>
    <cellStyle name="Normal 9 2 4 2 2 2 2 3" xfId="15405"/>
    <cellStyle name="Normal 9 2 4 2 2 2 2 3 2" xfId="23420"/>
    <cellStyle name="Normal 9 2 4 2 2 2 2 3 2 2" xfId="37445"/>
    <cellStyle name="Normal 9 2 4 2 2 2 2 3 3" xfId="29434"/>
    <cellStyle name="Normal 9 2 4 2 2 2 2 4" xfId="17411"/>
    <cellStyle name="Normal 9 2 4 2 2 2 2 4 2" xfId="31436"/>
    <cellStyle name="Normal 9 2 4 2 2 2 2 5" xfId="19413"/>
    <cellStyle name="Normal 9 2 4 2 2 2 2 5 2" xfId="33438"/>
    <cellStyle name="Normal 9 2 4 2 2 2 2 6" xfId="25427"/>
    <cellStyle name="Normal 9 2 4 2 2 2 3" xfId="13389"/>
    <cellStyle name="Normal 9 2 4 2 2 2 3 2" xfId="21414"/>
    <cellStyle name="Normal 9 2 4 2 2 2 3 2 2" xfId="35439"/>
    <cellStyle name="Normal 9 2 4 2 2 2 3 3" xfId="27428"/>
    <cellStyle name="Normal 9 2 4 2 2 2 4" xfId="15404"/>
    <cellStyle name="Normal 9 2 4 2 2 2 4 2" xfId="23419"/>
    <cellStyle name="Normal 9 2 4 2 2 2 4 2 2" xfId="37444"/>
    <cellStyle name="Normal 9 2 4 2 2 2 4 3" xfId="29433"/>
    <cellStyle name="Normal 9 2 4 2 2 2 5" xfId="17410"/>
    <cellStyle name="Normal 9 2 4 2 2 2 5 2" xfId="31435"/>
    <cellStyle name="Normal 9 2 4 2 2 2 6" xfId="19412"/>
    <cellStyle name="Normal 9 2 4 2 2 2 6 2" xfId="33437"/>
    <cellStyle name="Normal 9 2 4 2 2 2 7" xfId="25426"/>
    <cellStyle name="Normal 9 2 4 2 2 3" xfId="2797"/>
    <cellStyle name="Normal 9 2 4 2 2 3 2" xfId="13391"/>
    <cellStyle name="Normal 9 2 4 2 2 3 2 2" xfId="21416"/>
    <cellStyle name="Normal 9 2 4 2 2 3 2 2 2" xfId="35441"/>
    <cellStyle name="Normal 9 2 4 2 2 3 2 3" xfId="27430"/>
    <cellStyle name="Normal 9 2 4 2 2 3 3" xfId="15406"/>
    <cellStyle name="Normal 9 2 4 2 2 3 3 2" xfId="23421"/>
    <cellStyle name="Normal 9 2 4 2 2 3 3 2 2" xfId="37446"/>
    <cellStyle name="Normal 9 2 4 2 2 3 3 3" xfId="29435"/>
    <cellStyle name="Normal 9 2 4 2 2 3 4" xfId="17412"/>
    <cellStyle name="Normal 9 2 4 2 2 3 4 2" xfId="31437"/>
    <cellStyle name="Normal 9 2 4 2 2 3 5" xfId="19414"/>
    <cellStyle name="Normal 9 2 4 2 2 3 5 2" xfId="33439"/>
    <cellStyle name="Normal 9 2 4 2 2 3 6" xfId="25428"/>
    <cellStyle name="Normal 9 2 4 2 2 4" xfId="13388"/>
    <cellStyle name="Normal 9 2 4 2 2 4 2" xfId="21413"/>
    <cellStyle name="Normal 9 2 4 2 2 4 2 2" xfId="35438"/>
    <cellStyle name="Normal 9 2 4 2 2 4 3" xfId="27427"/>
    <cellStyle name="Normal 9 2 4 2 2 5" xfId="15403"/>
    <cellStyle name="Normal 9 2 4 2 2 5 2" xfId="23418"/>
    <cellStyle name="Normal 9 2 4 2 2 5 2 2" xfId="37443"/>
    <cellStyle name="Normal 9 2 4 2 2 5 3" xfId="29432"/>
    <cellStyle name="Normal 9 2 4 2 2 6" xfId="17409"/>
    <cellStyle name="Normal 9 2 4 2 2 6 2" xfId="31434"/>
    <cellStyle name="Normal 9 2 4 2 2 7" xfId="19411"/>
    <cellStyle name="Normal 9 2 4 2 2 7 2" xfId="33436"/>
    <cellStyle name="Normal 9 2 4 2 2 8" xfId="25425"/>
    <cellStyle name="Normal 9 2 4 2 3" xfId="2798"/>
    <cellStyle name="Normal 9 2 4 2 3 2" xfId="2799"/>
    <cellStyle name="Normal 9 2 4 2 3 2 2" xfId="13393"/>
    <cellStyle name="Normal 9 2 4 2 3 2 2 2" xfId="21418"/>
    <cellStyle name="Normal 9 2 4 2 3 2 2 2 2" xfId="35443"/>
    <cellStyle name="Normal 9 2 4 2 3 2 2 3" xfId="27432"/>
    <cellStyle name="Normal 9 2 4 2 3 2 3" xfId="15408"/>
    <cellStyle name="Normal 9 2 4 2 3 2 3 2" xfId="23423"/>
    <cellStyle name="Normal 9 2 4 2 3 2 3 2 2" xfId="37448"/>
    <cellStyle name="Normal 9 2 4 2 3 2 3 3" xfId="29437"/>
    <cellStyle name="Normal 9 2 4 2 3 2 4" xfId="17414"/>
    <cellStyle name="Normal 9 2 4 2 3 2 4 2" xfId="31439"/>
    <cellStyle name="Normal 9 2 4 2 3 2 5" xfId="19416"/>
    <cellStyle name="Normal 9 2 4 2 3 2 5 2" xfId="33441"/>
    <cellStyle name="Normal 9 2 4 2 3 2 6" xfId="25430"/>
    <cellStyle name="Normal 9 2 4 2 3 3" xfId="13392"/>
    <cellStyle name="Normal 9 2 4 2 3 3 2" xfId="21417"/>
    <cellStyle name="Normal 9 2 4 2 3 3 2 2" xfId="35442"/>
    <cellStyle name="Normal 9 2 4 2 3 3 3" xfId="27431"/>
    <cellStyle name="Normal 9 2 4 2 3 4" xfId="15407"/>
    <cellStyle name="Normal 9 2 4 2 3 4 2" xfId="23422"/>
    <cellStyle name="Normal 9 2 4 2 3 4 2 2" xfId="37447"/>
    <cellStyle name="Normal 9 2 4 2 3 4 3" xfId="29436"/>
    <cellStyle name="Normal 9 2 4 2 3 5" xfId="17413"/>
    <cellStyle name="Normal 9 2 4 2 3 5 2" xfId="31438"/>
    <cellStyle name="Normal 9 2 4 2 3 6" xfId="19415"/>
    <cellStyle name="Normal 9 2 4 2 3 6 2" xfId="33440"/>
    <cellStyle name="Normal 9 2 4 2 3 7" xfId="25429"/>
    <cellStyle name="Normal 9 2 4 2 4" xfId="2800"/>
    <cellStyle name="Normal 9 2 4 2 4 2" xfId="2801"/>
    <cellStyle name="Normal 9 2 4 2 4 2 2" xfId="13395"/>
    <cellStyle name="Normal 9 2 4 2 4 2 2 2" xfId="21420"/>
    <cellStyle name="Normal 9 2 4 2 4 2 2 2 2" xfId="35445"/>
    <cellStyle name="Normal 9 2 4 2 4 2 2 3" xfId="27434"/>
    <cellStyle name="Normal 9 2 4 2 4 2 3" xfId="15410"/>
    <cellStyle name="Normal 9 2 4 2 4 2 3 2" xfId="23425"/>
    <cellStyle name="Normal 9 2 4 2 4 2 3 2 2" xfId="37450"/>
    <cellStyle name="Normal 9 2 4 2 4 2 3 3" xfId="29439"/>
    <cellStyle name="Normal 9 2 4 2 4 2 4" xfId="17416"/>
    <cellStyle name="Normal 9 2 4 2 4 2 4 2" xfId="31441"/>
    <cellStyle name="Normal 9 2 4 2 4 2 5" xfId="19418"/>
    <cellStyle name="Normal 9 2 4 2 4 2 5 2" xfId="33443"/>
    <cellStyle name="Normal 9 2 4 2 4 2 6" xfId="25432"/>
    <cellStyle name="Normal 9 2 4 2 4 3" xfId="13394"/>
    <cellStyle name="Normal 9 2 4 2 4 3 2" xfId="21419"/>
    <cellStyle name="Normal 9 2 4 2 4 3 2 2" xfId="35444"/>
    <cellStyle name="Normal 9 2 4 2 4 3 3" xfId="27433"/>
    <cellStyle name="Normal 9 2 4 2 4 4" xfId="15409"/>
    <cellStyle name="Normal 9 2 4 2 4 4 2" xfId="23424"/>
    <cellStyle name="Normal 9 2 4 2 4 4 2 2" xfId="37449"/>
    <cellStyle name="Normal 9 2 4 2 4 4 3" xfId="29438"/>
    <cellStyle name="Normal 9 2 4 2 4 5" xfId="17415"/>
    <cellStyle name="Normal 9 2 4 2 4 5 2" xfId="31440"/>
    <cellStyle name="Normal 9 2 4 2 4 6" xfId="19417"/>
    <cellStyle name="Normal 9 2 4 2 4 6 2" xfId="33442"/>
    <cellStyle name="Normal 9 2 4 2 4 7" xfId="25431"/>
    <cellStyle name="Normal 9 2 4 2 5" xfId="2802"/>
    <cellStyle name="Normal 9 2 4 2 5 2" xfId="13396"/>
    <cellStyle name="Normal 9 2 4 2 5 2 2" xfId="21421"/>
    <cellStyle name="Normal 9 2 4 2 5 2 2 2" xfId="35446"/>
    <cellStyle name="Normal 9 2 4 2 5 2 3" xfId="27435"/>
    <cellStyle name="Normal 9 2 4 2 5 3" xfId="15411"/>
    <cellStyle name="Normal 9 2 4 2 5 3 2" xfId="23426"/>
    <cellStyle name="Normal 9 2 4 2 5 3 2 2" xfId="37451"/>
    <cellStyle name="Normal 9 2 4 2 5 3 3" xfId="29440"/>
    <cellStyle name="Normal 9 2 4 2 5 4" xfId="17417"/>
    <cellStyle name="Normal 9 2 4 2 5 4 2" xfId="31442"/>
    <cellStyle name="Normal 9 2 4 2 5 5" xfId="19419"/>
    <cellStyle name="Normal 9 2 4 2 5 5 2" xfId="33444"/>
    <cellStyle name="Normal 9 2 4 2 5 6" xfId="25433"/>
    <cellStyle name="Normal 9 2 4 2 6" xfId="13387"/>
    <cellStyle name="Normal 9 2 4 2 6 2" xfId="21412"/>
    <cellStyle name="Normal 9 2 4 2 6 2 2" xfId="35437"/>
    <cellStyle name="Normal 9 2 4 2 6 3" xfId="27426"/>
    <cellStyle name="Normal 9 2 4 2 7" xfId="15402"/>
    <cellStyle name="Normal 9 2 4 2 7 2" xfId="23417"/>
    <cellStyle name="Normal 9 2 4 2 7 2 2" xfId="37442"/>
    <cellStyle name="Normal 9 2 4 2 7 3" xfId="29431"/>
    <cellStyle name="Normal 9 2 4 2 8" xfId="17408"/>
    <cellStyle name="Normal 9 2 4 2 8 2" xfId="31433"/>
    <cellStyle name="Normal 9 2 4 2 9" xfId="19410"/>
    <cellStyle name="Normal 9 2 4 2 9 2" xfId="33435"/>
    <cellStyle name="Normal 9 2 4 3" xfId="2803"/>
    <cellStyle name="Normal 9 2 4 3 2" xfId="2804"/>
    <cellStyle name="Normal 9 2 4 3 2 2" xfId="2805"/>
    <cellStyle name="Normal 9 2 4 3 2 2 2" xfId="13399"/>
    <cellStyle name="Normal 9 2 4 3 2 2 2 2" xfId="21424"/>
    <cellStyle name="Normal 9 2 4 3 2 2 2 2 2" xfId="35449"/>
    <cellStyle name="Normal 9 2 4 3 2 2 2 3" xfId="27438"/>
    <cellStyle name="Normal 9 2 4 3 2 2 3" xfId="15414"/>
    <cellStyle name="Normal 9 2 4 3 2 2 3 2" xfId="23429"/>
    <cellStyle name="Normal 9 2 4 3 2 2 3 2 2" xfId="37454"/>
    <cellStyle name="Normal 9 2 4 3 2 2 3 3" xfId="29443"/>
    <cellStyle name="Normal 9 2 4 3 2 2 4" xfId="17420"/>
    <cellStyle name="Normal 9 2 4 3 2 2 4 2" xfId="31445"/>
    <cellStyle name="Normal 9 2 4 3 2 2 5" xfId="19422"/>
    <cellStyle name="Normal 9 2 4 3 2 2 5 2" xfId="33447"/>
    <cellStyle name="Normal 9 2 4 3 2 2 6" xfId="25436"/>
    <cellStyle name="Normal 9 2 4 3 2 3" xfId="13398"/>
    <cellStyle name="Normal 9 2 4 3 2 3 2" xfId="21423"/>
    <cellStyle name="Normal 9 2 4 3 2 3 2 2" xfId="35448"/>
    <cellStyle name="Normal 9 2 4 3 2 3 3" xfId="27437"/>
    <cellStyle name="Normal 9 2 4 3 2 4" xfId="15413"/>
    <cellStyle name="Normal 9 2 4 3 2 4 2" xfId="23428"/>
    <cellStyle name="Normal 9 2 4 3 2 4 2 2" xfId="37453"/>
    <cellStyle name="Normal 9 2 4 3 2 4 3" xfId="29442"/>
    <cellStyle name="Normal 9 2 4 3 2 5" xfId="17419"/>
    <cellStyle name="Normal 9 2 4 3 2 5 2" xfId="31444"/>
    <cellStyle name="Normal 9 2 4 3 2 6" xfId="19421"/>
    <cellStyle name="Normal 9 2 4 3 2 6 2" xfId="33446"/>
    <cellStyle name="Normal 9 2 4 3 2 7" xfId="25435"/>
    <cellStyle name="Normal 9 2 4 3 3" xfId="2806"/>
    <cellStyle name="Normal 9 2 4 3 3 2" xfId="13400"/>
    <cellStyle name="Normal 9 2 4 3 3 2 2" xfId="21425"/>
    <cellStyle name="Normal 9 2 4 3 3 2 2 2" xfId="35450"/>
    <cellStyle name="Normal 9 2 4 3 3 2 3" xfId="27439"/>
    <cellStyle name="Normal 9 2 4 3 3 3" xfId="15415"/>
    <cellStyle name="Normal 9 2 4 3 3 3 2" xfId="23430"/>
    <cellStyle name="Normal 9 2 4 3 3 3 2 2" xfId="37455"/>
    <cellStyle name="Normal 9 2 4 3 3 3 3" xfId="29444"/>
    <cellStyle name="Normal 9 2 4 3 3 4" xfId="17421"/>
    <cellStyle name="Normal 9 2 4 3 3 4 2" xfId="31446"/>
    <cellStyle name="Normal 9 2 4 3 3 5" xfId="19423"/>
    <cellStyle name="Normal 9 2 4 3 3 5 2" xfId="33448"/>
    <cellStyle name="Normal 9 2 4 3 3 6" xfId="25437"/>
    <cellStyle name="Normal 9 2 4 3 4" xfId="13397"/>
    <cellStyle name="Normal 9 2 4 3 4 2" xfId="21422"/>
    <cellStyle name="Normal 9 2 4 3 4 2 2" xfId="35447"/>
    <cellStyle name="Normal 9 2 4 3 4 3" xfId="27436"/>
    <cellStyle name="Normal 9 2 4 3 5" xfId="15412"/>
    <cellStyle name="Normal 9 2 4 3 5 2" xfId="23427"/>
    <cellStyle name="Normal 9 2 4 3 5 2 2" xfId="37452"/>
    <cellStyle name="Normal 9 2 4 3 5 3" xfId="29441"/>
    <cellStyle name="Normal 9 2 4 3 6" xfId="17418"/>
    <cellStyle name="Normal 9 2 4 3 6 2" xfId="31443"/>
    <cellStyle name="Normal 9 2 4 3 7" xfId="19420"/>
    <cellStyle name="Normal 9 2 4 3 7 2" xfId="33445"/>
    <cellStyle name="Normal 9 2 4 3 8" xfId="25434"/>
    <cellStyle name="Normal 9 2 4 4" xfId="2807"/>
    <cellStyle name="Normal 9 2 4 4 2" xfId="2808"/>
    <cellStyle name="Normal 9 2 4 4 2 2" xfId="13402"/>
    <cellStyle name="Normal 9 2 4 4 2 2 2" xfId="21427"/>
    <cellStyle name="Normal 9 2 4 4 2 2 2 2" xfId="35452"/>
    <cellStyle name="Normal 9 2 4 4 2 2 3" xfId="27441"/>
    <cellStyle name="Normal 9 2 4 4 2 3" xfId="15417"/>
    <cellStyle name="Normal 9 2 4 4 2 3 2" xfId="23432"/>
    <cellStyle name="Normal 9 2 4 4 2 3 2 2" xfId="37457"/>
    <cellStyle name="Normal 9 2 4 4 2 3 3" xfId="29446"/>
    <cellStyle name="Normal 9 2 4 4 2 4" xfId="17423"/>
    <cellStyle name="Normal 9 2 4 4 2 4 2" xfId="31448"/>
    <cellStyle name="Normal 9 2 4 4 2 5" xfId="19425"/>
    <cellStyle name="Normal 9 2 4 4 2 5 2" xfId="33450"/>
    <cellStyle name="Normal 9 2 4 4 2 6" xfId="25439"/>
    <cellStyle name="Normal 9 2 4 4 3" xfId="13401"/>
    <cellStyle name="Normal 9 2 4 4 3 2" xfId="21426"/>
    <cellStyle name="Normal 9 2 4 4 3 2 2" xfId="35451"/>
    <cellStyle name="Normal 9 2 4 4 3 3" xfId="27440"/>
    <cellStyle name="Normal 9 2 4 4 4" xfId="15416"/>
    <cellStyle name="Normal 9 2 4 4 4 2" xfId="23431"/>
    <cellStyle name="Normal 9 2 4 4 4 2 2" xfId="37456"/>
    <cellStyle name="Normal 9 2 4 4 4 3" xfId="29445"/>
    <cellStyle name="Normal 9 2 4 4 5" xfId="17422"/>
    <cellStyle name="Normal 9 2 4 4 5 2" xfId="31447"/>
    <cellStyle name="Normal 9 2 4 4 6" xfId="19424"/>
    <cellStyle name="Normal 9 2 4 4 6 2" xfId="33449"/>
    <cellStyle name="Normal 9 2 4 4 7" xfId="25438"/>
    <cellStyle name="Normal 9 2 4 5" xfId="2809"/>
    <cellStyle name="Normal 9 2 4 5 2" xfId="2810"/>
    <cellStyle name="Normal 9 2 4 5 2 2" xfId="13404"/>
    <cellStyle name="Normal 9 2 4 5 2 2 2" xfId="21429"/>
    <cellStyle name="Normal 9 2 4 5 2 2 2 2" xfId="35454"/>
    <cellStyle name="Normal 9 2 4 5 2 2 3" xfId="27443"/>
    <cellStyle name="Normal 9 2 4 5 2 3" xfId="15419"/>
    <cellStyle name="Normal 9 2 4 5 2 3 2" xfId="23434"/>
    <cellStyle name="Normal 9 2 4 5 2 3 2 2" xfId="37459"/>
    <cellStyle name="Normal 9 2 4 5 2 3 3" xfId="29448"/>
    <cellStyle name="Normal 9 2 4 5 2 4" xfId="17425"/>
    <cellStyle name="Normal 9 2 4 5 2 4 2" xfId="31450"/>
    <cellStyle name="Normal 9 2 4 5 2 5" xfId="19427"/>
    <cellStyle name="Normal 9 2 4 5 2 5 2" xfId="33452"/>
    <cellStyle name="Normal 9 2 4 5 2 6" xfId="25441"/>
    <cellStyle name="Normal 9 2 4 5 3" xfId="13403"/>
    <cellStyle name="Normal 9 2 4 5 3 2" xfId="21428"/>
    <cellStyle name="Normal 9 2 4 5 3 2 2" xfId="35453"/>
    <cellStyle name="Normal 9 2 4 5 3 3" xfId="27442"/>
    <cellStyle name="Normal 9 2 4 5 4" xfId="15418"/>
    <cellStyle name="Normal 9 2 4 5 4 2" xfId="23433"/>
    <cellStyle name="Normal 9 2 4 5 4 2 2" xfId="37458"/>
    <cellStyle name="Normal 9 2 4 5 4 3" xfId="29447"/>
    <cellStyle name="Normal 9 2 4 5 5" xfId="17424"/>
    <cellStyle name="Normal 9 2 4 5 5 2" xfId="31449"/>
    <cellStyle name="Normal 9 2 4 5 6" xfId="19426"/>
    <cellStyle name="Normal 9 2 4 5 6 2" xfId="33451"/>
    <cellStyle name="Normal 9 2 4 5 7" xfId="25440"/>
    <cellStyle name="Normal 9 2 4 6" xfId="2811"/>
    <cellStyle name="Normal 9 2 4 6 2" xfId="13405"/>
    <cellStyle name="Normal 9 2 4 6 2 2" xfId="21430"/>
    <cellStyle name="Normal 9 2 4 6 2 2 2" xfId="35455"/>
    <cellStyle name="Normal 9 2 4 6 2 3" xfId="27444"/>
    <cellStyle name="Normal 9 2 4 6 3" xfId="15420"/>
    <cellStyle name="Normal 9 2 4 6 3 2" xfId="23435"/>
    <cellStyle name="Normal 9 2 4 6 3 2 2" xfId="37460"/>
    <cellStyle name="Normal 9 2 4 6 3 3" xfId="29449"/>
    <cellStyle name="Normal 9 2 4 6 4" xfId="17426"/>
    <cellStyle name="Normal 9 2 4 6 4 2" xfId="31451"/>
    <cellStyle name="Normal 9 2 4 6 5" xfId="19428"/>
    <cellStyle name="Normal 9 2 4 6 5 2" xfId="33453"/>
    <cellStyle name="Normal 9 2 4 6 6" xfId="25442"/>
    <cellStyle name="Normal 9 2 4 7" xfId="13386"/>
    <cellStyle name="Normal 9 2 4 7 2" xfId="21411"/>
    <cellStyle name="Normal 9 2 4 7 2 2" xfId="35436"/>
    <cellStyle name="Normal 9 2 4 7 3" xfId="27425"/>
    <cellStyle name="Normal 9 2 4 8" xfId="15401"/>
    <cellStyle name="Normal 9 2 4 8 2" xfId="23416"/>
    <cellStyle name="Normal 9 2 4 8 2 2" xfId="37441"/>
    <cellStyle name="Normal 9 2 4 8 3" xfId="29430"/>
    <cellStyle name="Normal 9 2 4 9" xfId="17407"/>
    <cellStyle name="Normal 9 2 4 9 2" xfId="31432"/>
    <cellStyle name="Normal 9 2 5" xfId="2812"/>
    <cellStyle name="Normal 9 2 5 10" xfId="25443"/>
    <cellStyle name="Normal 9 2 5 2" xfId="2813"/>
    <cellStyle name="Normal 9 2 5 2 2" xfId="2814"/>
    <cellStyle name="Normal 9 2 5 2 2 2" xfId="2815"/>
    <cellStyle name="Normal 9 2 5 2 2 2 2" xfId="13409"/>
    <cellStyle name="Normal 9 2 5 2 2 2 2 2" xfId="21434"/>
    <cellStyle name="Normal 9 2 5 2 2 2 2 2 2" xfId="35459"/>
    <cellStyle name="Normal 9 2 5 2 2 2 2 3" xfId="27448"/>
    <cellStyle name="Normal 9 2 5 2 2 2 3" xfId="15424"/>
    <cellStyle name="Normal 9 2 5 2 2 2 3 2" xfId="23439"/>
    <cellStyle name="Normal 9 2 5 2 2 2 3 2 2" xfId="37464"/>
    <cellStyle name="Normal 9 2 5 2 2 2 3 3" xfId="29453"/>
    <cellStyle name="Normal 9 2 5 2 2 2 4" xfId="17430"/>
    <cellStyle name="Normal 9 2 5 2 2 2 4 2" xfId="31455"/>
    <cellStyle name="Normal 9 2 5 2 2 2 5" xfId="19432"/>
    <cellStyle name="Normal 9 2 5 2 2 2 5 2" xfId="33457"/>
    <cellStyle name="Normal 9 2 5 2 2 2 6" xfId="25446"/>
    <cellStyle name="Normal 9 2 5 2 2 3" xfId="13408"/>
    <cellStyle name="Normal 9 2 5 2 2 3 2" xfId="21433"/>
    <cellStyle name="Normal 9 2 5 2 2 3 2 2" xfId="35458"/>
    <cellStyle name="Normal 9 2 5 2 2 3 3" xfId="27447"/>
    <cellStyle name="Normal 9 2 5 2 2 4" xfId="15423"/>
    <cellStyle name="Normal 9 2 5 2 2 4 2" xfId="23438"/>
    <cellStyle name="Normal 9 2 5 2 2 4 2 2" xfId="37463"/>
    <cellStyle name="Normal 9 2 5 2 2 4 3" xfId="29452"/>
    <cellStyle name="Normal 9 2 5 2 2 5" xfId="17429"/>
    <cellStyle name="Normal 9 2 5 2 2 5 2" xfId="31454"/>
    <cellStyle name="Normal 9 2 5 2 2 6" xfId="19431"/>
    <cellStyle name="Normal 9 2 5 2 2 6 2" xfId="33456"/>
    <cellStyle name="Normal 9 2 5 2 2 7" xfId="25445"/>
    <cellStyle name="Normal 9 2 5 2 3" xfId="2816"/>
    <cellStyle name="Normal 9 2 5 2 3 2" xfId="13410"/>
    <cellStyle name="Normal 9 2 5 2 3 2 2" xfId="21435"/>
    <cellStyle name="Normal 9 2 5 2 3 2 2 2" xfId="35460"/>
    <cellStyle name="Normal 9 2 5 2 3 2 3" xfId="27449"/>
    <cellStyle name="Normal 9 2 5 2 3 3" xfId="15425"/>
    <cellStyle name="Normal 9 2 5 2 3 3 2" xfId="23440"/>
    <cellStyle name="Normal 9 2 5 2 3 3 2 2" xfId="37465"/>
    <cellStyle name="Normal 9 2 5 2 3 3 3" xfId="29454"/>
    <cellStyle name="Normal 9 2 5 2 3 4" xfId="17431"/>
    <cellStyle name="Normal 9 2 5 2 3 4 2" xfId="31456"/>
    <cellStyle name="Normal 9 2 5 2 3 5" xfId="19433"/>
    <cellStyle name="Normal 9 2 5 2 3 5 2" xfId="33458"/>
    <cellStyle name="Normal 9 2 5 2 3 6" xfId="25447"/>
    <cellStyle name="Normal 9 2 5 2 4" xfId="13407"/>
    <cellStyle name="Normal 9 2 5 2 4 2" xfId="21432"/>
    <cellStyle name="Normal 9 2 5 2 4 2 2" xfId="35457"/>
    <cellStyle name="Normal 9 2 5 2 4 3" xfId="27446"/>
    <cellStyle name="Normal 9 2 5 2 5" xfId="15422"/>
    <cellStyle name="Normal 9 2 5 2 5 2" xfId="23437"/>
    <cellStyle name="Normal 9 2 5 2 5 2 2" xfId="37462"/>
    <cellStyle name="Normal 9 2 5 2 5 3" xfId="29451"/>
    <cellStyle name="Normal 9 2 5 2 6" xfId="17428"/>
    <cellStyle name="Normal 9 2 5 2 6 2" xfId="31453"/>
    <cellStyle name="Normal 9 2 5 2 7" xfId="19430"/>
    <cellStyle name="Normal 9 2 5 2 7 2" xfId="33455"/>
    <cellStyle name="Normal 9 2 5 2 8" xfId="25444"/>
    <cellStyle name="Normal 9 2 5 3" xfId="2817"/>
    <cellStyle name="Normal 9 2 5 3 2" xfId="2818"/>
    <cellStyle name="Normal 9 2 5 3 2 2" xfId="13412"/>
    <cellStyle name="Normal 9 2 5 3 2 2 2" xfId="21437"/>
    <cellStyle name="Normal 9 2 5 3 2 2 2 2" xfId="35462"/>
    <cellStyle name="Normal 9 2 5 3 2 2 3" xfId="27451"/>
    <cellStyle name="Normal 9 2 5 3 2 3" xfId="15427"/>
    <cellStyle name="Normal 9 2 5 3 2 3 2" xfId="23442"/>
    <cellStyle name="Normal 9 2 5 3 2 3 2 2" xfId="37467"/>
    <cellStyle name="Normal 9 2 5 3 2 3 3" xfId="29456"/>
    <cellStyle name="Normal 9 2 5 3 2 4" xfId="17433"/>
    <cellStyle name="Normal 9 2 5 3 2 4 2" xfId="31458"/>
    <cellStyle name="Normal 9 2 5 3 2 5" xfId="19435"/>
    <cellStyle name="Normal 9 2 5 3 2 5 2" xfId="33460"/>
    <cellStyle name="Normal 9 2 5 3 2 6" xfId="25449"/>
    <cellStyle name="Normal 9 2 5 3 3" xfId="13411"/>
    <cellStyle name="Normal 9 2 5 3 3 2" xfId="21436"/>
    <cellStyle name="Normal 9 2 5 3 3 2 2" xfId="35461"/>
    <cellStyle name="Normal 9 2 5 3 3 3" xfId="27450"/>
    <cellStyle name="Normal 9 2 5 3 4" xfId="15426"/>
    <cellStyle name="Normal 9 2 5 3 4 2" xfId="23441"/>
    <cellStyle name="Normal 9 2 5 3 4 2 2" xfId="37466"/>
    <cellStyle name="Normal 9 2 5 3 4 3" xfId="29455"/>
    <cellStyle name="Normal 9 2 5 3 5" xfId="17432"/>
    <cellStyle name="Normal 9 2 5 3 5 2" xfId="31457"/>
    <cellStyle name="Normal 9 2 5 3 6" xfId="19434"/>
    <cellStyle name="Normal 9 2 5 3 6 2" xfId="33459"/>
    <cellStyle name="Normal 9 2 5 3 7" xfId="25448"/>
    <cellStyle name="Normal 9 2 5 4" xfId="2819"/>
    <cellStyle name="Normal 9 2 5 4 2" xfId="2820"/>
    <cellStyle name="Normal 9 2 5 4 2 2" xfId="13414"/>
    <cellStyle name="Normal 9 2 5 4 2 2 2" xfId="21439"/>
    <cellStyle name="Normal 9 2 5 4 2 2 2 2" xfId="35464"/>
    <cellStyle name="Normal 9 2 5 4 2 2 3" xfId="27453"/>
    <cellStyle name="Normal 9 2 5 4 2 3" xfId="15429"/>
    <cellStyle name="Normal 9 2 5 4 2 3 2" xfId="23444"/>
    <cellStyle name="Normal 9 2 5 4 2 3 2 2" xfId="37469"/>
    <cellStyle name="Normal 9 2 5 4 2 3 3" xfId="29458"/>
    <cellStyle name="Normal 9 2 5 4 2 4" xfId="17435"/>
    <cellStyle name="Normal 9 2 5 4 2 4 2" xfId="31460"/>
    <cellStyle name="Normal 9 2 5 4 2 5" xfId="19437"/>
    <cellStyle name="Normal 9 2 5 4 2 5 2" xfId="33462"/>
    <cellStyle name="Normal 9 2 5 4 2 6" xfId="25451"/>
    <cellStyle name="Normal 9 2 5 4 3" xfId="13413"/>
    <cellStyle name="Normal 9 2 5 4 3 2" xfId="21438"/>
    <cellStyle name="Normal 9 2 5 4 3 2 2" xfId="35463"/>
    <cellStyle name="Normal 9 2 5 4 3 3" xfId="27452"/>
    <cellStyle name="Normal 9 2 5 4 4" xfId="15428"/>
    <cellStyle name="Normal 9 2 5 4 4 2" xfId="23443"/>
    <cellStyle name="Normal 9 2 5 4 4 2 2" xfId="37468"/>
    <cellStyle name="Normal 9 2 5 4 4 3" xfId="29457"/>
    <cellStyle name="Normal 9 2 5 4 5" xfId="17434"/>
    <cellStyle name="Normal 9 2 5 4 5 2" xfId="31459"/>
    <cellStyle name="Normal 9 2 5 4 6" xfId="19436"/>
    <cellStyle name="Normal 9 2 5 4 6 2" xfId="33461"/>
    <cellStyle name="Normal 9 2 5 4 7" xfId="25450"/>
    <cellStyle name="Normal 9 2 5 5" xfId="2821"/>
    <cellStyle name="Normal 9 2 5 5 2" xfId="13415"/>
    <cellStyle name="Normal 9 2 5 5 2 2" xfId="21440"/>
    <cellStyle name="Normal 9 2 5 5 2 2 2" xfId="35465"/>
    <cellStyle name="Normal 9 2 5 5 2 3" xfId="27454"/>
    <cellStyle name="Normal 9 2 5 5 3" xfId="15430"/>
    <cellStyle name="Normal 9 2 5 5 3 2" xfId="23445"/>
    <cellStyle name="Normal 9 2 5 5 3 2 2" xfId="37470"/>
    <cellStyle name="Normal 9 2 5 5 3 3" xfId="29459"/>
    <cellStyle name="Normal 9 2 5 5 4" xfId="17436"/>
    <cellStyle name="Normal 9 2 5 5 4 2" xfId="31461"/>
    <cellStyle name="Normal 9 2 5 5 5" xfId="19438"/>
    <cellStyle name="Normal 9 2 5 5 5 2" xfId="33463"/>
    <cellStyle name="Normal 9 2 5 5 6" xfId="25452"/>
    <cellStyle name="Normal 9 2 5 6" xfId="13406"/>
    <cellStyle name="Normal 9 2 5 6 2" xfId="21431"/>
    <cellStyle name="Normal 9 2 5 6 2 2" xfId="35456"/>
    <cellStyle name="Normal 9 2 5 6 3" xfId="27445"/>
    <cellStyle name="Normal 9 2 5 7" xfId="15421"/>
    <cellStyle name="Normal 9 2 5 7 2" xfId="23436"/>
    <cellStyle name="Normal 9 2 5 7 2 2" xfId="37461"/>
    <cellStyle name="Normal 9 2 5 7 3" xfId="29450"/>
    <cellStyle name="Normal 9 2 5 8" xfId="17427"/>
    <cellStyle name="Normal 9 2 5 8 2" xfId="31452"/>
    <cellStyle name="Normal 9 2 5 9" xfId="19429"/>
    <cellStyle name="Normal 9 2 5 9 2" xfId="33454"/>
    <cellStyle name="Normal 9 2 6" xfId="2822"/>
    <cellStyle name="Normal 9 2 6 10" xfId="25453"/>
    <cellStyle name="Normal 9 2 6 2" xfId="2823"/>
    <cellStyle name="Normal 9 2 6 2 2" xfId="2824"/>
    <cellStyle name="Normal 9 2 6 2 2 2" xfId="2825"/>
    <cellStyle name="Normal 9 2 6 2 2 2 2" xfId="13419"/>
    <cellStyle name="Normal 9 2 6 2 2 2 2 2" xfId="21444"/>
    <cellStyle name="Normal 9 2 6 2 2 2 2 2 2" xfId="35469"/>
    <cellStyle name="Normal 9 2 6 2 2 2 2 3" xfId="27458"/>
    <cellStyle name="Normal 9 2 6 2 2 2 3" xfId="15434"/>
    <cellStyle name="Normal 9 2 6 2 2 2 3 2" xfId="23449"/>
    <cellStyle name="Normal 9 2 6 2 2 2 3 2 2" xfId="37474"/>
    <cellStyle name="Normal 9 2 6 2 2 2 3 3" xfId="29463"/>
    <cellStyle name="Normal 9 2 6 2 2 2 4" xfId="17440"/>
    <cellStyle name="Normal 9 2 6 2 2 2 4 2" xfId="31465"/>
    <cellStyle name="Normal 9 2 6 2 2 2 5" xfId="19442"/>
    <cellStyle name="Normal 9 2 6 2 2 2 5 2" xfId="33467"/>
    <cellStyle name="Normal 9 2 6 2 2 2 6" xfId="25456"/>
    <cellStyle name="Normal 9 2 6 2 2 3" xfId="13418"/>
    <cellStyle name="Normal 9 2 6 2 2 3 2" xfId="21443"/>
    <cellStyle name="Normal 9 2 6 2 2 3 2 2" xfId="35468"/>
    <cellStyle name="Normal 9 2 6 2 2 3 3" xfId="27457"/>
    <cellStyle name="Normal 9 2 6 2 2 4" xfId="15433"/>
    <cellStyle name="Normal 9 2 6 2 2 4 2" xfId="23448"/>
    <cellStyle name="Normal 9 2 6 2 2 4 2 2" xfId="37473"/>
    <cellStyle name="Normal 9 2 6 2 2 4 3" xfId="29462"/>
    <cellStyle name="Normal 9 2 6 2 2 5" xfId="17439"/>
    <cellStyle name="Normal 9 2 6 2 2 5 2" xfId="31464"/>
    <cellStyle name="Normal 9 2 6 2 2 6" xfId="19441"/>
    <cellStyle name="Normal 9 2 6 2 2 6 2" xfId="33466"/>
    <cellStyle name="Normal 9 2 6 2 2 7" xfId="25455"/>
    <cellStyle name="Normal 9 2 6 2 3" xfId="2826"/>
    <cellStyle name="Normal 9 2 6 2 3 2" xfId="13420"/>
    <cellStyle name="Normal 9 2 6 2 3 2 2" xfId="21445"/>
    <cellStyle name="Normal 9 2 6 2 3 2 2 2" xfId="35470"/>
    <cellStyle name="Normal 9 2 6 2 3 2 3" xfId="27459"/>
    <cellStyle name="Normal 9 2 6 2 3 3" xfId="15435"/>
    <cellStyle name="Normal 9 2 6 2 3 3 2" xfId="23450"/>
    <cellStyle name="Normal 9 2 6 2 3 3 2 2" xfId="37475"/>
    <cellStyle name="Normal 9 2 6 2 3 3 3" xfId="29464"/>
    <cellStyle name="Normal 9 2 6 2 3 4" xfId="17441"/>
    <cellStyle name="Normal 9 2 6 2 3 4 2" xfId="31466"/>
    <cellStyle name="Normal 9 2 6 2 3 5" xfId="19443"/>
    <cellStyle name="Normal 9 2 6 2 3 5 2" xfId="33468"/>
    <cellStyle name="Normal 9 2 6 2 3 6" xfId="25457"/>
    <cellStyle name="Normal 9 2 6 2 4" xfId="13417"/>
    <cellStyle name="Normal 9 2 6 2 4 2" xfId="21442"/>
    <cellStyle name="Normal 9 2 6 2 4 2 2" xfId="35467"/>
    <cellStyle name="Normal 9 2 6 2 4 3" xfId="27456"/>
    <cellStyle name="Normal 9 2 6 2 5" xfId="15432"/>
    <cellStyle name="Normal 9 2 6 2 5 2" xfId="23447"/>
    <cellStyle name="Normal 9 2 6 2 5 2 2" xfId="37472"/>
    <cellStyle name="Normal 9 2 6 2 5 3" xfId="29461"/>
    <cellStyle name="Normal 9 2 6 2 6" xfId="17438"/>
    <cellStyle name="Normal 9 2 6 2 6 2" xfId="31463"/>
    <cellStyle name="Normal 9 2 6 2 7" xfId="19440"/>
    <cellStyle name="Normal 9 2 6 2 7 2" xfId="33465"/>
    <cellStyle name="Normal 9 2 6 2 8" xfId="25454"/>
    <cellStyle name="Normal 9 2 6 3" xfId="2827"/>
    <cellStyle name="Normal 9 2 6 3 2" xfId="2828"/>
    <cellStyle name="Normal 9 2 6 3 2 2" xfId="13422"/>
    <cellStyle name="Normal 9 2 6 3 2 2 2" xfId="21447"/>
    <cellStyle name="Normal 9 2 6 3 2 2 2 2" xfId="35472"/>
    <cellStyle name="Normal 9 2 6 3 2 2 3" xfId="27461"/>
    <cellStyle name="Normal 9 2 6 3 2 3" xfId="15437"/>
    <cellStyle name="Normal 9 2 6 3 2 3 2" xfId="23452"/>
    <cellStyle name="Normal 9 2 6 3 2 3 2 2" xfId="37477"/>
    <cellStyle name="Normal 9 2 6 3 2 3 3" xfId="29466"/>
    <cellStyle name="Normal 9 2 6 3 2 4" xfId="17443"/>
    <cellStyle name="Normal 9 2 6 3 2 4 2" xfId="31468"/>
    <cellStyle name="Normal 9 2 6 3 2 5" xfId="19445"/>
    <cellStyle name="Normal 9 2 6 3 2 5 2" xfId="33470"/>
    <cellStyle name="Normal 9 2 6 3 2 6" xfId="25459"/>
    <cellStyle name="Normal 9 2 6 3 3" xfId="13421"/>
    <cellStyle name="Normal 9 2 6 3 3 2" xfId="21446"/>
    <cellStyle name="Normal 9 2 6 3 3 2 2" xfId="35471"/>
    <cellStyle name="Normal 9 2 6 3 3 3" xfId="27460"/>
    <cellStyle name="Normal 9 2 6 3 4" xfId="15436"/>
    <cellStyle name="Normal 9 2 6 3 4 2" xfId="23451"/>
    <cellStyle name="Normal 9 2 6 3 4 2 2" xfId="37476"/>
    <cellStyle name="Normal 9 2 6 3 4 3" xfId="29465"/>
    <cellStyle name="Normal 9 2 6 3 5" xfId="17442"/>
    <cellStyle name="Normal 9 2 6 3 5 2" xfId="31467"/>
    <cellStyle name="Normal 9 2 6 3 6" xfId="19444"/>
    <cellStyle name="Normal 9 2 6 3 6 2" xfId="33469"/>
    <cellStyle name="Normal 9 2 6 3 7" xfId="25458"/>
    <cellStyle name="Normal 9 2 6 4" xfId="2829"/>
    <cellStyle name="Normal 9 2 6 4 2" xfId="2830"/>
    <cellStyle name="Normal 9 2 6 4 2 2" xfId="13424"/>
    <cellStyle name="Normal 9 2 6 4 2 2 2" xfId="21449"/>
    <cellStyle name="Normal 9 2 6 4 2 2 2 2" xfId="35474"/>
    <cellStyle name="Normal 9 2 6 4 2 2 3" xfId="27463"/>
    <cellStyle name="Normal 9 2 6 4 2 3" xfId="15439"/>
    <cellStyle name="Normal 9 2 6 4 2 3 2" xfId="23454"/>
    <cellStyle name="Normal 9 2 6 4 2 3 2 2" xfId="37479"/>
    <cellStyle name="Normal 9 2 6 4 2 3 3" xfId="29468"/>
    <cellStyle name="Normal 9 2 6 4 2 4" xfId="17445"/>
    <cellStyle name="Normal 9 2 6 4 2 4 2" xfId="31470"/>
    <cellStyle name="Normal 9 2 6 4 2 5" xfId="19447"/>
    <cellStyle name="Normal 9 2 6 4 2 5 2" xfId="33472"/>
    <cellStyle name="Normal 9 2 6 4 2 6" xfId="25461"/>
    <cellStyle name="Normal 9 2 6 4 3" xfId="13423"/>
    <cellStyle name="Normal 9 2 6 4 3 2" xfId="21448"/>
    <cellStyle name="Normal 9 2 6 4 3 2 2" xfId="35473"/>
    <cellStyle name="Normal 9 2 6 4 3 3" xfId="27462"/>
    <cellStyle name="Normal 9 2 6 4 4" xfId="15438"/>
    <cellStyle name="Normal 9 2 6 4 4 2" xfId="23453"/>
    <cellStyle name="Normal 9 2 6 4 4 2 2" xfId="37478"/>
    <cellStyle name="Normal 9 2 6 4 4 3" xfId="29467"/>
    <cellStyle name="Normal 9 2 6 4 5" xfId="17444"/>
    <cellStyle name="Normal 9 2 6 4 5 2" xfId="31469"/>
    <cellStyle name="Normal 9 2 6 4 6" xfId="19446"/>
    <cellStyle name="Normal 9 2 6 4 6 2" xfId="33471"/>
    <cellStyle name="Normal 9 2 6 4 7" xfId="25460"/>
    <cellStyle name="Normal 9 2 6 5" xfId="2831"/>
    <cellStyle name="Normal 9 2 6 5 2" xfId="13425"/>
    <cellStyle name="Normal 9 2 6 5 2 2" xfId="21450"/>
    <cellStyle name="Normal 9 2 6 5 2 2 2" xfId="35475"/>
    <cellStyle name="Normal 9 2 6 5 2 3" xfId="27464"/>
    <cellStyle name="Normal 9 2 6 5 3" xfId="15440"/>
    <cellStyle name="Normal 9 2 6 5 3 2" xfId="23455"/>
    <cellStyle name="Normal 9 2 6 5 3 2 2" xfId="37480"/>
    <cellStyle name="Normal 9 2 6 5 3 3" xfId="29469"/>
    <cellStyle name="Normal 9 2 6 5 4" xfId="17446"/>
    <cellStyle name="Normal 9 2 6 5 4 2" xfId="31471"/>
    <cellStyle name="Normal 9 2 6 5 5" xfId="19448"/>
    <cellStyle name="Normal 9 2 6 5 5 2" xfId="33473"/>
    <cellStyle name="Normal 9 2 6 5 6" xfId="25462"/>
    <cellStyle name="Normal 9 2 6 6" xfId="13416"/>
    <cellStyle name="Normal 9 2 6 6 2" xfId="21441"/>
    <cellStyle name="Normal 9 2 6 6 2 2" xfId="35466"/>
    <cellStyle name="Normal 9 2 6 6 3" xfId="27455"/>
    <cellStyle name="Normal 9 2 6 7" xfId="15431"/>
    <cellStyle name="Normal 9 2 6 7 2" xfId="23446"/>
    <cellStyle name="Normal 9 2 6 7 2 2" xfId="37471"/>
    <cellStyle name="Normal 9 2 6 7 3" xfId="29460"/>
    <cellStyle name="Normal 9 2 6 8" xfId="17437"/>
    <cellStyle name="Normal 9 2 6 8 2" xfId="31462"/>
    <cellStyle name="Normal 9 2 6 9" xfId="19439"/>
    <cellStyle name="Normal 9 2 6 9 2" xfId="33464"/>
    <cellStyle name="Normal 9 2 7" xfId="2832"/>
    <cellStyle name="Normal 9 2 7 2" xfId="2833"/>
    <cellStyle name="Normal 9 2 7 2 2" xfId="2834"/>
    <cellStyle name="Normal 9 2 7 2 2 2" xfId="13428"/>
    <cellStyle name="Normal 9 2 7 2 2 2 2" xfId="21453"/>
    <cellStyle name="Normal 9 2 7 2 2 2 2 2" xfId="35478"/>
    <cellStyle name="Normal 9 2 7 2 2 2 3" xfId="27467"/>
    <cellStyle name="Normal 9 2 7 2 2 3" xfId="15443"/>
    <cellStyle name="Normal 9 2 7 2 2 3 2" xfId="23458"/>
    <cellStyle name="Normal 9 2 7 2 2 3 2 2" xfId="37483"/>
    <cellStyle name="Normal 9 2 7 2 2 3 3" xfId="29472"/>
    <cellStyle name="Normal 9 2 7 2 2 4" xfId="17449"/>
    <cellStyle name="Normal 9 2 7 2 2 4 2" xfId="31474"/>
    <cellStyle name="Normal 9 2 7 2 2 5" xfId="19451"/>
    <cellStyle name="Normal 9 2 7 2 2 5 2" xfId="33476"/>
    <cellStyle name="Normal 9 2 7 2 2 6" xfId="25465"/>
    <cellStyle name="Normal 9 2 7 2 3" xfId="13427"/>
    <cellStyle name="Normal 9 2 7 2 3 2" xfId="21452"/>
    <cellStyle name="Normal 9 2 7 2 3 2 2" xfId="35477"/>
    <cellStyle name="Normal 9 2 7 2 3 3" xfId="27466"/>
    <cellStyle name="Normal 9 2 7 2 4" xfId="15442"/>
    <cellStyle name="Normal 9 2 7 2 4 2" xfId="23457"/>
    <cellStyle name="Normal 9 2 7 2 4 2 2" xfId="37482"/>
    <cellStyle name="Normal 9 2 7 2 4 3" xfId="29471"/>
    <cellStyle name="Normal 9 2 7 2 5" xfId="17448"/>
    <cellStyle name="Normal 9 2 7 2 5 2" xfId="31473"/>
    <cellStyle name="Normal 9 2 7 2 6" xfId="19450"/>
    <cellStyle name="Normal 9 2 7 2 6 2" xfId="33475"/>
    <cellStyle name="Normal 9 2 7 2 7" xfId="25464"/>
    <cellStyle name="Normal 9 2 7 3" xfId="2835"/>
    <cellStyle name="Normal 9 2 7 3 2" xfId="13429"/>
    <cellStyle name="Normal 9 2 7 3 2 2" xfId="21454"/>
    <cellStyle name="Normal 9 2 7 3 2 2 2" xfId="35479"/>
    <cellStyle name="Normal 9 2 7 3 2 3" xfId="27468"/>
    <cellStyle name="Normal 9 2 7 3 3" xfId="15444"/>
    <cellStyle name="Normal 9 2 7 3 3 2" xfId="23459"/>
    <cellStyle name="Normal 9 2 7 3 3 2 2" xfId="37484"/>
    <cellStyle name="Normal 9 2 7 3 3 3" xfId="29473"/>
    <cellStyle name="Normal 9 2 7 3 4" xfId="17450"/>
    <cellStyle name="Normal 9 2 7 3 4 2" xfId="31475"/>
    <cellStyle name="Normal 9 2 7 3 5" xfId="19452"/>
    <cellStyle name="Normal 9 2 7 3 5 2" xfId="33477"/>
    <cellStyle name="Normal 9 2 7 3 6" xfId="25466"/>
    <cellStyle name="Normal 9 2 7 4" xfId="13426"/>
    <cellStyle name="Normal 9 2 7 4 2" xfId="21451"/>
    <cellStyle name="Normal 9 2 7 4 2 2" xfId="35476"/>
    <cellStyle name="Normal 9 2 7 4 3" xfId="27465"/>
    <cellStyle name="Normal 9 2 7 5" xfId="15441"/>
    <cellStyle name="Normal 9 2 7 5 2" xfId="23456"/>
    <cellStyle name="Normal 9 2 7 5 2 2" xfId="37481"/>
    <cellStyle name="Normal 9 2 7 5 3" xfId="29470"/>
    <cellStyle name="Normal 9 2 7 6" xfId="17447"/>
    <cellStyle name="Normal 9 2 7 6 2" xfId="31472"/>
    <cellStyle name="Normal 9 2 7 7" xfId="19449"/>
    <cellStyle name="Normal 9 2 7 7 2" xfId="33474"/>
    <cellStyle name="Normal 9 2 7 8" xfId="25463"/>
    <cellStyle name="Normal 9 2 8" xfId="2836"/>
    <cellStyle name="Normal 9 2 8 2" xfId="2837"/>
    <cellStyle name="Normal 9 2 8 2 2" xfId="13431"/>
    <cellStyle name="Normal 9 2 8 2 2 2" xfId="21456"/>
    <cellStyle name="Normal 9 2 8 2 2 2 2" xfId="35481"/>
    <cellStyle name="Normal 9 2 8 2 2 3" xfId="27470"/>
    <cellStyle name="Normal 9 2 8 2 3" xfId="15446"/>
    <cellStyle name="Normal 9 2 8 2 3 2" xfId="23461"/>
    <cellStyle name="Normal 9 2 8 2 3 2 2" xfId="37486"/>
    <cellStyle name="Normal 9 2 8 2 3 3" xfId="29475"/>
    <cellStyle name="Normal 9 2 8 2 4" xfId="17452"/>
    <cellStyle name="Normal 9 2 8 2 4 2" xfId="31477"/>
    <cellStyle name="Normal 9 2 8 2 5" xfId="19454"/>
    <cellStyle name="Normal 9 2 8 2 5 2" xfId="33479"/>
    <cellStyle name="Normal 9 2 8 2 6" xfId="25468"/>
    <cellStyle name="Normal 9 2 8 3" xfId="13430"/>
    <cellStyle name="Normal 9 2 8 3 2" xfId="21455"/>
    <cellStyle name="Normal 9 2 8 3 2 2" xfId="35480"/>
    <cellStyle name="Normal 9 2 8 3 3" xfId="27469"/>
    <cellStyle name="Normal 9 2 8 4" xfId="15445"/>
    <cellStyle name="Normal 9 2 8 4 2" xfId="23460"/>
    <cellStyle name="Normal 9 2 8 4 2 2" xfId="37485"/>
    <cellStyle name="Normal 9 2 8 4 3" xfId="29474"/>
    <cellStyle name="Normal 9 2 8 5" xfId="17451"/>
    <cellStyle name="Normal 9 2 8 5 2" xfId="31476"/>
    <cellStyle name="Normal 9 2 8 6" xfId="19453"/>
    <cellStyle name="Normal 9 2 8 6 2" xfId="33478"/>
    <cellStyle name="Normal 9 2 8 7" xfId="25467"/>
    <cellStyle name="Normal 9 2 9" xfId="2838"/>
    <cellStyle name="Normal 9 2 9 2" xfId="2839"/>
    <cellStyle name="Normal 9 2 9 2 2" xfId="13433"/>
    <cellStyle name="Normal 9 2 9 2 2 2" xfId="21458"/>
    <cellStyle name="Normal 9 2 9 2 2 2 2" xfId="35483"/>
    <cellStyle name="Normal 9 2 9 2 2 3" xfId="27472"/>
    <cellStyle name="Normal 9 2 9 2 3" xfId="15448"/>
    <cellStyle name="Normal 9 2 9 2 3 2" xfId="23463"/>
    <cellStyle name="Normal 9 2 9 2 3 2 2" xfId="37488"/>
    <cellStyle name="Normal 9 2 9 2 3 3" xfId="29477"/>
    <cellStyle name="Normal 9 2 9 2 4" xfId="17454"/>
    <cellStyle name="Normal 9 2 9 2 4 2" xfId="31479"/>
    <cellStyle name="Normal 9 2 9 2 5" xfId="19456"/>
    <cellStyle name="Normal 9 2 9 2 5 2" xfId="33481"/>
    <cellStyle name="Normal 9 2 9 2 6" xfId="25470"/>
    <cellStyle name="Normal 9 2 9 3" xfId="13432"/>
    <cellStyle name="Normal 9 2 9 3 2" xfId="21457"/>
    <cellStyle name="Normal 9 2 9 3 2 2" xfId="35482"/>
    <cellStyle name="Normal 9 2 9 3 3" xfId="27471"/>
    <cellStyle name="Normal 9 2 9 4" xfId="15447"/>
    <cellStyle name="Normal 9 2 9 4 2" xfId="23462"/>
    <cellStyle name="Normal 9 2 9 4 2 2" xfId="37487"/>
    <cellStyle name="Normal 9 2 9 4 3" xfId="29476"/>
    <cellStyle name="Normal 9 2 9 5" xfId="17453"/>
    <cellStyle name="Normal 9 2 9 5 2" xfId="31478"/>
    <cellStyle name="Normal 9 2 9 6" xfId="19455"/>
    <cellStyle name="Normal 9 2 9 6 2" xfId="33480"/>
    <cellStyle name="Normal 9 2 9 7" xfId="25469"/>
    <cellStyle name="Normal 9 2_3 - Revenue Credits" xfId="587"/>
    <cellStyle name="Normal 9 3" xfId="588"/>
    <cellStyle name="Normal 9 4" xfId="2840"/>
    <cellStyle name="Normal 9 4 10" xfId="17455"/>
    <cellStyle name="Normal 9 4 10 2" xfId="31480"/>
    <cellStyle name="Normal 9 4 11" xfId="19457"/>
    <cellStyle name="Normal 9 4 11 2" xfId="33482"/>
    <cellStyle name="Normal 9 4 12" xfId="25471"/>
    <cellStyle name="Normal 9 4 2" xfId="2841"/>
    <cellStyle name="Normal 9 4 2 10" xfId="19458"/>
    <cellStyle name="Normal 9 4 2 10 2" xfId="33483"/>
    <cellStyle name="Normal 9 4 2 11" xfId="25472"/>
    <cellStyle name="Normal 9 4 2 2" xfId="2842"/>
    <cellStyle name="Normal 9 4 2 2 10" xfId="25473"/>
    <cellStyle name="Normal 9 4 2 2 2" xfId="2843"/>
    <cellStyle name="Normal 9 4 2 2 2 2" xfId="2844"/>
    <cellStyle name="Normal 9 4 2 2 2 2 2" xfId="2845"/>
    <cellStyle name="Normal 9 4 2 2 2 2 2 2" xfId="13439"/>
    <cellStyle name="Normal 9 4 2 2 2 2 2 2 2" xfId="21464"/>
    <cellStyle name="Normal 9 4 2 2 2 2 2 2 2 2" xfId="35489"/>
    <cellStyle name="Normal 9 4 2 2 2 2 2 2 3" xfId="27478"/>
    <cellStyle name="Normal 9 4 2 2 2 2 2 3" xfId="15454"/>
    <cellStyle name="Normal 9 4 2 2 2 2 2 3 2" xfId="23469"/>
    <cellStyle name="Normal 9 4 2 2 2 2 2 3 2 2" xfId="37494"/>
    <cellStyle name="Normal 9 4 2 2 2 2 2 3 3" xfId="29483"/>
    <cellStyle name="Normal 9 4 2 2 2 2 2 4" xfId="17460"/>
    <cellStyle name="Normal 9 4 2 2 2 2 2 4 2" xfId="31485"/>
    <cellStyle name="Normal 9 4 2 2 2 2 2 5" xfId="19462"/>
    <cellStyle name="Normal 9 4 2 2 2 2 2 5 2" xfId="33487"/>
    <cellStyle name="Normal 9 4 2 2 2 2 2 6" xfId="25476"/>
    <cellStyle name="Normal 9 4 2 2 2 2 3" xfId="13438"/>
    <cellStyle name="Normal 9 4 2 2 2 2 3 2" xfId="21463"/>
    <cellStyle name="Normal 9 4 2 2 2 2 3 2 2" xfId="35488"/>
    <cellStyle name="Normal 9 4 2 2 2 2 3 3" xfId="27477"/>
    <cellStyle name="Normal 9 4 2 2 2 2 4" xfId="15453"/>
    <cellStyle name="Normal 9 4 2 2 2 2 4 2" xfId="23468"/>
    <cellStyle name="Normal 9 4 2 2 2 2 4 2 2" xfId="37493"/>
    <cellStyle name="Normal 9 4 2 2 2 2 4 3" xfId="29482"/>
    <cellStyle name="Normal 9 4 2 2 2 2 5" xfId="17459"/>
    <cellStyle name="Normal 9 4 2 2 2 2 5 2" xfId="31484"/>
    <cellStyle name="Normal 9 4 2 2 2 2 6" xfId="19461"/>
    <cellStyle name="Normal 9 4 2 2 2 2 6 2" xfId="33486"/>
    <cellStyle name="Normal 9 4 2 2 2 2 7" xfId="25475"/>
    <cellStyle name="Normal 9 4 2 2 2 3" xfId="2846"/>
    <cellStyle name="Normal 9 4 2 2 2 3 2" xfId="13440"/>
    <cellStyle name="Normal 9 4 2 2 2 3 2 2" xfId="21465"/>
    <cellStyle name="Normal 9 4 2 2 2 3 2 2 2" xfId="35490"/>
    <cellStyle name="Normal 9 4 2 2 2 3 2 3" xfId="27479"/>
    <cellStyle name="Normal 9 4 2 2 2 3 3" xfId="15455"/>
    <cellStyle name="Normal 9 4 2 2 2 3 3 2" xfId="23470"/>
    <cellStyle name="Normal 9 4 2 2 2 3 3 2 2" xfId="37495"/>
    <cellStyle name="Normal 9 4 2 2 2 3 3 3" xfId="29484"/>
    <cellStyle name="Normal 9 4 2 2 2 3 4" xfId="17461"/>
    <cellStyle name="Normal 9 4 2 2 2 3 4 2" xfId="31486"/>
    <cellStyle name="Normal 9 4 2 2 2 3 5" xfId="19463"/>
    <cellStyle name="Normal 9 4 2 2 2 3 5 2" xfId="33488"/>
    <cellStyle name="Normal 9 4 2 2 2 3 6" xfId="25477"/>
    <cellStyle name="Normal 9 4 2 2 2 4" xfId="13437"/>
    <cellStyle name="Normal 9 4 2 2 2 4 2" xfId="21462"/>
    <cellStyle name="Normal 9 4 2 2 2 4 2 2" xfId="35487"/>
    <cellStyle name="Normal 9 4 2 2 2 4 3" xfId="27476"/>
    <cellStyle name="Normal 9 4 2 2 2 5" xfId="15452"/>
    <cellStyle name="Normal 9 4 2 2 2 5 2" xfId="23467"/>
    <cellStyle name="Normal 9 4 2 2 2 5 2 2" xfId="37492"/>
    <cellStyle name="Normal 9 4 2 2 2 5 3" xfId="29481"/>
    <cellStyle name="Normal 9 4 2 2 2 6" xfId="17458"/>
    <cellStyle name="Normal 9 4 2 2 2 6 2" xfId="31483"/>
    <cellStyle name="Normal 9 4 2 2 2 7" xfId="19460"/>
    <cellStyle name="Normal 9 4 2 2 2 7 2" xfId="33485"/>
    <cellStyle name="Normal 9 4 2 2 2 8" xfId="25474"/>
    <cellStyle name="Normal 9 4 2 2 3" xfId="2847"/>
    <cellStyle name="Normal 9 4 2 2 3 2" xfId="2848"/>
    <cellStyle name="Normal 9 4 2 2 3 2 2" xfId="13442"/>
    <cellStyle name="Normal 9 4 2 2 3 2 2 2" xfId="21467"/>
    <cellStyle name="Normal 9 4 2 2 3 2 2 2 2" xfId="35492"/>
    <cellStyle name="Normal 9 4 2 2 3 2 2 3" xfId="27481"/>
    <cellStyle name="Normal 9 4 2 2 3 2 3" xfId="15457"/>
    <cellStyle name="Normal 9 4 2 2 3 2 3 2" xfId="23472"/>
    <cellStyle name="Normal 9 4 2 2 3 2 3 2 2" xfId="37497"/>
    <cellStyle name="Normal 9 4 2 2 3 2 3 3" xfId="29486"/>
    <cellStyle name="Normal 9 4 2 2 3 2 4" xfId="17463"/>
    <cellStyle name="Normal 9 4 2 2 3 2 4 2" xfId="31488"/>
    <cellStyle name="Normal 9 4 2 2 3 2 5" xfId="19465"/>
    <cellStyle name="Normal 9 4 2 2 3 2 5 2" xfId="33490"/>
    <cellStyle name="Normal 9 4 2 2 3 2 6" xfId="25479"/>
    <cellStyle name="Normal 9 4 2 2 3 3" xfId="13441"/>
    <cellStyle name="Normal 9 4 2 2 3 3 2" xfId="21466"/>
    <cellStyle name="Normal 9 4 2 2 3 3 2 2" xfId="35491"/>
    <cellStyle name="Normal 9 4 2 2 3 3 3" xfId="27480"/>
    <cellStyle name="Normal 9 4 2 2 3 4" xfId="15456"/>
    <cellStyle name="Normal 9 4 2 2 3 4 2" xfId="23471"/>
    <cellStyle name="Normal 9 4 2 2 3 4 2 2" xfId="37496"/>
    <cellStyle name="Normal 9 4 2 2 3 4 3" xfId="29485"/>
    <cellStyle name="Normal 9 4 2 2 3 5" xfId="17462"/>
    <cellStyle name="Normal 9 4 2 2 3 5 2" xfId="31487"/>
    <cellStyle name="Normal 9 4 2 2 3 6" xfId="19464"/>
    <cellStyle name="Normal 9 4 2 2 3 6 2" xfId="33489"/>
    <cellStyle name="Normal 9 4 2 2 3 7" xfId="25478"/>
    <cellStyle name="Normal 9 4 2 2 4" xfId="2849"/>
    <cellStyle name="Normal 9 4 2 2 4 2" xfId="2850"/>
    <cellStyle name="Normal 9 4 2 2 4 2 2" xfId="13444"/>
    <cellStyle name="Normal 9 4 2 2 4 2 2 2" xfId="21469"/>
    <cellStyle name="Normal 9 4 2 2 4 2 2 2 2" xfId="35494"/>
    <cellStyle name="Normal 9 4 2 2 4 2 2 3" xfId="27483"/>
    <cellStyle name="Normal 9 4 2 2 4 2 3" xfId="15459"/>
    <cellStyle name="Normal 9 4 2 2 4 2 3 2" xfId="23474"/>
    <cellStyle name="Normal 9 4 2 2 4 2 3 2 2" xfId="37499"/>
    <cellStyle name="Normal 9 4 2 2 4 2 3 3" xfId="29488"/>
    <cellStyle name="Normal 9 4 2 2 4 2 4" xfId="17465"/>
    <cellStyle name="Normal 9 4 2 2 4 2 4 2" xfId="31490"/>
    <cellStyle name="Normal 9 4 2 2 4 2 5" xfId="19467"/>
    <cellStyle name="Normal 9 4 2 2 4 2 5 2" xfId="33492"/>
    <cellStyle name="Normal 9 4 2 2 4 2 6" xfId="25481"/>
    <cellStyle name="Normal 9 4 2 2 4 3" xfId="13443"/>
    <cellStyle name="Normal 9 4 2 2 4 3 2" xfId="21468"/>
    <cellStyle name="Normal 9 4 2 2 4 3 2 2" xfId="35493"/>
    <cellStyle name="Normal 9 4 2 2 4 3 3" xfId="27482"/>
    <cellStyle name="Normal 9 4 2 2 4 4" xfId="15458"/>
    <cellStyle name="Normal 9 4 2 2 4 4 2" xfId="23473"/>
    <cellStyle name="Normal 9 4 2 2 4 4 2 2" xfId="37498"/>
    <cellStyle name="Normal 9 4 2 2 4 4 3" xfId="29487"/>
    <cellStyle name="Normal 9 4 2 2 4 5" xfId="17464"/>
    <cellStyle name="Normal 9 4 2 2 4 5 2" xfId="31489"/>
    <cellStyle name="Normal 9 4 2 2 4 6" xfId="19466"/>
    <cellStyle name="Normal 9 4 2 2 4 6 2" xfId="33491"/>
    <cellStyle name="Normal 9 4 2 2 4 7" xfId="25480"/>
    <cellStyle name="Normal 9 4 2 2 5" xfId="2851"/>
    <cellStyle name="Normal 9 4 2 2 5 2" xfId="13445"/>
    <cellStyle name="Normal 9 4 2 2 5 2 2" xfId="21470"/>
    <cellStyle name="Normal 9 4 2 2 5 2 2 2" xfId="35495"/>
    <cellStyle name="Normal 9 4 2 2 5 2 3" xfId="27484"/>
    <cellStyle name="Normal 9 4 2 2 5 3" xfId="15460"/>
    <cellStyle name="Normal 9 4 2 2 5 3 2" xfId="23475"/>
    <cellStyle name="Normal 9 4 2 2 5 3 2 2" xfId="37500"/>
    <cellStyle name="Normal 9 4 2 2 5 3 3" xfId="29489"/>
    <cellStyle name="Normal 9 4 2 2 5 4" xfId="17466"/>
    <cellStyle name="Normal 9 4 2 2 5 4 2" xfId="31491"/>
    <cellStyle name="Normal 9 4 2 2 5 5" xfId="19468"/>
    <cellStyle name="Normal 9 4 2 2 5 5 2" xfId="33493"/>
    <cellStyle name="Normal 9 4 2 2 5 6" xfId="25482"/>
    <cellStyle name="Normal 9 4 2 2 6" xfId="13436"/>
    <cellStyle name="Normal 9 4 2 2 6 2" xfId="21461"/>
    <cellStyle name="Normal 9 4 2 2 6 2 2" xfId="35486"/>
    <cellStyle name="Normal 9 4 2 2 6 3" xfId="27475"/>
    <cellStyle name="Normal 9 4 2 2 7" xfId="15451"/>
    <cellStyle name="Normal 9 4 2 2 7 2" xfId="23466"/>
    <cellStyle name="Normal 9 4 2 2 7 2 2" xfId="37491"/>
    <cellStyle name="Normal 9 4 2 2 7 3" xfId="29480"/>
    <cellStyle name="Normal 9 4 2 2 8" xfId="17457"/>
    <cellStyle name="Normal 9 4 2 2 8 2" xfId="31482"/>
    <cellStyle name="Normal 9 4 2 2 9" xfId="19459"/>
    <cellStyle name="Normal 9 4 2 2 9 2" xfId="33484"/>
    <cellStyle name="Normal 9 4 2 3" xfId="2852"/>
    <cellStyle name="Normal 9 4 2 3 2" xfId="2853"/>
    <cellStyle name="Normal 9 4 2 3 2 2" xfId="2854"/>
    <cellStyle name="Normal 9 4 2 3 2 2 2" xfId="13448"/>
    <cellStyle name="Normal 9 4 2 3 2 2 2 2" xfId="21473"/>
    <cellStyle name="Normal 9 4 2 3 2 2 2 2 2" xfId="35498"/>
    <cellStyle name="Normal 9 4 2 3 2 2 2 3" xfId="27487"/>
    <cellStyle name="Normal 9 4 2 3 2 2 3" xfId="15463"/>
    <cellStyle name="Normal 9 4 2 3 2 2 3 2" xfId="23478"/>
    <cellStyle name="Normal 9 4 2 3 2 2 3 2 2" xfId="37503"/>
    <cellStyle name="Normal 9 4 2 3 2 2 3 3" xfId="29492"/>
    <cellStyle name="Normal 9 4 2 3 2 2 4" xfId="17469"/>
    <cellStyle name="Normal 9 4 2 3 2 2 4 2" xfId="31494"/>
    <cellStyle name="Normal 9 4 2 3 2 2 5" xfId="19471"/>
    <cellStyle name="Normal 9 4 2 3 2 2 5 2" xfId="33496"/>
    <cellStyle name="Normal 9 4 2 3 2 2 6" xfId="25485"/>
    <cellStyle name="Normal 9 4 2 3 2 3" xfId="13447"/>
    <cellStyle name="Normal 9 4 2 3 2 3 2" xfId="21472"/>
    <cellStyle name="Normal 9 4 2 3 2 3 2 2" xfId="35497"/>
    <cellStyle name="Normal 9 4 2 3 2 3 3" xfId="27486"/>
    <cellStyle name="Normal 9 4 2 3 2 4" xfId="15462"/>
    <cellStyle name="Normal 9 4 2 3 2 4 2" xfId="23477"/>
    <cellStyle name="Normal 9 4 2 3 2 4 2 2" xfId="37502"/>
    <cellStyle name="Normal 9 4 2 3 2 4 3" xfId="29491"/>
    <cellStyle name="Normal 9 4 2 3 2 5" xfId="17468"/>
    <cellStyle name="Normal 9 4 2 3 2 5 2" xfId="31493"/>
    <cellStyle name="Normal 9 4 2 3 2 6" xfId="19470"/>
    <cellStyle name="Normal 9 4 2 3 2 6 2" xfId="33495"/>
    <cellStyle name="Normal 9 4 2 3 2 7" xfId="25484"/>
    <cellStyle name="Normal 9 4 2 3 3" xfId="2855"/>
    <cellStyle name="Normal 9 4 2 3 3 2" xfId="13449"/>
    <cellStyle name="Normal 9 4 2 3 3 2 2" xfId="21474"/>
    <cellStyle name="Normal 9 4 2 3 3 2 2 2" xfId="35499"/>
    <cellStyle name="Normal 9 4 2 3 3 2 3" xfId="27488"/>
    <cellStyle name="Normal 9 4 2 3 3 3" xfId="15464"/>
    <cellStyle name="Normal 9 4 2 3 3 3 2" xfId="23479"/>
    <cellStyle name="Normal 9 4 2 3 3 3 2 2" xfId="37504"/>
    <cellStyle name="Normal 9 4 2 3 3 3 3" xfId="29493"/>
    <cellStyle name="Normal 9 4 2 3 3 4" xfId="17470"/>
    <cellStyle name="Normal 9 4 2 3 3 4 2" xfId="31495"/>
    <cellStyle name="Normal 9 4 2 3 3 5" xfId="19472"/>
    <cellStyle name="Normal 9 4 2 3 3 5 2" xfId="33497"/>
    <cellStyle name="Normal 9 4 2 3 3 6" xfId="25486"/>
    <cellStyle name="Normal 9 4 2 3 4" xfId="13446"/>
    <cellStyle name="Normal 9 4 2 3 4 2" xfId="21471"/>
    <cellStyle name="Normal 9 4 2 3 4 2 2" xfId="35496"/>
    <cellStyle name="Normal 9 4 2 3 4 3" xfId="27485"/>
    <cellStyle name="Normal 9 4 2 3 5" xfId="15461"/>
    <cellStyle name="Normal 9 4 2 3 5 2" xfId="23476"/>
    <cellStyle name="Normal 9 4 2 3 5 2 2" xfId="37501"/>
    <cellStyle name="Normal 9 4 2 3 5 3" xfId="29490"/>
    <cellStyle name="Normal 9 4 2 3 6" xfId="17467"/>
    <cellStyle name="Normal 9 4 2 3 6 2" xfId="31492"/>
    <cellStyle name="Normal 9 4 2 3 7" xfId="19469"/>
    <cellStyle name="Normal 9 4 2 3 7 2" xfId="33494"/>
    <cellStyle name="Normal 9 4 2 3 8" xfId="25483"/>
    <cellStyle name="Normal 9 4 2 4" xfId="2856"/>
    <cellStyle name="Normal 9 4 2 4 2" xfId="2857"/>
    <cellStyle name="Normal 9 4 2 4 2 2" xfId="13451"/>
    <cellStyle name="Normal 9 4 2 4 2 2 2" xfId="21476"/>
    <cellStyle name="Normal 9 4 2 4 2 2 2 2" xfId="35501"/>
    <cellStyle name="Normal 9 4 2 4 2 2 3" xfId="27490"/>
    <cellStyle name="Normal 9 4 2 4 2 3" xfId="15466"/>
    <cellStyle name="Normal 9 4 2 4 2 3 2" xfId="23481"/>
    <cellStyle name="Normal 9 4 2 4 2 3 2 2" xfId="37506"/>
    <cellStyle name="Normal 9 4 2 4 2 3 3" xfId="29495"/>
    <cellStyle name="Normal 9 4 2 4 2 4" xfId="17472"/>
    <cellStyle name="Normal 9 4 2 4 2 4 2" xfId="31497"/>
    <cellStyle name="Normal 9 4 2 4 2 5" xfId="19474"/>
    <cellStyle name="Normal 9 4 2 4 2 5 2" xfId="33499"/>
    <cellStyle name="Normal 9 4 2 4 2 6" xfId="25488"/>
    <cellStyle name="Normal 9 4 2 4 3" xfId="13450"/>
    <cellStyle name="Normal 9 4 2 4 3 2" xfId="21475"/>
    <cellStyle name="Normal 9 4 2 4 3 2 2" xfId="35500"/>
    <cellStyle name="Normal 9 4 2 4 3 3" xfId="27489"/>
    <cellStyle name="Normal 9 4 2 4 4" xfId="15465"/>
    <cellStyle name="Normal 9 4 2 4 4 2" xfId="23480"/>
    <cellStyle name="Normal 9 4 2 4 4 2 2" xfId="37505"/>
    <cellStyle name="Normal 9 4 2 4 4 3" xfId="29494"/>
    <cellStyle name="Normal 9 4 2 4 5" xfId="17471"/>
    <cellStyle name="Normal 9 4 2 4 5 2" xfId="31496"/>
    <cellStyle name="Normal 9 4 2 4 6" xfId="19473"/>
    <cellStyle name="Normal 9 4 2 4 6 2" xfId="33498"/>
    <cellStyle name="Normal 9 4 2 4 7" xfId="25487"/>
    <cellStyle name="Normal 9 4 2 5" xfId="2858"/>
    <cellStyle name="Normal 9 4 2 5 2" xfId="2859"/>
    <cellStyle name="Normal 9 4 2 5 2 2" xfId="13453"/>
    <cellStyle name="Normal 9 4 2 5 2 2 2" xfId="21478"/>
    <cellStyle name="Normal 9 4 2 5 2 2 2 2" xfId="35503"/>
    <cellStyle name="Normal 9 4 2 5 2 2 3" xfId="27492"/>
    <cellStyle name="Normal 9 4 2 5 2 3" xfId="15468"/>
    <cellStyle name="Normal 9 4 2 5 2 3 2" xfId="23483"/>
    <cellStyle name="Normal 9 4 2 5 2 3 2 2" xfId="37508"/>
    <cellStyle name="Normal 9 4 2 5 2 3 3" xfId="29497"/>
    <cellStyle name="Normal 9 4 2 5 2 4" xfId="17474"/>
    <cellStyle name="Normal 9 4 2 5 2 4 2" xfId="31499"/>
    <cellStyle name="Normal 9 4 2 5 2 5" xfId="19476"/>
    <cellStyle name="Normal 9 4 2 5 2 5 2" xfId="33501"/>
    <cellStyle name="Normal 9 4 2 5 2 6" xfId="25490"/>
    <cellStyle name="Normal 9 4 2 5 3" xfId="13452"/>
    <cellStyle name="Normal 9 4 2 5 3 2" xfId="21477"/>
    <cellStyle name="Normal 9 4 2 5 3 2 2" xfId="35502"/>
    <cellStyle name="Normal 9 4 2 5 3 3" xfId="27491"/>
    <cellStyle name="Normal 9 4 2 5 4" xfId="15467"/>
    <cellStyle name="Normal 9 4 2 5 4 2" xfId="23482"/>
    <cellStyle name="Normal 9 4 2 5 4 2 2" xfId="37507"/>
    <cellStyle name="Normal 9 4 2 5 4 3" xfId="29496"/>
    <cellStyle name="Normal 9 4 2 5 5" xfId="17473"/>
    <cellStyle name="Normal 9 4 2 5 5 2" xfId="31498"/>
    <cellStyle name="Normal 9 4 2 5 6" xfId="19475"/>
    <cellStyle name="Normal 9 4 2 5 6 2" xfId="33500"/>
    <cellStyle name="Normal 9 4 2 5 7" xfId="25489"/>
    <cellStyle name="Normal 9 4 2 6" xfId="2860"/>
    <cellStyle name="Normal 9 4 2 6 2" xfId="13454"/>
    <cellStyle name="Normal 9 4 2 6 2 2" xfId="21479"/>
    <cellStyle name="Normal 9 4 2 6 2 2 2" xfId="35504"/>
    <cellStyle name="Normal 9 4 2 6 2 3" xfId="27493"/>
    <cellStyle name="Normal 9 4 2 6 3" xfId="15469"/>
    <cellStyle name="Normal 9 4 2 6 3 2" xfId="23484"/>
    <cellStyle name="Normal 9 4 2 6 3 2 2" xfId="37509"/>
    <cellStyle name="Normal 9 4 2 6 3 3" xfId="29498"/>
    <cellStyle name="Normal 9 4 2 6 4" xfId="17475"/>
    <cellStyle name="Normal 9 4 2 6 4 2" xfId="31500"/>
    <cellStyle name="Normal 9 4 2 6 5" xfId="19477"/>
    <cellStyle name="Normal 9 4 2 6 5 2" xfId="33502"/>
    <cellStyle name="Normal 9 4 2 6 6" xfId="25491"/>
    <cellStyle name="Normal 9 4 2 7" xfId="13435"/>
    <cellStyle name="Normal 9 4 2 7 2" xfId="21460"/>
    <cellStyle name="Normal 9 4 2 7 2 2" xfId="35485"/>
    <cellStyle name="Normal 9 4 2 7 3" xfId="27474"/>
    <cellStyle name="Normal 9 4 2 8" xfId="15450"/>
    <cellStyle name="Normal 9 4 2 8 2" xfId="23465"/>
    <cellStyle name="Normal 9 4 2 8 2 2" xfId="37490"/>
    <cellStyle name="Normal 9 4 2 8 3" xfId="29479"/>
    <cellStyle name="Normal 9 4 2 9" xfId="17456"/>
    <cellStyle name="Normal 9 4 2 9 2" xfId="31481"/>
    <cellStyle name="Normal 9 4 3" xfId="2861"/>
    <cellStyle name="Normal 9 4 3 10" xfId="25492"/>
    <cellStyle name="Normal 9 4 3 2" xfId="2862"/>
    <cellStyle name="Normal 9 4 3 2 2" xfId="2863"/>
    <cellStyle name="Normal 9 4 3 2 2 2" xfId="2864"/>
    <cellStyle name="Normal 9 4 3 2 2 2 2" xfId="13458"/>
    <cellStyle name="Normal 9 4 3 2 2 2 2 2" xfId="21483"/>
    <cellStyle name="Normal 9 4 3 2 2 2 2 2 2" xfId="35508"/>
    <cellStyle name="Normal 9 4 3 2 2 2 2 3" xfId="27497"/>
    <cellStyle name="Normal 9 4 3 2 2 2 3" xfId="15473"/>
    <cellStyle name="Normal 9 4 3 2 2 2 3 2" xfId="23488"/>
    <cellStyle name="Normal 9 4 3 2 2 2 3 2 2" xfId="37513"/>
    <cellStyle name="Normal 9 4 3 2 2 2 3 3" xfId="29502"/>
    <cellStyle name="Normal 9 4 3 2 2 2 4" xfId="17479"/>
    <cellStyle name="Normal 9 4 3 2 2 2 4 2" xfId="31504"/>
    <cellStyle name="Normal 9 4 3 2 2 2 5" xfId="19481"/>
    <cellStyle name="Normal 9 4 3 2 2 2 5 2" xfId="33506"/>
    <cellStyle name="Normal 9 4 3 2 2 2 6" xfId="25495"/>
    <cellStyle name="Normal 9 4 3 2 2 3" xfId="13457"/>
    <cellStyle name="Normal 9 4 3 2 2 3 2" xfId="21482"/>
    <cellStyle name="Normal 9 4 3 2 2 3 2 2" xfId="35507"/>
    <cellStyle name="Normal 9 4 3 2 2 3 3" xfId="27496"/>
    <cellStyle name="Normal 9 4 3 2 2 4" xfId="15472"/>
    <cellStyle name="Normal 9 4 3 2 2 4 2" xfId="23487"/>
    <cellStyle name="Normal 9 4 3 2 2 4 2 2" xfId="37512"/>
    <cellStyle name="Normal 9 4 3 2 2 4 3" xfId="29501"/>
    <cellStyle name="Normal 9 4 3 2 2 5" xfId="17478"/>
    <cellStyle name="Normal 9 4 3 2 2 5 2" xfId="31503"/>
    <cellStyle name="Normal 9 4 3 2 2 6" xfId="19480"/>
    <cellStyle name="Normal 9 4 3 2 2 6 2" xfId="33505"/>
    <cellStyle name="Normal 9 4 3 2 2 7" xfId="25494"/>
    <cellStyle name="Normal 9 4 3 2 3" xfId="2865"/>
    <cellStyle name="Normal 9 4 3 2 3 2" xfId="13459"/>
    <cellStyle name="Normal 9 4 3 2 3 2 2" xfId="21484"/>
    <cellStyle name="Normal 9 4 3 2 3 2 2 2" xfId="35509"/>
    <cellStyle name="Normal 9 4 3 2 3 2 3" xfId="27498"/>
    <cellStyle name="Normal 9 4 3 2 3 3" xfId="15474"/>
    <cellStyle name="Normal 9 4 3 2 3 3 2" xfId="23489"/>
    <cellStyle name="Normal 9 4 3 2 3 3 2 2" xfId="37514"/>
    <cellStyle name="Normal 9 4 3 2 3 3 3" xfId="29503"/>
    <cellStyle name="Normal 9 4 3 2 3 4" xfId="17480"/>
    <cellStyle name="Normal 9 4 3 2 3 4 2" xfId="31505"/>
    <cellStyle name="Normal 9 4 3 2 3 5" xfId="19482"/>
    <cellStyle name="Normal 9 4 3 2 3 5 2" xfId="33507"/>
    <cellStyle name="Normal 9 4 3 2 3 6" xfId="25496"/>
    <cellStyle name="Normal 9 4 3 2 4" xfId="13456"/>
    <cellStyle name="Normal 9 4 3 2 4 2" xfId="21481"/>
    <cellStyle name="Normal 9 4 3 2 4 2 2" xfId="35506"/>
    <cellStyle name="Normal 9 4 3 2 4 3" xfId="27495"/>
    <cellStyle name="Normal 9 4 3 2 5" xfId="15471"/>
    <cellStyle name="Normal 9 4 3 2 5 2" xfId="23486"/>
    <cellStyle name="Normal 9 4 3 2 5 2 2" xfId="37511"/>
    <cellStyle name="Normal 9 4 3 2 5 3" xfId="29500"/>
    <cellStyle name="Normal 9 4 3 2 6" xfId="17477"/>
    <cellStyle name="Normal 9 4 3 2 6 2" xfId="31502"/>
    <cellStyle name="Normal 9 4 3 2 7" xfId="19479"/>
    <cellStyle name="Normal 9 4 3 2 7 2" xfId="33504"/>
    <cellStyle name="Normal 9 4 3 2 8" xfId="25493"/>
    <cellStyle name="Normal 9 4 3 3" xfId="2866"/>
    <cellStyle name="Normal 9 4 3 3 2" xfId="2867"/>
    <cellStyle name="Normal 9 4 3 3 2 2" xfId="13461"/>
    <cellStyle name="Normal 9 4 3 3 2 2 2" xfId="21486"/>
    <cellStyle name="Normal 9 4 3 3 2 2 2 2" xfId="35511"/>
    <cellStyle name="Normal 9 4 3 3 2 2 3" xfId="27500"/>
    <cellStyle name="Normal 9 4 3 3 2 3" xfId="15476"/>
    <cellStyle name="Normal 9 4 3 3 2 3 2" xfId="23491"/>
    <cellStyle name="Normal 9 4 3 3 2 3 2 2" xfId="37516"/>
    <cellStyle name="Normal 9 4 3 3 2 3 3" xfId="29505"/>
    <cellStyle name="Normal 9 4 3 3 2 4" xfId="17482"/>
    <cellStyle name="Normal 9 4 3 3 2 4 2" xfId="31507"/>
    <cellStyle name="Normal 9 4 3 3 2 5" xfId="19484"/>
    <cellStyle name="Normal 9 4 3 3 2 5 2" xfId="33509"/>
    <cellStyle name="Normal 9 4 3 3 2 6" xfId="25498"/>
    <cellStyle name="Normal 9 4 3 3 3" xfId="13460"/>
    <cellStyle name="Normal 9 4 3 3 3 2" xfId="21485"/>
    <cellStyle name="Normal 9 4 3 3 3 2 2" xfId="35510"/>
    <cellStyle name="Normal 9 4 3 3 3 3" xfId="27499"/>
    <cellStyle name="Normal 9 4 3 3 4" xfId="15475"/>
    <cellStyle name="Normal 9 4 3 3 4 2" xfId="23490"/>
    <cellStyle name="Normal 9 4 3 3 4 2 2" xfId="37515"/>
    <cellStyle name="Normal 9 4 3 3 4 3" xfId="29504"/>
    <cellStyle name="Normal 9 4 3 3 5" xfId="17481"/>
    <cellStyle name="Normal 9 4 3 3 5 2" xfId="31506"/>
    <cellStyle name="Normal 9 4 3 3 6" xfId="19483"/>
    <cellStyle name="Normal 9 4 3 3 6 2" xfId="33508"/>
    <cellStyle name="Normal 9 4 3 3 7" xfId="25497"/>
    <cellStyle name="Normal 9 4 3 4" xfId="2868"/>
    <cellStyle name="Normal 9 4 3 4 2" xfId="2869"/>
    <cellStyle name="Normal 9 4 3 4 2 2" xfId="13463"/>
    <cellStyle name="Normal 9 4 3 4 2 2 2" xfId="21488"/>
    <cellStyle name="Normal 9 4 3 4 2 2 2 2" xfId="35513"/>
    <cellStyle name="Normal 9 4 3 4 2 2 3" xfId="27502"/>
    <cellStyle name="Normal 9 4 3 4 2 3" xfId="15478"/>
    <cellStyle name="Normal 9 4 3 4 2 3 2" xfId="23493"/>
    <cellStyle name="Normal 9 4 3 4 2 3 2 2" xfId="37518"/>
    <cellStyle name="Normal 9 4 3 4 2 3 3" xfId="29507"/>
    <cellStyle name="Normal 9 4 3 4 2 4" xfId="17484"/>
    <cellStyle name="Normal 9 4 3 4 2 4 2" xfId="31509"/>
    <cellStyle name="Normal 9 4 3 4 2 5" xfId="19486"/>
    <cellStyle name="Normal 9 4 3 4 2 5 2" xfId="33511"/>
    <cellStyle name="Normal 9 4 3 4 2 6" xfId="25500"/>
    <cellStyle name="Normal 9 4 3 4 3" xfId="13462"/>
    <cellStyle name="Normal 9 4 3 4 3 2" xfId="21487"/>
    <cellStyle name="Normal 9 4 3 4 3 2 2" xfId="35512"/>
    <cellStyle name="Normal 9 4 3 4 3 3" xfId="27501"/>
    <cellStyle name="Normal 9 4 3 4 4" xfId="15477"/>
    <cellStyle name="Normal 9 4 3 4 4 2" xfId="23492"/>
    <cellStyle name="Normal 9 4 3 4 4 2 2" xfId="37517"/>
    <cellStyle name="Normal 9 4 3 4 4 3" xfId="29506"/>
    <cellStyle name="Normal 9 4 3 4 5" xfId="17483"/>
    <cellStyle name="Normal 9 4 3 4 5 2" xfId="31508"/>
    <cellStyle name="Normal 9 4 3 4 6" xfId="19485"/>
    <cellStyle name="Normal 9 4 3 4 6 2" xfId="33510"/>
    <cellStyle name="Normal 9 4 3 4 7" xfId="25499"/>
    <cellStyle name="Normal 9 4 3 5" xfId="2870"/>
    <cellStyle name="Normal 9 4 3 5 2" xfId="13464"/>
    <cellStyle name="Normal 9 4 3 5 2 2" xfId="21489"/>
    <cellStyle name="Normal 9 4 3 5 2 2 2" xfId="35514"/>
    <cellStyle name="Normal 9 4 3 5 2 3" xfId="27503"/>
    <cellStyle name="Normal 9 4 3 5 3" xfId="15479"/>
    <cellStyle name="Normal 9 4 3 5 3 2" xfId="23494"/>
    <cellStyle name="Normal 9 4 3 5 3 2 2" xfId="37519"/>
    <cellStyle name="Normal 9 4 3 5 3 3" xfId="29508"/>
    <cellStyle name="Normal 9 4 3 5 4" xfId="17485"/>
    <cellStyle name="Normal 9 4 3 5 4 2" xfId="31510"/>
    <cellStyle name="Normal 9 4 3 5 5" xfId="19487"/>
    <cellStyle name="Normal 9 4 3 5 5 2" xfId="33512"/>
    <cellStyle name="Normal 9 4 3 5 6" xfId="25501"/>
    <cellStyle name="Normal 9 4 3 6" xfId="13455"/>
    <cellStyle name="Normal 9 4 3 6 2" xfId="21480"/>
    <cellStyle name="Normal 9 4 3 6 2 2" xfId="35505"/>
    <cellStyle name="Normal 9 4 3 6 3" xfId="27494"/>
    <cellStyle name="Normal 9 4 3 7" xfId="15470"/>
    <cellStyle name="Normal 9 4 3 7 2" xfId="23485"/>
    <cellStyle name="Normal 9 4 3 7 2 2" xfId="37510"/>
    <cellStyle name="Normal 9 4 3 7 3" xfId="29499"/>
    <cellStyle name="Normal 9 4 3 8" xfId="17476"/>
    <cellStyle name="Normal 9 4 3 8 2" xfId="31501"/>
    <cellStyle name="Normal 9 4 3 9" xfId="19478"/>
    <cellStyle name="Normal 9 4 3 9 2" xfId="33503"/>
    <cellStyle name="Normal 9 4 4" xfId="2871"/>
    <cellStyle name="Normal 9 4 4 2" xfId="2872"/>
    <cellStyle name="Normal 9 4 4 2 2" xfId="2873"/>
    <cellStyle name="Normal 9 4 4 2 2 2" xfId="13467"/>
    <cellStyle name="Normal 9 4 4 2 2 2 2" xfId="21492"/>
    <cellStyle name="Normal 9 4 4 2 2 2 2 2" xfId="35517"/>
    <cellStyle name="Normal 9 4 4 2 2 2 3" xfId="27506"/>
    <cellStyle name="Normal 9 4 4 2 2 3" xfId="15482"/>
    <cellStyle name="Normal 9 4 4 2 2 3 2" xfId="23497"/>
    <cellStyle name="Normal 9 4 4 2 2 3 2 2" xfId="37522"/>
    <cellStyle name="Normal 9 4 4 2 2 3 3" xfId="29511"/>
    <cellStyle name="Normal 9 4 4 2 2 4" xfId="17488"/>
    <cellStyle name="Normal 9 4 4 2 2 4 2" xfId="31513"/>
    <cellStyle name="Normal 9 4 4 2 2 5" xfId="19490"/>
    <cellStyle name="Normal 9 4 4 2 2 5 2" xfId="33515"/>
    <cellStyle name="Normal 9 4 4 2 2 6" xfId="25504"/>
    <cellStyle name="Normal 9 4 4 2 3" xfId="13466"/>
    <cellStyle name="Normal 9 4 4 2 3 2" xfId="21491"/>
    <cellStyle name="Normal 9 4 4 2 3 2 2" xfId="35516"/>
    <cellStyle name="Normal 9 4 4 2 3 3" xfId="27505"/>
    <cellStyle name="Normal 9 4 4 2 4" xfId="15481"/>
    <cellStyle name="Normal 9 4 4 2 4 2" xfId="23496"/>
    <cellStyle name="Normal 9 4 4 2 4 2 2" xfId="37521"/>
    <cellStyle name="Normal 9 4 4 2 4 3" xfId="29510"/>
    <cellStyle name="Normal 9 4 4 2 5" xfId="17487"/>
    <cellStyle name="Normal 9 4 4 2 5 2" xfId="31512"/>
    <cellStyle name="Normal 9 4 4 2 6" xfId="19489"/>
    <cellStyle name="Normal 9 4 4 2 6 2" xfId="33514"/>
    <cellStyle name="Normal 9 4 4 2 7" xfId="25503"/>
    <cellStyle name="Normal 9 4 4 3" xfId="2874"/>
    <cellStyle name="Normal 9 4 4 3 2" xfId="13468"/>
    <cellStyle name="Normal 9 4 4 3 2 2" xfId="21493"/>
    <cellStyle name="Normal 9 4 4 3 2 2 2" xfId="35518"/>
    <cellStyle name="Normal 9 4 4 3 2 3" xfId="27507"/>
    <cellStyle name="Normal 9 4 4 3 3" xfId="15483"/>
    <cellStyle name="Normal 9 4 4 3 3 2" xfId="23498"/>
    <cellStyle name="Normal 9 4 4 3 3 2 2" xfId="37523"/>
    <cellStyle name="Normal 9 4 4 3 3 3" xfId="29512"/>
    <cellStyle name="Normal 9 4 4 3 4" xfId="17489"/>
    <cellStyle name="Normal 9 4 4 3 4 2" xfId="31514"/>
    <cellStyle name="Normal 9 4 4 3 5" xfId="19491"/>
    <cellStyle name="Normal 9 4 4 3 5 2" xfId="33516"/>
    <cellStyle name="Normal 9 4 4 3 6" xfId="25505"/>
    <cellStyle name="Normal 9 4 4 4" xfId="13465"/>
    <cellStyle name="Normal 9 4 4 4 2" xfId="21490"/>
    <cellStyle name="Normal 9 4 4 4 2 2" xfId="35515"/>
    <cellStyle name="Normal 9 4 4 4 3" xfId="27504"/>
    <cellStyle name="Normal 9 4 4 5" xfId="15480"/>
    <cellStyle name="Normal 9 4 4 5 2" xfId="23495"/>
    <cellStyle name="Normal 9 4 4 5 2 2" xfId="37520"/>
    <cellStyle name="Normal 9 4 4 5 3" xfId="29509"/>
    <cellStyle name="Normal 9 4 4 6" xfId="17486"/>
    <cellStyle name="Normal 9 4 4 6 2" xfId="31511"/>
    <cellStyle name="Normal 9 4 4 7" xfId="19488"/>
    <cellStyle name="Normal 9 4 4 7 2" xfId="33513"/>
    <cellStyle name="Normal 9 4 4 8" xfId="25502"/>
    <cellStyle name="Normal 9 4 5" xfId="2875"/>
    <cellStyle name="Normal 9 4 5 2" xfId="2876"/>
    <cellStyle name="Normal 9 4 5 2 2" xfId="13470"/>
    <cellStyle name="Normal 9 4 5 2 2 2" xfId="21495"/>
    <cellStyle name="Normal 9 4 5 2 2 2 2" xfId="35520"/>
    <cellStyle name="Normal 9 4 5 2 2 3" xfId="27509"/>
    <cellStyle name="Normal 9 4 5 2 3" xfId="15485"/>
    <cellStyle name="Normal 9 4 5 2 3 2" xfId="23500"/>
    <cellStyle name="Normal 9 4 5 2 3 2 2" xfId="37525"/>
    <cellStyle name="Normal 9 4 5 2 3 3" xfId="29514"/>
    <cellStyle name="Normal 9 4 5 2 4" xfId="17491"/>
    <cellStyle name="Normal 9 4 5 2 4 2" xfId="31516"/>
    <cellStyle name="Normal 9 4 5 2 5" xfId="19493"/>
    <cellStyle name="Normal 9 4 5 2 5 2" xfId="33518"/>
    <cellStyle name="Normal 9 4 5 2 6" xfId="25507"/>
    <cellStyle name="Normal 9 4 5 3" xfId="13469"/>
    <cellStyle name="Normal 9 4 5 3 2" xfId="21494"/>
    <cellStyle name="Normal 9 4 5 3 2 2" xfId="35519"/>
    <cellStyle name="Normal 9 4 5 3 3" xfId="27508"/>
    <cellStyle name="Normal 9 4 5 4" xfId="15484"/>
    <cellStyle name="Normal 9 4 5 4 2" xfId="23499"/>
    <cellStyle name="Normal 9 4 5 4 2 2" xfId="37524"/>
    <cellStyle name="Normal 9 4 5 4 3" xfId="29513"/>
    <cellStyle name="Normal 9 4 5 5" xfId="17490"/>
    <cellStyle name="Normal 9 4 5 5 2" xfId="31515"/>
    <cellStyle name="Normal 9 4 5 6" xfId="19492"/>
    <cellStyle name="Normal 9 4 5 6 2" xfId="33517"/>
    <cellStyle name="Normal 9 4 5 7" xfId="25506"/>
    <cellStyle name="Normal 9 4 6" xfId="2877"/>
    <cellStyle name="Normal 9 4 6 2" xfId="2878"/>
    <cellStyle name="Normal 9 4 6 2 2" xfId="13472"/>
    <cellStyle name="Normal 9 4 6 2 2 2" xfId="21497"/>
    <cellStyle name="Normal 9 4 6 2 2 2 2" xfId="35522"/>
    <cellStyle name="Normal 9 4 6 2 2 3" xfId="27511"/>
    <cellStyle name="Normal 9 4 6 2 3" xfId="15487"/>
    <cellStyle name="Normal 9 4 6 2 3 2" xfId="23502"/>
    <cellStyle name="Normal 9 4 6 2 3 2 2" xfId="37527"/>
    <cellStyle name="Normal 9 4 6 2 3 3" xfId="29516"/>
    <cellStyle name="Normal 9 4 6 2 4" xfId="17493"/>
    <cellStyle name="Normal 9 4 6 2 4 2" xfId="31518"/>
    <cellStyle name="Normal 9 4 6 2 5" xfId="19495"/>
    <cellStyle name="Normal 9 4 6 2 5 2" xfId="33520"/>
    <cellStyle name="Normal 9 4 6 2 6" xfId="25509"/>
    <cellStyle name="Normal 9 4 6 3" xfId="13471"/>
    <cellStyle name="Normal 9 4 6 3 2" xfId="21496"/>
    <cellStyle name="Normal 9 4 6 3 2 2" xfId="35521"/>
    <cellStyle name="Normal 9 4 6 3 3" xfId="27510"/>
    <cellStyle name="Normal 9 4 6 4" xfId="15486"/>
    <cellStyle name="Normal 9 4 6 4 2" xfId="23501"/>
    <cellStyle name="Normal 9 4 6 4 2 2" xfId="37526"/>
    <cellStyle name="Normal 9 4 6 4 3" xfId="29515"/>
    <cellStyle name="Normal 9 4 6 5" xfId="17492"/>
    <cellStyle name="Normal 9 4 6 5 2" xfId="31517"/>
    <cellStyle name="Normal 9 4 6 6" xfId="19494"/>
    <cellStyle name="Normal 9 4 6 6 2" xfId="33519"/>
    <cellStyle name="Normal 9 4 6 7" xfId="25508"/>
    <cellStyle name="Normal 9 4 7" xfId="2879"/>
    <cellStyle name="Normal 9 4 7 2" xfId="13473"/>
    <cellStyle name="Normal 9 4 7 2 2" xfId="21498"/>
    <cellStyle name="Normal 9 4 7 2 2 2" xfId="35523"/>
    <cellStyle name="Normal 9 4 7 2 3" xfId="27512"/>
    <cellStyle name="Normal 9 4 7 3" xfId="15488"/>
    <cellStyle name="Normal 9 4 7 3 2" xfId="23503"/>
    <cellStyle name="Normal 9 4 7 3 2 2" xfId="37528"/>
    <cellStyle name="Normal 9 4 7 3 3" xfId="29517"/>
    <cellStyle name="Normal 9 4 7 4" xfId="17494"/>
    <cellStyle name="Normal 9 4 7 4 2" xfId="31519"/>
    <cellStyle name="Normal 9 4 7 5" xfId="19496"/>
    <cellStyle name="Normal 9 4 7 5 2" xfId="33521"/>
    <cellStyle name="Normal 9 4 7 6" xfId="25510"/>
    <cellStyle name="Normal 9 4 8" xfId="13434"/>
    <cellStyle name="Normal 9 4 8 2" xfId="21459"/>
    <cellStyle name="Normal 9 4 8 2 2" xfId="35484"/>
    <cellStyle name="Normal 9 4 8 3" xfId="27473"/>
    <cellStyle name="Normal 9 4 9" xfId="15449"/>
    <cellStyle name="Normal 9 4 9 2" xfId="23464"/>
    <cellStyle name="Normal 9 4 9 2 2" xfId="37489"/>
    <cellStyle name="Normal 9 4 9 3" xfId="29478"/>
    <cellStyle name="Normal 9 5" xfId="2880"/>
    <cellStyle name="Normal 9 5 10" xfId="19497"/>
    <cellStyle name="Normal 9 5 10 2" xfId="33522"/>
    <cellStyle name="Normal 9 5 11" xfId="25511"/>
    <cellStyle name="Normal 9 5 2" xfId="2881"/>
    <cellStyle name="Normal 9 5 2 10" xfId="25512"/>
    <cellStyle name="Normal 9 5 2 2" xfId="2882"/>
    <cellStyle name="Normal 9 5 2 2 2" xfId="2883"/>
    <cellStyle name="Normal 9 5 2 2 2 2" xfId="2884"/>
    <cellStyle name="Normal 9 5 2 2 2 2 2" xfId="13478"/>
    <cellStyle name="Normal 9 5 2 2 2 2 2 2" xfId="21503"/>
    <cellStyle name="Normal 9 5 2 2 2 2 2 2 2" xfId="35528"/>
    <cellStyle name="Normal 9 5 2 2 2 2 2 3" xfId="27517"/>
    <cellStyle name="Normal 9 5 2 2 2 2 3" xfId="15493"/>
    <cellStyle name="Normal 9 5 2 2 2 2 3 2" xfId="23508"/>
    <cellStyle name="Normal 9 5 2 2 2 2 3 2 2" xfId="37533"/>
    <cellStyle name="Normal 9 5 2 2 2 2 3 3" xfId="29522"/>
    <cellStyle name="Normal 9 5 2 2 2 2 4" xfId="17499"/>
    <cellStyle name="Normal 9 5 2 2 2 2 4 2" xfId="31524"/>
    <cellStyle name="Normal 9 5 2 2 2 2 5" xfId="19501"/>
    <cellStyle name="Normal 9 5 2 2 2 2 5 2" xfId="33526"/>
    <cellStyle name="Normal 9 5 2 2 2 2 6" xfId="25515"/>
    <cellStyle name="Normal 9 5 2 2 2 3" xfId="13477"/>
    <cellStyle name="Normal 9 5 2 2 2 3 2" xfId="21502"/>
    <cellStyle name="Normal 9 5 2 2 2 3 2 2" xfId="35527"/>
    <cellStyle name="Normal 9 5 2 2 2 3 3" xfId="27516"/>
    <cellStyle name="Normal 9 5 2 2 2 4" xfId="15492"/>
    <cellStyle name="Normal 9 5 2 2 2 4 2" xfId="23507"/>
    <cellStyle name="Normal 9 5 2 2 2 4 2 2" xfId="37532"/>
    <cellStyle name="Normal 9 5 2 2 2 4 3" xfId="29521"/>
    <cellStyle name="Normal 9 5 2 2 2 5" xfId="17498"/>
    <cellStyle name="Normal 9 5 2 2 2 5 2" xfId="31523"/>
    <cellStyle name="Normal 9 5 2 2 2 6" xfId="19500"/>
    <cellStyle name="Normal 9 5 2 2 2 6 2" xfId="33525"/>
    <cellStyle name="Normal 9 5 2 2 2 7" xfId="25514"/>
    <cellStyle name="Normal 9 5 2 2 3" xfId="2885"/>
    <cellStyle name="Normal 9 5 2 2 3 2" xfId="13479"/>
    <cellStyle name="Normal 9 5 2 2 3 2 2" xfId="21504"/>
    <cellStyle name="Normal 9 5 2 2 3 2 2 2" xfId="35529"/>
    <cellStyle name="Normal 9 5 2 2 3 2 3" xfId="27518"/>
    <cellStyle name="Normal 9 5 2 2 3 3" xfId="15494"/>
    <cellStyle name="Normal 9 5 2 2 3 3 2" xfId="23509"/>
    <cellStyle name="Normal 9 5 2 2 3 3 2 2" xfId="37534"/>
    <cellStyle name="Normal 9 5 2 2 3 3 3" xfId="29523"/>
    <cellStyle name="Normal 9 5 2 2 3 4" xfId="17500"/>
    <cellStyle name="Normal 9 5 2 2 3 4 2" xfId="31525"/>
    <cellStyle name="Normal 9 5 2 2 3 5" xfId="19502"/>
    <cellStyle name="Normal 9 5 2 2 3 5 2" xfId="33527"/>
    <cellStyle name="Normal 9 5 2 2 3 6" xfId="25516"/>
    <cellStyle name="Normal 9 5 2 2 4" xfId="13476"/>
    <cellStyle name="Normal 9 5 2 2 4 2" xfId="21501"/>
    <cellStyle name="Normal 9 5 2 2 4 2 2" xfId="35526"/>
    <cellStyle name="Normal 9 5 2 2 4 3" xfId="27515"/>
    <cellStyle name="Normal 9 5 2 2 5" xfId="15491"/>
    <cellStyle name="Normal 9 5 2 2 5 2" xfId="23506"/>
    <cellStyle name="Normal 9 5 2 2 5 2 2" xfId="37531"/>
    <cellStyle name="Normal 9 5 2 2 5 3" xfId="29520"/>
    <cellStyle name="Normal 9 5 2 2 6" xfId="17497"/>
    <cellStyle name="Normal 9 5 2 2 6 2" xfId="31522"/>
    <cellStyle name="Normal 9 5 2 2 7" xfId="19499"/>
    <cellStyle name="Normal 9 5 2 2 7 2" xfId="33524"/>
    <cellStyle name="Normal 9 5 2 2 8" xfId="25513"/>
    <cellStyle name="Normal 9 5 2 3" xfId="2886"/>
    <cellStyle name="Normal 9 5 2 3 2" xfId="2887"/>
    <cellStyle name="Normal 9 5 2 3 2 2" xfId="13481"/>
    <cellStyle name="Normal 9 5 2 3 2 2 2" xfId="21506"/>
    <cellStyle name="Normal 9 5 2 3 2 2 2 2" xfId="35531"/>
    <cellStyle name="Normal 9 5 2 3 2 2 3" xfId="27520"/>
    <cellStyle name="Normal 9 5 2 3 2 3" xfId="15496"/>
    <cellStyle name="Normal 9 5 2 3 2 3 2" xfId="23511"/>
    <cellStyle name="Normal 9 5 2 3 2 3 2 2" xfId="37536"/>
    <cellStyle name="Normal 9 5 2 3 2 3 3" xfId="29525"/>
    <cellStyle name="Normal 9 5 2 3 2 4" xfId="17502"/>
    <cellStyle name="Normal 9 5 2 3 2 4 2" xfId="31527"/>
    <cellStyle name="Normal 9 5 2 3 2 5" xfId="19504"/>
    <cellStyle name="Normal 9 5 2 3 2 5 2" xfId="33529"/>
    <cellStyle name="Normal 9 5 2 3 2 6" xfId="25518"/>
    <cellStyle name="Normal 9 5 2 3 3" xfId="13480"/>
    <cellStyle name="Normal 9 5 2 3 3 2" xfId="21505"/>
    <cellStyle name="Normal 9 5 2 3 3 2 2" xfId="35530"/>
    <cellStyle name="Normal 9 5 2 3 3 3" xfId="27519"/>
    <cellStyle name="Normal 9 5 2 3 4" xfId="15495"/>
    <cellStyle name="Normal 9 5 2 3 4 2" xfId="23510"/>
    <cellStyle name="Normal 9 5 2 3 4 2 2" xfId="37535"/>
    <cellStyle name="Normal 9 5 2 3 4 3" xfId="29524"/>
    <cellStyle name="Normal 9 5 2 3 5" xfId="17501"/>
    <cellStyle name="Normal 9 5 2 3 5 2" xfId="31526"/>
    <cellStyle name="Normal 9 5 2 3 6" xfId="19503"/>
    <cellStyle name="Normal 9 5 2 3 6 2" xfId="33528"/>
    <cellStyle name="Normal 9 5 2 3 7" xfId="25517"/>
    <cellStyle name="Normal 9 5 2 4" xfId="2888"/>
    <cellStyle name="Normal 9 5 2 4 2" xfId="2889"/>
    <cellStyle name="Normal 9 5 2 4 2 2" xfId="13483"/>
    <cellStyle name="Normal 9 5 2 4 2 2 2" xfId="21508"/>
    <cellStyle name="Normal 9 5 2 4 2 2 2 2" xfId="35533"/>
    <cellStyle name="Normal 9 5 2 4 2 2 3" xfId="27522"/>
    <cellStyle name="Normal 9 5 2 4 2 3" xfId="15498"/>
    <cellStyle name="Normal 9 5 2 4 2 3 2" xfId="23513"/>
    <cellStyle name="Normal 9 5 2 4 2 3 2 2" xfId="37538"/>
    <cellStyle name="Normal 9 5 2 4 2 3 3" xfId="29527"/>
    <cellStyle name="Normal 9 5 2 4 2 4" xfId="17504"/>
    <cellStyle name="Normal 9 5 2 4 2 4 2" xfId="31529"/>
    <cellStyle name="Normal 9 5 2 4 2 5" xfId="19506"/>
    <cellStyle name="Normal 9 5 2 4 2 5 2" xfId="33531"/>
    <cellStyle name="Normal 9 5 2 4 2 6" xfId="25520"/>
    <cellStyle name="Normal 9 5 2 4 3" xfId="13482"/>
    <cellStyle name="Normal 9 5 2 4 3 2" xfId="21507"/>
    <cellStyle name="Normal 9 5 2 4 3 2 2" xfId="35532"/>
    <cellStyle name="Normal 9 5 2 4 3 3" xfId="27521"/>
    <cellStyle name="Normal 9 5 2 4 4" xfId="15497"/>
    <cellStyle name="Normal 9 5 2 4 4 2" xfId="23512"/>
    <cellStyle name="Normal 9 5 2 4 4 2 2" xfId="37537"/>
    <cellStyle name="Normal 9 5 2 4 4 3" xfId="29526"/>
    <cellStyle name="Normal 9 5 2 4 5" xfId="17503"/>
    <cellStyle name="Normal 9 5 2 4 5 2" xfId="31528"/>
    <cellStyle name="Normal 9 5 2 4 6" xfId="19505"/>
    <cellStyle name="Normal 9 5 2 4 6 2" xfId="33530"/>
    <cellStyle name="Normal 9 5 2 4 7" xfId="25519"/>
    <cellStyle name="Normal 9 5 2 5" xfId="2890"/>
    <cellStyle name="Normal 9 5 2 5 2" xfId="13484"/>
    <cellStyle name="Normal 9 5 2 5 2 2" xfId="21509"/>
    <cellStyle name="Normal 9 5 2 5 2 2 2" xfId="35534"/>
    <cellStyle name="Normal 9 5 2 5 2 3" xfId="27523"/>
    <cellStyle name="Normal 9 5 2 5 3" xfId="15499"/>
    <cellStyle name="Normal 9 5 2 5 3 2" xfId="23514"/>
    <cellStyle name="Normal 9 5 2 5 3 2 2" xfId="37539"/>
    <cellStyle name="Normal 9 5 2 5 3 3" xfId="29528"/>
    <cellStyle name="Normal 9 5 2 5 4" xfId="17505"/>
    <cellStyle name="Normal 9 5 2 5 4 2" xfId="31530"/>
    <cellStyle name="Normal 9 5 2 5 5" xfId="19507"/>
    <cellStyle name="Normal 9 5 2 5 5 2" xfId="33532"/>
    <cellStyle name="Normal 9 5 2 5 6" xfId="25521"/>
    <cellStyle name="Normal 9 5 2 6" xfId="13475"/>
    <cellStyle name="Normal 9 5 2 6 2" xfId="21500"/>
    <cellStyle name="Normal 9 5 2 6 2 2" xfId="35525"/>
    <cellStyle name="Normal 9 5 2 6 3" xfId="27514"/>
    <cellStyle name="Normal 9 5 2 7" xfId="15490"/>
    <cellStyle name="Normal 9 5 2 7 2" xfId="23505"/>
    <cellStyle name="Normal 9 5 2 7 2 2" xfId="37530"/>
    <cellStyle name="Normal 9 5 2 7 3" xfId="29519"/>
    <cellStyle name="Normal 9 5 2 8" xfId="17496"/>
    <cellStyle name="Normal 9 5 2 8 2" xfId="31521"/>
    <cellStyle name="Normal 9 5 2 9" xfId="19498"/>
    <cellStyle name="Normal 9 5 2 9 2" xfId="33523"/>
    <cellStyle name="Normal 9 5 3" xfId="2891"/>
    <cellStyle name="Normal 9 5 3 2" xfId="2892"/>
    <cellStyle name="Normal 9 5 3 2 2" xfId="2893"/>
    <cellStyle name="Normal 9 5 3 2 2 2" xfId="13487"/>
    <cellStyle name="Normal 9 5 3 2 2 2 2" xfId="21512"/>
    <cellStyle name="Normal 9 5 3 2 2 2 2 2" xfId="35537"/>
    <cellStyle name="Normal 9 5 3 2 2 2 3" xfId="27526"/>
    <cellStyle name="Normal 9 5 3 2 2 3" xfId="15502"/>
    <cellStyle name="Normal 9 5 3 2 2 3 2" xfId="23517"/>
    <cellStyle name="Normal 9 5 3 2 2 3 2 2" xfId="37542"/>
    <cellStyle name="Normal 9 5 3 2 2 3 3" xfId="29531"/>
    <cellStyle name="Normal 9 5 3 2 2 4" xfId="17508"/>
    <cellStyle name="Normal 9 5 3 2 2 4 2" xfId="31533"/>
    <cellStyle name="Normal 9 5 3 2 2 5" xfId="19510"/>
    <cellStyle name="Normal 9 5 3 2 2 5 2" xfId="33535"/>
    <cellStyle name="Normal 9 5 3 2 2 6" xfId="25524"/>
    <cellStyle name="Normal 9 5 3 2 3" xfId="13486"/>
    <cellStyle name="Normal 9 5 3 2 3 2" xfId="21511"/>
    <cellStyle name="Normal 9 5 3 2 3 2 2" xfId="35536"/>
    <cellStyle name="Normal 9 5 3 2 3 3" xfId="27525"/>
    <cellStyle name="Normal 9 5 3 2 4" xfId="15501"/>
    <cellStyle name="Normal 9 5 3 2 4 2" xfId="23516"/>
    <cellStyle name="Normal 9 5 3 2 4 2 2" xfId="37541"/>
    <cellStyle name="Normal 9 5 3 2 4 3" xfId="29530"/>
    <cellStyle name="Normal 9 5 3 2 5" xfId="17507"/>
    <cellStyle name="Normal 9 5 3 2 5 2" xfId="31532"/>
    <cellStyle name="Normal 9 5 3 2 6" xfId="19509"/>
    <cellStyle name="Normal 9 5 3 2 6 2" xfId="33534"/>
    <cellStyle name="Normal 9 5 3 2 7" xfId="25523"/>
    <cellStyle name="Normal 9 5 3 3" xfId="2894"/>
    <cellStyle name="Normal 9 5 3 3 2" xfId="13488"/>
    <cellStyle name="Normal 9 5 3 3 2 2" xfId="21513"/>
    <cellStyle name="Normal 9 5 3 3 2 2 2" xfId="35538"/>
    <cellStyle name="Normal 9 5 3 3 2 3" xfId="27527"/>
    <cellStyle name="Normal 9 5 3 3 3" xfId="15503"/>
    <cellStyle name="Normal 9 5 3 3 3 2" xfId="23518"/>
    <cellStyle name="Normal 9 5 3 3 3 2 2" xfId="37543"/>
    <cellStyle name="Normal 9 5 3 3 3 3" xfId="29532"/>
    <cellStyle name="Normal 9 5 3 3 4" xfId="17509"/>
    <cellStyle name="Normal 9 5 3 3 4 2" xfId="31534"/>
    <cellStyle name="Normal 9 5 3 3 5" xfId="19511"/>
    <cellStyle name="Normal 9 5 3 3 5 2" xfId="33536"/>
    <cellStyle name="Normal 9 5 3 3 6" xfId="25525"/>
    <cellStyle name="Normal 9 5 3 4" xfId="13485"/>
    <cellStyle name="Normal 9 5 3 4 2" xfId="21510"/>
    <cellStyle name="Normal 9 5 3 4 2 2" xfId="35535"/>
    <cellStyle name="Normal 9 5 3 4 3" xfId="27524"/>
    <cellStyle name="Normal 9 5 3 5" xfId="15500"/>
    <cellStyle name="Normal 9 5 3 5 2" xfId="23515"/>
    <cellStyle name="Normal 9 5 3 5 2 2" xfId="37540"/>
    <cellStyle name="Normal 9 5 3 5 3" xfId="29529"/>
    <cellStyle name="Normal 9 5 3 6" xfId="17506"/>
    <cellStyle name="Normal 9 5 3 6 2" xfId="31531"/>
    <cellStyle name="Normal 9 5 3 7" xfId="19508"/>
    <cellStyle name="Normal 9 5 3 7 2" xfId="33533"/>
    <cellStyle name="Normal 9 5 3 8" xfId="25522"/>
    <cellStyle name="Normal 9 5 4" xfId="2895"/>
    <cellStyle name="Normal 9 5 4 2" xfId="2896"/>
    <cellStyle name="Normal 9 5 4 2 2" xfId="13490"/>
    <cellStyle name="Normal 9 5 4 2 2 2" xfId="21515"/>
    <cellStyle name="Normal 9 5 4 2 2 2 2" xfId="35540"/>
    <cellStyle name="Normal 9 5 4 2 2 3" xfId="27529"/>
    <cellStyle name="Normal 9 5 4 2 3" xfId="15505"/>
    <cellStyle name="Normal 9 5 4 2 3 2" xfId="23520"/>
    <cellStyle name="Normal 9 5 4 2 3 2 2" xfId="37545"/>
    <cellStyle name="Normal 9 5 4 2 3 3" xfId="29534"/>
    <cellStyle name="Normal 9 5 4 2 4" xfId="17511"/>
    <cellStyle name="Normal 9 5 4 2 4 2" xfId="31536"/>
    <cellStyle name="Normal 9 5 4 2 5" xfId="19513"/>
    <cellStyle name="Normal 9 5 4 2 5 2" xfId="33538"/>
    <cellStyle name="Normal 9 5 4 2 6" xfId="25527"/>
    <cellStyle name="Normal 9 5 4 3" xfId="13489"/>
    <cellStyle name="Normal 9 5 4 3 2" xfId="21514"/>
    <cellStyle name="Normal 9 5 4 3 2 2" xfId="35539"/>
    <cellStyle name="Normal 9 5 4 3 3" xfId="27528"/>
    <cellStyle name="Normal 9 5 4 4" xfId="15504"/>
    <cellStyle name="Normal 9 5 4 4 2" xfId="23519"/>
    <cellStyle name="Normal 9 5 4 4 2 2" xfId="37544"/>
    <cellStyle name="Normal 9 5 4 4 3" xfId="29533"/>
    <cellStyle name="Normal 9 5 4 5" xfId="17510"/>
    <cellStyle name="Normal 9 5 4 5 2" xfId="31535"/>
    <cellStyle name="Normal 9 5 4 6" xfId="19512"/>
    <cellStyle name="Normal 9 5 4 6 2" xfId="33537"/>
    <cellStyle name="Normal 9 5 4 7" xfId="25526"/>
    <cellStyle name="Normal 9 5 5" xfId="2897"/>
    <cellStyle name="Normal 9 5 5 2" xfId="2898"/>
    <cellStyle name="Normal 9 5 5 2 2" xfId="13492"/>
    <cellStyle name="Normal 9 5 5 2 2 2" xfId="21517"/>
    <cellStyle name="Normal 9 5 5 2 2 2 2" xfId="35542"/>
    <cellStyle name="Normal 9 5 5 2 2 3" xfId="27531"/>
    <cellStyle name="Normal 9 5 5 2 3" xfId="15507"/>
    <cellStyle name="Normal 9 5 5 2 3 2" xfId="23522"/>
    <cellStyle name="Normal 9 5 5 2 3 2 2" xfId="37547"/>
    <cellStyle name="Normal 9 5 5 2 3 3" xfId="29536"/>
    <cellStyle name="Normal 9 5 5 2 4" xfId="17513"/>
    <cellStyle name="Normal 9 5 5 2 4 2" xfId="31538"/>
    <cellStyle name="Normal 9 5 5 2 5" xfId="19515"/>
    <cellStyle name="Normal 9 5 5 2 5 2" xfId="33540"/>
    <cellStyle name="Normal 9 5 5 2 6" xfId="25529"/>
    <cellStyle name="Normal 9 5 5 3" xfId="13491"/>
    <cellStyle name="Normal 9 5 5 3 2" xfId="21516"/>
    <cellStyle name="Normal 9 5 5 3 2 2" xfId="35541"/>
    <cellStyle name="Normal 9 5 5 3 3" xfId="27530"/>
    <cellStyle name="Normal 9 5 5 4" xfId="15506"/>
    <cellStyle name="Normal 9 5 5 4 2" xfId="23521"/>
    <cellStyle name="Normal 9 5 5 4 2 2" xfId="37546"/>
    <cellStyle name="Normal 9 5 5 4 3" xfId="29535"/>
    <cellStyle name="Normal 9 5 5 5" xfId="17512"/>
    <cellStyle name="Normal 9 5 5 5 2" xfId="31537"/>
    <cellStyle name="Normal 9 5 5 6" xfId="19514"/>
    <cellStyle name="Normal 9 5 5 6 2" xfId="33539"/>
    <cellStyle name="Normal 9 5 5 7" xfId="25528"/>
    <cellStyle name="Normal 9 5 6" xfId="2899"/>
    <cellStyle name="Normal 9 5 6 2" xfId="13493"/>
    <cellStyle name="Normal 9 5 6 2 2" xfId="21518"/>
    <cellStyle name="Normal 9 5 6 2 2 2" xfId="35543"/>
    <cellStyle name="Normal 9 5 6 2 3" xfId="27532"/>
    <cellStyle name="Normal 9 5 6 3" xfId="15508"/>
    <cellStyle name="Normal 9 5 6 3 2" xfId="23523"/>
    <cellStyle name="Normal 9 5 6 3 2 2" xfId="37548"/>
    <cellStyle name="Normal 9 5 6 3 3" xfId="29537"/>
    <cellStyle name="Normal 9 5 6 4" xfId="17514"/>
    <cellStyle name="Normal 9 5 6 4 2" xfId="31539"/>
    <cellStyle name="Normal 9 5 6 5" xfId="19516"/>
    <cellStyle name="Normal 9 5 6 5 2" xfId="33541"/>
    <cellStyle name="Normal 9 5 6 6" xfId="25530"/>
    <cellStyle name="Normal 9 5 7" xfId="13474"/>
    <cellStyle name="Normal 9 5 7 2" xfId="21499"/>
    <cellStyle name="Normal 9 5 7 2 2" xfId="35524"/>
    <cellStyle name="Normal 9 5 7 3" xfId="27513"/>
    <cellStyle name="Normal 9 5 8" xfId="15489"/>
    <cellStyle name="Normal 9 5 8 2" xfId="23504"/>
    <cellStyle name="Normal 9 5 8 2 2" xfId="37529"/>
    <cellStyle name="Normal 9 5 8 3" xfId="29518"/>
    <cellStyle name="Normal 9 5 9" xfId="17495"/>
    <cellStyle name="Normal 9 5 9 2" xfId="31520"/>
    <cellStyle name="Normal 9 6" xfId="2900"/>
    <cellStyle name="Normal 9 6 10" xfId="25531"/>
    <cellStyle name="Normal 9 6 2" xfId="2901"/>
    <cellStyle name="Normal 9 6 2 2" xfId="2902"/>
    <cellStyle name="Normal 9 6 2 2 2" xfId="2903"/>
    <cellStyle name="Normal 9 6 2 2 2 2" xfId="13497"/>
    <cellStyle name="Normal 9 6 2 2 2 2 2" xfId="21522"/>
    <cellStyle name="Normal 9 6 2 2 2 2 2 2" xfId="35547"/>
    <cellStyle name="Normal 9 6 2 2 2 2 3" xfId="27536"/>
    <cellStyle name="Normal 9 6 2 2 2 3" xfId="15512"/>
    <cellStyle name="Normal 9 6 2 2 2 3 2" xfId="23527"/>
    <cellStyle name="Normal 9 6 2 2 2 3 2 2" xfId="37552"/>
    <cellStyle name="Normal 9 6 2 2 2 3 3" xfId="29541"/>
    <cellStyle name="Normal 9 6 2 2 2 4" xfId="17518"/>
    <cellStyle name="Normal 9 6 2 2 2 4 2" xfId="31543"/>
    <cellStyle name="Normal 9 6 2 2 2 5" xfId="19520"/>
    <cellStyle name="Normal 9 6 2 2 2 5 2" xfId="33545"/>
    <cellStyle name="Normal 9 6 2 2 2 6" xfId="25534"/>
    <cellStyle name="Normal 9 6 2 2 3" xfId="13496"/>
    <cellStyle name="Normal 9 6 2 2 3 2" xfId="21521"/>
    <cellStyle name="Normal 9 6 2 2 3 2 2" xfId="35546"/>
    <cellStyle name="Normal 9 6 2 2 3 3" xfId="27535"/>
    <cellStyle name="Normal 9 6 2 2 4" xfId="15511"/>
    <cellStyle name="Normal 9 6 2 2 4 2" xfId="23526"/>
    <cellStyle name="Normal 9 6 2 2 4 2 2" xfId="37551"/>
    <cellStyle name="Normal 9 6 2 2 4 3" xfId="29540"/>
    <cellStyle name="Normal 9 6 2 2 5" xfId="17517"/>
    <cellStyle name="Normal 9 6 2 2 5 2" xfId="31542"/>
    <cellStyle name="Normal 9 6 2 2 6" xfId="19519"/>
    <cellStyle name="Normal 9 6 2 2 6 2" xfId="33544"/>
    <cellStyle name="Normal 9 6 2 2 7" xfId="25533"/>
    <cellStyle name="Normal 9 6 2 3" xfId="2904"/>
    <cellStyle name="Normal 9 6 2 3 2" xfId="13498"/>
    <cellStyle name="Normal 9 6 2 3 2 2" xfId="21523"/>
    <cellStyle name="Normal 9 6 2 3 2 2 2" xfId="35548"/>
    <cellStyle name="Normal 9 6 2 3 2 3" xfId="27537"/>
    <cellStyle name="Normal 9 6 2 3 3" xfId="15513"/>
    <cellStyle name="Normal 9 6 2 3 3 2" xfId="23528"/>
    <cellStyle name="Normal 9 6 2 3 3 2 2" xfId="37553"/>
    <cellStyle name="Normal 9 6 2 3 3 3" xfId="29542"/>
    <cellStyle name="Normal 9 6 2 3 4" xfId="17519"/>
    <cellStyle name="Normal 9 6 2 3 4 2" xfId="31544"/>
    <cellStyle name="Normal 9 6 2 3 5" xfId="19521"/>
    <cellStyle name="Normal 9 6 2 3 5 2" xfId="33546"/>
    <cellStyle name="Normal 9 6 2 3 6" xfId="25535"/>
    <cellStyle name="Normal 9 6 2 4" xfId="13495"/>
    <cellStyle name="Normal 9 6 2 4 2" xfId="21520"/>
    <cellStyle name="Normal 9 6 2 4 2 2" xfId="35545"/>
    <cellStyle name="Normal 9 6 2 4 3" xfId="27534"/>
    <cellStyle name="Normal 9 6 2 5" xfId="15510"/>
    <cellStyle name="Normal 9 6 2 5 2" xfId="23525"/>
    <cellStyle name="Normal 9 6 2 5 2 2" xfId="37550"/>
    <cellStyle name="Normal 9 6 2 5 3" xfId="29539"/>
    <cellStyle name="Normal 9 6 2 6" xfId="17516"/>
    <cellStyle name="Normal 9 6 2 6 2" xfId="31541"/>
    <cellStyle name="Normal 9 6 2 7" xfId="19518"/>
    <cellStyle name="Normal 9 6 2 7 2" xfId="33543"/>
    <cellStyle name="Normal 9 6 2 8" xfId="25532"/>
    <cellStyle name="Normal 9 6 3" xfId="2905"/>
    <cellStyle name="Normal 9 6 3 2" xfId="2906"/>
    <cellStyle name="Normal 9 6 3 2 2" xfId="13500"/>
    <cellStyle name="Normal 9 6 3 2 2 2" xfId="21525"/>
    <cellStyle name="Normal 9 6 3 2 2 2 2" xfId="35550"/>
    <cellStyle name="Normal 9 6 3 2 2 3" xfId="27539"/>
    <cellStyle name="Normal 9 6 3 2 3" xfId="15515"/>
    <cellStyle name="Normal 9 6 3 2 3 2" xfId="23530"/>
    <cellStyle name="Normal 9 6 3 2 3 2 2" xfId="37555"/>
    <cellStyle name="Normal 9 6 3 2 3 3" xfId="29544"/>
    <cellStyle name="Normal 9 6 3 2 4" xfId="17521"/>
    <cellStyle name="Normal 9 6 3 2 4 2" xfId="31546"/>
    <cellStyle name="Normal 9 6 3 2 5" xfId="19523"/>
    <cellStyle name="Normal 9 6 3 2 5 2" xfId="33548"/>
    <cellStyle name="Normal 9 6 3 2 6" xfId="25537"/>
    <cellStyle name="Normal 9 6 3 3" xfId="13499"/>
    <cellStyle name="Normal 9 6 3 3 2" xfId="21524"/>
    <cellStyle name="Normal 9 6 3 3 2 2" xfId="35549"/>
    <cellStyle name="Normal 9 6 3 3 3" xfId="27538"/>
    <cellStyle name="Normal 9 6 3 4" xfId="15514"/>
    <cellStyle name="Normal 9 6 3 4 2" xfId="23529"/>
    <cellStyle name="Normal 9 6 3 4 2 2" xfId="37554"/>
    <cellStyle name="Normal 9 6 3 4 3" xfId="29543"/>
    <cellStyle name="Normal 9 6 3 5" xfId="17520"/>
    <cellStyle name="Normal 9 6 3 5 2" xfId="31545"/>
    <cellStyle name="Normal 9 6 3 6" xfId="19522"/>
    <cellStyle name="Normal 9 6 3 6 2" xfId="33547"/>
    <cellStyle name="Normal 9 6 3 7" xfId="25536"/>
    <cellStyle name="Normal 9 6 4" xfId="2907"/>
    <cellStyle name="Normal 9 6 4 2" xfId="2908"/>
    <cellStyle name="Normal 9 6 4 2 2" xfId="13502"/>
    <cellStyle name="Normal 9 6 4 2 2 2" xfId="21527"/>
    <cellStyle name="Normal 9 6 4 2 2 2 2" xfId="35552"/>
    <cellStyle name="Normal 9 6 4 2 2 3" xfId="27541"/>
    <cellStyle name="Normal 9 6 4 2 3" xfId="15517"/>
    <cellStyle name="Normal 9 6 4 2 3 2" xfId="23532"/>
    <cellStyle name="Normal 9 6 4 2 3 2 2" xfId="37557"/>
    <cellStyle name="Normal 9 6 4 2 3 3" xfId="29546"/>
    <cellStyle name="Normal 9 6 4 2 4" xfId="17523"/>
    <cellStyle name="Normal 9 6 4 2 4 2" xfId="31548"/>
    <cellStyle name="Normal 9 6 4 2 5" xfId="19525"/>
    <cellStyle name="Normal 9 6 4 2 5 2" xfId="33550"/>
    <cellStyle name="Normal 9 6 4 2 6" xfId="25539"/>
    <cellStyle name="Normal 9 6 4 3" xfId="13501"/>
    <cellStyle name="Normal 9 6 4 3 2" xfId="21526"/>
    <cellStyle name="Normal 9 6 4 3 2 2" xfId="35551"/>
    <cellStyle name="Normal 9 6 4 3 3" xfId="27540"/>
    <cellStyle name="Normal 9 6 4 4" xfId="15516"/>
    <cellStyle name="Normal 9 6 4 4 2" xfId="23531"/>
    <cellStyle name="Normal 9 6 4 4 2 2" xfId="37556"/>
    <cellStyle name="Normal 9 6 4 4 3" xfId="29545"/>
    <cellStyle name="Normal 9 6 4 5" xfId="17522"/>
    <cellStyle name="Normal 9 6 4 5 2" xfId="31547"/>
    <cellStyle name="Normal 9 6 4 6" xfId="19524"/>
    <cellStyle name="Normal 9 6 4 6 2" xfId="33549"/>
    <cellStyle name="Normal 9 6 4 7" xfId="25538"/>
    <cellStyle name="Normal 9 6 5" xfId="2909"/>
    <cellStyle name="Normal 9 6 5 2" xfId="13503"/>
    <cellStyle name="Normal 9 6 5 2 2" xfId="21528"/>
    <cellStyle name="Normal 9 6 5 2 2 2" xfId="35553"/>
    <cellStyle name="Normal 9 6 5 2 3" xfId="27542"/>
    <cellStyle name="Normal 9 6 5 3" xfId="15518"/>
    <cellStyle name="Normal 9 6 5 3 2" xfId="23533"/>
    <cellStyle name="Normal 9 6 5 3 2 2" xfId="37558"/>
    <cellStyle name="Normal 9 6 5 3 3" xfId="29547"/>
    <cellStyle name="Normal 9 6 5 4" xfId="17524"/>
    <cellStyle name="Normal 9 6 5 4 2" xfId="31549"/>
    <cellStyle name="Normal 9 6 5 5" xfId="19526"/>
    <cellStyle name="Normal 9 6 5 5 2" xfId="33551"/>
    <cellStyle name="Normal 9 6 5 6" xfId="25540"/>
    <cellStyle name="Normal 9 6 6" xfId="13494"/>
    <cellStyle name="Normal 9 6 6 2" xfId="21519"/>
    <cellStyle name="Normal 9 6 6 2 2" xfId="35544"/>
    <cellStyle name="Normal 9 6 6 3" xfId="27533"/>
    <cellStyle name="Normal 9 6 7" xfId="15509"/>
    <cellStyle name="Normal 9 6 7 2" xfId="23524"/>
    <cellStyle name="Normal 9 6 7 2 2" xfId="37549"/>
    <cellStyle name="Normal 9 6 7 3" xfId="29538"/>
    <cellStyle name="Normal 9 6 8" xfId="17515"/>
    <cellStyle name="Normal 9 6 8 2" xfId="31540"/>
    <cellStyle name="Normal 9 6 9" xfId="19517"/>
    <cellStyle name="Normal 9 6 9 2" xfId="33542"/>
    <cellStyle name="Normal 9 7" xfId="2910"/>
    <cellStyle name="Normal 9 7 2" xfId="2911"/>
    <cellStyle name="Normal 9 7 2 2" xfId="2912"/>
    <cellStyle name="Normal 9 7 2 2 2" xfId="13506"/>
    <cellStyle name="Normal 9 7 2 2 2 2" xfId="21531"/>
    <cellStyle name="Normal 9 7 2 2 2 2 2" xfId="35556"/>
    <cellStyle name="Normal 9 7 2 2 2 3" xfId="27545"/>
    <cellStyle name="Normal 9 7 2 2 3" xfId="15521"/>
    <cellStyle name="Normal 9 7 2 2 3 2" xfId="23536"/>
    <cellStyle name="Normal 9 7 2 2 3 2 2" xfId="37561"/>
    <cellStyle name="Normal 9 7 2 2 3 3" xfId="29550"/>
    <cellStyle name="Normal 9 7 2 2 4" xfId="17527"/>
    <cellStyle name="Normal 9 7 2 2 4 2" xfId="31552"/>
    <cellStyle name="Normal 9 7 2 2 5" xfId="19529"/>
    <cellStyle name="Normal 9 7 2 2 5 2" xfId="33554"/>
    <cellStyle name="Normal 9 7 2 2 6" xfId="25543"/>
    <cellStyle name="Normal 9 7 2 3" xfId="13505"/>
    <cellStyle name="Normal 9 7 2 3 2" xfId="21530"/>
    <cellStyle name="Normal 9 7 2 3 2 2" xfId="35555"/>
    <cellStyle name="Normal 9 7 2 3 3" xfId="27544"/>
    <cellStyle name="Normal 9 7 2 4" xfId="15520"/>
    <cellStyle name="Normal 9 7 2 4 2" xfId="23535"/>
    <cellStyle name="Normal 9 7 2 4 2 2" xfId="37560"/>
    <cellStyle name="Normal 9 7 2 4 3" xfId="29549"/>
    <cellStyle name="Normal 9 7 2 5" xfId="17526"/>
    <cellStyle name="Normal 9 7 2 5 2" xfId="31551"/>
    <cellStyle name="Normal 9 7 2 6" xfId="19528"/>
    <cellStyle name="Normal 9 7 2 6 2" xfId="33553"/>
    <cellStyle name="Normal 9 7 2 7" xfId="25542"/>
    <cellStyle name="Normal 9 7 3" xfId="2913"/>
    <cellStyle name="Normal 9 7 3 2" xfId="13507"/>
    <cellStyle name="Normal 9 7 3 2 2" xfId="21532"/>
    <cellStyle name="Normal 9 7 3 2 2 2" xfId="35557"/>
    <cellStyle name="Normal 9 7 3 2 3" xfId="27546"/>
    <cellStyle name="Normal 9 7 3 3" xfId="15522"/>
    <cellStyle name="Normal 9 7 3 3 2" xfId="23537"/>
    <cellStyle name="Normal 9 7 3 3 2 2" xfId="37562"/>
    <cellStyle name="Normal 9 7 3 3 3" xfId="29551"/>
    <cellStyle name="Normal 9 7 3 4" xfId="17528"/>
    <cellStyle name="Normal 9 7 3 4 2" xfId="31553"/>
    <cellStyle name="Normal 9 7 3 5" xfId="19530"/>
    <cellStyle name="Normal 9 7 3 5 2" xfId="33555"/>
    <cellStyle name="Normal 9 7 3 6" xfId="25544"/>
    <cellStyle name="Normal 9 7 4" xfId="13504"/>
    <cellStyle name="Normal 9 7 4 2" xfId="21529"/>
    <cellStyle name="Normal 9 7 4 2 2" xfId="35554"/>
    <cellStyle name="Normal 9 7 4 3" xfId="27543"/>
    <cellStyle name="Normal 9 7 5" xfId="15519"/>
    <cellStyle name="Normal 9 7 5 2" xfId="23534"/>
    <cellStyle name="Normal 9 7 5 2 2" xfId="37559"/>
    <cellStyle name="Normal 9 7 5 3" xfId="29548"/>
    <cellStyle name="Normal 9 7 6" xfId="17525"/>
    <cellStyle name="Normal 9 7 6 2" xfId="31550"/>
    <cellStyle name="Normal 9 7 7" xfId="19527"/>
    <cellStyle name="Normal 9 7 7 2" xfId="33552"/>
    <cellStyle name="Normal 9 7 8" xfId="25541"/>
    <cellStyle name="Normal 9 8" xfId="2914"/>
    <cellStyle name="Normal 9 8 2" xfId="2915"/>
    <cellStyle name="Normal 9 8 2 2" xfId="13509"/>
    <cellStyle name="Normal 9 8 2 2 2" xfId="21534"/>
    <cellStyle name="Normal 9 8 2 2 2 2" xfId="35559"/>
    <cellStyle name="Normal 9 8 2 2 3" xfId="27548"/>
    <cellStyle name="Normal 9 8 2 3" xfId="15524"/>
    <cellStyle name="Normal 9 8 2 3 2" xfId="23539"/>
    <cellStyle name="Normal 9 8 2 3 2 2" xfId="37564"/>
    <cellStyle name="Normal 9 8 2 3 3" xfId="29553"/>
    <cellStyle name="Normal 9 8 2 4" xfId="17530"/>
    <cellStyle name="Normal 9 8 2 4 2" xfId="31555"/>
    <cellStyle name="Normal 9 8 2 5" xfId="19532"/>
    <cellStyle name="Normal 9 8 2 5 2" xfId="33557"/>
    <cellStyle name="Normal 9 8 2 6" xfId="25546"/>
    <cellStyle name="Normal 9 8 3" xfId="13508"/>
    <cellStyle name="Normal 9 8 3 2" xfId="21533"/>
    <cellStyle name="Normal 9 8 3 2 2" xfId="35558"/>
    <cellStyle name="Normal 9 8 3 3" xfId="27547"/>
    <cellStyle name="Normal 9 8 4" xfId="15523"/>
    <cellStyle name="Normal 9 8 4 2" xfId="23538"/>
    <cellStyle name="Normal 9 8 4 2 2" xfId="37563"/>
    <cellStyle name="Normal 9 8 4 3" xfId="29552"/>
    <cellStyle name="Normal 9 8 5" xfId="17529"/>
    <cellStyle name="Normal 9 8 5 2" xfId="31554"/>
    <cellStyle name="Normal 9 8 6" xfId="19531"/>
    <cellStyle name="Normal 9 8 6 2" xfId="33556"/>
    <cellStyle name="Normal 9 8 7" xfId="25545"/>
    <cellStyle name="Normal 9 9" xfId="2916"/>
    <cellStyle name="Normal 9 9 2" xfId="2917"/>
    <cellStyle name="Normal 9 9 2 2" xfId="13511"/>
    <cellStyle name="Normal 9 9 2 2 2" xfId="21536"/>
    <cellStyle name="Normal 9 9 2 2 2 2" xfId="35561"/>
    <cellStyle name="Normal 9 9 2 2 3" xfId="27550"/>
    <cellStyle name="Normal 9 9 2 3" xfId="15526"/>
    <cellStyle name="Normal 9 9 2 3 2" xfId="23541"/>
    <cellStyle name="Normal 9 9 2 3 2 2" xfId="37566"/>
    <cellStyle name="Normal 9 9 2 3 3" xfId="29555"/>
    <cellStyle name="Normal 9 9 2 4" xfId="17532"/>
    <cellStyle name="Normal 9 9 2 4 2" xfId="31557"/>
    <cellStyle name="Normal 9 9 2 5" xfId="19534"/>
    <cellStyle name="Normal 9 9 2 5 2" xfId="33559"/>
    <cellStyle name="Normal 9 9 2 6" xfId="25548"/>
    <cellStyle name="Normal 9 9 3" xfId="13510"/>
    <cellStyle name="Normal 9 9 3 2" xfId="21535"/>
    <cellStyle name="Normal 9 9 3 2 2" xfId="35560"/>
    <cellStyle name="Normal 9 9 3 3" xfId="27549"/>
    <cellStyle name="Normal 9 9 4" xfId="15525"/>
    <cellStyle name="Normal 9 9 4 2" xfId="23540"/>
    <cellStyle name="Normal 9 9 4 2 2" xfId="37565"/>
    <cellStyle name="Normal 9 9 4 3" xfId="29554"/>
    <cellStyle name="Normal 9 9 5" xfId="17531"/>
    <cellStyle name="Normal 9 9 5 2" xfId="31556"/>
    <cellStyle name="Normal 9 9 6" xfId="19533"/>
    <cellStyle name="Normal 9 9 6 2" xfId="33558"/>
    <cellStyle name="Normal 9 9 7" xfId="25547"/>
    <cellStyle name="Normal 9_10-15-10-Stmt AU - Period I - Working 1 0" xfId="589"/>
    <cellStyle name="Normal_21 Exh B" xfId="37698"/>
    <cellStyle name="Normal_Attachment Os for 2002 True-up" xfId="37696"/>
    <cellStyle name="Normal_FN1 Ratebase Draft SPP template (6-11-04) v2" xfId="590"/>
    <cellStyle name="Normal_MSS2LOAD" xfId="11265"/>
    <cellStyle name="Normal_TrAILCo attach 6 &amp; 7 and Appendix A" xfId="591"/>
    <cellStyle name="Note 10" xfId="592"/>
    <cellStyle name="Note 10 10" xfId="2918"/>
    <cellStyle name="Note 10 10 2" xfId="2919"/>
    <cellStyle name="Note 10 10 2 2" xfId="2920"/>
    <cellStyle name="Note 10 10 3" xfId="2921"/>
    <cellStyle name="Note 10 11" xfId="2922"/>
    <cellStyle name="Note 10 11 2" xfId="2923"/>
    <cellStyle name="Note 10 12" xfId="2924"/>
    <cellStyle name="Note 10 12 2" xfId="2925"/>
    <cellStyle name="Note 10 13" xfId="2926"/>
    <cellStyle name="Note 10 13 2" xfId="2927"/>
    <cellStyle name="Note 10 14" xfId="2928"/>
    <cellStyle name="Note 10 14 2" xfId="2929"/>
    <cellStyle name="Note 10 15" xfId="2930"/>
    <cellStyle name="Note 10 15 2" xfId="2931"/>
    <cellStyle name="Note 10 16" xfId="2932"/>
    <cellStyle name="Note 10 2" xfId="593"/>
    <cellStyle name="Note 10 2 10" xfId="2933"/>
    <cellStyle name="Note 10 2 10 2" xfId="2934"/>
    <cellStyle name="Note 10 2 11" xfId="2935"/>
    <cellStyle name="Note 10 2 11 2" xfId="2936"/>
    <cellStyle name="Note 10 2 12" xfId="2937"/>
    <cellStyle name="Note 10 2 12 2" xfId="2938"/>
    <cellStyle name="Note 10 2 13" xfId="2939"/>
    <cellStyle name="Note 10 2 13 2" xfId="2940"/>
    <cellStyle name="Note 10 2 14" xfId="2941"/>
    <cellStyle name="Note 10 2 2" xfId="594"/>
    <cellStyle name="Note 10 2 2 10" xfId="2942"/>
    <cellStyle name="Note 10 2 2 10 2" xfId="2943"/>
    <cellStyle name="Note 10 2 2 11" xfId="2944"/>
    <cellStyle name="Note 10 2 2 11 2" xfId="2945"/>
    <cellStyle name="Note 10 2 2 12" xfId="2946"/>
    <cellStyle name="Note 10 2 2 12 2" xfId="2947"/>
    <cellStyle name="Note 10 2 2 13" xfId="2948"/>
    <cellStyle name="Note 10 2 2 2" xfId="2949"/>
    <cellStyle name="Note 10 2 2 2 2" xfId="2950"/>
    <cellStyle name="Note 10 2 2 2 2 2" xfId="2951"/>
    <cellStyle name="Note 10 2 2 2 2 2 2" xfId="2952"/>
    <cellStyle name="Note 10 2 2 2 2 3" xfId="2953"/>
    <cellStyle name="Note 10 2 2 2 3" xfId="2954"/>
    <cellStyle name="Note 10 2 2 2 3 2" xfId="2955"/>
    <cellStyle name="Note 10 2 2 2 3 2 2" xfId="2956"/>
    <cellStyle name="Note 10 2 2 2 3 3" xfId="2957"/>
    <cellStyle name="Note 10 2 2 2 4" xfId="2958"/>
    <cellStyle name="Note 10 2 2 2 4 2" xfId="2959"/>
    <cellStyle name="Note 10 2 2 2 5" xfId="2960"/>
    <cellStyle name="Note 10 2 2 2 5 2" xfId="2961"/>
    <cellStyle name="Note 10 2 2 2 6" xfId="2962"/>
    <cellStyle name="Note 10 2 2 2 6 2" xfId="2963"/>
    <cellStyle name="Note 10 2 2 2 7" xfId="2964"/>
    <cellStyle name="Note 10 2 2 2 7 2" xfId="2965"/>
    <cellStyle name="Note 10 2 2 2 8" xfId="2966"/>
    <cellStyle name="Note 10 2 2 3" xfId="2967"/>
    <cellStyle name="Note 10 2 2 3 10" xfId="2968"/>
    <cellStyle name="Note 10 2 2 3 10 2" xfId="2969"/>
    <cellStyle name="Note 10 2 2 3 11" xfId="2970"/>
    <cellStyle name="Note 10 2 2 3 2" xfId="2971"/>
    <cellStyle name="Note 10 2 2 3 2 2" xfId="2972"/>
    <cellStyle name="Note 10 2 2 3 2 2 2" xfId="2973"/>
    <cellStyle name="Note 10 2 2 3 2 3" xfId="2974"/>
    <cellStyle name="Note 10 2 2 3 3" xfId="2975"/>
    <cellStyle name="Note 10 2 2 3 3 2" xfId="2976"/>
    <cellStyle name="Note 10 2 2 3 4" xfId="2977"/>
    <cellStyle name="Note 10 2 2 3 4 2" xfId="2978"/>
    <cellStyle name="Note 10 2 2 3 5" xfId="2979"/>
    <cellStyle name="Note 10 2 2 3 5 2" xfId="2980"/>
    <cellStyle name="Note 10 2 2 3 6" xfId="2981"/>
    <cellStyle name="Note 10 2 2 3 6 2" xfId="2982"/>
    <cellStyle name="Note 10 2 2 3 7" xfId="2983"/>
    <cellStyle name="Note 10 2 2 3 7 2" xfId="2984"/>
    <cellStyle name="Note 10 2 2 3 8" xfId="2985"/>
    <cellStyle name="Note 10 2 2 3 8 2" xfId="2986"/>
    <cellStyle name="Note 10 2 2 3 9" xfId="2987"/>
    <cellStyle name="Note 10 2 2 3 9 2" xfId="2988"/>
    <cellStyle name="Note 10 2 2 4" xfId="2989"/>
    <cellStyle name="Note 10 2 2 4 10" xfId="2990"/>
    <cellStyle name="Note 10 2 2 4 10 2" xfId="2991"/>
    <cellStyle name="Note 10 2 2 4 11" xfId="2992"/>
    <cellStyle name="Note 10 2 2 4 2" xfId="2993"/>
    <cellStyle name="Note 10 2 2 4 2 2" xfId="2994"/>
    <cellStyle name="Note 10 2 2 4 2 2 2" xfId="2995"/>
    <cellStyle name="Note 10 2 2 4 2 3" xfId="2996"/>
    <cellStyle name="Note 10 2 2 4 3" xfId="2997"/>
    <cellStyle name="Note 10 2 2 4 3 2" xfId="2998"/>
    <cellStyle name="Note 10 2 2 4 4" xfId="2999"/>
    <cellStyle name="Note 10 2 2 4 4 2" xfId="3000"/>
    <cellStyle name="Note 10 2 2 4 5" xfId="3001"/>
    <cellStyle name="Note 10 2 2 4 5 2" xfId="3002"/>
    <cellStyle name="Note 10 2 2 4 6" xfId="3003"/>
    <cellStyle name="Note 10 2 2 4 6 2" xfId="3004"/>
    <cellStyle name="Note 10 2 2 4 7" xfId="3005"/>
    <cellStyle name="Note 10 2 2 4 7 2" xfId="3006"/>
    <cellStyle name="Note 10 2 2 4 8" xfId="3007"/>
    <cellStyle name="Note 10 2 2 4 8 2" xfId="3008"/>
    <cellStyle name="Note 10 2 2 4 9" xfId="3009"/>
    <cellStyle name="Note 10 2 2 4 9 2" xfId="3010"/>
    <cellStyle name="Note 10 2 2 5" xfId="3011"/>
    <cellStyle name="Note 10 2 2 5 10" xfId="3012"/>
    <cellStyle name="Note 10 2 2 5 10 2" xfId="3013"/>
    <cellStyle name="Note 10 2 2 5 11" xfId="3014"/>
    <cellStyle name="Note 10 2 2 5 2" xfId="3015"/>
    <cellStyle name="Note 10 2 2 5 2 2" xfId="3016"/>
    <cellStyle name="Note 10 2 2 5 2 2 2" xfId="3017"/>
    <cellStyle name="Note 10 2 2 5 2 3" xfId="3018"/>
    <cellStyle name="Note 10 2 2 5 3" xfId="3019"/>
    <cellStyle name="Note 10 2 2 5 3 2" xfId="3020"/>
    <cellStyle name="Note 10 2 2 5 4" xfId="3021"/>
    <cellStyle name="Note 10 2 2 5 4 2" xfId="3022"/>
    <cellStyle name="Note 10 2 2 5 5" xfId="3023"/>
    <cellStyle name="Note 10 2 2 5 5 2" xfId="3024"/>
    <cellStyle name="Note 10 2 2 5 6" xfId="3025"/>
    <cellStyle name="Note 10 2 2 5 6 2" xfId="3026"/>
    <cellStyle name="Note 10 2 2 5 7" xfId="3027"/>
    <cellStyle name="Note 10 2 2 5 7 2" xfId="3028"/>
    <cellStyle name="Note 10 2 2 5 8" xfId="3029"/>
    <cellStyle name="Note 10 2 2 5 8 2" xfId="3030"/>
    <cellStyle name="Note 10 2 2 5 9" xfId="3031"/>
    <cellStyle name="Note 10 2 2 5 9 2" xfId="3032"/>
    <cellStyle name="Note 10 2 2 6" xfId="3033"/>
    <cellStyle name="Note 10 2 2 6 10" xfId="3034"/>
    <cellStyle name="Note 10 2 2 6 10 2" xfId="3035"/>
    <cellStyle name="Note 10 2 2 6 11" xfId="3036"/>
    <cellStyle name="Note 10 2 2 6 2" xfId="3037"/>
    <cellStyle name="Note 10 2 2 6 2 2" xfId="3038"/>
    <cellStyle name="Note 10 2 2 6 2 2 2" xfId="3039"/>
    <cellStyle name="Note 10 2 2 6 2 3" xfId="3040"/>
    <cellStyle name="Note 10 2 2 6 3" xfId="3041"/>
    <cellStyle name="Note 10 2 2 6 3 2" xfId="3042"/>
    <cellStyle name="Note 10 2 2 6 4" xfId="3043"/>
    <cellStyle name="Note 10 2 2 6 4 2" xfId="3044"/>
    <cellStyle name="Note 10 2 2 6 5" xfId="3045"/>
    <cellStyle name="Note 10 2 2 6 5 2" xfId="3046"/>
    <cellStyle name="Note 10 2 2 6 6" xfId="3047"/>
    <cellStyle name="Note 10 2 2 6 6 2" xfId="3048"/>
    <cellStyle name="Note 10 2 2 6 7" xfId="3049"/>
    <cellStyle name="Note 10 2 2 6 7 2" xfId="3050"/>
    <cellStyle name="Note 10 2 2 6 8" xfId="3051"/>
    <cellStyle name="Note 10 2 2 6 8 2" xfId="3052"/>
    <cellStyle name="Note 10 2 2 6 9" xfId="3053"/>
    <cellStyle name="Note 10 2 2 6 9 2" xfId="3054"/>
    <cellStyle name="Note 10 2 2 7" xfId="3055"/>
    <cellStyle name="Note 10 2 2 7 2" xfId="3056"/>
    <cellStyle name="Note 10 2 2 7 2 2" xfId="3057"/>
    <cellStyle name="Note 10 2 2 7 3" xfId="3058"/>
    <cellStyle name="Note 10 2 2 8" xfId="3059"/>
    <cellStyle name="Note 10 2 2 8 2" xfId="3060"/>
    <cellStyle name="Note 10 2 2 9" xfId="3061"/>
    <cellStyle name="Note 10 2 2 9 2" xfId="3062"/>
    <cellStyle name="Note 10 2 3" xfId="3063"/>
    <cellStyle name="Note 10 2 3 2" xfId="3064"/>
    <cellStyle name="Note 10 2 3 2 2" xfId="3065"/>
    <cellStyle name="Note 10 2 3 2 2 2" xfId="3066"/>
    <cellStyle name="Note 10 2 3 2 3" xfId="3067"/>
    <cellStyle name="Note 10 2 3 3" xfId="3068"/>
    <cellStyle name="Note 10 2 3 3 2" xfId="3069"/>
    <cellStyle name="Note 10 2 3 3 2 2" xfId="3070"/>
    <cellStyle name="Note 10 2 3 3 3" xfId="3071"/>
    <cellStyle name="Note 10 2 3 4" xfId="3072"/>
    <cellStyle name="Note 10 2 3 4 2" xfId="3073"/>
    <cellStyle name="Note 10 2 3 5" xfId="3074"/>
    <cellStyle name="Note 10 2 3 5 2" xfId="3075"/>
    <cellStyle name="Note 10 2 3 6" xfId="3076"/>
    <cellStyle name="Note 10 2 3 6 2" xfId="3077"/>
    <cellStyle name="Note 10 2 3 7" xfId="3078"/>
    <cellStyle name="Note 10 2 3 7 2" xfId="3079"/>
    <cellStyle name="Note 10 2 3 8" xfId="3080"/>
    <cellStyle name="Note 10 2 4" xfId="3081"/>
    <cellStyle name="Note 10 2 4 10" xfId="3082"/>
    <cellStyle name="Note 10 2 4 10 2" xfId="3083"/>
    <cellStyle name="Note 10 2 4 11" xfId="3084"/>
    <cellStyle name="Note 10 2 4 2" xfId="3085"/>
    <cellStyle name="Note 10 2 4 2 2" xfId="3086"/>
    <cellStyle name="Note 10 2 4 2 2 2" xfId="3087"/>
    <cellStyle name="Note 10 2 4 2 3" xfId="3088"/>
    <cellStyle name="Note 10 2 4 3" xfId="3089"/>
    <cellStyle name="Note 10 2 4 3 2" xfId="3090"/>
    <cellStyle name="Note 10 2 4 4" xfId="3091"/>
    <cellStyle name="Note 10 2 4 4 2" xfId="3092"/>
    <cellStyle name="Note 10 2 4 5" xfId="3093"/>
    <cellStyle name="Note 10 2 4 5 2" xfId="3094"/>
    <cellStyle name="Note 10 2 4 6" xfId="3095"/>
    <cellStyle name="Note 10 2 4 6 2" xfId="3096"/>
    <cellStyle name="Note 10 2 4 7" xfId="3097"/>
    <cellStyle name="Note 10 2 4 7 2" xfId="3098"/>
    <cellStyle name="Note 10 2 4 8" xfId="3099"/>
    <cellStyle name="Note 10 2 4 8 2" xfId="3100"/>
    <cellStyle name="Note 10 2 4 9" xfId="3101"/>
    <cellStyle name="Note 10 2 4 9 2" xfId="3102"/>
    <cellStyle name="Note 10 2 5" xfId="3103"/>
    <cellStyle name="Note 10 2 5 10" xfId="3104"/>
    <cellStyle name="Note 10 2 5 10 2" xfId="3105"/>
    <cellStyle name="Note 10 2 5 11" xfId="3106"/>
    <cellStyle name="Note 10 2 5 2" xfId="3107"/>
    <cellStyle name="Note 10 2 5 2 2" xfId="3108"/>
    <cellStyle name="Note 10 2 5 2 2 2" xfId="3109"/>
    <cellStyle name="Note 10 2 5 2 3" xfId="3110"/>
    <cellStyle name="Note 10 2 5 3" xfId="3111"/>
    <cellStyle name="Note 10 2 5 3 2" xfId="3112"/>
    <cellStyle name="Note 10 2 5 4" xfId="3113"/>
    <cellStyle name="Note 10 2 5 4 2" xfId="3114"/>
    <cellStyle name="Note 10 2 5 5" xfId="3115"/>
    <cellStyle name="Note 10 2 5 5 2" xfId="3116"/>
    <cellStyle name="Note 10 2 5 6" xfId="3117"/>
    <cellStyle name="Note 10 2 5 6 2" xfId="3118"/>
    <cellStyle name="Note 10 2 5 7" xfId="3119"/>
    <cellStyle name="Note 10 2 5 7 2" xfId="3120"/>
    <cellStyle name="Note 10 2 5 8" xfId="3121"/>
    <cellStyle name="Note 10 2 5 8 2" xfId="3122"/>
    <cellStyle name="Note 10 2 5 9" xfId="3123"/>
    <cellStyle name="Note 10 2 5 9 2" xfId="3124"/>
    <cellStyle name="Note 10 2 6" xfId="3125"/>
    <cellStyle name="Note 10 2 6 10" xfId="3126"/>
    <cellStyle name="Note 10 2 6 10 2" xfId="3127"/>
    <cellStyle name="Note 10 2 6 11" xfId="3128"/>
    <cellStyle name="Note 10 2 6 2" xfId="3129"/>
    <cellStyle name="Note 10 2 6 2 2" xfId="3130"/>
    <cellStyle name="Note 10 2 6 2 2 2" xfId="3131"/>
    <cellStyle name="Note 10 2 6 2 3" xfId="3132"/>
    <cellStyle name="Note 10 2 6 3" xfId="3133"/>
    <cellStyle name="Note 10 2 6 3 2" xfId="3134"/>
    <cellStyle name="Note 10 2 6 4" xfId="3135"/>
    <cellStyle name="Note 10 2 6 4 2" xfId="3136"/>
    <cellStyle name="Note 10 2 6 5" xfId="3137"/>
    <cellStyle name="Note 10 2 6 5 2" xfId="3138"/>
    <cellStyle name="Note 10 2 6 6" xfId="3139"/>
    <cellStyle name="Note 10 2 6 6 2" xfId="3140"/>
    <cellStyle name="Note 10 2 6 7" xfId="3141"/>
    <cellStyle name="Note 10 2 6 7 2" xfId="3142"/>
    <cellStyle name="Note 10 2 6 8" xfId="3143"/>
    <cellStyle name="Note 10 2 6 8 2" xfId="3144"/>
    <cellStyle name="Note 10 2 6 9" xfId="3145"/>
    <cellStyle name="Note 10 2 6 9 2" xfId="3146"/>
    <cellStyle name="Note 10 2 7" xfId="3147"/>
    <cellStyle name="Note 10 2 7 10" xfId="3148"/>
    <cellStyle name="Note 10 2 7 10 2" xfId="3149"/>
    <cellStyle name="Note 10 2 7 11" xfId="3150"/>
    <cellStyle name="Note 10 2 7 2" xfId="3151"/>
    <cellStyle name="Note 10 2 7 2 2" xfId="3152"/>
    <cellStyle name="Note 10 2 7 2 2 2" xfId="3153"/>
    <cellStyle name="Note 10 2 7 2 3" xfId="3154"/>
    <cellStyle name="Note 10 2 7 3" xfId="3155"/>
    <cellStyle name="Note 10 2 7 3 2" xfId="3156"/>
    <cellStyle name="Note 10 2 7 4" xfId="3157"/>
    <cellStyle name="Note 10 2 7 4 2" xfId="3158"/>
    <cellStyle name="Note 10 2 7 5" xfId="3159"/>
    <cellStyle name="Note 10 2 7 5 2" xfId="3160"/>
    <cellStyle name="Note 10 2 7 6" xfId="3161"/>
    <cellStyle name="Note 10 2 7 6 2" xfId="3162"/>
    <cellStyle name="Note 10 2 7 7" xfId="3163"/>
    <cellStyle name="Note 10 2 7 7 2" xfId="3164"/>
    <cellStyle name="Note 10 2 7 8" xfId="3165"/>
    <cellStyle name="Note 10 2 7 8 2" xfId="3166"/>
    <cellStyle name="Note 10 2 7 9" xfId="3167"/>
    <cellStyle name="Note 10 2 7 9 2" xfId="3168"/>
    <cellStyle name="Note 10 2 8" xfId="3169"/>
    <cellStyle name="Note 10 2 8 2" xfId="3170"/>
    <cellStyle name="Note 10 2 8 2 2" xfId="3171"/>
    <cellStyle name="Note 10 2 8 3" xfId="3172"/>
    <cellStyle name="Note 10 2 9" xfId="3173"/>
    <cellStyle name="Note 10 2 9 2" xfId="3174"/>
    <cellStyle name="Note 10 2_7 - Cap Add WS" xfId="595"/>
    <cellStyle name="Note 10 3" xfId="596"/>
    <cellStyle name="Note 10 3 10" xfId="3175"/>
    <cellStyle name="Note 10 3 10 2" xfId="3176"/>
    <cellStyle name="Note 10 3 11" xfId="3177"/>
    <cellStyle name="Note 10 3 11 2" xfId="3178"/>
    <cellStyle name="Note 10 3 12" xfId="3179"/>
    <cellStyle name="Note 10 3 12 2" xfId="3180"/>
    <cellStyle name="Note 10 3 13" xfId="3181"/>
    <cellStyle name="Note 10 3 13 2" xfId="3182"/>
    <cellStyle name="Note 10 3 14" xfId="3183"/>
    <cellStyle name="Note 10 3 2" xfId="597"/>
    <cellStyle name="Note 10 3 2 10" xfId="3184"/>
    <cellStyle name="Note 10 3 2 10 2" xfId="3185"/>
    <cellStyle name="Note 10 3 2 11" xfId="3186"/>
    <cellStyle name="Note 10 3 2 11 2" xfId="3187"/>
    <cellStyle name="Note 10 3 2 12" xfId="3188"/>
    <cellStyle name="Note 10 3 2 12 2" xfId="3189"/>
    <cellStyle name="Note 10 3 2 13" xfId="3190"/>
    <cellStyle name="Note 10 3 2 2" xfId="3191"/>
    <cellStyle name="Note 10 3 2 2 2" xfId="3192"/>
    <cellStyle name="Note 10 3 2 2 2 2" xfId="3193"/>
    <cellStyle name="Note 10 3 2 2 2 2 2" xfId="3194"/>
    <cellStyle name="Note 10 3 2 2 2 3" xfId="3195"/>
    <cellStyle name="Note 10 3 2 2 3" xfId="3196"/>
    <cellStyle name="Note 10 3 2 2 3 2" xfId="3197"/>
    <cellStyle name="Note 10 3 2 2 3 2 2" xfId="3198"/>
    <cellStyle name="Note 10 3 2 2 3 3" xfId="3199"/>
    <cellStyle name="Note 10 3 2 2 4" xfId="3200"/>
    <cellStyle name="Note 10 3 2 2 4 2" xfId="3201"/>
    <cellStyle name="Note 10 3 2 2 5" xfId="3202"/>
    <cellStyle name="Note 10 3 2 2 5 2" xfId="3203"/>
    <cellStyle name="Note 10 3 2 2 6" xfId="3204"/>
    <cellStyle name="Note 10 3 2 2 6 2" xfId="3205"/>
    <cellStyle name="Note 10 3 2 2 7" xfId="3206"/>
    <cellStyle name="Note 10 3 2 2 7 2" xfId="3207"/>
    <cellStyle name="Note 10 3 2 2 8" xfId="3208"/>
    <cellStyle name="Note 10 3 2 3" xfId="3209"/>
    <cellStyle name="Note 10 3 2 3 10" xfId="3210"/>
    <cellStyle name="Note 10 3 2 3 10 2" xfId="3211"/>
    <cellStyle name="Note 10 3 2 3 11" xfId="3212"/>
    <cellStyle name="Note 10 3 2 3 2" xfId="3213"/>
    <cellStyle name="Note 10 3 2 3 2 2" xfId="3214"/>
    <cellStyle name="Note 10 3 2 3 2 2 2" xfId="3215"/>
    <cellStyle name="Note 10 3 2 3 2 3" xfId="3216"/>
    <cellStyle name="Note 10 3 2 3 3" xfId="3217"/>
    <cellStyle name="Note 10 3 2 3 3 2" xfId="3218"/>
    <cellStyle name="Note 10 3 2 3 4" xfId="3219"/>
    <cellStyle name="Note 10 3 2 3 4 2" xfId="3220"/>
    <cellStyle name="Note 10 3 2 3 5" xfId="3221"/>
    <cellStyle name="Note 10 3 2 3 5 2" xfId="3222"/>
    <cellStyle name="Note 10 3 2 3 6" xfId="3223"/>
    <cellStyle name="Note 10 3 2 3 6 2" xfId="3224"/>
    <cellStyle name="Note 10 3 2 3 7" xfId="3225"/>
    <cellStyle name="Note 10 3 2 3 7 2" xfId="3226"/>
    <cellStyle name="Note 10 3 2 3 8" xfId="3227"/>
    <cellStyle name="Note 10 3 2 3 8 2" xfId="3228"/>
    <cellStyle name="Note 10 3 2 3 9" xfId="3229"/>
    <cellStyle name="Note 10 3 2 3 9 2" xfId="3230"/>
    <cellStyle name="Note 10 3 2 4" xfId="3231"/>
    <cellStyle name="Note 10 3 2 4 10" xfId="3232"/>
    <cellStyle name="Note 10 3 2 4 10 2" xfId="3233"/>
    <cellStyle name="Note 10 3 2 4 11" xfId="3234"/>
    <cellStyle name="Note 10 3 2 4 2" xfId="3235"/>
    <cellStyle name="Note 10 3 2 4 2 2" xfId="3236"/>
    <cellStyle name="Note 10 3 2 4 2 2 2" xfId="3237"/>
    <cellStyle name="Note 10 3 2 4 2 3" xfId="3238"/>
    <cellStyle name="Note 10 3 2 4 3" xfId="3239"/>
    <cellStyle name="Note 10 3 2 4 3 2" xfId="3240"/>
    <cellStyle name="Note 10 3 2 4 4" xfId="3241"/>
    <cellStyle name="Note 10 3 2 4 4 2" xfId="3242"/>
    <cellStyle name="Note 10 3 2 4 5" xfId="3243"/>
    <cellStyle name="Note 10 3 2 4 5 2" xfId="3244"/>
    <cellStyle name="Note 10 3 2 4 6" xfId="3245"/>
    <cellStyle name="Note 10 3 2 4 6 2" xfId="3246"/>
    <cellStyle name="Note 10 3 2 4 7" xfId="3247"/>
    <cellStyle name="Note 10 3 2 4 7 2" xfId="3248"/>
    <cellStyle name="Note 10 3 2 4 8" xfId="3249"/>
    <cellStyle name="Note 10 3 2 4 8 2" xfId="3250"/>
    <cellStyle name="Note 10 3 2 4 9" xfId="3251"/>
    <cellStyle name="Note 10 3 2 4 9 2" xfId="3252"/>
    <cellStyle name="Note 10 3 2 5" xfId="3253"/>
    <cellStyle name="Note 10 3 2 5 10" xfId="3254"/>
    <cellStyle name="Note 10 3 2 5 10 2" xfId="3255"/>
    <cellStyle name="Note 10 3 2 5 11" xfId="3256"/>
    <cellStyle name="Note 10 3 2 5 2" xfId="3257"/>
    <cellStyle name="Note 10 3 2 5 2 2" xfId="3258"/>
    <cellStyle name="Note 10 3 2 5 2 2 2" xfId="3259"/>
    <cellStyle name="Note 10 3 2 5 2 3" xfId="3260"/>
    <cellStyle name="Note 10 3 2 5 3" xfId="3261"/>
    <cellStyle name="Note 10 3 2 5 3 2" xfId="3262"/>
    <cellStyle name="Note 10 3 2 5 4" xfId="3263"/>
    <cellStyle name="Note 10 3 2 5 4 2" xfId="3264"/>
    <cellStyle name="Note 10 3 2 5 5" xfId="3265"/>
    <cellStyle name="Note 10 3 2 5 5 2" xfId="3266"/>
    <cellStyle name="Note 10 3 2 5 6" xfId="3267"/>
    <cellStyle name="Note 10 3 2 5 6 2" xfId="3268"/>
    <cellStyle name="Note 10 3 2 5 7" xfId="3269"/>
    <cellStyle name="Note 10 3 2 5 7 2" xfId="3270"/>
    <cellStyle name="Note 10 3 2 5 8" xfId="3271"/>
    <cellStyle name="Note 10 3 2 5 8 2" xfId="3272"/>
    <cellStyle name="Note 10 3 2 5 9" xfId="3273"/>
    <cellStyle name="Note 10 3 2 5 9 2" xfId="3274"/>
    <cellStyle name="Note 10 3 2 6" xfId="3275"/>
    <cellStyle name="Note 10 3 2 6 10" xfId="3276"/>
    <cellStyle name="Note 10 3 2 6 10 2" xfId="3277"/>
    <cellStyle name="Note 10 3 2 6 11" xfId="3278"/>
    <cellStyle name="Note 10 3 2 6 2" xfId="3279"/>
    <cellStyle name="Note 10 3 2 6 2 2" xfId="3280"/>
    <cellStyle name="Note 10 3 2 6 2 2 2" xfId="3281"/>
    <cellStyle name="Note 10 3 2 6 2 3" xfId="3282"/>
    <cellStyle name="Note 10 3 2 6 3" xfId="3283"/>
    <cellStyle name="Note 10 3 2 6 3 2" xfId="3284"/>
    <cellStyle name="Note 10 3 2 6 4" xfId="3285"/>
    <cellStyle name="Note 10 3 2 6 4 2" xfId="3286"/>
    <cellStyle name="Note 10 3 2 6 5" xfId="3287"/>
    <cellStyle name="Note 10 3 2 6 5 2" xfId="3288"/>
    <cellStyle name="Note 10 3 2 6 6" xfId="3289"/>
    <cellStyle name="Note 10 3 2 6 6 2" xfId="3290"/>
    <cellStyle name="Note 10 3 2 6 7" xfId="3291"/>
    <cellStyle name="Note 10 3 2 6 7 2" xfId="3292"/>
    <cellStyle name="Note 10 3 2 6 8" xfId="3293"/>
    <cellStyle name="Note 10 3 2 6 8 2" xfId="3294"/>
    <cellStyle name="Note 10 3 2 6 9" xfId="3295"/>
    <cellStyle name="Note 10 3 2 6 9 2" xfId="3296"/>
    <cellStyle name="Note 10 3 2 7" xfId="3297"/>
    <cellStyle name="Note 10 3 2 7 2" xfId="3298"/>
    <cellStyle name="Note 10 3 2 7 2 2" xfId="3299"/>
    <cellStyle name="Note 10 3 2 7 3" xfId="3300"/>
    <cellStyle name="Note 10 3 2 8" xfId="3301"/>
    <cellStyle name="Note 10 3 2 8 2" xfId="3302"/>
    <cellStyle name="Note 10 3 2 9" xfId="3303"/>
    <cellStyle name="Note 10 3 2 9 2" xfId="3304"/>
    <cellStyle name="Note 10 3 3" xfId="3305"/>
    <cellStyle name="Note 10 3 3 2" xfId="3306"/>
    <cellStyle name="Note 10 3 3 2 2" xfId="3307"/>
    <cellStyle name="Note 10 3 3 2 2 2" xfId="3308"/>
    <cellStyle name="Note 10 3 3 2 3" xfId="3309"/>
    <cellStyle name="Note 10 3 3 3" xfId="3310"/>
    <cellStyle name="Note 10 3 3 3 2" xfId="3311"/>
    <cellStyle name="Note 10 3 3 3 2 2" xfId="3312"/>
    <cellStyle name="Note 10 3 3 3 3" xfId="3313"/>
    <cellStyle name="Note 10 3 3 4" xfId="3314"/>
    <cellStyle name="Note 10 3 3 4 2" xfId="3315"/>
    <cellStyle name="Note 10 3 3 5" xfId="3316"/>
    <cellStyle name="Note 10 3 3 5 2" xfId="3317"/>
    <cellStyle name="Note 10 3 3 6" xfId="3318"/>
    <cellStyle name="Note 10 3 3 6 2" xfId="3319"/>
    <cellStyle name="Note 10 3 3 7" xfId="3320"/>
    <cellStyle name="Note 10 3 3 7 2" xfId="3321"/>
    <cellStyle name="Note 10 3 3 8" xfId="3322"/>
    <cellStyle name="Note 10 3 4" xfId="3323"/>
    <cellStyle name="Note 10 3 4 10" xfId="3324"/>
    <cellStyle name="Note 10 3 4 10 2" xfId="3325"/>
    <cellStyle name="Note 10 3 4 11" xfId="3326"/>
    <cellStyle name="Note 10 3 4 2" xfId="3327"/>
    <cellStyle name="Note 10 3 4 2 2" xfId="3328"/>
    <cellStyle name="Note 10 3 4 2 2 2" xfId="3329"/>
    <cellStyle name="Note 10 3 4 2 3" xfId="3330"/>
    <cellStyle name="Note 10 3 4 3" xfId="3331"/>
    <cellStyle name="Note 10 3 4 3 2" xfId="3332"/>
    <cellStyle name="Note 10 3 4 4" xfId="3333"/>
    <cellStyle name="Note 10 3 4 4 2" xfId="3334"/>
    <cellStyle name="Note 10 3 4 5" xfId="3335"/>
    <cellStyle name="Note 10 3 4 5 2" xfId="3336"/>
    <cellStyle name="Note 10 3 4 6" xfId="3337"/>
    <cellStyle name="Note 10 3 4 6 2" xfId="3338"/>
    <cellStyle name="Note 10 3 4 7" xfId="3339"/>
    <cellStyle name="Note 10 3 4 7 2" xfId="3340"/>
    <cellStyle name="Note 10 3 4 8" xfId="3341"/>
    <cellStyle name="Note 10 3 4 8 2" xfId="3342"/>
    <cellStyle name="Note 10 3 4 9" xfId="3343"/>
    <cellStyle name="Note 10 3 4 9 2" xfId="3344"/>
    <cellStyle name="Note 10 3 5" xfId="3345"/>
    <cellStyle name="Note 10 3 5 10" xfId="3346"/>
    <cellStyle name="Note 10 3 5 10 2" xfId="3347"/>
    <cellStyle name="Note 10 3 5 11" xfId="3348"/>
    <cellStyle name="Note 10 3 5 2" xfId="3349"/>
    <cellStyle name="Note 10 3 5 2 2" xfId="3350"/>
    <cellStyle name="Note 10 3 5 2 2 2" xfId="3351"/>
    <cellStyle name="Note 10 3 5 2 3" xfId="3352"/>
    <cellStyle name="Note 10 3 5 3" xfId="3353"/>
    <cellStyle name="Note 10 3 5 3 2" xfId="3354"/>
    <cellStyle name="Note 10 3 5 4" xfId="3355"/>
    <cellStyle name="Note 10 3 5 4 2" xfId="3356"/>
    <cellStyle name="Note 10 3 5 5" xfId="3357"/>
    <cellStyle name="Note 10 3 5 5 2" xfId="3358"/>
    <cellStyle name="Note 10 3 5 6" xfId="3359"/>
    <cellStyle name="Note 10 3 5 6 2" xfId="3360"/>
    <cellStyle name="Note 10 3 5 7" xfId="3361"/>
    <cellStyle name="Note 10 3 5 7 2" xfId="3362"/>
    <cellStyle name="Note 10 3 5 8" xfId="3363"/>
    <cellStyle name="Note 10 3 5 8 2" xfId="3364"/>
    <cellStyle name="Note 10 3 5 9" xfId="3365"/>
    <cellStyle name="Note 10 3 5 9 2" xfId="3366"/>
    <cellStyle name="Note 10 3 6" xfId="3367"/>
    <cellStyle name="Note 10 3 6 10" xfId="3368"/>
    <cellStyle name="Note 10 3 6 10 2" xfId="3369"/>
    <cellStyle name="Note 10 3 6 11" xfId="3370"/>
    <cellStyle name="Note 10 3 6 2" xfId="3371"/>
    <cellStyle name="Note 10 3 6 2 2" xfId="3372"/>
    <cellStyle name="Note 10 3 6 2 2 2" xfId="3373"/>
    <cellStyle name="Note 10 3 6 2 3" xfId="3374"/>
    <cellStyle name="Note 10 3 6 3" xfId="3375"/>
    <cellStyle name="Note 10 3 6 3 2" xfId="3376"/>
    <cellStyle name="Note 10 3 6 4" xfId="3377"/>
    <cellStyle name="Note 10 3 6 4 2" xfId="3378"/>
    <cellStyle name="Note 10 3 6 5" xfId="3379"/>
    <cellStyle name="Note 10 3 6 5 2" xfId="3380"/>
    <cellStyle name="Note 10 3 6 6" xfId="3381"/>
    <cellStyle name="Note 10 3 6 6 2" xfId="3382"/>
    <cellStyle name="Note 10 3 6 7" xfId="3383"/>
    <cellStyle name="Note 10 3 6 7 2" xfId="3384"/>
    <cellStyle name="Note 10 3 6 8" xfId="3385"/>
    <cellStyle name="Note 10 3 6 8 2" xfId="3386"/>
    <cellStyle name="Note 10 3 6 9" xfId="3387"/>
    <cellStyle name="Note 10 3 6 9 2" xfId="3388"/>
    <cellStyle name="Note 10 3 7" xfId="3389"/>
    <cellStyle name="Note 10 3 7 10" xfId="3390"/>
    <cellStyle name="Note 10 3 7 10 2" xfId="3391"/>
    <cellStyle name="Note 10 3 7 11" xfId="3392"/>
    <cellStyle name="Note 10 3 7 2" xfId="3393"/>
    <cellStyle name="Note 10 3 7 2 2" xfId="3394"/>
    <cellStyle name="Note 10 3 7 2 2 2" xfId="3395"/>
    <cellStyle name="Note 10 3 7 2 3" xfId="3396"/>
    <cellStyle name="Note 10 3 7 3" xfId="3397"/>
    <cellStyle name="Note 10 3 7 3 2" xfId="3398"/>
    <cellStyle name="Note 10 3 7 4" xfId="3399"/>
    <cellStyle name="Note 10 3 7 4 2" xfId="3400"/>
    <cellStyle name="Note 10 3 7 5" xfId="3401"/>
    <cellStyle name="Note 10 3 7 5 2" xfId="3402"/>
    <cellStyle name="Note 10 3 7 6" xfId="3403"/>
    <cellStyle name="Note 10 3 7 6 2" xfId="3404"/>
    <cellStyle name="Note 10 3 7 7" xfId="3405"/>
    <cellStyle name="Note 10 3 7 7 2" xfId="3406"/>
    <cellStyle name="Note 10 3 7 8" xfId="3407"/>
    <cellStyle name="Note 10 3 7 8 2" xfId="3408"/>
    <cellStyle name="Note 10 3 7 9" xfId="3409"/>
    <cellStyle name="Note 10 3 7 9 2" xfId="3410"/>
    <cellStyle name="Note 10 3 8" xfId="3411"/>
    <cellStyle name="Note 10 3 8 2" xfId="3412"/>
    <cellStyle name="Note 10 3 8 2 2" xfId="3413"/>
    <cellStyle name="Note 10 3 8 3" xfId="3414"/>
    <cellStyle name="Note 10 3 9" xfId="3415"/>
    <cellStyle name="Note 10 3 9 2" xfId="3416"/>
    <cellStyle name="Note 10 3_7 - Cap Add WS" xfId="598"/>
    <cellStyle name="Note 10 4" xfId="599"/>
    <cellStyle name="Note 10 4 10" xfId="3417"/>
    <cellStyle name="Note 10 4 10 2" xfId="3418"/>
    <cellStyle name="Note 10 4 11" xfId="3419"/>
    <cellStyle name="Note 10 4 11 2" xfId="3420"/>
    <cellStyle name="Note 10 4 12" xfId="3421"/>
    <cellStyle name="Note 10 4 12 2" xfId="3422"/>
    <cellStyle name="Note 10 4 13" xfId="3423"/>
    <cellStyle name="Note 10 4 2" xfId="3424"/>
    <cellStyle name="Note 10 4 2 2" xfId="3425"/>
    <cellStyle name="Note 10 4 2 2 2" xfId="3426"/>
    <cellStyle name="Note 10 4 2 2 2 2" xfId="3427"/>
    <cellStyle name="Note 10 4 2 2 3" xfId="3428"/>
    <cellStyle name="Note 10 4 2 3" xfId="3429"/>
    <cellStyle name="Note 10 4 2 3 2" xfId="3430"/>
    <cellStyle name="Note 10 4 2 3 2 2" xfId="3431"/>
    <cellStyle name="Note 10 4 2 3 3" xfId="3432"/>
    <cellStyle name="Note 10 4 2 4" xfId="3433"/>
    <cellStyle name="Note 10 4 2 4 2" xfId="3434"/>
    <cellStyle name="Note 10 4 2 5" xfId="3435"/>
    <cellStyle name="Note 10 4 2 5 2" xfId="3436"/>
    <cellStyle name="Note 10 4 2 6" xfId="3437"/>
    <cellStyle name="Note 10 4 2 6 2" xfId="3438"/>
    <cellStyle name="Note 10 4 2 7" xfId="3439"/>
    <cellStyle name="Note 10 4 2 7 2" xfId="3440"/>
    <cellStyle name="Note 10 4 2 8" xfId="3441"/>
    <cellStyle name="Note 10 4 3" xfId="3442"/>
    <cellStyle name="Note 10 4 3 10" xfId="3443"/>
    <cellStyle name="Note 10 4 3 10 2" xfId="3444"/>
    <cellStyle name="Note 10 4 3 11" xfId="3445"/>
    <cellStyle name="Note 10 4 3 2" xfId="3446"/>
    <cellStyle name="Note 10 4 3 2 2" xfId="3447"/>
    <cellStyle name="Note 10 4 3 2 2 2" xfId="3448"/>
    <cellStyle name="Note 10 4 3 2 3" xfId="3449"/>
    <cellStyle name="Note 10 4 3 3" xfId="3450"/>
    <cellStyle name="Note 10 4 3 3 2" xfId="3451"/>
    <cellStyle name="Note 10 4 3 4" xfId="3452"/>
    <cellStyle name="Note 10 4 3 4 2" xfId="3453"/>
    <cellStyle name="Note 10 4 3 5" xfId="3454"/>
    <cellStyle name="Note 10 4 3 5 2" xfId="3455"/>
    <cellStyle name="Note 10 4 3 6" xfId="3456"/>
    <cellStyle name="Note 10 4 3 6 2" xfId="3457"/>
    <cellStyle name="Note 10 4 3 7" xfId="3458"/>
    <cellStyle name="Note 10 4 3 7 2" xfId="3459"/>
    <cellStyle name="Note 10 4 3 8" xfId="3460"/>
    <cellStyle name="Note 10 4 3 8 2" xfId="3461"/>
    <cellStyle name="Note 10 4 3 9" xfId="3462"/>
    <cellStyle name="Note 10 4 3 9 2" xfId="3463"/>
    <cellStyle name="Note 10 4 4" xfId="3464"/>
    <cellStyle name="Note 10 4 4 10" xfId="3465"/>
    <cellStyle name="Note 10 4 4 10 2" xfId="3466"/>
    <cellStyle name="Note 10 4 4 11" xfId="3467"/>
    <cellStyle name="Note 10 4 4 2" xfId="3468"/>
    <cellStyle name="Note 10 4 4 2 2" xfId="3469"/>
    <cellStyle name="Note 10 4 4 2 2 2" xfId="3470"/>
    <cellStyle name="Note 10 4 4 2 3" xfId="3471"/>
    <cellStyle name="Note 10 4 4 3" xfId="3472"/>
    <cellStyle name="Note 10 4 4 3 2" xfId="3473"/>
    <cellStyle name="Note 10 4 4 4" xfId="3474"/>
    <cellStyle name="Note 10 4 4 4 2" xfId="3475"/>
    <cellStyle name="Note 10 4 4 5" xfId="3476"/>
    <cellStyle name="Note 10 4 4 5 2" xfId="3477"/>
    <cellStyle name="Note 10 4 4 6" xfId="3478"/>
    <cellStyle name="Note 10 4 4 6 2" xfId="3479"/>
    <cellStyle name="Note 10 4 4 7" xfId="3480"/>
    <cellStyle name="Note 10 4 4 7 2" xfId="3481"/>
    <cellStyle name="Note 10 4 4 8" xfId="3482"/>
    <cellStyle name="Note 10 4 4 8 2" xfId="3483"/>
    <cellStyle name="Note 10 4 4 9" xfId="3484"/>
    <cellStyle name="Note 10 4 4 9 2" xfId="3485"/>
    <cellStyle name="Note 10 4 5" xfId="3486"/>
    <cellStyle name="Note 10 4 5 10" xfId="3487"/>
    <cellStyle name="Note 10 4 5 10 2" xfId="3488"/>
    <cellStyle name="Note 10 4 5 11" xfId="3489"/>
    <cellStyle name="Note 10 4 5 2" xfId="3490"/>
    <cellStyle name="Note 10 4 5 2 2" xfId="3491"/>
    <cellStyle name="Note 10 4 5 2 2 2" xfId="3492"/>
    <cellStyle name="Note 10 4 5 2 3" xfId="3493"/>
    <cellStyle name="Note 10 4 5 3" xfId="3494"/>
    <cellStyle name="Note 10 4 5 3 2" xfId="3495"/>
    <cellStyle name="Note 10 4 5 4" xfId="3496"/>
    <cellStyle name="Note 10 4 5 4 2" xfId="3497"/>
    <cellStyle name="Note 10 4 5 5" xfId="3498"/>
    <cellStyle name="Note 10 4 5 5 2" xfId="3499"/>
    <cellStyle name="Note 10 4 5 6" xfId="3500"/>
    <cellStyle name="Note 10 4 5 6 2" xfId="3501"/>
    <cellStyle name="Note 10 4 5 7" xfId="3502"/>
    <cellStyle name="Note 10 4 5 7 2" xfId="3503"/>
    <cellStyle name="Note 10 4 5 8" xfId="3504"/>
    <cellStyle name="Note 10 4 5 8 2" xfId="3505"/>
    <cellStyle name="Note 10 4 5 9" xfId="3506"/>
    <cellStyle name="Note 10 4 5 9 2" xfId="3507"/>
    <cellStyle name="Note 10 4 6" xfId="3508"/>
    <cellStyle name="Note 10 4 6 10" xfId="3509"/>
    <cellStyle name="Note 10 4 6 10 2" xfId="3510"/>
    <cellStyle name="Note 10 4 6 11" xfId="3511"/>
    <cellStyle name="Note 10 4 6 2" xfId="3512"/>
    <cellStyle name="Note 10 4 6 2 2" xfId="3513"/>
    <cellStyle name="Note 10 4 6 2 2 2" xfId="3514"/>
    <cellStyle name="Note 10 4 6 2 3" xfId="3515"/>
    <cellStyle name="Note 10 4 6 3" xfId="3516"/>
    <cellStyle name="Note 10 4 6 3 2" xfId="3517"/>
    <cellStyle name="Note 10 4 6 4" xfId="3518"/>
    <cellStyle name="Note 10 4 6 4 2" xfId="3519"/>
    <cellStyle name="Note 10 4 6 5" xfId="3520"/>
    <cellStyle name="Note 10 4 6 5 2" xfId="3521"/>
    <cellStyle name="Note 10 4 6 6" xfId="3522"/>
    <cellStyle name="Note 10 4 6 6 2" xfId="3523"/>
    <cellStyle name="Note 10 4 6 7" xfId="3524"/>
    <cellStyle name="Note 10 4 6 7 2" xfId="3525"/>
    <cellStyle name="Note 10 4 6 8" xfId="3526"/>
    <cellStyle name="Note 10 4 6 8 2" xfId="3527"/>
    <cellStyle name="Note 10 4 6 9" xfId="3528"/>
    <cellStyle name="Note 10 4 6 9 2" xfId="3529"/>
    <cellStyle name="Note 10 4 7" xfId="3530"/>
    <cellStyle name="Note 10 4 7 2" xfId="3531"/>
    <cellStyle name="Note 10 4 7 2 2" xfId="3532"/>
    <cellStyle name="Note 10 4 7 3" xfId="3533"/>
    <cellStyle name="Note 10 4 8" xfId="3534"/>
    <cellStyle name="Note 10 4 8 2" xfId="3535"/>
    <cellStyle name="Note 10 4 9" xfId="3536"/>
    <cellStyle name="Note 10 4 9 2" xfId="3537"/>
    <cellStyle name="Note 10 5" xfId="3538"/>
    <cellStyle name="Note 10 5 2" xfId="3539"/>
    <cellStyle name="Note 10 5 2 2" xfId="3540"/>
    <cellStyle name="Note 10 5 2 2 2" xfId="3541"/>
    <cellStyle name="Note 10 5 2 3" xfId="3542"/>
    <cellStyle name="Note 10 5 3" xfId="3543"/>
    <cellStyle name="Note 10 5 3 2" xfId="3544"/>
    <cellStyle name="Note 10 5 3 2 2" xfId="3545"/>
    <cellStyle name="Note 10 5 3 3" xfId="3546"/>
    <cellStyle name="Note 10 5 4" xfId="3547"/>
    <cellStyle name="Note 10 5 4 2" xfId="3548"/>
    <cellStyle name="Note 10 5 5" xfId="3549"/>
    <cellStyle name="Note 10 5 5 2" xfId="3550"/>
    <cellStyle name="Note 10 5 6" xfId="3551"/>
    <cellStyle name="Note 10 5 6 2" xfId="3552"/>
    <cellStyle name="Note 10 5 7" xfId="3553"/>
    <cellStyle name="Note 10 5 7 2" xfId="3554"/>
    <cellStyle name="Note 10 5 8" xfId="3555"/>
    <cellStyle name="Note 10 6" xfId="3556"/>
    <cellStyle name="Note 10 6 10" xfId="3557"/>
    <cellStyle name="Note 10 6 10 2" xfId="3558"/>
    <cellStyle name="Note 10 6 11" xfId="3559"/>
    <cellStyle name="Note 10 6 2" xfId="3560"/>
    <cellStyle name="Note 10 6 2 2" xfId="3561"/>
    <cellStyle name="Note 10 6 2 2 2" xfId="3562"/>
    <cellStyle name="Note 10 6 2 3" xfId="3563"/>
    <cellStyle name="Note 10 6 3" xfId="3564"/>
    <cellStyle name="Note 10 6 3 2" xfId="3565"/>
    <cellStyle name="Note 10 6 4" xfId="3566"/>
    <cellStyle name="Note 10 6 4 2" xfId="3567"/>
    <cellStyle name="Note 10 6 5" xfId="3568"/>
    <cellStyle name="Note 10 6 5 2" xfId="3569"/>
    <cellStyle name="Note 10 6 6" xfId="3570"/>
    <cellStyle name="Note 10 6 6 2" xfId="3571"/>
    <cellStyle name="Note 10 6 7" xfId="3572"/>
    <cellStyle name="Note 10 6 7 2" xfId="3573"/>
    <cellStyle name="Note 10 6 8" xfId="3574"/>
    <cellStyle name="Note 10 6 8 2" xfId="3575"/>
    <cellStyle name="Note 10 6 9" xfId="3576"/>
    <cellStyle name="Note 10 6 9 2" xfId="3577"/>
    <cellStyle name="Note 10 7" xfId="3578"/>
    <cellStyle name="Note 10 7 10" xfId="3579"/>
    <cellStyle name="Note 10 7 10 2" xfId="3580"/>
    <cellStyle name="Note 10 7 11" xfId="3581"/>
    <cellStyle name="Note 10 7 2" xfId="3582"/>
    <cellStyle name="Note 10 7 2 2" xfId="3583"/>
    <cellStyle name="Note 10 7 2 2 2" xfId="3584"/>
    <cellStyle name="Note 10 7 2 3" xfId="3585"/>
    <cellStyle name="Note 10 7 3" xfId="3586"/>
    <cellStyle name="Note 10 7 3 2" xfId="3587"/>
    <cellStyle name="Note 10 7 4" xfId="3588"/>
    <cellStyle name="Note 10 7 4 2" xfId="3589"/>
    <cellStyle name="Note 10 7 5" xfId="3590"/>
    <cellStyle name="Note 10 7 5 2" xfId="3591"/>
    <cellStyle name="Note 10 7 6" xfId="3592"/>
    <cellStyle name="Note 10 7 6 2" xfId="3593"/>
    <cellStyle name="Note 10 7 7" xfId="3594"/>
    <cellStyle name="Note 10 7 7 2" xfId="3595"/>
    <cellStyle name="Note 10 7 8" xfId="3596"/>
    <cellStyle name="Note 10 7 8 2" xfId="3597"/>
    <cellStyle name="Note 10 7 9" xfId="3598"/>
    <cellStyle name="Note 10 7 9 2" xfId="3599"/>
    <cellStyle name="Note 10 8" xfId="3600"/>
    <cellStyle name="Note 10 8 10" xfId="3601"/>
    <cellStyle name="Note 10 8 10 2" xfId="3602"/>
    <cellStyle name="Note 10 8 11" xfId="3603"/>
    <cellStyle name="Note 10 8 2" xfId="3604"/>
    <cellStyle name="Note 10 8 2 2" xfId="3605"/>
    <cellStyle name="Note 10 8 2 2 2" xfId="3606"/>
    <cellStyle name="Note 10 8 2 3" xfId="3607"/>
    <cellStyle name="Note 10 8 3" xfId="3608"/>
    <cellStyle name="Note 10 8 3 2" xfId="3609"/>
    <cellStyle name="Note 10 8 4" xfId="3610"/>
    <cellStyle name="Note 10 8 4 2" xfId="3611"/>
    <cellStyle name="Note 10 8 5" xfId="3612"/>
    <cellStyle name="Note 10 8 5 2" xfId="3613"/>
    <cellStyle name="Note 10 8 6" xfId="3614"/>
    <cellStyle name="Note 10 8 6 2" xfId="3615"/>
    <cellStyle name="Note 10 8 7" xfId="3616"/>
    <cellStyle name="Note 10 8 7 2" xfId="3617"/>
    <cellStyle name="Note 10 8 8" xfId="3618"/>
    <cellStyle name="Note 10 8 8 2" xfId="3619"/>
    <cellStyle name="Note 10 8 9" xfId="3620"/>
    <cellStyle name="Note 10 8 9 2" xfId="3621"/>
    <cellStyle name="Note 10 9" xfId="3622"/>
    <cellStyle name="Note 10 9 10" xfId="3623"/>
    <cellStyle name="Note 10 9 10 2" xfId="3624"/>
    <cellStyle name="Note 10 9 11" xfId="3625"/>
    <cellStyle name="Note 10 9 2" xfId="3626"/>
    <cellStyle name="Note 10 9 2 2" xfId="3627"/>
    <cellStyle name="Note 10 9 2 2 2" xfId="3628"/>
    <cellStyle name="Note 10 9 2 3" xfId="3629"/>
    <cellStyle name="Note 10 9 3" xfId="3630"/>
    <cellStyle name="Note 10 9 3 2" xfId="3631"/>
    <cellStyle name="Note 10 9 4" xfId="3632"/>
    <cellStyle name="Note 10 9 4 2" xfId="3633"/>
    <cellStyle name="Note 10 9 5" xfId="3634"/>
    <cellStyle name="Note 10 9 5 2" xfId="3635"/>
    <cellStyle name="Note 10 9 6" xfId="3636"/>
    <cellStyle name="Note 10 9 6 2" xfId="3637"/>
    <cellStyle name="Note 10 9 7" xfId="3638"/>
    <cellStyle name="Note 10 9 7 2" xfId="3639"/>
    <cellStyle name="Note 10 9 8" xfId="3640"/>
    <cellStyle name="Note 10 9 8 2" xfId="3641"/>
    <cellStyle name="Note 10 9 9" xfId="3642"/>
    <cellStyle name="Note 10 9 9 2" xfId="3643"/>
    <cellStyle name="Note 10_7 - Cap Add WS" xfId="600"/>
    <cellStyle name="Note 11" xfId="601"/>
    <cellStyle name="Note 11 10" xfId="3644"/>
    <cellStyle name="Note 11 10 2" xfId="3645"/>
    <cellStyle name="Note 11 11" xfId="3646"/>
    <cellStyle name="Note 11 11 2" xfId="3647"/>
    <cellStyle name="Note 11 12" xfId="3648"/>
    <cellStyle name="Note 11 12 2" xfId="3649"/>
    <cellStyle name="Note 11 13" xfId="3650"/>
    <cellStyle name="Note 11 13 2" xfId="3651"/>
    <cellStyle name="Note 11 14" xfId="3652"/>
    <cellStyle name="Note 11 2" xfId="602"/>
    <cellStyle name="Note 11 2 10" xfId="3653"/>
    <cellStyle name="Note 11 2 10 2" xfId="3654"/>
    <cellStyle name="Note 11 2 11" xfId="3655"/>
    <cellStyle name="Note 11 2 11 2" xfId="3656"/>
    <cellStyle name="Note 11 2 12" xfId="3657"/>
    <cellStyle name="Note 11 2 12 2" xfId="3658"/>
    <cellStyle name="Note 11 2 13" xfId="3659"/>
    <cellStyle name="Note 11 2 2" xfId="3660"/>
    <cellStyle name="Note 11 2 2 2" xfId="3661"/>
    <cellStyle name="Note 11 2 2 2 2" xfId="3662"/>
    <cellStyle name="Note 11 2 2 2 2 2" xfId="3663"/>
    <cellStyle name="Note 11 2 2 2 3" xfId="3664"/>
    <cellStyle name="Note 11 2 2 3" xfId="3665"/>
    <cellStyle name="Note 11 2 2 3 2" xfId="3666"/>
    <cellStyle name="Note 11 2 2 3 2 2" xfId="3667"/>
    <cellStyle name="Note 11 2 2 3 3" xfId="3668"/>
    <cellStyle name="Note 11 2 2 4" xfId="3669"/>
    <cellStyle name="Note 11 2 2 4 2" xfId="3670"/>
    <cellStyle name="Note 11 2 2 5" xfId="3671"/>
    <cellStyle name="Note 11 2 2 5 2" xfId="3672"/>
    <cellStyle name="Note 11 2 2 6" xfId="3673"/>
    <cellStyle name="Note 11 2 2 6 2" xfId="3674"/>
    <cellStyle name="Note 11 2 2 7" xfId="3675"/>
    <cellStyle name="Note 11 2 2 7 2" xfId="3676"/>
    <cellStyle name="Note 11 2 2 8" xfId="3677"/>
    <cellStyle name="Note 11 2 3" xfId="3678"/>
    <cellStyle name="Note 11 2 3 10" xfId="3679"/>
    <cellStyle name="Note 11 2 3 10 2" xfId="3680"/>
    <cellStyle name="Note 11 2 3 11" xfId="3681"/>
    <cellStyle name="Note 11 2 3 2" xfId="3682"/>
    <cellStyle name="Note 11 2 3 2 2" xfId="3683"/>
    <cellStyle name="Note 11 2 3 2 2 2" xfId="3684"/>
    <cellStyle name="Note 11 2 3 2 3" xfId="3685"/>
    <cellStyle name="Note 11 2 3 3" xfId="3686"/>
    <cellStyle name="Note 11 2 3 3 2" xfId="3687"/>
    <cellStyle name="Note 11 2 3 4" xfId="3688"/>
    <cellStyle name="Note 11 2 3 4 2" xfId="3689"/>
    <cellStyle name="Note 11 2 3 5" xfId="3690"/>
    <cellStyle name="Note 11 2 3 5 2" xfId="3691"/>
    <cellStyle name="Note 11 2 3 6" xfId="3692"/>
    <cellStyle name="Note 11 2 3 6 2" xfId="3693"/>
    <cellStyle name="Note 11 2 3 7" xfId="3694"/>
    <cellStyle name="Note 11 2 3 7 2" xfId="3695"/>
    <cellStyle name="Note 11 2 3 8" xfId="3696"/>
    <cellStyle name="Note 11 2 3 8 2" xfId="3697"/>
    <cellStyle name="Note 11 2 3 9" xfId="3698"/>
    <cellStyle name="Note 11 2 3 9 2" xfId="3699"/>
    <cellStyle name="Note 11 2 4" xfId="3700"/>
    <cellStyle name="Note 11 2 4 10" xfId="3701"/>
    <cellStyle name="Note 11 2 4 10 2" xfId="3702"/>
    <cellStyle name="Note 11 2 4 11" xfId="3703"/>
    <cellStyle name="Note 11 2 4 2" xfId="3704"/>
    <cellStyle name="Note 11 2 4 2 2" xfId="3705"/>
    <cellStyle name="Note 11 2 4 2 2 2" xfId="3706"/>
    <cellStyle name="Note 11 2 4 2 3" xfId="3707"/>
    <cellStyle name="Note 11 2 4 3" xfId="3708"/>
    <cellStyle name="Note 11 2 4 3 2" xfId="3709"/>
    <cellStyle name="Note 11 2 4 4" xfId="3710"/>
    <cellStyle name="Note 11 2 4 4 2" xfId="3711"/>
    <cellStyle name="Note 11 2 4 5" xfId="3712"/>
    <cellStyle name="Note 11 2 4 5 2" xfId="3713"/>
    <cellStyle name="Note 11 2 4 6" xfId="3714"/>
    <cellStyle name="Note 11 2 4 6 2" xfId="3715"/>
    <cellStyle name="Note 11 2 4 7" xfId="3716"/>
    <cellStyle name="Note 11 2 4 7 2" xfId="3717"/>
    <cellStyle name="Note 11 2 4 8" xfId="3718"/>
    <cellStyle name="Note 11 2 4 8 2" xfId="3719"/>
    <cellStyle name="Note 11 2 4 9" xfId="3720"/>
    <cellStyle name="Note 11 2 4 9 2" xfId="3721"/>
    <cellStyle name="Note 11 2 5" xfId="3722"/>
    <cellStyle name="Note 11 2 5 10" xfId="3723"/>
    <cellStyle name="Note 11 2 5 10 2" xfId="3724"/>
    <cellStyle name="Note 11 2 5 11" xfId="3725"/>
    <cellStyle name="Note 11 2 5 2" xfId="3726"/>
    <cellStyle name="Note 11 2 5 2 2" xfId="3727"/>
    <cellStyle name="Note 11 2 5 2 2 2" xfId="3728"/>
    <cellStyle name="Note 11 2 5 2 3" xfId="3729"/>
    <cellStyle name="Note 11 2 5 3" xfId="3730"/>
    <cellStyle name="Note 11 2 5 3 2" xfId="3731"/>
    <cellStyle name="Note 11 2 5 4" xfId="3732"/>
    <cellStyle name="Note 11 2 5 4 2" xfId="3733"/>
    <cellStyle name="Note 11 2 5 5" xfId="3734"/>
    <cellStyle name="Note 11 2 5 5 2" xfId="3735"/>
    <cellStyle name="Note 11 2 5 6" xfId="3736"/>
    <cellStyle name="Note 11 2 5 6 2" xfId="3737"/>
    <cellStyle name="Note 11 2 5 7" xfId="3738"/>
    <cellStyle name="Note 11 2 5 7 2" xfId="3739"/>
    <cellStyle name="Note 11 2 5 8" xfId="3740"/>
    <cellStyle name="Note 11 2 5 8 2" xfId="3741"/>
    <cellStyle name="Note 11 2 5 9" xfId="3742"/>
    <cellStyle name="Note 11 2 5 9 2" xfId="3743"/>
    <cellStyle name="Note 11 2 6" xfId="3744"/>
    <cellStyle name="Note 11 2 6 10" xfId="3745"/>
    <cellStyle name="Note 11 2 6 10 2" xfId="3746"/>
    <cellStyle name="Note 11 2 6 11" xfId="3747"/>
    <cellStyle name="Note 11 2 6 2" xfId="3748"/>
    <cellStyle name="Note 11 2 6 2 2" xfId="3749"/>
    <cellStyle name="Note 11 2 6 2 2 2" xfId="3750"/>
    <cellStyle name="Note 11 2 6 2 3" xfId="3751"/>
    <cellStyle name="Note 11 2 6 3" xfId="3752"/>
    <cellStyle name="Note 11 2 6 3 2" xfId="3753"/>
    <cellStyle name="Note 11 2 6 4" xfId="3754"/>
    <cellStyle name="Note 11 2 6 4 2" xfId="3755"/>
    <cellStyle name="Note 11 2 6 5" xfId="3756"/>
    <cellStyle name="Note 11 2 6 5 2" xfId="3757"/>
    <cellStyle name="Note 11 2 6 6" xfId="3758"/>
    <cellStyle name="Note 11 2 6 6 2" xfId="3759"/>
    <cellStyle name="Note 11 2 6 7" xfId="3760"/>
    <cellStyle name="Note 11 2 6 7 2" xfId="3761"/>
    <cellStyle name="Note 11 2 6 8" xfId="3762"/>
    <cellStyle name="Note 11 2 6 8 2" xfId="3763"/>
    <cellStyle name="Note 11 2 6 9" xfId="3764"/>
    <cellStyle name="Note 11 2 6 9 2" xfId="3765"/>
    <cellStyle name="Note 11 2 7" xfId="3766"/>
    <cellStyle name="Note 11 2 7 2" xfId="3767"/>
    <cellStyle name="Note 11 2 7 2 2" xfId="3768"/>
    <cellStyle name="Note 11 2 7 3" xfId="3769"/>
    <cellStyle name="Note 11 2 8" xfId="3770"/>
    <cellStyle name="Note 11 2 8 2" xfId="3771"/>
    <cellStyle name="Note 11 2 9" xfId="3772"/>
    <cellStyle name="Note 11 2 9 2" xfId="3773"/>
    <cellStyle name="Note 11 3" xfId="3774"/>
    <cellStyle name="Note 11 3 2" xfId="3775"/>
    <cellStyle name="Note 11 3 2 2" xfId="3776"/>
    <cellStyle name="Note 11 3 2 2 2" xfId="3777"/>
    <cellStyle name="Note 11 3 2 3" xfId="3778"/>
    <cellStyle name="Note 11 3 3" xfId="3779"/>
    <cellStyle name="Note 11 3 3 2" xfId="3780"/>
    <cellStyle name="Note 11 3 3 2 2" xfId="3781"/>
    <cellStyle name="Note 11 3 3 3" xfId="3782"/>
    <cellStyle name="Note 11 3 4" xfId="3783"/>
    <cellStyle name="Note 11 3 4 2" xfId="3784"/>
    <cellStyle name="Note 11 3 5" xfId="3785"/>
    <cellStyle name="Note 11 3 5 2" xfId="3786"/>
    <cellStyle name="Note 11 3 6" xfId="3787"/>
    <cellStyle name="Note 11 3 6 2" xfId="3788"/>
    <cellStyle name="Note 11 3 7" xfId="3789"/>
    <cellStyle name="Note 11 3 7 2" xfId="3790"/>
    <cellStyle name="Note 11 3 8" xfId="3791"/>
    <cellStyle name="Note 11 4" xfId="3792"/>
    <cellStyle name="Note 11 4 10" xfId="3793"/>
    <cellStyle name="Note 11 4 10 2" xfId="3794"/>
    <cellStyle name="Note 11 4 11" xfId="3795"/>
    <cellStyle name="Note 11 4 2" xfId="3796"/>
    <cellStyle name="Note 11 4 2 2" xfId="3797"/>
    <cellStyle name="Note 11 4 2 2 2" xfId="3798"/>
    <cellStyle name="Note 11 4 2 3" xfId="3799"/>
    <cellStyle name="Note 11 4 3" xfId="3800"/>
    <cellStyle name="Note 11 4 3 2" xfId="3801"/>
    <cellStyle name="Note 11 4 4" xfId="3802"/>
    <cellStyle name="Note 11 4 4 2" xfId="3803"/>
    <cellStyle name="Note 11 4 5" xfId="3804"/>
    <cellStyle name="Note 11 4 5 2" xfId="3805"/>
    <cellStyle name="Note 11 4 6" xfId="3806"/>
    <cellStyle name="Note 11 4 6 2" xfId="3807"/>
    <cellStyle name="Note 11 4 7" xfId="3808"/>
    <cellStyle name="Note 11 4 7 2" xfId="3809"/>
    <cellStyle name="Note 11 4 8" xfId="3810"/>
    <cellStyle name="Note 11 4 8 2" xfId="3811"/>
    <cellStyle name="Note 11 4 9" xfId="3812"/>
    <cellStyle name="Note 11 4 9 2" xfId="3813"/>
    <cellStyle name="Note 11 5" xfId="3814"/>
    <cellStyle name="Note 11 5 10" xfId="3815"/>
    <cellStyle name="Note 11 5 10 2" xfId="3816"/>
    <cellStyle name="Note 11 5 11" xfId="3817"/>
    <cellStyle name="Note 11 5 2" xfId="3818"/>
    <cellStyle name="Note 11 5 2 2" xfId="3819"/>
    <cellStyle name="Note 11 5 2 2 2" xfId="3820"/>
    <cellStyle name="Note 11 5 2 3" xfId="3821"/>
    <cellStyle name="Note 11 5 3" xfId="3822"/>
    <cellStyle name="Note 11 5 3 2" xfId="3823"/>
    <cellStyle name="Note 11 5 4" xfId="3824"/>
    <cellStyle name="Note 11 5 4 2" xfId="3825"/>
    <cellStyle name="Note 11 5 5" xfId="3826"/>
    <cellStyle name="Note 11 5 5 2" xfId="3827"/>
    <cellStyle name="Note 11 5 6" xfId="3828"/>
    <cellStyle name="Note 11 5 6 2" xfId="3829"/>
    <cellStyle name="Note 11 5 7" xfId="3830"/>
    <cellStyle name="Note 11 5 7 2" xfId="3831"/>
    <cellStyle name="Note 11 5 8" xfId="3832"/>
    <cellStyle name="Note 11 5 8 2" xfId="3833"/>
    <cellStyle name="Note 11 5 9" xfId="3834"/>
    <cellStyle name="Note 11 5 9 2" xfId="3835"/>
    <cellStyle name="Note 11 6" xfId="3836"/>
    <cellStyle name="Note 11 6 10" xfId="3837"/>
    <cellStyle name="Note 11 6 10 2" xfId="3838"/>
    <cellStyle name="Note 11 6 11" xfId="3839"/>
    <cellStyle name="Note 11 6 2" xfId="3840"/>
    <cellStyle name="Note 11 6 2 2" xfId="3841"/>
    <cellStyle name="Note 11 6 2 2 2" xfId="3842"/>
    <cellStyle name="Note 11 6 2 3" xfId="3843"/>
    <cellStyle name="Note 11 6 3" xfId="3844"/>
    <cellStyle name="Note 11 6 3 2" xfId="3845"/>
    <cellStyle name="Note 11 6 4" xfId="3846"/>
    <cellStyle name="Note 11 6 4 2" xfId="3847"/>
    <cellStyle name="Note 11 6 5" xfId="3848"/>
    <cellStyle name="Note 11 6 5 2" xfId="3849"/>
    <cellStyle name="Note 11 6 6" xfId="3850"/>
    <cellStyle name="Note 11 6 6 2" xfId="3851"/>
    <cellStyle name="Note 11 6 7" xfId="3852"/>
    <cellStyle name="Note 11 6 7 2" xfId="3853"/>
    <cellStyle name="Note 11 6 8" xfId="3854"/>
    <cellStyle name="Note 11 6 8 2" xfId="3855"/>
    <cellStyle name="Note 11 6 9" xfId="3856"/>
    <cellStyle name="Note 11 6 9 2" xfId="3857"/>
    <cellStyle name="Note 11 7" xfId="3858"/>
    <cellStyle name="Note 11 7 10" xfId="3859"/>
    <cellStyle name="Note 11 7 10 2" xfId="3860"/>
    <cellStyle name="Note 11 7 11" xfId="3861"/>
    <cellStyle name="Note 11 7 2" xfId="3862"/>
    <cellStyle name="Note 11 7 2 2" xfId="3863"/>
    <cellStyle name="Note 11 7 2 2 2" xfId="3864"/>
    <cellStyle name="Note 11 7 2 3" xfId="3865"/>
    <cellStyle name="Note 11 7 3" xfId="3866"/>
    <cellStyle name="Note 11 7 3 2" xfId="3867"/>
    <cellStyle name="Note 11 7 4" xfId="3868"/>
    <cellStyle name="Note 11 7 4 2" xfId="3869"/>
    <cellStyle name="Note 11 7 5" xfId="3870"/>
    <cellStyle name="Note 11 7 5 2" xfId="3871"/>
    <cellStyle name="Note 11 7 6" xfId="3872"/>
    <cellStyle name="Note 11 7 6 2" xfId="3873"/>
    <cellStyle name="Note 11 7 7" xfId="3874"/>
    <cellStyle name="Note 11 7 7 2" xfId="3875"/>
    <cellStyle name="Note 11 7 8" xfId="3876"/>
    <cellStyle name="Note 11 7 8 2" xfId="3877"/>
    <cellStyle name="Note 11 7 9" xfId="3878"/>
    <cellStyle name="Note 11 7 9 2" xfId="3879"/>
    <cellStyle name="Note 11 8" xfId="3880"/>
    <cellStyle name="Note 11 8 2" xfId="3881"/>
    <cellStyle name="Note 11 8 2 2" xfId="3882"/>
    <cellStyle name="Note 11 8 3" xfId="3883"/>
    <cellStyle name="Note 11 9" xfId="3884"/>
    <cellStyle name="Note 11 9 2" xfId="3885"/>
    <cellStyle name="Note 11_7 - Cap Add WS" xfId="603"/>
    <cellStyle name="Note 12" xfId="604"/>
    <cellStyle name="Note 12 10" xfId="3886"/>
    <cellStyle name="Note 12 10 2" xfId="3887"/>
    <cellStyle name="Note 12 11" xfId="3888"/>
    <cellStyle name="Note 12 11 2" xfId="3889"/>
    <cellStyle name="Note 12 12" xfId="3890"/>
    <cellStyle name="Note 12 12 2" xfId="3891"/>
    <cellStyle name="Note 12 13" xfId="3892"/>
    <cellStyle name="Note 12 13 2" xfId="3893"/>
    <cellStyle name="Note 12 14" xfId="3894"/>
    <cellStyle name="Note 12 2" xfId="605"/>
    <cellStyle name="Note 12 2 10" xfId="3895"/>
    <cellStyle name="Note 12 2 10 2" xfId="3896"/>
    <cellStyle name="Note 12 2 11" xfId="3897"/>
    <cellStyle name="Note 12 2 11 2" xfId="3898"/>
    <cellStyle name="Note 12 2 12" xfId="3899"/>
    <cellStyle name="Note 12 2 12 2" xfId="3900"/>
    <cellStyle name="Note 12 2 13" xfId="3901"/>
    <cellStyle name="Note 12 2 2" xfId="3902"/>
    <cellStyle name="Note 12 2 2 2" xfId="3903"/>
    <cellStyle name="Note 12 2 2 2 2" xfId="3904"/>
    <cellStyle name="Note 12 2 2 2 2 2" xfId="3905"/>
    <cellStyle name="Note 12 2 2 2 3" xfId="3906"/>
    <cellStyle name="Note 12 2 2 3" xfId="3907"/>
    <cellStyle name="Note 12 2 2 3 2" xfId="3908"/>
    <cellStyle name="Note 12 2 2 3 2 2" xfId="3909"/>
    <cellStyle name="Note 12 2 2 3 3" xfId="3910"/>
    <cellStyle name="Note 12 2 2 4" xfId="3911"/>
    <cellStyle name="Note 12 2 2 4 2" xfId="3912"/>
    <cellStyle name="Note 12 2 2 5" xfId="3913"/>
    <cellStyle name="Note 12 2 2 5 2" xfId="3914"/>
    <cellStyle name="Note 12 2 2 6" xfId="3915"/>
    <cellStyle name="Note 12 2 2 6 2" xfId="3916"/>
    <cellStyle name="Note 12 2 2 7" xfId="3917"/>
    <cellStyle name="Note 12 2 2 7 2" xfId="3918"/>
    <cellStyle name="Note 12 2 2 8" xfId="3919"/>
    <cellStyle name="Note 12 2 3" xfId="3920"/>
    <cellStyle name="Note 12 2 3 10" xfId="3921"/>
    <cellStyle name="Note 12 2 3 10 2" xfId="3922"/>
    <cellStyle name="Note 12 2 3 11" xfId="3923"/>
    <cellStyle name="Note 12 2 3 2" xfId="3924"/>
    <cellStyle name="Note 12 2 3 2 2" xfId="3925"/>
    <cellStyle name="Note 12 2 3 2 2 2" xfId="3926"/>
    <cellStyle name="Note 12 2 3 2 3" xfId="3927"/>
    <cellStyle name="Note 12 2 3 3" xfId="3928"/>
    <cellStyle name="Note 12 2 3 3 2" xfId="3929"/>
    <cellStyle name="Note 12 2 3 4" xfId="3930"/>
    <cellStyle name="Note 12 2 3 4 2" xfId="3931"/>
    <cellStyle name="Note 12 2 3 5" xfId="3932"/>
    <cellStyle name="Note 12 2 3 5 2" xfId="3933"/>
    <cellStyle name="Note 12 2 3 6" xfId="3934"/>
    <cellStyle name="Note 12 2 3 6 2" xfId="3935"/>
    <cellStyle name="Note 12 2 3 7" xfId="3936"/>
    <cellStyle name="Note 12 2 3 7 2" xfId="3937"/>
    <cellStyle name="Note 12 2 3 8" xfId="3938"/>
    <cellStyle name="Note 12 2 3 8 2" xfId="3939"/>
    <cellStyle name="Note 12 2 3 9" xfId="3940"/>
    <cellStyle name="Note 12 2 3 9 2" xfId="3941"/>
    <cellStyle name="Note 12 2 4" xfId="3942"/>
    <cellStyle name="Note 12 2 4 10" xfId="3943"/>
    <cellStyle name="Note 12 2 4 10 2" xfId="3944"/>
    <cellStyle name="Note 12 2 4 11" xfId="3945"/>
    <cellStyle name="Note 12 2 4 2" xfId="3946"/>
    <cellStyle name="Note 12 2 4 2 2" xfId="3947"/>
    <cellStyle name="Note 12 2 4 2 2 2" xfId="3948"/>
    <cellStyle name="Note 12 2 4 2 3" xfId="3949"/>
    <cellStyle name="Note 12 2 4 3" xfId="3950"/>
    <cellStyle name="Note 12 2 4 3 2" xfId="3951"/>
    <cellStyle name="Note 12 2 4 4" xfId="3952"/>
    <cellStyle name="Note 12 2 4 4 2" xfId="3953"/>
    <cellStyle name="Note 12 2 4 5" xfId="3954"/>
    <cellStyle name="Note 12 2 4 5 2" xfId="3955"/>
    <cellStyle name="Note 12 2 4 6" xfId="3956"/>
    <cellStyle name="Note 12 2 4 6 2" xfId="3957"/>
    <cellStyle name="Note 12 2 4 7" xfId="3958"/>
    <cellStyle name="Note 12 2 4 7 2" xfId="3959"/>
    <cellStyle name="Note 12 2 4 8" xfId="3960"/>
    <cellStyle name="Note 12 2 4 8 2" xfId="3961"/>
    <cellStyle name="Note 12 2 4 9" xfId="3962"/>
    <cellStyle name="Note 12 2 4 9 2" xfId="3963"/>
    <cellStyle name="Note 12 2 5" xfId="3964"/>
    <cellStyle name="Note 12 2 5 10" xfId="3965"/>
    <cellStyle name="Note 12 2 5 10 2" xfId="3966"/>
    <cellStyle name="Note 12 2 5 11" xfId="3967"/>
    <cellStyle name="Note 12 2 5 2" xfId="3968"/>
    <cellStyle name="Note 12 2 5 2 2" xfId="3969"/>
    <cellStyle name="Note 12 2 5 2 2 2" xfId="3970"/>
    <cellStyle name="Note 12 2 5 2 3" xfId="3971"/>
    <cellStyle name="Note 12 2 5 3" xfId="3972"/>
    <cellStyle name="Note 12 2 5 3 2" xfId="3973"/>
    <cellStyle name="Note 12 2 5 4" xfId="3974"/>
    <cellStyle name="Note 12 2 5 4 2" xfId="3975"/>
    <cellStyle name="Note 12 2 5 5" xfId="3976"/>
    <cellStyle name="Note 12 2 5 5 2" xfId="3977"/>
    <cellStyle name="Note 12 2 5 6" xfId="3978"/>
    <cellStyle name="Note 12 2 5 6 2" xfId="3979"/>
    <cellStyle name="Note 12 2 5 7" xfId="3980"/>
    <cellStyle name="Note 12 2 5 7 2" xfId="3981"/>
    <cellStyle name="Note 12 2 5 8" xfId="3982"/>
    <cellStyle name="Note 12 2 5 8 2" xfId="3983"/>
    <cellStyle name="Note 12 2 5 9" xfId="3984"/>
    <cellStyle name="Note 12 2 5 9 2" xfId="3985"/>
    <cellStyle name="Note 12 2 6" xfId="3986"/>
    <cellStyle name="Note 12 2 6 10" xfId="3987"/>
    <cellStyle name="Note 12 2 6 10 2" xfId="3988"/>
    <cellStyle name="Note 12 2 6 11" xfId="3989"/>
    <cellStyle name="Note 12 2 6 2" xfId="3990"/>
    <cellStyle name="Note 12 2 6 2 2" xfId="3991"/>
    <cellStyle name="Note 12 2 6 2 2 2" xfId="3992"/>
    <cellStyle name="Note 12 2 6 2 3" xfId="3993"/>
    <cellStyle name="Note 12 2 6 3" xfId="3994"/>
    <cellStyle name="Note 12 2 6 3 2" xfId="3995"/>
    <cellStyle name="Note 12 2 6 4" xfId="3996"/>
    <cellStyle name="Note 12 2 6 4 2" xfId="3997"/>
    <cellStyle name="Note 12 2 6 5" xfId="3998"/>
    <cellStyle name="Note 12 2 6 5 2" xfId="3999"/>
    <cellStyle name="Note 12 2 6 6" xfId="4000"/>
    <cellStyle name="Note 12 2 6 6 2" xfId="4001"/>
    <cellStyle name="Note 12 2 6 7" xfId="4002"/>
    <cellStyle name="Note 12 2 6 7 2" xfId="4003"/>
    <cellStyle name="Note 12 2 6 8" xfId="4004"/>
    <cellStyle name="Note 12 2 6 8 2" xfId="4005"/>
    <cellStyle name="Note 12 2 6 9" xfId="4006"/>
    <cellStyle name="Note 12 2 6 9 2" xfId="4007"/>
    <cellStyle name="Note 12 2 7" xfId="4008"/>
    <cellStyle name="Note 12 2 7 2" xfId="4009"/>
    <cellStyle name="Note 12 2 7 2 2" xfId="4010"/>
    <cellStyle name="Note 12 2 7 3" xfId="4011"/>
    <cellStyle name="Note 12 2 8" xfId="4012"/>
    <cellStyle name="Note 12 2 8 2" xfId="4013"/>
    <cellStyle name="Note 12 2 9" xfId="4014"/>
    <cellStyle name="Note 12 2 9 2" xfId="4015"/>
    <cellStyle name="Note 12 3" xfId="4016"/>
    <cellStyle name="Note 12 3 2" xfId="4017"/>
    <cellStyle name="Note 12 3 2 2" xfId="4018"/>
    <cellStyle name="Note 12 3 2 2 2" xfId="4019"/>
    <cellStyle name="Note 12 3 2 3" xfId="4020"/>
    <cellStyle name="Note 12 3 3" xfId="4021"/>
    <cellStyle name="Note 12 3 3 2" xfId="4022"/>
    <cellStyle name="Note 12 3 3 2 2" xfId="4023"/>
    <cellStyle name="Note 12 3 3 3" xfId="4024"/>
    <cellStyle name="Note 12 3 4" xfId="4025"/>
    <cellStyle name="Note 12 3 4 2" xfId="4026"/>
    <cellStyle name="Note 12 3 5" xfId="4027"/>
    <cellStyle name="Note 12 3 5 2" xfId="4028"/>
    <cellStyle name="Note 12 3 6" xfId="4029"/>
    <cellStyle name="Note 12 3 6 2" xfId="4030"/>
    <cellStyle name="Note 12 3 7" xfId="4031"/>
    <cellStyle name="Note 12 3 7 2" xfId="4032"/>
    <cellStyle name="Note 12 3 8" xfId="4033"/>
    <cellStyle name="Note 12 4" xfId="4034"/>
    <cellStyle name="Note 12 4 10" xfId="4035"/>
    <cellStyle name="Note 12 4 10 2" xfId="4036"/>
    <cellStyle name="Note 12 4 11" xfId="4037"/>
    <cellStyle name="Note 12 4 2" xfId="4038"/>
    <cellStyle name="Note 12 4 2 2" xfId="4039"/>
    <cellStyle name="Note 12 4 2 2 2" xfId="4040"/>
    <cellStyle name="Note 12 4 2 3" xfId="4041"/>
    <cellStyle name="Note 12 4 3" xfId="4042"/>
    <cellStyle name="Note 12 4 3 2" xfId="4043"/>
    <cellStyle name="Note 12 4 4" xfId="4044"/>
    <cellStyle name="Note 12 4 4 2" xfId="4045"/>
    <cellStyle name="Note 12 4 5" xfId="4046"/>
    <cellStyle name="Note 12 4 5 2" xfId="4047"/>
    <cellStyle name="Note 12 4 6" xfId="4048"/>
    <cellStyle name="Note 12 4 6 2" xfId="4049"/>
    <cellStyle name="Note 12 4 7" xfId="4050"/>
    <cellStyle name="Note 12 4 7 2" xfId="4051"/>
    <cellStyle name="Note 12 4 8" xfId="4052"/>
    <cellStyle name="Note 12 4 8 2" xfId="4053"/>
    <cellStyle name="Note 12 4 9" xfId="4054"/>
    <cellStyle name="Note 12 4 9 2" xfId="4055"/>
    <cellStyle name="Note 12 5" xfId="4056"/>
    <cellStyle name="Note 12 5 10" xfId="4057"/>
    <cellStyle name="Note 12 5 10 2" xfId="4058"/>
    <cellStyle name="Note 12 5 11" xfId="4059"/>
    <cellStyle name="Note 12 5 2" xfId="4060"/>
    <cellStyle name="Note 12 5 2 2" xfId="4061"/>
    <cellStyle name="Note 12 5 2 2 2" xfId="4062"/>
    <cellStyle name="Note 12 5 2 3" xfId="4063"/>
    <cellStyle name="Note 12 5 3" xfId="4064"/>
    <cellStyle name="Note 12 5 3 2" xfId="4065"/>
    <cellStyle name="Note 12 5 4" xfId="4066"/>
    <cellStyle name="Note 12 5 4 2" xfId="4067"/>
    <cellStyle name="Note 12 5 5" xfId="4068"/>
    <cellStyle name="Note 12 5 5 2" xfId="4069"/>
    <cellStyle name="Note 12 5 6" xfId="4070"/>
    <cellStyle name="Note 12 5 6 2" xfId="4071"/>
    <cellStyle name="Note 12 5 7" xfId="4072"/>
    <cellStyle name="Note 12 5 7 2" xfId="4073"/>
    <cellStyle name="Note 12 5 8" xfId="4074"/>
    <cellStyle name="Note 12 5 8 2" xfId="4075"/>
    <cellStyle name="Note 12 5 9" xfId="4076"/>
    <cellStyle name="Note 12 5 9 2" xfId="4077"/>
    <cellStyle name="Note 12 6" xfId="4078"/>
    <cellStyle name="Note 12 6 10" xfId="4079"/>
    <cellStyle name="Note 12 6 10 2" xfId="4080"/>
    <cellStyle name="Note 12 6 11" xfId="4081"/>
    <cellStyle name="Note 12 6 2" xfId="4082"/>
    <cellStyle name="Note 12 6 2 2" xfId="4083"/>
    <cellStyle name="Note 12 6 2 2 2" xfId="4084"/>
    <cellStyle name="Note 12 6 2 3" xfId="4085"/>
    <cellStyle name="Note 12 6 3" xfId="4086"/>
    <cellStyle name="Note 12 6 3 2" xfId="4087"/>
    <cellStyle name="Note 12 6 4" xfId="4088"/>
    <cellStyle name="Note 12 6 4 2" xfId="4089"/>
    <cellStyle name="Note 12 6 5" xfId="4090"/>
    <cellStyle name="Note 12 6 5 2" xfId="4091"/>
    <cellStyle name="Note 12 6 6" xfId="4092"/>
    <cellStyle name="Note 12 6 6 2" xfId="4093"/>
    <cellStyle name="Note 12 6 7" xfId="4094"/>
    <cellStyle name="Note 12 6 7 2" xfId="4095"/>
    <cellStyle name="Note 12 6 8" xfId="4096"/>
    <cellStyle name="Note 12 6 8 2" xfId="4097"/>
    <cellStyle name="Note 12 6 9" xfId="4098"/>
    <cellStyle name="Note 12 6 9 2" xfId="4099"/>
    <cellStyle name="Note 12 7" xfId="4100"/>
    <cellStyle name="Note 12 7 10" xfId="4101"/>
    <cellStyle name="Note 12 7 10 2" xfId="4102"/>
    <cellStyle name="Note 12 7 11" xfId="4103"/>
    <cellStyle name="Note 12 7 2" xfId="4104"/>
    <cellStyle name="Note 12 7 2 2" xfId="4105"/>
    <cellStyle name="Note 12 7 2 2 2" xfId="4106"/>
    <cellStyle name="Note 12 7 2 3" xfId="4107"/>
    <cellStyle name="Note 12 7 3" xfId="4108"/>
    <cellStyle name="Note 12 7 3 2" xfId="4109"/>
    <cellStyle name="Note 12 7 4" xfId="4110"/>
    <cellStyle name="Note 12 7 4 2" xfId="4111"/>
    <cellStyle name="Note 12 7 5" xfId="4112"/>
    <cellStyle name="Note 12 7 5 2" xfId="4113"/>
    <cellStyle name="Note 12 7 6" xfId="4114"/>
    <cellStyle name="Note 12 7 6 2" xfId="4115"/>
    <cellStyle name="Note 12 7 7" xfId="4116"/>
    <cellStyle name="Note 12 7 7 2" xfId="4117"/>
    <cellStyle name="Note 12 7 8" xfId="4118"/>
    <cellStyle name="Note 12 7 8 2" xfId="4119"/>
    <cellStyle name="Note 12 7 9" xfId="4120"/>
    <cellStyle name="Note 12 7 9 2" xfId="4121"/>
    <cellStyle name="Note 12 8" xfId="4122"/>
    <cellStyle name="Note 12 8 2" xfId="4123"/>
    <cellStyle name="Note 12 8 2 2" xfId="4124"/>
    <cellStyle name="Note 12 8 3" xfId="4125"/>
    <cellStyle name="Note 12 9" xfId="4126"/>
    <cellStyle name="Note 12 9 2" xfId="4127"/>
    <cellStyle name="Note 12_7 - Cap Add WS" xfId="606"/>
    <cellStyle name="Note 13" xfId="607"/>
    <cellStyle name="Note 13 10" xfId="4128"/>
    <cellStyle name="Note 13 10 2" xfId="4129"/>
    <cellStyle name="Note 13 11" xfId="4130"/>
    <cellStyle name="Note 13 11 2" xfId="4131"/>
    <cellStyle name="Note 13 12" xfId="4132"/>
    <cellStyle name="Note 13 12 2" xfId="4133"/>
    <cellStyle name="Note 13 13" xfId="4134"/>
    <cellStyle name="Note 13 13 2" xfId="4135"/>
    <cellStyle name="Note 13 14" xfId="4136"/>
    <cellStyle name="Note 13 2" xfId="608"/>
    <cellStyle name="Note 13 2 10" xfId="4137"/>
    <cellStyle name="Note 13 2 10 2" xfId="4138"/>
    <cellStyle name="Note 13 2 11" xfId="4139"/>
    <cellStyle name="Note 13 2 11 2" xfId="4140"/>
    <cellStyle name="Note 13 2 12" xfId="4141"/>
    <cellStyle name="Note 13 2 12 2" xfId="4142"/>
    <cellStyle name="Note 13 2 13" xfId="4143"/>
    <cellStyle name="Note 13 2 2" xfId="4144"/>
    <cellStyle name="Note 13 2 2 2" xfId="4145"/>
    <cellStyle name="Note 13 2 2 2 2" xfId="4146"/>
    <cellStyle name="Note 13 2 2 2 2 2" xfId="4147"/>
    <cellStyle name="Note 13 2 2 2 3" xfId="4148"/>
    <cellStyle name="Note 13 2 2 3" xfId="4149"/>
    <cellStyle name="Note 13 2 2 3 2" xfId="4150"/>
    <cellStyle name="Note 13 2 2 3 2 2" xfId="4151"/>
    <cellStyle name="Note 13 2 2 3 3" xfId="4152"/>
    <cellStyle name="Note 13 2 2 4" xfId="4153"/>
    <cellStyle name="Note 13 2 2 4 2" xfId="4154"/>
    <cellStyle name="Note 13 2 2 5" xfId="4155"/>
    <cellStyle name="Note 13 2 2 5 2" xfId="4156"/>
    <cellStyle name="Note 13 2 2 6" xfId="4157"/>
    <cellStyle name="Note 13 2 2 6 2" xfId="4158"/>
    <cellStyle name="Note 13 2 2 7" xfId="4159"/>
    <cellStyle name="Note 13 2 2 7 2" xfId="4160"/>
    <cellStyle name="Note 13 2 2 8" xfId="4161"/>
    <cellStyle name="Note 13 2 3" xfId="4162"/>
    <cellStyle name="Note 13 2 3 10" xfId="4163"/>
    <cellStyle name="Note 13 2 3 10 2" xfId="4164"/>
    <cellStyle name="Note 13 2 3 11" xfId="4165"/>
    <cellStyle name="Note 13 2 3 2" xfId="4166"/>
    <cellStyle name="Note 13 2 3 2 2" xfId="4167"/>
    <cellStyle name="Note 13 2 3 2 2 2" xfId="4168"/>
    <cellStyle name="Note 13 2 3 2 3" xfId="4169"/>
    <cellStyle name="Note 13 2 3 3" xfId="4170"/>
    <cellStyle name="Note 13 2 3 3 2" xfId="4171"/>
    <cellStyle name="Note 13 2 3 4" xfId="4172"/>
    <cellStyle name="Note 13 2 3 4 2" xfId="4173"/>
    <cellStyle name="Note 13 2 3 5" xfId="4174"/>
    <cellStyle name="Note 13 2 3 5 2" xfId="4175"/>
    <cellStyle name="Note 13 2 3 6" xfId="4176"/>
    <cellStyle name="Note 13 2 3 6 2" xfId="4177"/>
    <cellStyle name="Note 13 2 3 7" xfId="4178"/>
    <cellStyle name="Note 13 2 3 7 2" xfId="4179"/>
    <cellStyle name="Note 13 2 3 8" xfId="4180"/>
    <cellStyle name="Note 13 2 3 8 2" xfId="4181"/>
    <cellStyle name="Note 13 2 3 9" xfId="4182"/>
    <cellStyle name="Note 13 2 3 9 2" xfId="4183"/>
    <cellStyle name="Note 13 2 4" xfId="4184"/>
    <cellStyle name="Note 13 2 4 10" xfId="4185"/>
    <cellStyle name="Note 13 2 4 10 2" xfId="4186"/>
    <cellStyle name="Note 13 2 4 11" xfId="4187"/>
    <cellStyle name="Note 13 2 4 2" xfId="4188"/>
    <cellStyle name="Note 13 2 4 2 2" xfId="4189"/>
    <cellStyle name="Note 13 2 4 2 2 2" xfId="4190"/>
    <cellStyle name="Note 13 2 4 2 3" xfId="4191"/>
    <cellStyle name="Note 13 2 4 3" xfId="4192"/>
    <cellStyle name="Note 13 2 4 3 2" xfId="4193"/>
    <cellStyle name="Note 13 2 4 4" xfId="4194"/>
    <cellStyle name="Note 13 2 4 4 2" xfId="4195"/>
    <cellStyle name="Note 13 2 4 5" xfId="4196"/>
    <cellStyle name="Note 13 2 4 5 2" xfId="4197"/>
    <cellStyle name="Note 13 2 4 6" xfId="4198"/>
    <cellStyle name="Note 13 2 4 6 2" xfId="4199"/>
    <cellStyle name="Note 13 2 4 7" xfId="4200"/>
    <cellStyle name="Note 13 2 4 7 2" xfId="4201"/>
    <cellStyle name="Note 13 2 4 8" xfId="4202"/>
    <cellStyle name="Note 13 2 4 8 2" xfId="4203"/>
    <cellStyle name="Note 13 2 4 9" xfId="4204"/>
    <cellStyle name="Note 13 2 4 9 2" xfId="4205"/>
    <cellStyle name="Note 13 2 5" xfId="4206"/>
    <cellStyle name="Note 13 2 5 10" xfId="4207"/>
    <cellStyle name="Note 13 2 5 10 2" xfId="4208"/>
    <cellStyle name="Note 13 2 5 11" xfId="4209"/>
    <cellStyle name="Note 13 2 5 2" xfId="4210"/>
    <cellStyle name="Note 13 2 5 2 2" xfId="4211"/>
    <cellStyle name="Note 13 2 5 2 2 2" xfId="4212"/>
    <cellStyle name="Note 13 2 5 2 3" xfId="4213"/>
    <cellStyle name="Note 13 2 5 3" xfId="4214"/>
    <cellStyle name="Note 13 2 5 3 2" xfId="4215"/>
    <cellStyle name="Note 13 2 5 4" xfId="4216"/>
    <cellStyle name="Note 13 2 5 4 2" xfId="4217"/>
    <cellStyle name="Note 13 2 5 5" xfId="4218"/>
    <cellStyle name="Note 13 2 5 5 2" xfId="4219"/>
    <cellStyle name="Note 13 2 5 6" xfId="4220"/>
    <cellStyle name="Note 13 2 5 6 2" xfId="4221"/>
    <cellStyle name="Note 13 2 5 7" xfId="4222"/>
    <cellStyle name="Note 13 2 5 7 2" xfId="4223"/>
    <cellStyle name="Note 13 2 5 8" xfId="4224"/>
    <cellStyle name="Note 13 2 5 8 2" xfId="4225"/>
    <cellStyle name="Note 13 2 5 9" xfId="4226"/>
    <cellStyle name="Note 13 2 5 9 2" xfId="4227"/>
    <cellStyle name="Note 13 2 6" xfId="4228"/>
    <cellStyle name="Note 13 2 6 10" xfId="4229"/>
    <cellStyle name="Note 13 2 6 10 2" xfId="4230"/>
    <cellStyle name="Note 13 2 6 11" xfId="4231"/>
    <cellStyle name="Note 13 2 6 2" xfId="4232"/>
    <cellStyle name="Note 13 2 6 2 2" xfId="4233"/>
    <cellStyle name="Note 13 2 6 2 2 2" xfId="4234"/>
    <cellStyle name="Note 13 2 6 2 3" xfId="4235"/>
    <cellStyle name="Note 13 2 6 3" xfId="4236"/>
    <cellStyle name="Note 13 2 6 3 2" xfId="4237"/>
    <cellStyle name="Note 13 2 6 4" xfId="4238"/>
    <cellStyle name="Note 13 2 6 4 2" xfId="4239"/>
    <cellStyle name="Note 13 2 6 5" xfId="4240"/>
    <cellStyle name="Note 13 2 6 5 2" xfId="4241"/>
    <cellStyle name="Note 13 2 6 6" xfId="4242"/>
    <cellStyle name="Note 13 2 6 6 2" xfId="4243"/>
    <cellStyle name="Note 13 2 6 7" xfId="4244"/>
    <cellStyle name="Note 13 2 6 7 2" xfId="4245"/>
    <cellStyle name="Note 13 2 6 8" xfId="4246"/>
    <cellStyle name="Note 13 2 6 8 2" xfId="4247"/>
    <cellStyle name="Note 13 2 6 9" xfId="4248"/>
    <cellStyle name="Note 13 2 6 9 2" xfId="4249"/>
    <cellStyle name="Note 13 2 7" xfId="4250"/>
    <cellStyle name="Note 13 2 7 2" xfId="4251"/>
    <cellStyle name="Note 13 2 7 2 2" xfId="4252"/>
    <cellStyle name="Note 13 2 7 3" xfId="4253"/>
    <cellStyle name="Note 13 2 8" xfId="4254"/>
    <cellStyle name="Note 13 2 8 2" xfId="4255"/>
    <cellStyle name="Note 13 2 9" xfId="4256"/>
    <cellStyle name="Note 13 2 9 2" xfId="4257"/>
    <cellStyle name="Note 13 3" xfId="4258"/>
    <cellStyle name="Note 13 3 2" xfId="4259"/>
    <cellStyle name="Note 13 3 2 2" xfId="4260"/>
    <cellStyle name="Note 13 3 2 2 2" xfId="4261"/>
    <cellStyle name="Note 13 3 2 3" xfId="4262"/>
    <cellStyle name="Note 13 3 3" xfId="4263"/>
    <cellStyle name="Note 13 3 3 2" xfId="4264"/>
    <cellStyle name="Note 13 3 3 2 2" xfId="4265"/>
    <cellStyle name="Note 13 3 3 3" xfId="4266"/>
    <cellStyle name="Note 13 3 4" xfId="4267"/>
    <cellStyle name="Note 13 3 4 2" xfId="4268"/>
    <cellStyle name="Note 13 3 5" xfId="4269"/>
    <cellStyle name="Note 13 3 5 2" xfId="4270"/>
    <cellStyle name="Note 13 3 6" xfId="4271"/>
    <cellStyle name="Note 13 3 6 2" xfId="4272"/>
    <cellStyle name="Note 13 3 7" xfId="4273"/>
    <cellStyle name="Note 13 3 7 2" xfId="4274"/>
    <cellStyle name="Note 13 3 8" xfId="4275"/>
    <cellStyle name="Note 13 4" xfId="4276"/>
    <cellStyle name="Note 13 4 10" xfId="4277"/>
    <cellStyle name="Note 13 4 10 2" xfId="4278"/>
    <cellStyle name="Note 13 4 11" xfId="4279"/>
    <cellStyle name="Note 13 4 2" xfId="4280"/>
    <cellStyle name="Note 13 4 2 2" xfId="4281"/>
    <cellStyle name="Note 13 4 2 2 2" xfId="4282"/>
    <cellStyle name="Note 13 4 2 3" xfId="4283"/>
    <cellStyle name="Note 13 4 3" xfId="4284"/>
    <cellStyle name="Note 13 4 3 2" xfId="4285"/>
    <cellStyle name="Note 13 4 4" xfId="4286"/>
    <cellStyle name="Note 13 4 4 2" xfId="4287"/>
    <cellStyle name="Note 13 4 5" xfId="4288"/>
    <cellStyle name="Note 13 4 5 2" xfId="4289"/>
    <cellStyle name="Note 13 4 6" xfId="4290"/>
    <cellStyle name="Note 13 4 6 2" xfId="4291"/>
    <cellStyle name="Note 13 4 7" xfId="4292"/>
    <cellStyle name="Note 13 4 7 2" xfId="4293"/>
    <cellStyle name="Note 13 4 8" xfId="4294"/>
    <cellStyle name="Note 13 4 8 2" xfId="4295"/>
    <cellStyle name="Note 13 4 9" xfId="4296"/>
    <cellStyle name="Note 13 4 9 2" xfId="4297"/>
    <cellStyle name="Note 13 5" xfId="4298"/>
    <cellStyle name="Note 13 5 10" xfId="4299"/>
    <cellStyle name="Note 13 5 10 2" xfId="4300"/>
    <cellStyle name="Note 13 5 11" xfId="4301"/>
    <cellStyle name="Note 13 5 2" xfId="4302"/>
    <cellStyle name="Note 13 5 2 2" xfId="4303"/>
    <cellStyle name="Note 13 5 2 2 2" xfId="4304"/>
    <cellStyle name="Note 13 5 2 3" xfId="4305"/>
    <cellStyle name="Note 13 5 3" xfId="4306"/>
    <cellStyle name="Note 13 5 3 2" xfId="4307"/>
    <cellStyle name="Note 13 5 4" xfId="4308"/>
    <cellStyle name="Note 13 5 4 2" xfId="4309"/>
    <cellStyle name="Note 13 5 5" xfId="4310"/>
    <cellStyle name="Note 13 5 5 2" xfId="4311"/>
    <cellStyle name="Note 13 5 6" xfId="4312"/>
    <cellStyle name="Note 13 5 6 2" xfId="4313"/>
    <cellStyle name="Note 13 5 7" xfId="4314"/>
    <cellStyle name="Note 13 5 7 2" xfId="4315"/>
    <cellStyle name="Note 13 5 8" xfId="4316"/>
    <cellStyle name="Note 13 5 8 2" xfId="4317"/>
    <cellStyle name="Note 13 5 9" xfId="4318"/>
    <cellStyle name="Note 13 5 9 2" xfId="4319"/>
    <cellStyle name="Note 13 6" xfId="4320"/>
    <cellStyle name="Note 13 6 10" xfId="4321"/>
    <cellStyle name="Note 13 6 10 2" xfId="4322"/>
    <cellStyle name="Note 13 6 11" xfId="4323"/>
    <cellStyle name="Note 13 6 2" xfId="4324"/>
    <cellStyle name="Note 13 6 2 2" xfId="4325"/>
    <cellStyle name="Note 13 6 2 2 2" xfId="4326"/>
    <cellStyle name="Note 13 6 2 3" xfId="4327"/>
    <cellStyle name="Note 13 6 3" xfId="4328"/>
    <cellStyle name="Note 13 6 3 2" xfId="4329"/>
    <cellStyle name="Note 13 6 4" xfId="4330"/>
    <cellStyle name="Note 13 6 4 2" xfId="4331"/>
    <cellStyle name="Note 13 6 5" xfId="4332"/>
    <cellStyle name="Note 13 6 5 2" xfId="4333"/>
    <cellStyle name="Note 13 6 6" xfId="4334"/>
    <cellStyle name="Note 13 6 6 2" xfId="4335"/>
    <cellStyle name="Note 13 6 7" xfId="4336"/>
    <cellStyle name="Note 13 6 7 2" xfId="4337"/>
    <cellStyle name="Note 13 6 8" xfId="4338"/>
    <cellStyle name="Note 13 6 8 2" xfId="4339"/>
    <cellStyle name="Note 13 6 9" xfId="4340"/>
    <cellStyle name="Note 13 6 9 2" xfId="4341"/>
    <cellStyle name="Note 13 7" xfId="4342"/>
    <cellStyle name="Note 13 7 10" xfId="4343"/>
    <cellStyle name="Note 13 7 10 2" xfId="4344"/>
    <cellStyle name="Note 13 7 11" xfId="4345"/>
    <cellStyle name="Note 13 7 2" xfId="4346"/>
    <cellStyle name="Note 13 7 2 2" xfId="4347"/>
    <cellStyle name="Note 13 7 2 2 2" xfId="4348"/>
    <cellStyle name="Note 13 7 2 3" xfId="4349"/>
    <cellStyle name="Note 13 7 3" xfId="4350"/>
    <cellStyle name="Note 13 7 3 2" xfId="4351"/>
    <cellStyle name="Note 13 7 4" xfId="4352"/>
    <cellStyle name="Note 13 7 4 2" xfId="4353"/>
    <cellStyle name="Note 13 7 5" xfId="4354"/>
    <cellStyle name="Note 13 7 5 2" xfId="4355"/>
    <cellStyle name="Note 13 7 6" xfId="4356"/>
    <cellStyle name="Note 13 7 6 2" xfId="4357"/>
    <cellStyle name="Note 13 7 7" xfId="4358"/>
    <cellStyle name="Note 13 7 7 2" xfId="4359"/>
    <cellStyle name="Note 13 7 8" xfId="4360"/>
    <cellStyle name="Note 13 7 8 2" xfId="4361"/>
    <cellStyle name="Note 13 7 9" xfId="4362"/>
    <cellStyle name="Note 13 7 9 2" xfId="4363"/>
    <cellStyle name="Note 13 8" xfId="4364"/>
    <cellStyle name="Note 13 8 2" xfId="4365"/>
    <cellStyle name="Note 13 8 2 2" xfId="4366"/>
    <cellStyle name="Note 13 8 3" xfId="4367"/>
    <cellStyle name="Note 13 9" xfId="4368"/>
    <cellStyle name="Note 13 9 2" xfId="4369"/>
    <cellStyle name="Note 13_7 - Cap Add WS" xfId="609"/>
    <cellStyle name="Note 14" xfId="610"/>
    <cellStyle name="Note 14 10" xfId="4370"/>
    <cellStyle name="Note 14 10 2" xfId="4371"/>
    <cellStyle name="Note 14 11" xfId="4372"/>
    <cellStyle name="Note 14 11 2" xfId="4373"/>
    <cellStyle name="Note 14 12" xfId="4374"/>
    <cellStyle name="Note 14 12 2" xfId="4375"/>
    <cellStyle name="Note 14 13" xfId="4376"/>
    <cellStyle name="Note 14 13 2" xfId="4377"/>
    <cellStyle name="Note 14 14" xfId="4378"/>
    <cellStyle name="Note 14 2" xfId="611"/>
    <cellStyle name="Note 14 2 10" xfId="4379"/>
    <cellStyle name="Note 14 2 10 2" xfId="4380"/>
    <cellStyle name="Note 14 2 11" xfId="4381"/>
    <cellStyle name="Note 14 2 11 2" xfId="4382"/>
    <cellStyle name="Note 14 2 12" xfId="4383"/>
    <cellStyle name="Note 14 2 12 2" xfId="4384"/>
    <cellStyle name="Note 14 2 13" xfId="4385"/>
    <cellStyle name="Note 14 2 2" xfId="4386"/>
    <cellStyle name="Note 14 2 2 2" xfId="4387"/>
    <cellStyle name="Note 14 2 2 2 2" xfId="4388"/>
    <cellStyle name="Note 14 2 2 2 2 2" xfId="4389"/>
    <cellStyle name="Note 14 2 2 2 3" xfId="4390"/>
    <cellStyle name="Note 14 2 2 3" xfId="4391"/>
    <cellStyle name="Note 14 2 2 3 2" xfId="4392"/>
    <cellStyle name="Note 14 2 2 3 2 2" xfId="4393"/>
    <cellStyle name="Note 14 2 2 3 3" xfId="4394"/>
    <cellStyle name="Note 14 2 2 4" xfId="4395"/>
    <cellStyle name="Note 14 2 2 4 2" xfId="4396"/>
    <cellStyle name="Note 14 2 2 5" xfId="4397"/>
    <cellStyle name="Note 14 2 2 5 2" xfId="4398"/>
    <cellStyle name="Note 14 2 2 6" xfId="4399"/>
    <cellStyle name="Note 14 2 2 6 2" xfId="4400"/>
    <cellStyle name="Note 14 2 2 7" xfId="4401"/>
    <cellStyle name="Note 14 2 2 7 2" xfId="4402"/>
    <cellStyle name="Note 14 2 2 8" xfId="4403"/>
    <cellStyle name="Note 14 2 3" xfId="4404"/>
    <cellStyle name="Note 14 2 3 10" xfId="4405"/>
    <cellStyle name="Note 14 2 3 10 2" xfId="4406"/>
    <cellStyle name="Note 14 2 3 11" xfId="4407"/>
    <cellStyle name="Note 14 2 3 2" xfId="4408"/>
    <cellStyle name="Note 14 2 3 2 2" xfId="4409"/>
    <cellStyle name="Note 14 2 3 2 2 2" xfId="4410"/>
    <cellStyle name="Note 14 2 3 2 3" xfId="4411"/>
    <cellStyle name="Note 14 2 3 3" xfId="4412"/>
    <cellStyle name="Note 14 2 3 3 2" xfId="4413"/>
    <cellStyle name="Note 14 2 3 4" xfId="4414"/>
    <cellStyle name="Note 14 2 3 4 2" xfId="4415"/>
    <cellStyle name="Note 14 2 3 5" xfId="4416"/>
    <cellStyle name="Note 14 2 3 5 2" xfId="4417"/>
    <cellStyle name="Note 14 2 3 6" xfId="4418"/>
    <cellStyle name="Note 14 2 3 6 2" xfId="4419"/>
    <cellStyle name="Note 14 2 3 7" xfId="4420"/>
    <cellStyle name="Note 14 2 3 7 2" xfId="4421"/>
    <cellStyle name="Note 14 2 3 8" xfId="4422"/>
    <cellStyle name="Note 14 2 3 8 2" xfId="4423"/>
    <cellStyle name="Note 14 2 3 9" xfId="4424"/>
    <cellStyle name="Note 14 2 3 9 2" xfId="4425"/>
    <cellStyle name="Note 14 2 4" xfId="4426"/>
    <cellStyle name="Note 14 2 4 10" xfId="4427"/>
    <cellStyle name="Note 14 2 4 10 2" xfId="4428"/>
    <cellStyle name="Note 14 2 4 11" xfId="4429"/>
    <cellStyle name="Note 14 2 4 2" xfId="4430"/>
    <cellStyle name="Note 14 2 4 2 2" xfId="4431"/>
    <cellStyle name="Note 14 2 4 2 2 2" xfId="4432"/>
    <cellStyle name="Note 14 2 4 2 3" xfId="4433"/>
    <cellStyle name="Note 14 2 4 3" xfId="4434"/>
    <cellStyle name="Note 14 2 4 3 2" xfId="4435"/>
    <cellStyle name="Note 14 2 4 4" xfId="4436"/>
    <cellStyle name="Note 14 2 4 4 2" xfId="4437"/>
    <cellStyle name="Note 14 2 4 5" xfId="4438"/>
    <cellStyle name="Note 14 2 4 5 2" xfId="4439"/>
    <cellStyle name="Note 14 2 4 6" xfId="4440"/>
    <cellStyle name="Note 14 2 4 6 2" xfId="4441"/>
    <cellStyle name="Note 14 2 4 7" xfId="4442"/>
    <cellStyle name="Note 14 2 4 7 2" xfId="4443"/>
    <cellStyle name="Note 14 2 4 8" xfId="4444"/>
    <cellStyle name="Note 14 2 4 8 2" xfId="4445"/>
    <cellStyle name="Note 14 2 4 9" xfId="4446"/>
    <cellStyle name="Note 14 2 4 9 2" xfId="4447"/>
    <cellStyle name="Note 14 2 5" xfId="4448"/>
    <cellStyle name="Note 14 2 5 10" xfId="4449"/>
    <cellStyle name="Note 14 2 5 10 2" xfId="4450"/>
    <cellStyle name="Note 14 2 5 11" xfId="4451"/>
    <cellStyle name="Note 14 2 5 2" xfId="4452"/>
    <cellStyle name="Note 14 2 5 2 2" xfId="4453"/>
    <cellStyle name="Note 14 2 5 2 2 2" xfId="4454"/>
    <cellStyle name="Note 14 2 5 2 3" xfId="4455"/>
    <cellStyle name="Note 14 2 5 3" xfId="4456"/>
    <cellStyle name="Note 14 2 5 3 2" xfId="4457"/>
    <cellStyle name="Note 14 2 5 4" xfId="4458"/>
    <cellStyle name="Note 14 2 5 4 2" xfId="4459"/>
    <cellStyle name="Note 14 2 5 5" xfId="4460"/>
    <cellStyle name="Note 14 2 5 5 2" xfId="4461"/>
    <cellStyle name="Note 14 2 5 6" xfId="4462"/>
    <cellStyle name="Note 14 2 5 6 2" xfId="4463"/>
    <cellStyle name="Note 14 2 5 7" xfId="4464"/>
    <cellStyle name="Note 14 2 5 7 2" xfId="4465"/>
    <cellStyle name="Note 14 2 5 8" xfId="4466"/>
    <cellStyle name="Note 14 2 5 8 2" xfId="4467"/>
    <cellStyle name="Note 14 2 5 9" xfId="4468"/>
    <cellStyle name="Note 14 2 5 9 2" xfId="4469"/>
    <cellStyle name="Note 14 2 6" xfId="4470"/>
    <cellStyle name="Note 14 2 6 10" xfId="4471"/>
    <cellStyle name="Note 14 2 6 10 2" xfId="4472"/>
    <cellStyle name="Note 14 2 6 11" xfId="4473"/>
    <cellStyle name="Note 14 2 6 2" xfId="4474"/>
    <cellStyle name="Note 14 2 6 2 2" xfId="4475"/>
    <cellStyle name="Note 14 2 6 2 2 2" xfId="4476"/>
    <cellStyle name="Note 14 2 6 2 3" xfId="4477"/>
    <cellStyle name="Note 14 2 6 3" xfId="4478"/>
    <cellStyle name="Note 14 2 6 3 2" xfId="4479"/>
    <cellStyle name="Note 14 2 6 4" xfId="4480"/>
    <cellStyle name="Note 14 2 6 4 2" xfId="4481"/>
    <cellStyle name="Note 14 2 6 5" xfId="4482"/>
    <cellStyle name="Note 14 2 6 5 2" xfId="4483"/>
    <cellStyle name="Note 14 2 6 6" xfId="4484"/>
    <cellStyle name="Note 14 2 6 6 2" xfId="4485"/>
    <cellStyle name="Note 14 2 6 7" xfId="4486"/>
    <cellStyle name="Note 14 2 6 7 2" xfId="4487"/>
    <cellStyle name="Note 14 2 6 8" xfId="4488"/>
    <cellStyle name="Note 14 2 6 8 2" xfId="4489"/>
    <cellStyle name="Note 14 2 6 9" xfId="4490"/>
    <cellStyle name="Note 14 2 6 9 2" xfId="4491"/>
    <cellStyle name="Note 14 2 7" xfId="4492"/>
    <cellStyle name="Note 14 2 7 2" xfId="4493"/>
    <cellStyle name="Note 14 2 7 2 2" xfId="4494"/>
    <cellStyle name="Note 14 2 7 3" xfId="4495"/>
    <cellStyle name="Note 14 2 8" xfId="4496"/>
    <cellStyle name="Note 14 2 8 2" xfId="4497"/>
    <cellStyle name="Note 14 2 9" xfId="4498"/>
    <cellStyle name="Note 14 2 9 2" xfId="4499"/>
    <cellStyle name="Note 14 3" xfId="4500"/>
    <cellStyle name="Note 14 3 2" xfId="4501"/>
    <cellStyle name="Note 14 3 2 2" xfId="4502"/>
    <cellStyle name="Note 14 3 2 2 2" xfId="4503"/>
    <cellStyle name="Note 14 3 2 3" xfId="4504"/>
    <cellStyle name="Note 14 3 3" xfId="4505"/>
    <cellStyle name="Note 14 3 3 2" xfId="4506"/>
    <cellStyle name="Note 14 3 3 2 2" xfId="4507"/>
    <cellStyle name="Note 14 3 3 3" xfId="4508"/>
    <cellStyle name="Note 14 3 4" xfId="4509"/>
    <cellStyle name="Note 14 3 4 2" xfId="4510"/>
    <cellStyle name="Note 14 3 5" xfId="4511"/>
    <cellStyle name="Note 14 3 5 2" xfId="4512"/>
    <cellStyle name="Note 14 3 6" xfId="4513"/>
    <cellStyle name="Note 14 3 6 2" xfId="4514"/>
    <cellStyle name="Note 14 3 7" xfId="4515"/>
    <cellStyle name="Note 14 3 7 2" xfId="4516"/>
    <cellStyle name="Note 14 3 8" xfId="4517"/>
    <cellStyle name="Note 14 4" xfId="4518"/>
    <cellStyle name="Note 14 4 10" xfId="4519"/>
    <cellStyle name="Note 14 4 10 2" xfId="4520"/>
    <cellStyle name="Note 14 4 11" xfId="4521"/>
    <cellStyle name="Note 14 4 2" xfId="4522"/>
    <cellStyle name="Note 14 4 2 2" xfId="4523"/>
    <cellStyle name="Note 14 4 2 2 2" xfId="4524"/>
    <cellStyle name="Note 14 4 2 3" xfId="4525"/>
    <cellStyle name="Note 14 4 3" xfId="4526"/>
    <cellStyle name="Note 14 4 3 2" xfId="4527"/>
    <cellStyle name="Note 14 4 4" xfId="4528"/>
    <cellStyle name="Note 14 4 4 2" xfId="4529"/>
    <cellStyle name="Note 14 4 5" xfId="4530"/>
    <cellStyle name="Note 14 4 5 2" xfId="4531"/>
    <cellStyle name="Note 14 4 6" xfId="4532"/>
    <cellStyle name="Note 14 4 6 2" xfId="4533"/>
    <cellStyle name="Note 14 4 7" xfId="4534"/>
    <cellStyle name="Note 14 4 7 2" xfId="4535"/>
    <cellStyle name="Note 14 4 8" xfId="4536"/>
    <cellStyle name="Note 14 4 8 2" xfId="4537"/>
    <cellStyle name="Note 14 4 9" xfId="4538"/>
    <cellStyle name="Note 14 4 9 2" xfId="4539"/>
    <cellStyle name="Note 14 5" xfId="4540"/>
    <cellStyle name="Note 14 5 10" xfId="4541"/>
    <cellStyle name="Note 14 5 10 2" xfId="4542"/>
    <cellStyle name="Note 14 5 11" xfId="4543"/>
    <cellStyle name="Note 14 5 2" xfId="4544"/>
    <cellStyle name="Note 14 5 2 2" xfId="4545"/>
    <cellStyle name="Note 14 5 2 2 2" xfId="4546"/>
    <cellStyle name="Note 14 5 2 3" xfId="4547"/>
    <cellStyle name="Note 14 5 3" xfId="4548"/>
    <cellStyle name="Note 14 5 3 2" xfId="4549"/>
    <cellStyle name="Note 14 5 4" xfId="4550"/>
    <cellStyle name="Note 14 5 4 2" xfId="4551"/>
    <cellStyle name="Note 14 5 5" xfId="4552"/>
    <cellStyle name="Note 14 5 5 2" xfId="4553"/>
    <cellStyle name="Note 14 5 6" xfId="4554"/>
    <cellStyle name="Note 14 5 6 2" xfId="4555"/>
    <cellStyle name="Note 14 5 7" xfId="4556"/>
    <cellStyle name="Note 14 5 7 2" xfId="4557"/>
    <cellStyle name="Note 14 5 8" xfId="4558"/>
    <cellStyle name="Note 14 5 8 2" xfId="4559"/>
    <cellStyle name="Note 14 5 9" xfId="4560"/>
    <cellStyle name="Note 14 5 9 2" xfId="4561"/>
    <cellStyle name="Note 14 6" xfId="4562"/>
    <cellStyle name="Note 14 6 10" xfId="4563"/>
    <cellStyle name="Note 14 6 10 2" xfId="4564"/>
    <cellStyle name="Note 14 6 11" xfId="4565"/>
    <cellStyle name="Note 14 6 2" xfId="4566"/>
    <cellStyle name="Note 14 6 2 2" xfId="4567"/>
    <cellStyle name="Note 14 6 2 2 2" xfId="4568"/>
    <cellStyle name="Note 14 6 2 3" xfId="4569"/>
    <cellStyle name="Note 14 6 3" xfId="4570"/>
    <cellStyle name="Note 14 6 3 2" xfId="4571"/>
    <cellStyle name="Note 14 6 4" xfId="4572"/>
    <cellStyle name="Note 14 6 4 2" xfId="4573"/>
    <cellStyle name="Note 14 6 5" xfId="4574"/>
    <cellStyle name="Note 14 6 5 2" xfId="4575"/>
    <cellStyle name="Note 14 6 6" xfId="4576"/>
    <cellStyle name="Note 14 6 6 2" xfId="4577"/>
    <cellStyle name="Note 14 6 7" xfId="4578"/>
    <cellStyle name="Note 14 6 7 2" xfId="4579"/>
    <cellStyle name="Note 14 6 8" xfId="4580"/>
    <cellStyle name="Note 14 6 8 2" xfId="4581"/>
    <cellStyle name="Note 14 6 9" xfId="4582"/>
    <cellStyle name="Note 14 6 9 2" xfId="4583"/>
    <cellStyle name="Note 14 7" xfId="4584"/>
    <cellStyle name="Note 14 7 10" xfId="4585"/>
    <cellStyle name="Note 14 7 10 2" xfId="4586"/>
    <cellStyle name="Note 14 7 11" xfId="4587"/>
    <cellStyle name="Note 14 7 2" xfId="4588"/>
    <cellStyle name="Note 14 7 2 2" xfId="4589"/>
    <cellStyle name="Note 14 7 2 2 2" xfId="4590"/>
    <cellStyle name="Note 14 7 2 3" xfId="4591"/>
    <cellStyle name="Note 14 7 3" xfId="4592"/>
    <cellStyle name="Note 14 7 3 2" xfId="4593"/>
    <cellStyle name="Note 14 7 4" xfId="4594"/>
    <cellStyle name="Note 14 7 4 2" xfId="4595"/>
    <cellStyle name="Note 14 7 5" xfId="4596"/>
    <cellStyle name="Note 14 7 5 2" xfId="4597"/>
    <cellStyle name="Note 14 7 6" xfId="4598"/>
    <cellStyle name="Note 14 7 6 2" xfId="4599"/>
    <cellStyle name="Note 14 7 7" xfId="4600"/>
    <cellStyle name="Note 14 7 7 2" xfId="4601"/>
    <cellStyle name="Note 14 7 8" xfId="4602"/>
    <cellStyle name="Note 14 7 8 2" xfId="4603"/>
    <cellStyle name="Note 14 7 9" xfId="4604"/>
    <cellStyle name="Note 14 7 9 2" xfId="4605"/>
    <cellStyle name="Note 14 8" xfId="4606"/>
    <cellStyle name="Note 14 8 2" xfId="4607"/>
    <cellStyle name="Note 14 8 2 2" xfId="4608"/>
    <cellStyle name="Note 14 8 3" xfId="4609"/>
    <cellStyle name="Note 14 9" xfId="4610"/>
    <cellStyle name="Note 14 9 2" xfId="4611"/>
    <cellStyle name="Note 14_7 - Cap Add WS" xfId="612"/>
    <cellStyle name="Note 15" xfId="613"/>
    <cellStyle name="Note 15 10" xfId="4612"/>
    <cellStyle name="Note 15 10 2" xfId="4613"/>
    <cellStyle name="Note 15 11" xfId="4614"/>
    <cellStyle name="Note 15 11 2" xfId="4615"/>
    <cellStyle name="Note 15 12" xfId="4616"/>
    <cellStyle name="Note 15 12 2" xfId="4617"/>
    <cellStyle name="Note 15 13" xfId="4618"/>
    <cellStyle name="Note 15 13 2" xfId="4619"/>
    <cellStyle name="Note 15 14" xfId="4620"/>
    <cellStyle name="Note 15 2" xfId="614"/>
    <cellStyle name="Note 15 2 10" xfId="4621"/>
    <cellStyle name="Note 15 2 10 2" xfId="4622"/>
    <cellStyle name="Note 15 2 11" xfId="4623"/>
    <cellStyle name="Note 15 2 11 2" xfId="4624"/>
    <cellStyle name="Note 15 2 12" xfId="4625"/>
    <cellStyle name="Note 15 2 12 2" xfId="4626"/>
    <cellStyle name="Note 15 2 13" xfId="4627"/>
    <cellStyle name="Note 15 2 2" xfId="4628"/>
    <cellStyle name="Note 15 2 2 2" xfId="4629"/>
    <cellStyle name="Note 15 2 2 2 2" xfId="4630"/>
    <cellStyle name="Note 15 2 2 2 2 2" xfId="4631"/>
    <cellStyle name="Note 15 2 2 2 3" xfId="4632"/>
    <cellStyle name="Note 15 2 2 3" xfId="4633"/>
    <cellStyle name="Note 15 2 2 3 2" xfId="4634"/>
    <cellStyle name="Note 15 2 2 3 2 2" xfId="4635"/>
    <cellStyle name="Note 15 2 2 3 3" xfId="4636"/>
    <cellStyle name="Note 15 2 2 4" xfId="4637"/>
    <cellStyle name="Note 15 2 2 4 2" xfId="4638"/>
    <cellStyle name="Note 15 2 2 5" xfId="4639"/>
    <cellStyle name="Note 15 2 2 5 2" xfId="4640"/>
    <cellStyle name="Note 15 2 2 6" xfId="4641"/>
    <cellStyle name="Note 15 2 2 6 2" xfId="4642"/>
    <cellStyle name="Note 15 2 2 7" xfId="4643"/>
    <cellStyle name="Note 15 2 2 7 2" xfId="4644"/>
    <cellStyle name="Note 15 2 2 8" xfId="4645"/>
    <cellStyle name="Note 15 2 3" xfId="4646"/>
    <cellStyle name="Note 15 2 3 10" xfId="4647"/>
    <cellStyle name="Note 15 2 3 10 2" xfId="4648"/>
    <cellStyle name="Note 15 2 3 11" xfId="4649"/>
    <cellStyle name="Note 15 2 3 2" xfId="4650"/>
    <cellStyle name="Note 15 2 3 2 2" xfId="4651"/>
    <cellStyle name="Note 15 2 3 2 2 2" xfId="4652"/>
    <cellStyle name="Note 15 2 3 2 3" xfId="4653"/>
    <cellStyle name="Note 15 2 3 3" xfId="4654"/>
    <cellStyle name="Note 15 2 3 3 2" xfId="4655"/>
    <cellStyle name="Note 15 2 3 4" xfId="4656"/>
    <cellStyle name="Note 15 2 3 4 2" xfId="4657"/>
    <cellStyle name="Note 15 2 3 5" xfId="4658"/>
    <cellStyle name="Note 15 2 3 5 2" xfId="4659"/>
    <cellStyle name="Note 15 2 3 6" xfId="4660"/>
    <cellStyle name="Note 15 2 3 6 2" xfId="4661"/>
    <cellStyle name="Note 15 2 3 7" xfId="4662"/>
    <cellStyle name="Note 15 2 3 7 2" xfId="4663"/>
    <cellStyle name="Note 15 2 3 8" xfId="4664"/>
    <cellStyle name="Note 15 2 3 8 2" xfId="4665"/>
    <cellStyle name="Note 15 2 3 9" xfId="4666"/>
    <cellStyle name="Note 15 2 3 9 2" xfId="4667"/>
    <cellStyle name="Note 15 2 4" xfId="4668"/>
    <cellStyle name="Note 15 2 4 10" xfId="4669"/>
    <cellStyle name="Note 15 2 4 10 2" xfId="4670"/>
    <cellStyle name="Note 15 2 4 11" xfId="4671"/>
    <cellStyle name="Note 15 2 4 2" xfId="4672"/>
    <cellStyle name="Note 15 2 4 2 2" xfId="4673"/>
    <cellStyle name="Note 15 2 4 2 2 2" xfId="4674"/>
    <cellStyle name="Note 15 2 4 2 3" xfId="4675"/>
    <cellStyle name="Note 15 2 4 3" xfId="4676"/>
    <cellStyle name="Note 15 2 4 3 2" xfId="4677"/>
    <cellStyle name="Note 15 2 4 4" xfId="4678"/>
    <cellStyle name="Note 15 2 4 4 2" xfId="4679"/>
    <cellStyle name="Note 15 2 4 5" xfId="4680"/>
    <cellStyle name="Note 15 2 4 5 2" xfId="4681"/>
    <cellStyle name="Note 15 2 4 6" xfId="4682"/>
    <cellStyle name="Note 15 2 4 6 2" xfId="4683"/>
    <cellStyle name="Note 15 2 4 7" xfId="4684"/>
    <cellStyle name="Note 15 2 4 7 2" xfId="4685"/>
    <cellStyle name="Note 15 2 4 8" xfId="4686"/>
    <cellStyle name="Note 15 2 4 8 2" xfId="4687"/>
    <cellStyle name="Note 15 2 4 9" xfId="4688"/>
    <cellStyle name="Note 15 2 4 9 2" xfId="4689"/>
    <cellStyle name="Note 15 2 5" xfId="4690"/>
    <cellStyle name="Note 15 2 5 10" xfId="4691"/>
    <cellStyle name="Note 15 2 5 10 2" xfId="4692"/>
    <cellStyle name="Note 15 2 5 11" xfId="4693"/>
    <cellStyle name="Note 15 2 5 2" xfId="4694"/>
    <cellStyle name="Note 15 2 5 2 2" xfId="4695"/>
    <cellStyle name="Note 15 2 5 2 2 2" xfId="4696"/>
    <cellStyle name="Note 15 2 5 2 3" xfId="4697"/>
    <cellStyle name="Note 15 2 5 3" xfId="4698"/>
    <cellStyle name="Note 15 2 5 3 2" xfId="4699"/>
    <cellStyle name="Note 15 2 5 4" xfId="4700"/>
    <cellStyle name="Note 15 2 5 4 2" xfId="4701"/>
    <cellStyle name="Note 15 2 5 5" xfId="4702"/>
    <cellStyle name="Note 15 2 5 5 2" xfId="4703"/>
    <cellStyle name="Note 15 2 5 6" xfId="4704"/>
    <cellStyle name="Note 15 2 5 6 2" xfId="4705"/>
    <cellStyle name="Note 15 2 5 7" xfId="4706"/>
    <cellStyle name="Note 15 2 5 7 2" xfId="4707"/>
    <cellStyle name="Note 15 2 5 8" xfId="4708"/>
    <cellStyle name="Note 15 2 5 8 2" xfId="4709"/>
    <cellStyle name="Note 15 2 5 9" xfId="4710"/>
    <cellStyle name="Note 15 2 5 9 2" xfId="4711"/>
    <cellStyle name="Note 15 2 6" xfId="4712"/>
    <cellStyle name="Note 15 2 6 10" xfId="4713"/>
    <cellStyle name="Note 15 2 6 10 2" xfId="4714"/>
    <cellStyle name="Note 15 2 6 11" xfId="4715"/>
    <cellStyle name="Note 15 2 6 2" xfId="4716"/>
    <cellStyle name="Note 15 2 6 2 2" xfId="4717"/>
    <cellStyle name="Note 15 2 6 2 2 2" xfId="4718"/>
    <cellStyle name="Note 15 2 6 2 3" xfId="4719"/>
    <cellStyle name="Note 15 2 6 3" xfId="4720"/>
    <cellStyle name="Note 15 2 6 3 2" xfId="4721"/>
    <cellStyle name="Note 15 2 6 4" xfId="4722"/>
    <cellStyle name="Note 15 2 6 4 2" xfId="4723"/>
    <cellStyle name="Note 15 2 6 5" xfId="4724"/>
    <cellStyle name="Note 15 2 6 5 2" xfId="4725"/>
    <cellStyle name="Note 15 2 6 6" xfId="4726"/>
    <cellStyle name="Note 15 2 6 6 2" xfId="4727"/>
    <cellStyle name="Note 15 2 6 7" xfId="4728"/>
    <cellStyle name="Note 15 2 6 7 2" xfId="4729"/>
    <cellStyle name="Note 15 2 6 8" xfId="4730"/>
    <cellStyle name="Note 15 2 6 8 2" xfId="4731"/>
    <cellStyle name="Note 15 2 6 9" xfId="4732"/>
    <cellStyle name="Note 15 2 6 9 2" xfId="4733"/>
    <cellStyle name="Note 15 2 7" xfId="4734"/>
    <cellStyle name="Note 15 2 7 2" xfId="4735"/>
    <cellStyle name="Note 15 2 7 2 2" xfId="4736"/>
    <cellStyle name="Note 15 2 7 3" xfId="4737"/>
    <cellStyle name="Note 15 2 8" xfId="4738"/>
    <cellStyle name="Note 15 2 8 2" xfId="4739"/>
    <cellStyle name="Note 15 2 9" xfId="4740"/>
    <cellStyle name="Note 15 2 9 2" xfId="4741"/>
    <cellStyle name="Note 15 3" xfId="4742"/>
    <cellStyle name="Note 15 3 2" xfId="4743"/>
    <cellStyle name="Note 15 3 2 2" xfId="4744"/>
    <cellStyle name="Note 15 3 2 2 2" xfId="4745"/>
    <cellStyle name="Note 15 3 2 3" xfId="4746"/>
    <cellStyle name="Note 15 3 3" xfId="4747"/>
    <cellStyle name="Note 15 3 3 2" xfId="4748"/>
    <cellStyle name="Note 15 3 3 2 2" xfId="4749"/>
    <cellStyle name="Note 15 3 3 3" xfId="4750"/>
    <cellStyle name="Note 15 3 4" xfId="4751"/>
    <cellStyle name="Note 15 3 4 2" xfId="4752"/>
    <cellStyle name="Note 15 3 5" xfId="4753"/>
    <cellStyle name="Note 15 3 5 2" xfId="4754"/>
    <cellStyle name="Note 15 3 6" xfId="4755"/>
    <cellStyle name="Note 15 3 6 2" xfId="4756"/>
    <cellStyle name="Note 15 3 7" xfId="4757"/>
    <cellStyle name="Note 15 3 7 2" xfId="4758"/>
    <cellStyle name="Note 15 3 8" xfId="4759"/>
    <cellStyle name="Note 15 4" xfId="4760"/>
    <cellStyle name="Note 15 4 10" xfId="4761"/>
    <cellStyle name="Note 15 4 10 2" xfId="4762"/>
    <cellStyle name="Note 15 4 11" xfId="4763"/>
    <cellStyle name="Note 15 4 2" xfId="4764"/>
    <cellStyle name="Note 15 4 2 2" xfId="4765"/>
    <cellStyle name="Note 15 4 2 2 2" xfId="4766"/>
    <cellStyle name="Note 15 4 2 3" xfId="4767"/>
    <cellStyle name="Note 15 4 3" xfId="4768"/>
    <cellStyle name="Note 15 4 3 2" xfId="4769"/>
    <cellStyle name="Note 15 4 4" xfId="4770"/>
    <cellStyle name="Note 15 4 4 2" xfId="4771"/>
    <cellStyle name="Note 15 4 5" xfId="4772"/>
    <cellStyle name="Note 15 4 5 2" xfId="4773"/>
    <cellStyle name="Note 15 4 6" xfId="4774"/>
    <cellStyle name="Note 15 4 6 2" xfId="4775"/>
    <cellStyle name="Note 15 4 7" xfId="4776"/>
    <cellStyle name="Note 15 4 7 2" xfId="4777"/>
    <cellStyle name="Note 15 4 8" xfId="4778"/>
    <cellStyle name="Note 15 4 8 2" xfId="4779"/>
    <cellStyle name="Note 15 4 9" xfId="4780"/>
    <cellStyle name="Note 15 4 9 2" xfId="4781"/>
    <cellStyle name="Note 15 5" xfId="4782"/>
    <cellStyle name="Note 15 5 10" xfId="4783"/>
    <cellStyle name="Note 15 5 10 2" xfId="4784"/>
    <cellStyle name="Note 15 5 11" xfId="4785"/>
    <cellStyle name="Note 15 5 2" xfId="4786"/>
    <cellStyle name="Note 15 5 2 2" xfId="4787"/>
    <cellStyle name="Note 15 5 2 2 2" xfId="4788"/>
    <cellStyle name="Note 15 5 2 3" xfId="4789"/>
    <cellStyle name="Note 15 5 3" xfId="4790"/>
    <cellStyle name="Note 15 5 3 2" xfId="4791"/>
    <cellStyle name="Note 15 5 4" xfId="4792"/>
    <cellStyle name="Note 15 5 4 2" xfId="4793"/>
    <cellStyle name="Note 15 5 5" xfId="4794"/>
    <cellStyle name="Note 15 5 5 2" xfId="4795"/>
    <cellStyle name="Note 15 5 6" xfId="4796"/>
    <cellStyle name="Note 15 5 6 2" xfId="4797"/>
    <cellStyle name="Note 15 5 7" xfId="4798"/>
    <cellStyle name="Note 15 5 7 2" xfId="4799"/>
    <cellStyle name="Note 15 5 8" xfId="4800"/>
    <cellStyle name="Note 15 5 8 2" xfId="4801"/>
    <cellStyle name="Note 15 5 9" xfId="4802"/>
    <cellStyle name="Note 15 5 9 2" xfId="4803"/>
    <cellStyle name="Note 15 6" xfId="4804"/>
    <cellStyle name="Note 15 6 10" xfId="4805"/>
    <cellStyle name="Note 15 6 10 2" xfId="4806"/>
    <cellStyle name="Note 15 6 11" xfId="4807"/>
    <cellStyle name="Note 15 6 2" xfId="4808"/>
    <cellStyle name="Note 15 6 2 2" xfId="4809"/>
    <cellStyle name="Note 15 6 2 2 2" xfId="4810"/>
    <cellStyle name="Note 15 6 2 3" xfId="4811"/>
    <cellStyle name="Note 15 6 3" xfId="4812"/>
    <cellStyle name="Note 15 6 3 2" xfId="4813"/>
    <cellStyle name="Note 15 6 4" xfId="4814"/>
    <cellStyle name="Note 15 6 4 2" xfId="4815"/>
    <cellStyle name="Note 15 6 5" xfId="4816"/>
    <cellStyle name="Note 15 6 5 2" xfId="4817"/>
    <cellStyle name="Note 15 6 6" xfId="4818"/>
    <cellStyle name="Note 15 6 6 2" xfId="4819"/>
    <cellStyle name="Note 15 6 7" xfId="4820"/>
    <cellStyle name="Note 15 6 7 2" xfId="4821"/>
    <cellStyle name="Note 15 6 8" xfId="4822"/>
    <cellStyle name="Note 15 6 8 2" xfId="4823"/>
    <cellStyle name="Note 15 6 9" xfId="4824"/>
    <cellStyle name="Note 15 6 9 2" xfId="4825"/>
    <cellStyle name="Note 15 7" xfId="4826"/>
    <cellStyle name="Note 15 7 10" xfId="4827"/>
    <cellStyle name="Note 15 7 10 2" xfId="4828"/>
    <cellStyle name="Note 15 7 11" xfId="4829"/>
    <cellStyle name="Note 15 7 2" xfId="4830"/>
    <cellStyle name="Note 15 7 2 2" xfId="4831"/>
    <cellStyle name="Note 15 7 2 2 2" xfId="4832"/>
    <cellStyle name="Note 15 7 2 3" xfId="4833"/>
    <cellStyle name="Note 15 7 3" xfId="4834"/>
    <cellStyle name="Note 15 7 3 2" xfId="4835"/>
    <cellStyle name="Note 15 7 4" xfId="4836"/>
    <cellStyle name="Note 15 7 4 2" xfId="4837"/>
    <cellStyle name="Note 15 7 5" xfId="4838"/>
    <cellStyle name="Note 15 7 5 2" xfId="4839"/>
    <cellStyle name="Note 15 7 6" xfId="4840"/>
    <cellStyle name="Note 15 7 6 2" xfId="4841"/>
    <cellStyle name="Note 15 7 7" xfId="4842"/>
    <cellStyle name="Note 15 7 7 2" xfId="4843"/>
    <cellStyle name="Note 15 7 8" xfId="4844"/>
    <cellStyle name="Note 15 7 8 2" xfId="4845"/>
    <cellStyle name="Note 15 7 9" xfId="4846"/>
    <cellStyle name="Note 15 7 9 2" xfId="4847"/>
    <cellStyle name="Note 15 8" xfId="4848"/>
    <cellStyle name="Note 15 8 2" xfId="4849"/>
    <cellStyle name="Note 15 8 2 2" xfId="4850"/>
    <cellStyle name="Note 15 8 3" xfId="4851"/>
    <cellStyle name="Note 15 9" xfId="4852"/>
    <cellStyle name="Note 15 9 2" xfId="4853"/>
    <cellStyle name="Note 15_7 - Cap Add WS" xfId="615"/>
    <cellStyle name="Note 16" xfId="616"/>
    <cellStyle name="Note 16 10" xfId="4854"/>
    <cellStyle name="Note 16 10 2" xfId="4855"/>
    <cellStyle name="Note 16 11" xfId="4856"/>
    <cellStyle name="Note 16 11 2" xfId="4857"/>
    <cellStyle name="Note 16 12" xfId="4858"/>
    <cellStyle name="Note 16 12 2" xfId="4859"/>
    <cellStyle name="Note 16 13" xfId="4860"/>
    <cellStyle name="Note 16 2" xfId="4861"/>
    <cellStyle name="Note 16 2 2" xfId="4862"/>
    <cellStyle name="Note 16 2 2 2" xfId="4863"/>
    <cellStyle name="Note 16 2 2 2 2" xfId="4864"/>
    <cellStyle name="Note 16 2 2 3" xfId="4865"/>
    <cellStyle name="Note 16 2 3" xfId="4866"/>
    <cellStyle name="Note 16 2 3 2" xfId="4867"/>
    <cellStyle name="Note 16 2 3 2 2" xfId="4868"/>
    <cellStyle name="Note 16 2 3 3" xfId="4869"/>
    <cellStyle name="Note 16 2 4" xfId="4870"/>
    <cellStyle name="Note 16 2 4 2" xfId="4871"/>
    <cellStyle name="Note 16 2 5" xfId="4872"/>
    <cellStyle name="Note 16 2 5 2" xfId="4873"/>
    <cellStyle name="Note 16 2 6" xfId="4874"/>
    <cellStyle name="Note 16 2 6 2" xfId="4875"/>
    <cellStyle name="Note 16 2 7" xfId="4876"/>
    <cellStyle name="Note 16 2 7 2" xfId="4877"/>
    <cellStyle name="Note 16 2 8" xfId="4878"/>
    <cellStyle name="Note 16 3" xfId="4879"/>
    <cellStyle name="Note 16 3 10" xfId="4880"/>
    <cellStyle name="Note 16 3 10 2" xfId="4881"/>
    <cellStyle name="Note 16 3 11" xfId="4882"/>
    <cellStyle name="Note 16 3 2" xfId="4883"/>
    <cellStyle name="Note 16 3 2 2" xfId="4884"/>
    <cellStyle name="Note 16 3 2 2 2" xfId="4885"/>
    <cellStyle name="Note 16 3 2 3" xfId="4886"/>
    <cellStyle name="Note 16 3 3" xfId="4887"/>
    <cellStyle name="Note 16 3 3 2" xfId="4888"/>
    <cellStyle name="Note 16 3 4" xfId="4889"/>
    <cellStyle name="Note 16 3 4 2" xfId="4890"/>
    <cellStyle name="Note 16 3 5" xfId="4891"/>
    <cellStyle name="Note 16 3 5 2" xfId="4892"/>
    <cellStyle name="Note 16 3 6" xfId="4893"/>
    <cellStyle name="Note 16 3 6 2" xfId="4894"/>
    <cellStyle name="Note 16 3 7" xfId="4895"/>
    <cellStyle name="Note 16 3 7 2" xfId="4896"/>
    <cellStyle name="Note 16 3 8" xfId="4897"/>
    <cellStyle name="Note 16 3 8 2" xfId="4898"/>
    <cellStyle name="Note 16 3 9" xfId="4899"/>
    <cellStyle name="Note 16 3 9 2" xfId="4900"/>
    <cellStyle name="Note 16 4" xfId="4901"/>
    <cellStyle name="Note 16 4 10" xfId="4902"/>
    <cellStyle name="Note 16 4 10 2" xfId="4903"/>
    <cellStyle name="Note 16 4 11" xfId="4904"/>
    <cellStyle name="Note 16 4 2" xfId="4905"/>
    <cellStyle name="Note 16 4 2 2" xfId="4906"/>
    <cellStyle name="Note 16 4 2 2 2" xfId="4907"/>
    <cellStyle name="Note 16 4 2 3" xfId="4908"/>
    <cellStyle name="Note 16 4 3" xfId="4909"/>
    <cellStyle name="Note 16 4 3 2" xfId="4910"/>
    <cellStyle name="Note 16 4 4" xfId="4911"/>
    <cellStyle name="Note 16 4 4 2" xfId="4912"/>
    <cellStyle name="Note 16 4 5" xfId="4913"/>
    <cellStyle name="Note 16 4 5 2" xfId="4914"/>
    <cellStyle name="Note 16 4 6" xfId="4915"/>
    <cellStyle name="Note 16 4 6 2" xfId="4916"/>
    <cellStyle name="Note 16 4 7" xfId="4917"/>
    <cellStyle name="Note 16 4 7 2" xfId="4918"/>
    <cellStyle name="Note 16 4 8" xfId="4919"/>
    <cellStyle name="Note 16 4 8 2" xfId="4920"/>
    <cellStyle name="Note 16 4 9" xfId="4921"/>
    <cellStyle name="Note 16 4 9 2" xfId="4922"/>
    <cellStyle name="Note 16 5" xfId="4923"/>
    <cellStyle name="Note 16 5 10" xfId="4924"/>
    <cellStyle name="Note 16 5 10 2" xfId="4925"/>
    <cellStyle name="Note 16 5 11" xfId="4926"/>
    <cellStyle name="Note 16 5 2" xfId="4927"/>
    <cellStyle name="Note 16 5 2 2" xfId="4928"/>
    <cellStyle name="Note 16 5 2 2 2" xfId="4929"/>
    <cellStyle name="Note 16 5 2 3" xfId="4930"/>
    <cellStyle name="Note 16 5 3" xfId="4931"/>
    <cellStyle name="Note 16 5 3 2" xfId="4932"/>
    <cellStyle name="Note 16 5 4" xfId="4933"/>
    <cellStyle name="Note 16 5 4 2" xfId="4934"/>
    <cellStyle name="Note 16 5 5" xfId="4935"/>
    <cellStyle name="Note 16 5 5 2" xfId="4936"/>
    <cellStyle name="Note 16 5 6" xfId="4937"/>
    <cellStyle name="Note 16 5 6 2" xfId="4938"/>
    <cellStyle name="Note 16 5 7" xfId="4939"/>
    <cellStyle name="Note 16 5 7 2" xfId="4940"/>
    <cellStyle name="Note 16 5 8" xfId="4941"/>
    <cellStyle name="Note 16 5 8 2" xfId="4942"/>
    <cellStyle name="Note 16 5 9" xfId="4943"/>
    <cellStyle name="Note 16 5 9 2" xfId="4944"/>
    <cellStyle name="Note 16 6" xfId="4945"/>
    <cellStyle name="Note 16 6 10" xfId="4946"/>
    <cellStyle name="Note 16 6 10 2" xfId="4947"/>
    <cellStyle name="Note 16 6 11" xfId="4948"/>
    <cellStyle name="Note 16 6 2" xfId="4949"/>
    <cellStyle name="Note 16 6 2 2" xfId="4950"/>
    <cellStyle name="Note 16 6 2 2 2" xfId="4951"/>
    <cellStyle name="Note 16 6 2 3" xfId="4952"/>
    <cellStyle name="Note 16 6 3" xfId="4953"/>
    <cellStyle name="Note 16 6 3 2" xfId="4954"/>
    <cellStyle name="Note 16 6 4" xfId="4955"/>
    <cellStyle name="Note 16 6 4 2" xfId="4956"/>
    <cellStyle name="Note 16 6 5" xfId="4957"/>
    <cellStyle name="Note 16 6 5 2" xfId="4958"/>
    <cellStyle name="Note 16 6 6" xfId="4959"/>
    <cellStyle name="Note 16 6 6 2" xfId="4960"/>
    <cellStyle name="Note 16 6 7" xfId="4961"/>
    <cellStyle name="Note 16 6 7 2" xfId="4962"/>
    <cellStyle name="Note 16 6 8" xfId="4963"/>
    <cellStyle name="Note 16 6 8 2" xfId="4964"/>
    <cellStyle name="Note 16 6 9" xfId="4965"/>
    <cellStyle name="Note 16 6 9 2" xfId="4966"/>
    <cellStyle name="Note 16 7" xfId="4967"/>
    <cellStyle name="Note 16 7 2" xfId="4968"/>
    <cellStyle name="Note 16 7 2 2" xfId="4969"/>
    <cellStyle name="Note 16 7 3" xfId="4970"/>
    <cellStyle name="Note 16 8" xfId="4971"/>
    <cellStyle name="Note 16 8 2" xfId="4972"/>
    <cellStyle name="Note 16 9" xfId="4973"/>
    <cellStyle name="Note 16 9 2" xfId="4974"/>
    <cellStyle name="Note 17" xfId="11304"/>
    <cellStyle name="Note 18" xfId="11310"/>
    <cellStyle name="Note 19" xfId="11299"/>
    <cellStyle name="Note 2" xfId="617"/>
    <cellStyle name="Note 2 10" xfId="4975"/>
    <cellStyle name="Note 2 10 2" xfId="4976"/>
    <cellStyle name="Note 2 11" xfId="4977"/>
    <cellStyle name="Note 2 11 2" xfId="4978"/>
    <cellStyle name="Note 2 12" xfId="4979"/>
    <cellStyle name="Note 2 12 2" xfId="4980"/>
    <cellStyle name="Note 2 13" xfId="4981"/>
    <cellStyle name="Note 2 13 2" xfId="4982"/>
    <cellStyle name="Note 2 14" xfId="4983"/>
    <cellStyle name="Note 2 2" xfId="618"/>
    <cellStyle name="Note 2 2 10" xfId="4984"/>
    <cellStyle name="Note 2 2 10 2" xfId="4985"/>
    <cellStyle name="Note 2 2 11" xfId="4986"/>
    <cellStyle name="Note 2 2 11 2" xfId="4987"/>
    <cellStyle name="Note 2 2 12" xfId="4988"/>
    <cellStyle name="Note 2 2 12 2" xfId="4989"/>
    <cellStyle name="Note 2 2 13" xfId="4990"/>
    <cellStyle name="Note 2 2 2" xfId="4991"/>
    <cellStyle name="Note 2 2 2 2" xfId="4992"/>
    <cellStyle name="Note 2 2 2 2 2" xfId="4993"/>
    <cellStyle name="Note 2 2 2 2 2 2" xfId="4994"/>
    <cellStyle name="Note 2 2 2 2 3" xfId="4995"/>
    <cellStyle name="Note 2 2 2 3" xfId="4996"/>
    <cellStyle name="Note 2 2 2 3 2" xfId="4997"/>
    <cellStyle name="Note 2 2 2 3 2 2" xfId="4998"/>
    <cellStyle name="Note 2 2 2 3 3" xfId="4999"/>
    <cellStyle name="Note 2 2 2 4" xfId="5000"/>
    <cellStyle name="Note 2 2 2 4 2" xfId="5001"/>
    <cellStyle name="Note 2 2 2 5" xfId="5002"/>
    <cellStyle name="Note 2 2 2 5 2" xfId="5003"/>
    <cellStyle name="Note 2 2 2 6" xfId="5004"/>
    <cellStyle name="Note 2 2 2 6 2" xfId="5005"/>
    <cellStyle name="Note 2 2 2 7" xfId="5006"/>
    <cellStyle name="Note 2 2 2 7 2" xfId="5007"/>
    <cellStyle name="Note 2 2 2 8" xfId="5008"/>
    <cellStyle name="Note 2 2 3" xfId="5009"/>
    <cellStyle name="Note 2 2 3 10" xfId="5010"/>
    <cellStyle name="Note 2 2 3 10 2" xfId="5011"/>
    <cellStyle name="Note 2 2 3 11" xfId="5012"/>
    <cellStyle name="Note 2 2 3 2" xfId="5013"/>
    <cellStyle name="Note 2 2 3 2 2" xfId="5014"/>
    <cellStyle name="Note 2 2 3 2 2 2" xfId="5015"/>
    <cellStyle name="Note 2 2 3 2 3" xfId="5016"/>
    <cellStyle name="Note 2 2 3 3" xfId="5017"/>
    <cellStyle name="Note 2 2 3 3 2" xfId="5018"/>
    <cellStyle name="Note 2 2 3 4" xfId="5019"/>
    <cellStyle name="Note 2 2 3 4 2" xfId="5020"/>
    <cellStyle name="Note 2 2 3 5" xfId="5021"/>
    <cellStyle name="Note 2 2 3 5 2" xfId="5022"/>
    <cellStyle name="Note 2 2 3 6" xfId="5023"/>
    <cellStyle name="Note 2 2 3 6 2" xfId="5024"/>
    <cellStyle name="Note 2 2 3 7" xfId="5025"/>
    <cellStyle name="Note 2 2 3 7 2" xfId="5026"/>
    <cellStyle name="Note 2 2 3 8" xfId="5027"/>
    <cellStyle name="Note 2 2 3 8 2" xfId="5028"/>
    <cellStyle name="Note 2 2 3 9" xfId="5029"/>
    <cellStyle name="Note 2 2 3 9 2" xfId="5030"/>
    <cellStyle name="Note 2 2 4" xfId="5031"/>
    <cellStyle name="Note 2 2 4 10" xfId="5032"/>
    <cellStyle name="Note 2 2 4 10 2" xfId="5033"/>
    <cellStyle name="Note 2 2 4 11" xfId="5034"/>
    <cellStyle name="Note 2 2 4 2" xfId="5035"/>
    <cellStyle name="Note 2 2 4 2 2" xfId="5036"/>
    <cellStyle name="Note 2 2 4 2 2 2" xfId="5037"/>
    <cellStyle name="Note 2 2 4 2 3" xfId="5038"/>
    <cellStyle name="Note 2 2 4 3" xfId="5039"/>
    <cellStyle name="Note 2 2 4 3 2" xfId="5040"/>
    <cellStyle name="Note 2 2 4 4" xfId="5041"/>
    <cellStyle name="Note 2 2 4 4 2" xfId="5042"/>
    <cellStyle name="Note 2 2 4 5" xfId="5043"/>
    <cellStyle name="Note 2 2 4 5 2" xfId="5044"/>
    <cellStyle name="Note 2 2 4 6" xfId="5045"/>
    <cellStyle name="Note 2 2 4 6 2" xfId="5046"/>
    <cellStyle name="Note 2 2 4 7" xfId="5047"/>
    <cellStyle name="Note 2 2 4 7 2" xfId="5048"/>
    <cellStyle name="Note 2 2 4 8" xfId="5049"/>
    <cellStyle name="Note 2 2 4 8 2" xfId="5050"/>
    <cellStyle name="Note 2 2 4 9" xfId="5051"/>
    <cellStyle name="Note 2 2 4 9 2" xfId="5052"/>
    <cellStyle name="Note 2 2 5" xfId="5053"/>
    <cellStyle name="Note 2 2 5 10" xfId="5054"/>
    <cellStyle name="Note 2 2 5 10 2" xfId="5055"/>
    <cellStyle name="Note 2 2 5 11" xfId="5056"/>
    <cellStyle name="Note 2 2 5 2" xfId="5057"/>
    <cellStyle name="Note 2 2 5 2 2" xfId="5058"/>
    <cellStyle name="Note 2 2 5 2 2 2" xfId="5059"/>
    <cellStyle name="Note 2 2 5 2 3" xfId="5060"/>
    <cellStyle name="Note 2 2 5 3" xfId="5061"/>
    <cellStyle name="Note 2 2 5 3 2" xfId="5062"/>
    <cellStyle name="Note 2 2 5 4" xfId="5063"/>
    <cellStyle name="Note 2 2 5 4 2" xfId="5064"/>
    <cellStyle name="Note 2 2 5 5" xfId="5065"/>
    <cellStyle name="Note 2 2 5 5 2" xfId="5066"/>
    <cellStyle name="Note 2 2 5 6" xfId="5067"/>
    <cellStyle name="Note 2 2 5 6 2" xfId="5068"/>
    <cellStyle name="Note 2 2 5 7" xfId="5069"/>
    <cellStyle name="Note 2 2 5 7 2" xfId="5070"/>
    <cellStyle name="Note 2 2 5 8" xfId="5071"/>
    <cellStyle name="Note 2 2 5 8 2" xfId="5072"/>
    <cellStyle name="Note 2 2 5 9" xfId="5073"/>
    <cellStyle name="Note 2 2 5 9 2" xfId="5074"/>
    <cellStyle name="Note 2 2 6" xfId="5075"/>
    <cellStyle name="Note 2 2 6 10" xfId="5076"/>
    <cellStyle name="Note 2 2 6 10 2" xfId="5077"/>
    <cellStyle name="Note 2 2 6 11" xfId="5078"/>
    <cellStyle name="Note 2 2 6 2" xfId="5079"/>
    <cellStyle name="Note 2 2 6 2 2" xfId="5080"/>
    <cellStyle name="Note 2 2 6 2 2 2" xfId="5081"/>
    <cellStyle name="Note 2 2 6 2 3" xfId="5082"/>
    <cellStyle name="Note 2 2 6 3" xfId="5083"/>
    <cellStyle name="Note 2 2 6 3 2" xfId="5084"/>
    <cellStyle name="Note 2 2 6 4" xfId="5085"/>
    <cellStyle name="Note 2 2 6 4 2" xfId="5086"/>
    <cellStyle name="Note 2 2 6 5" xfId="5087"/>
    <cellStyle name="Note 2 2 6 5 2" xfId="5088"/>
    <cellStyle name="Note 2 2 6 6" xfId="5089"/>
    <cellStyle name="Note 2 2 6 6 2" xfId="5090"/>
    <cellStyle name="Note 2 2 6 7" xfId="5091"/>
    <cellStyle name="Note 2 2 6 7 2" xfId="5092"/>
    <cellStyle name="Note 2 2 6 8" xfId="5093"/>
    <cellStyle name="Note 2 2 6 8 2" xfId="5094"/>
    <cellStyle name="Note 2 2 6 9" xfId="5095"/>
    <cellStyle name="Note 2 2 6 9 2" xfId="5096"/>
    <cellStyle name="Note 2 2 7" xfId="5097"/>
    <cellStyle name="Note 2 2 7 2" xfId="5098"/>
    <cellStyle name="Note 2 2 7 2 2" xfId="5099"/>
    <cellStyle name="Note 2 2 7 3" xfId="5100"/>
    <cellStyle name="Note 2 2 8" xfId="5101"/>
    <cellStyle name="Note 2 2 8 2" xfId="5102"/>
    <cellStyle name="Note 2 2 9" xfId="5103"/>
    <cellStyle name="Note 2 2 9 2" xfId="5104"/>
    <cellStyle name="Note 2 3" xfId="5105"/>
    <cellStyle name="Note 2 3 2" xfId="5106"/>
    <cellStyle name="Note 2 3 2 2" xfId="5107"/>
    <cellStyle name="Note 2 3 2 2 2" xfId="5108"/>
    <cellStyle name="Note 2 3 2 3" xfId="5109"/>
    <cellStyle name="Note 2 3 3" xfId="5110"/>
    <cellStyle name="Note 2 3 3 2" xfId="5111"/>
    <cellStyle name="Note 2 3 3 2 2" xfId="5112"/>
    <cellStyle name="Note 2 3 3 3" xfId="5113"/>
    <cellStyle name="Note 2 3 4" xfId="5114"/>
    <cellStyle name="Note 2 3 4 2" xfId="5115"/>
    <cellStyle name="Note 2 3 5" xfId="5116"/>
    <cellStyle name="Note 2 3 5 2" xfId="5117"/>
    <cellStyle name="Note 2 3 6" xfId="5118"/>
    <cellStyle name="Note 2 3 6 2" xfId="5119"/>
    <cellStyle name="Note 2 3 7" xfId="5120"/>
    <cellStyle name="Note 2 3 7 2" xfId="5121"/>
    <cellStyle name="Note 2 3 8" xfId="5122"/>
    <cellStyle name="Note 2 4" xfId="5123"/>
    <cellStyle name="Note 2 4 10" xfId="5124"/>
    <cellStyle name="Note 2 4 10 2" xfId="5125"/>
    <cellStyle name="Note 2 4 11" xfId="5126"/>
    <cellStyle name="Note 2 4 2" xfId="5127"/>
    <cellStyle name="Note 2 4 2 2" xfId="5128"/>
    <cellStyle name="Note 2 4 2 2 2" xfId="5129"/>
    <cellStyle name="Note 2 4 2 3" xfId="5130"/>
    <cellStyle name="Note 2 4 3" xfId="5131"/>
    <cellStyle name="Note 2 4 3 2" xfId="5132"/>
    <cellStyle name="Note 2 4 4" xfId="5133"/>
    <cellStyle name="Note 2 4 4 2" xfId="5134"/>
    <cellStyle name="Note 2 4 5" xfId="5135"/>
    <cellStyle name="Note 2 4 5 2" xfId="5136"/>
    <cellStyle name="Note 2 4 6" xfId="5137"/>
    <cellStyle name="Note 2 4 6 2" xfId="5138"/>
    <cellStyle name="Note 2 4 7" xfId="5139"/>
    <cellStyle name="Note 2 4 7 2" xfId="5140"/>
    <cellStyle name="Note 2 4 8" xfId="5141"/>
    <cellStyle name="Note 2 4 8 2" xfId="5142"/>
    <cellStyle name="Note 2 4 9" xfId="5143"/>
    <cellStyle name="Note 2 4 9 2" xfId="5144"/>
    <cellStyle name="Note 2 5" xfId="5145"/>
    <cellStyle name="Note 2 5 10" xfId="5146"/>
    <cellStyle name="Note 2 5 10 2" xfId="5147"/>
    <cellStyle name="Note 2 5 11" xfId="5148"/>
    <cellStyle name="Note 2 5 2" xfId="5149"/>
    <cellStyle name="Note 2 5 2 2" xfId="5150"/>
    <cellStyle name="Note 2 5 2 2 2" xfId="5151"/>
    <cellStyle name="Note 2 5 2 3" xfId="5152"/>
    <cellStyle name="Note 2 5 3" xfId="5153"/>
    <cellStyle name="Note 2 5 3 2" xfId="5154"/>
    <cellStyle name="Note 2 5 4" xfId="5155"/>
    <cellStyle name="Note 2 5 4 2" xfId="5156"/>
    <cellStyle name="Note 2 5 5" xfId="5157"/>
    <cellStyle name="Note 2 5 5 2" xfId="5158"/>
    <cellStyle name="Note 2 5 6" xfId="5159"/>
    <cellStyle name="Note 2 5 6 2" xfId="5160"/>
    <cellStyle name="Note 2 5 7" xfId="5161"/>
    <cellStyle name="Note 2 5 7 2" xfId="5162"/>
    <cellStyle name="Note 2 5 8" xfId="5163"/>
    <cellStyle name="Note 2 5 8 2" xfId="5164"/>
    <cellStyle name="Note 2 5 9" xfId="5165"/>
    <cellStyle name="Note 2 5 9 2" xfId="5166"/>
    <cellStyle name="Note 2 6" xfId="5167"/>
    <cellStyle name="Note 2 6 10" xfId="5168"/>
    <cellStyle name="Note 2 6 10 2" xfId="5169"/>
    <cellStyle name="Note 2 6 11" xfId="5170"/>
    <cellStyle name="Note 2 6 2" xfId="5171"/>
    <cellStyle name="Note 2 6 2 2" xfId="5172"/>
    <cellStyle name="Note 2 6 2 2 2" xfId="5173"/>
    <cellStyle name="Note 2 6 2 3" xfId="5174"/>
    <cellStyle name="Note 2 6 3" xfId="5175"/>
    <cellStyle name="Note 2 6 3 2" xfId="5176"/>
    <cellStyle name="Note 2 6 4" xfId="5177"/>
    <cellStyle name="Note 2 6 4 2" xfId="5178"/>
    <cellStyle name="Note 2 6 5" xfId="5179"/>
    <cellStyle name="Note 2 6 5 2" xfId="5180"/>
    <cellStyle name="Note 2 6 6" xfId="5181"/>
    <cellStyle name="Note 2 6 6 2" xfId="5182"/>
    <cellStyle name="Note 2 6 7" xfId="5183"/>
    <cellStyle name="Note 2 6 7 2" xfId="5184"/>
    <cellStyle name="Note 2 6 8" xfId="5185"/>
    <cellStyle name="Note 2 6 8 2" xfId="5186"/>
    <cellStyle name="Note 2 6 9" xfId="5187"/>
    <cellStyle name="Note 2 6 9 2" xfId="5188"/>
    <cellStyle name="Note 2 7" xfId="5189"/>
    <cellStyle name="Note 2 7 10" xfId="5190"/>
    <cellStyle name="Note 2 7 10 2" xfId="5191"/>
    <cellStyle name="Note 2 7 11" xfId="5192"/>
    <cellStyle name="Note 2 7 2" xfId="5193"/>
    <cellStyle name="Note 2 7 2 2" xfId="5194"/>
    <cellStyle name="Note 2 7 2 2 2" xfId="5195"/>
    <cellStyle name="Note 2 7 2 3" xfId="5196"/>
    <cellStyle name="Note 2 7 3" xfId="5197"/>
    <cellStyle name="Note 2 7 3 2" xfId="5198"/>
    <cellStyle name="Note 2 7 4" xfId="5199"/>
    <cellStyle name="Note 2 7 4 2" xfId="5200"/>
    <cellStyle name="Note 2 7 5" xfId="5201"/>
    <cellStyle name="Note 2 7 5 2" xfId="5202"/>
    <cellStyle name="Note 2 7 6" xfId="5203"/>
    <cellStyle name="Note 2 7 6 2" xfId="5204"/>
    <cellStyle name="Note 2 7 7" xfId="5205"/>
    <cellStyle name="Note 2 7 7 2" xfId="5206"/>
    <cellStyle name="Note 2 7 8" xfId="5207"/>
    <cellStyle name="Note 2 7 8 2" xfId="5208"/>
    <cellStyle name="Note 2 7 9" xfId="5209"/>
    <cellStyle name="Note 2 7 9 2" xfId="5210"/>
    <cellStyle name="Note 2 8" xfId="5211"/>
    <cellStyle name="Note 2 8 2" xfId="5212"/>
    <cellStyle name="Note 2 8 2 2" xfId="5213"/>
    <cellStyle name="Note 2 8 3" xfId="5214"/>
    <cellStyle name="Note 2 9" xfId="5215"/>
    <cellStyle name="Note 2 9 2" xfId="5216"/>
    <cellStyle name="Note 2_7 - Cap Add WS" xfId="619"/>
    <cellStyle name="Note 20" xfId="11312"/>
    <cellStyle name="Note 21" xfId="11301"/>
    <cellStyle name="Note 22" xfId="11313"/>
    <cellStyle name="Note 23" xfId="11315"/>
    <cellStyle name="Note 24" xfId="11317"/>
    <cellStyle name="Note 25" xfId="11319"/>
    <cellStyle name="Note 26" xfId="11321"/>
    <cellStyle name="Note 3" xfId="620"/>
    <cellStyle name="Note 3 10" xfId="5217"/>
    <cellStyle name="Note 3 10 2" xfId="5218"/>
    <cellStyle name="Note 3 11" xfId="5219"/>
    <cellStyle name="Note 3 11 2" xfId="5220"/>
    <cellStyle name="Note 3 12" xfId="5221"/>
    <cellStyle name="Note 3 12 2" xfId="5222"/>
    <cellStyle name="Note 3 13" xfId="5223"/>
    <cellStyle name="Note 3 13 2" xfId="5224"/>
    <cellStyle name="Note 3 14" xfId="5225"/>
    <cellStyle name="Note 3 2" xfId="621"/>
    <cellStyle name="Note 3 2 10" xfId="5226"/>
    <cellStyle name="Note 3 2 10 2" xfId="5227"/>
    <cellStyle name="Note 3 2 11" xfId="5228"/>
    <cellStyle name="Note 3 2 11 2" xfId="5229"/>
    <cellStyle name="Note 3 2 12" xfId="5230"/>
    <cellStyle name="Note 3 2 12 2" xfId="5231"/>
    <cellStyle name="Note 3 2 13" xfId="5232"/>
    <cellStyle name="Note 3 2 2" xfId="5233"/>
    <cellStyle name="Note 3 2 2 2" xfId="5234"/>
    <cellStyle name="Note 3 2 2 2 2" xfId="5235"/>
    <cellStyle name="Note 3 2 2 2 2 2" xfId="5236"/>
    <cellStyle name="Note 3 2 2 2 3" xfId="5237"/>
    <cellStyle name="Note 3 2 2 3" xfId="5238"/>
    <cellStyle name="Note 3 2 2 3 2" xfId="5239"/>
    <cellStyle name="Note 3 2 2 3 2 2" xfId="5240"/>
    <cellStyle name="Note 3 2 2 3 3" xfId="5241"/>
    <cellStyle name="Note 3 2 2 4" xfId="5242"/>
    <cellStyle name="Note 3 2 2 4 2" xfId="5243"/>
    <cellStyle name="Note 3 2 2 5" xfId="5244"/>
    <cellStyle name="Note 3 2 2 5 2" xfId="5245"/>
    <cellStyle name="Note 3 2 2 6" xfId="5246"/>
    <cellStyle name="Note 3 2 2 6 2" xfId="5247"/>
    <cellStyle name="Note 3 2 2 7" xfId="5248"/>
    <cellStyle name="Note 3 2 2 7 2" xfId="5249"/>
    <cellStyle name="Note 3 2 2 8" xfId="5250"/>
    <cellStyle name="Note 3 2 3" xfId="5251"/>
    <cellStyle name="Note 3 2 3 10" xfId="5252"/>
    <cellStyle name="Note 3 2 3 10 2" xfId="5253"/>
    <cellStyle name="Note 3 2 3 11" xfId="5254"/>
    <cellStyle name="Note 3 2 3 2" xfId="5255"/>
    <cellStyle name="Note 3 2 3 2 2" xfId="5256"/>
    <cellStyle name="Note 3 2 3 2 2 2" xfId="5257"/>
    <cellStyle name="Note 3 2 3 2 3" xfId="5258"/>
    <cellStyle name="Note 3 2 3 3" xfId="5259"/>
    <cellStyle name="Note 3 2 3 3 2" xfId="5260"/>
    <cellStyle name="Note 3 2 3 4" xfId="5261"/>
    <cellStyle name="Note 3 2 3 4 2" xfId="5262"/>
    <cellStyle name="Note 3 2 3 5" xfId="5263"/>
    <cellStyle name="Note 3 2 3 5 2" xfId="5264"/>
    <cellStyle name="Note 3 2 3 6" xfId="5265"/>
    <cellStyle name="Note 3 2 3 6 2" xfId="5266"/>
    <cellStyle name="Note 3 2 3 7" xfId="5267"/>
    <cellStyle name="Note 3 2 3 7 2" xfId="5268"/>
    <cellStyle name="Note 3 2 3 8" xfId="5269"/>
    <cellStyle name="Note 3 2 3 8 2" xfId="5270"/>
    <cellStyle name="Note 3 2 3 9" xfId="5271"/>
    <cellStyle name="Note 3 2 3 9 2" xfId="5272"/>
    <cellStyle name="Note 3 2 4" xfId="5273"/>
    <cellStyle name="Note 3 2 4 10" xfId="5274"/>
    <cellStyle name="Note 3 2 4 10 2" xfId="5275"/>
    <cellStyle name="Note 3 2 4 11" xfId="5276"/>
    <cellStyle name="Note 3 2 4 2" xfId="5277"/>
    <cellStyle name="Note 3 2 4 2 2" xfId="5278"/>
    <cellStyle name="Note 3 2 4 2 2 2" xfId="5279"/>
    <cellStyle name="Note 3 2 4 2 3" xfId="5280"/>
    <cellStyle name="Note 3 2 4 3" xfId="5281"/>
    <cellStyle name="Note 3 2 4 3 2" xfId="5282"/>
    <cellStyle name="Note 3 2 4 4" xfId="5283"/>
    <cellStyle name="Note 3 2 4 4 2" xfId="5284"/>
    <cellStyle name="Note 3 2 4 5" xfId="5285"/>
    <cellStyle name="Note 3 2 4 5 2" xfId="5286"/>
    <cellStyle name="Note 3 2 4 6" xfId="5287"/>
    <cellStyle name="Note 3 2 4 6 2" xfId="5288"/>
    <cellStyle name="Note 3 2 4 7" xfId="5289"/>
    <cellStyle name="Note 3 2 4 7 2" xfId="5290"/>
    <cellStyle name="Note 3 2 4 8" xfId="5291"/>
    <cellStyle name="Note 3 2 4 8 2" xfId="5292"/>
    <cellStyle name="Note 3 2 4 9" xfId="5293"/>
    <cellStyle name="Note 3 2 4 9 2" xfId="5294"/>
    <cellStyle name="Note 3 2 5" xfId="5295"/>
    <cellStyle name="Note 3 2 5 10" xfId="5296"/>
    <cellStyle name="Note 3 2 5 10 2" xfId="5297"/>
    <cellStyle name="Note 3 2 5 11" xfId="5298"/>
    <cellStyle name="Note 3 2 5 2" xfId="5299"/>
    <cellStyle name="Note 3 2 5 2 2" xfId="5300"/>
    <cellStyle name="Note 3 2 5 2 2 2" xfId="5301"/>
    <cellStyle name="Note 3 2 5 2 3" xfId="5302"/>
    <cellStyle name="Note 3 2 5 3" xfId="5303"/>
    <cellStyle name="Note 3 2 5 3 2" xfId="5304"/>
    <cellStyle name="Note 3 2 5 4" xfId="5305"/>
    <cellStyle name="Note 3 2 5 4 2" xfId="5306"/>
    <cellStyle name="Note 3 2 5 5" xfId="5307"/>
    <cellStyle name="Note 3 2 5 5 2" xfId="5308"/>
    <cellStyle name="Note 3 2 5 6" xfId="5309"/>
    <cellStyle name="Note 3 2 5 6 2" xfId="5310"/>
    <cellStyle name="Note 3 2 5 7" xfId="5311"/>
    <cellStyle name="Note 3 2 5 7 2" xfId="5312"/>
    <cellStyle name="Note 3 2 5 8" xfId="5313"/>
    <cellStyle name="Note 3 2 5 8 2" xfId="5314"/>
    <cellStyle name="Note 3 2 5 9" xfId="5315"/>
    <cellStyle name="Note 3 2 5 9 2" xfId="5316"/>
    <cellStyle name="Note 3 2 6" xfId="5317"/>
    <cellStyle name="Note 3 2 6 10" xfId="5318"/>
    <cellStyle name="Note 3 2 6 10 2" xfId="5319"/>
    <cellStyle name="Note 3 2 6 11" xfId="5320"/>
    <cellStyle name="Note 3 2 6 2" xfId="5321"/>
    <cellStyle name="Note 3 2 6 2 2" xfId="5322"/>
    <cellStyle name="Note 3 2 6 2 2 2" xfId="5323"/>
    <cellStyle name="Note 3 2 6 2 3" xfId="5324"/>
    <cellStyle name="Note 3 2 6 3" xfId="5325"/>
    <cellStyle name="Note 3 2 6 3 2" xfId="5326"/>
    <cellStyle name="Note 3 2 6 4" xfId="5327"/>
    <cellStyle name="Note 3 2 6 4 2" xfId="5328"/>
    <cellStyle name="Note 3 2 6 5" xfId="5329"/>
    <cellStyle name="Note 3 2 6 5 2" xfId="5330"/>
    <cellStyle name="Note 3 2 6 6" xfId="5331"/>
    <cellStyle name="Note 3 2 6 6 2" xfId="5332"/>
    <cellStyle name="Note 3 2 6 7" xfId="5333"/>
    <cellStyle name="Note 3 2 6 7 2" xfId="5334"/>
    <cellStyle name="Note 3 2 6 8" xfId="5335"/>
    <cellStyle name="Note 3 2 6 8 2" xfId="5336"/>
    <cellStyle name="Note 3 2 6 9" xfId="5337"/>
    <cellStyle name="Note 3 2 6 9 2" xfId="5338"/>
    <cellStyle name="Note 3 2 7" xfId="5339"/>
    <cellStyle name="Note 3 2 7 2" xfId="5340"/>
    <cellStyle name="Note 3 2 7 2 2" xfId="5341"/>
    <cellStyle name="Note 3 2 7 3" xfId="5342"/>
    <cellStyle name="Note 3 2 8" xfId="5343"/>
    <cellStyle name="Note 3 2 8 2" xfId="5344"/>
    <cellStyle name="Note 3 2 9" xfId="5345"/>
    <cellStyle name="Note 3 2 9 2" xfId="5346"/>
    <cellStyle name="Note 3 3" xfId="5347"/>
    <cellStyle name="Note 3 3 2" xfId="5348"/>
    <cellStyle name="Note 3 3 2 2" xfId="5349"/>
    <cellStyle name="Note 3 3 2 2 2" xfId="5350"/>
    <cellStyle name="Note 3 3 2 3" xfId="5351"/>
    <cellStyle name="Note 3 3 3" xfId="5352"/>
    <cellStyle name="Note 3 3 3 2" xfId="5353"/>
    <cellStyle name="Note 3 3 3 2 2" xfId="5354"/>
    <cellStyle name="Note 3 3 3 3" xfId="5355"/>
    <cellStyle name="Note 3 3 4" xfId="5356"/>
    <cellStyle name="Note 3 3 4 2" xfId="5357"/>
    <cellStyle name="Note 3 3 5" xfId="5358"/>
    <cellStyle name="Note 3 3 5 2" xfId="5359"/>
    <cellStyle name="Note 3 3 6" xfId="5360"/>
    <cellStyle name="Note 3 3 6 2" xfId="5361"/>
    <cellStyle name="Note 3 3 7" xfId="5362"/>
    <cellStyle name="Note 3 3 7 2" xfId="5363"/>
    <cellStyle name="Note 3 3 8" xfId="5364"/>
    <cellStyle name="Note 3 4" xfId="5365"/>
    <cellStyle name="Note 3 4 10" xfId="5366"/>
    <cellStyle name="Note 3 4 10 2" xfId="5367"/>
    <cellStyle name="Note 3 4 11" xfId="5368"/>
    <cellStyle name="Note 3 4 2" xfId="5369"/>
    <cellStyle name="Note 3 4 2 2" xfId="5370"/>
    <cellStyle name="Note 3 4 2 2 2" xfId="5371"/>
    <cellStyle name="Note 3 4 2 3" xfId="5372"/>
    <cellStyle name="Note 3 4 3" xfId="5373"/>
    <cellStyle name="Note 3 4 3 2" xfId="5374"/>
    <cellStyle name="Note 3 4 4" xfId="5375"/>
    <cellStyle name="Note 3 4 4 2" xfId="5376"/>
    <cellStyle name="Note 3 4 5" xfId="5377"/>
    <cellStyle name="Note 3 4 5 2" xfId="5378"/>
    <cellStyle name="Note 3 4 6" xfId="5379"/>
    <cellStyle name="Note 3 4 6 2" xfId="5380"/>
    <cellStyle name="Note 3 4 7" xfId="5381"/>
    <cellStyle name="Note 3 4 7 2" xfId="5382"/>
    <cellStyle name="Note 3 4 8" xfId="5383"/>
    <cellStyle name="Note 3 4 8 2" xfId="5384"/>
    <cellStyle name="Note 3 4 9" xfId="5385"/>
    <cellStyle name="Note 3 4 9 2" xfId="5386"/>
    <cellStyle name="Note 3 5" xfId="5387"/>
    <cellStyle name="Note 3 5 10" xfId="5388"/>
    <cellStyle name="Note 3 5 10 2" xfId="5389"/>
    <cellStyle name="Note 3 5 11" xfId="5390"/>
    <cellStyle name="Note 3 5 2" xfId="5391"/>
    <cellStyle name="Note 3 5 2 2" xfId="5392"/>
    <cellStyle name="Note 3 5 2 2 2" xfId="5393"/>
    <cellStyle name="Note 3 5 2 3" xfId="5394"/>
    <cellStyle name="Note 3 5 3" xfId="5395"/>
    <cellStyle name="Note 3 5 3 2" xfId="5396"/>
    <cellStyle name="Note 3 5 4" xfId="5397"/>
    <cellStyle name="Note 3 5 4 2" xfId="5398"/>
    <cellStyle name="Note 3 5 5" xfId="5399"/>
    <cellStyle name="Note 3 5 5 2" xfId="5400"/>
    <cellStyle name="Note 3 5 6" xfId="5401"/>
    <cellStyle name="Note 3 5 6 2" xfId="5402"/>
    <cellStyle name="Note 3 5 7" xfId="5403"/>
    <cellStyle name="Note 3 5 7 2" xfId="5404"/>
    <cellStyle name="Note 3 5 8" xfId="5405"/>
    <cellStyle name="Note 3 5 8 2" xfId="5406"/>
    <cellStyle name="Note 3 5 9" xfId="5407"/>
    <cellStyle name="Note 3 5 9 2" xfId="5408"/>
    <cellStyle name="Note 3 6" xfId="5409"/>
    <cellStyle name="Note 3 6 10" xfId="5410"/>
    <cellStyle name="Note 3 6 10 2" xfId="5411"/>
    <cellStyle name="Note 3 6 11" xfId="5412"/>
    <cellStyle name="Note 3 6 2" xfId="5413"/>
    <cellStyle name="Note 3 6 2 2" xfId="5414"/>
    <cellStyle name="Note 3 6 2 2 2" xfId="5415"/>
    <cellStyle name="Note 3 6 2 3" xfId="5416"/>
    <cellStyle name="Note 3 6 3" xfId="5417"/>
    <cellStyle name="Note 3 6 3 2" xfId="5418"/>
    <cellStyle name="Note 3 6 4" xfId="5419"/>
    <cellStyle name="Note 3 6 4 2" xfId="5420"/>
    <cellStyle name="Note 3 6 5" xfId="5421"/>
    <cellStyle name="Note 3 6 5 2" xfId="5422"/>
    <cellStyle name="Note 3 6 6" xfId="5423"/>
    <cellStyle name="Note 3 6 6 2" xfId="5424"/>
    <cellStyle name="Note 3 6 7" xfId="5425"/>
    <cellStyle name="Note 3 6 7 2" xfId="5426"/>
    <cellStyle name="Note 3 6 8" xfId="5427"/>
    <cellStyle name="Note 3 6 8 2" xfId="5428"/>
    <cellStyle name="Note 3 6 9" xfId="5429"/>
    <cellStyle name="Note 3 6 9 2" xfId="5430"/>
    <cellStyle name="Note 3 7" xfId="5431"/>
    <cellStyle name="Note 3 7 10" xfId="5432"/>
    <cellStyle name="Note 3 7 10 2" xfId="5433"/>
    <cellStyle name="Note 3 7 11" xfId="5434"/>
    <cellStyle name="Note 3 7 2" xfId="5435"/>
    <cellStyle name="Note 3 7 2 2" xfId="5436"/>
    <cellStyle name="Note 3 7 2 2 2" xfId="5437"/>
    <cellStyle name="Note 3 7 2 3" xfId="5438"/>
    <cellStyle name="Note 3 7 3" xfId="5439"/>
    <cellStyle name="Note 3 7 3 2" xfId="5440"/>
    <cellStyle name="Note 3 7 4" xfId="5441"/>
    <cellStyle name="Note 3 7 4 2" xfId="5442"/>
    <cellStyle name="Note 3 7 5" xfId="5443"/>
    <cellStyle name="Note 3 7 5 2" xfId="5444"/>
    <cellStyle name="Note 3 7 6" xfId="5445"/>
    <cellStyle name="Note 3 7 6 2" xfId="5446"/>
    <cellStyle name="Note 3 7 7" xfId="5447"/>
    <cellStyle name="Note 3 7 7 2" xfId="5448"/>
    <cellStyle name="Note 3 7 8" xfId="5449"/>
    <cellStyle name="Note 3 7 8 2" xfId="5450"/>
    <cellStyle name="Note 3 7 9" xfId="5451"/>
    <cellStyle name="Note 3 7 9 2" xfId="5452"/>
    <cellStyle name="Note 3 8" xfId="5453"/>
    <cellStyle name="Note 3 8 2" xfId="5454"/>
    <cellStyle name="Note 3 8 2 2" xfId="5455"/>
    <cellStyle name="Note 3 8 3" xfId="5456"/>
    <cellStyle name="Note 3 9" xfId="5457"/>
    <cellStyle name="Note 3 9 2" xfId="5458"/>
    <cellStyle name="Note 3_7 - Cap Add WS" xfId="622"/>
    <cellStyle name="Note 4" xfId="623"/>
    <cellStyle name="Note 4 10" xfId="5459"/>
    <cellStyle name="Note 4 10 2" xfId="5460"/>
    <cellStyle name="Note 4 11" xfId="5461"/>
    <cellStyle name="Note 4 11 2" xfId="5462"/>
    <cellStyle name="Note 4 12" xfId="5463"/>
    <cellStyle name="Note 4 12 2" xfId="5464"/>
    <cellStyle name="Note 4 13" xfId="5465"/>
    <cellStyle name="Note 4 13 2" xfId="5466"/>
    <cellStyle name="Note 4 14" xfId="5467"/>
    <cellStyle name="Note 4 2" xfId="624"/>
    <cellStyle name="Note 4 2 10" xfId="5468"/>
    <cellStyle name="Note 4 2 10 2" xfId="5469"/>
    <cellStyle name="Note 4 2 11" xfId="5470"/>
    <cellStyle name="Note 4 2 11 2" xfId="5471"/>
    <cellStyle name="Note 4 2 12" xfId="5472"/>
    <cellStyle name="Note 4 2 12 2" xfId="5473"/>
    <cellStyle name="Note 4 2 13" xfId="5474"/>
    <cellStyle name="Note 4 2 2" xfId="5475"/>
    <cellStyle name="Note 4 2 2 2" xfId="5476"/>
    <cellStyle name="Note 4 2 2 2 2" xfId="5477"/>
    <cellStyle name="Note 4 2 2 2 2 2" xfId="5478"/>
    <cellStyle name="Note 4 2 2 2 3" xfId="5479"/>
    <cellStyle name="Note 4 2 2 3" xfId="5480"/>
    <cellStyle name="Note 4 2 2 3 2" xfId="5481"/>
    <cellStyle name="Note 4 2 2 3 2 2" xfId="5482"/>
    <cellStyle name="Note 4 2 2 3 3" xfId="5483"/>
    <cellStyle name="Note 4 2 2 4" xfId="5484"/>
    <cellStyle name="Note 4 2 2 4 2" xfId="5485"/>
    <cellStyle name="Note 4 2 2 5" xfId="5486"/>
    <cellStyle name="Note 4 2 2 5 2" xfId="5487"/>
    <cellStyle name="Note 4 2 2 6" xfId="5488"/>
    <cellStyle name="Note 4 2 2 6 2" xfId="5489"/>
    <cellStyle name="Note 4 2 2 7" xfId="5490"/>
    <cellStyle name="Note 4 2 2 7 2" xfId="5491"/>
    <cellStyle name="Note 4 2 2 8" xfId="5492"/>
    <cellStyle name="Note 4 2 3" xfId="5493"/>
    <cellStyle name="Note 4 2 3 10" xfId="5494"/>
    <cellStyle name="Note 4 2 3 10 2" xfId="5495"/>
    <cellStyle name="Note 4 2 3 11" xfId="5496"/>
    <cellStyle name="Note 4 2 3 2" xfId="5497"/>
    <cellStyle name="Note 4 2 3 2 2" xfId="5498"/>
    <cellStyle name="Note 4 2 3 2 2 2" xfId="5499"/>
    <cellStyle name="Note 4 2 3 2 3" xfId="5500"/>
    <cellStyle name="Note 4 2 3 3" xfId="5501"/>
    <cellStyle name="Note 4 2 3 3 2" xfId="5502"/>
    <cellStyle name="Note 4 2 3 4" xfId="5503"/>
    <cellStyle name="Note 4 2 3 4 2" xfId="5504"/>
    <cellStyle name="Note 4 2 3 5" xfId="5505"/>
    <cellStyle name="Note 4 2 3 5 2" xfId="5506"/>
    <cellStyle name="Note 4 2 3 6" xfId="5507"/>
    <cellStyle name="Note 4 2 3 6 2" xfId="5508"/>
    <cellStyle name="Note 4 2 3 7" xfId="5509"/>
    <cellStyle name="Note 4 2 3 7 2" xfId="5510"/>
    <cellStyle name="Note 4 2 3 8" xfId="5511"/>
    <cellStyle name="Note 4 2 3 8 2" xfId="5512"/>
    <cellStyle name="Note 4 2 3 9" xfId="5513"/>
    <cellStyle name="Note 4 2 3 9 2" xfId="5514"/>
    <cellStyle name="Note 4 2 4" xfId="5515"/>
    <cellStyle name="Note 4 2 4 10" xfId="5516"/>
    <cellStyle name="Note 4 2 4 10 2" xfId="5517"/>
    <cellStyle name="Note 4 2 4 11" xfId="5518"/>
    <cellStyle name="Note 4 2 4 2" xfId="5519"/>
    <cellStyle name="Note 4 2 4 2 2" xfId="5520"/>
    <cellStyle name="Note 4 2 4 2 2 2" xfId="5521"/>
    <cellStyle name="Note 4 2 4 2 3" xfId="5522"/>
    <cellStyle name="Note 4 2 4 3" xfId="5523"/>
    <cellStyle name="Note 4 2 4 3 2" xfId="5524"/>
    <cellStyle name="Note 4 2 4 4" xfId="5525"/>
    <cellStyle name="Note 4 2 4 4 2" xfId="5526"/>
    <cellStyle name="Note 4 2 4 5" xfId="5527"/>
    <cellStyle name="Note 4 2 4 5 2" xfId="5528"/>
    <cellStyle name="Note 4 2 4 6" xfId="5529"/>
    <cellStyle name="Note 4 2 4 6 2" xfId="5530"/>
    <cellStyle name="Note 4 2 4 7" xfId="5531"/>
    <cellStyle name="Note 4 2 4 7 2" xfId="5532"/>
    <cellStyle name="Note 4 2 4 8" xfId="5533"/>
    <cellStyle name="Note 4 2 4 8 2" xfId="5534"/>
    <cellStyle name="Note 4 2 4 9" xfId="5535"/>
    <cellStyle name="Note 4 2 4 9 2" xfId="5536"/>
    <cellStyle name="Note 4 2 5" xfId="5537"/>
    <cellStyle name="Note 4 2 5 10" xfId="5538"/>
    <cellStyle name="Note 4 2 5 10 2" xfId="5539"/>
    <cellStyle name="Note 4 2 5 11" xfId="5540"/>
    <cellStyle name="Note 4 2 5 2" xfId="5541"/>
    <cellStyle name="Note 4 2 5 2 2" xfId="5542"/>
    <cellStyle name="Note 4 2 5 2 2 2" xfId="5543"/>
    <cellStyle name="Note 4 2 5 2 3" xfId="5544"/>
    <cellStyle name="Note 4 2 5 3" xfId="5545"/>
    <cellStyle name="Note 4 2 5 3 2" xfId="5546"/>
    <cellStyle name="Note 4 2 5 4" xfId="5547"/>
    <cellStyle name="Note 4 2 5 4 2" xfId="5548"/>
    <cellStyle name="Note 4 2 5 5" xfId="5549"/>
    <cellStyle name="Note 4 2 5 5 2" xfId="5550"/>
    <cellStyle name="Note 4 2 5 6" xfId="5551"/>
    <cellStyle name="Note 4 2 5 6 2" xfId="5552"/>
    <cellStyle name="Note 4 2 5 7" xfId="5553"/>
    <cellStyle name="Note 4 2 5 7 2" xfId="5554"/>
    <cellStyle name="Note 4 2 5 8" xfId="5555"/>
    <cellStyle name="Note 4 2 5 8 2" xfId="5556"/>
    <cellStyle name="Note 4 2 5 9" xfId="5557"/>
    <cellStyle name="Note 4 2 5 9 2" xfId="5558"/>
    <cellStyle name="Note 4 2 6" xfId="5559"/>
    <cellStyle name="Note 4 2 6 10" xfId="5560"/>
    <cellStyle name="Note 4 2 6 10 2" xfId="5561"/>
    <cellStyle name="Note 4 2 6 11" xfId="5562"/>
    <cellStyle name="Note 4 2 6 2" xfId="5563"/>
    <cellStyle name="Note 4 2 6 2 2" xfId="5564"/>
    <cellStyle name="Note 4 2 6 2 2 2" xfId="5565"/>
    <cellStyle name="Note 4 2 6 2 3" xfId="5566"/>
    <cellStyle name="Note 4 2 6 3" xfId="5567"/>
    <cellStyle name="Note 4 2 6 3 2" xfId="5568"/>
    <cellStyle name="Note 4 2 6 4" xfId="5569"/>
    <cellStyle name="Note 4 2 6 4 2" xfId="5570"/>
    <cellStyle name="Note 4 2 6 5" xfId="5571"/>
    <cellStyle name="Note 4 2 6 5 2" xfId="5572"/>
    <cellStyle name="Note 4 2 6 6" xfId="5573"/>
    <cellStyle name="Note 4 2 6 6 2" xfId="5574"/>
    <cellStyle name="Note 4 2 6 7" xfId="5575"/>
    <cellStyle name="Note 4 2 6 7 2" xfId="5576"/>
    <cellStyle name="Note 4 2 6 8" xfId="5577"/>
    <cellStyle name="Note 4 2 6 8 2" xfId="5578"/>
    <cellStyle name="Note 4 2 6 9" xfId="5579"/>
    <cellStyle name="Note 4 2 6 9 2" xfId="5580"/>
    <cellStyle name="Note 4 2 7" xfId="5581"/>
    <cellStyle name="Note 4 2 7 2" xfId="5582"/>
    <cellStyle name="Note 4 2 7 2 2" xfId="5583"/>
    <cellStyle name="Note 4 2 7 3" xfId="5584"/>
    <cellStyle name="Note 4 2 8" xfId="5585"/>
    <cellStyle name="Note 4 2 8 2" xfId="5586"/>
    <cellStyle name="Note 4 2 9" xfId="5587"/>
    <cellStyle name="Note 4 2 9 2" xfId="5588"/>
    <cellStyle name="Note 4 3" xfId="5589"/>
    <cellStyle name="Note 4 3 2" xfId="5590"/>
    <cellStyle name="Note 4 3 2 2" xfId="5591"/>
    <cellStyle name="Note 4 3 2 2 2" xfId="5592"/>
    <cellStyle name="Note 4 3 2 3" xfId="5593"/>
    <cellStyle name="Note 4 3 3" xfId="5594"/>
    <cellStyle name="Note 4 3 3 2" xfId="5595"/>
    <cellStyle name="Note 4 3 3 2 2" xfId="5596"/>
    <cellStyle name="Note 4 3 3 3" xfId="5597"/>
    <cellStyle name="Note 4 3 4" xfId="5598"/>
    <cellStyle name="Note 4 3 4 2" xfId="5599"/>
    <cellStyle name="Note 4 3 5" xfId="5600"/>
    <cellStyle name="Note 4 3 5 2" xfId="5601"/>
    <cellStyle name="Note 4 3 6" xfId="5602"/>
    <cellStyle name="Note 4 3 6 2" xfId="5603"/>
    <cellStyle name="Note 4 3 7" xfId="5604"/>
    <cellStyle name="Note 4 3 7 2" xfId="5605"/>
    <cellStyle name="Note 4 3 8" xfId="5606"/>
    <cellStyle name="Note 4 4" xfId="5607"/>
    <cellStyle name="Note 4 4 10" xfId="5608"/>
    <cellStyle name="Note 4 4 10 2" xfId="5609"/>
    <cellStyle name="Note 4 4 11" xfId="5610"/>
    <cellStyle name="Note 4 4 2" xfId="5611"/>
    <cellStyle name="Note 4 4 2 2" xfId="5612"/>
    <cellStyle name="Note 4 4 2 2 2" xfId="5613"/>
    <cellStyle name="Note 4 4 2 3" xfId="5614"/>
    <cellStyle name="Note 4 4 3" xfId="5615"/>
    <cellStyle name="Note 4 4 3 2" xfId="5616"/>
    <cellStyle name="Note 4 4 4" xfId="5617"/>
    <cellStyle name="Note 4 4 4 2" xfId="5618"/>
    <cellStyle name="Note 4 4 5" xfId="5619"/>
    <cellStyle name="Note 4 4 5 2" xfId="5620"/>
    <cellStyle name="Note 4 4 6" xfId="5621"/>
    <cellStyle name="Note 4 4 6 2" xfId="5622"/>
    <cellStyle name="Note 4 4 7" xfId="5623"/>
    <cellStyle name="Note 4 4 7 2" xfId="5624"/>
    <cellStyle name="Note 4 4 8" xfId="5625"/>
    <cellStyle name="Note 4 4 8 2" xfId="5626"/>
    <cellStyle name="Note 4 4 9" xfId="5627"/>
    <cellStyle name="Note 4 4 9 2" xfId="5628"/>
    <cellStyle name="Note 4 5" xfId="5629"/>
    <cellStyle name="Note 4 5 10" xfId="5630"/>
    <cellStyle name="Note 4 5 10 2" xfId="5631"/>
    <cellStyle name="Note 4 5 11" xfId="5632"/>
    <cellStyle name="Note 4 5 2" xfId="5633"/>
    <cellStyle name="Note 4 5 2 2" xfId="5634"/>
    <cellStyle name="Note 4 5 2 2 2" xfId="5635"/>
    <cellStyle name="Note 4 5 2 3" xfId="5636"/>
    <cellStyle name="Note 4 5 3" xfId="5637"/>
    <cellStyle name="Note 4 5 3 2" xfId="5638"/>
    <cellStyle name="Note 4 5 4" xfId="5639"/>
    <cellStyle name="Note 4 5 4 2" xfId="5640"/>
    <cellStyle name="Note 4 5 5" xfId="5641"/>
    <cellStyle name="Note 4 5 5 2" xfId="5642"/>
    <cellStyle name="Note 4 5 6" xfId="5643"/>
    <cellStyle name="Note 4 5 6 2" xfId="5644"/>
    <cellStyle name="Note 4 5 7" xfId="5645"/>
    <cellStyle name="Note 4 5 7 2" xfId="5646"/>
    <cellStyle name="Note 4 5 8" xfId="5647"/>
    <cellStyle name="Note 4 5 8 2" xfId="5648"/>
    <cellStyle name="Note 4 5 9" xfId="5649"/>
    <cellStyle name="Note 4 5 9 2" xfId="5650"/>
    <cellStyle name="Note 4 6" xfId="5651"/>
    <cellStyle name="Note 4 6 10" xfId="5652"/>
    <cellStyle name="Note 4 6 10 2" xfId="5653"/>
    <cellStyle name="Note 4 6 11" xfId="5654"/>
    <cellStyle name="Note 4 6 2" xfId="5655"/>
    <cellStyle name="Note 4 6 2 2" xfId="5656"/>
    <cellStyle name="Note 4 6 2 2 2" xfId="5657"/>
    <cellStyle name="Note 4 6 2 3" xfId="5658"/>
    <cellStyle name="Note 4 6 3" xfId="5659"/>
    <cellStyle name="Note 4 6 3 2" xfId="5660"/>
    <cellStyle name="Note 4 6 4" xfId="5661"/>
    <cellStyle name="Note 4 6 4 2" xfId="5662"/>
    <cellStyle name="Note 4 6 5" xfId="5663"/>
    <cellStyle name="Note 4 6 5 2" xfId="5664"/>
    <cellStyle name="Note 4 6 6" xfId="5665"/>
    <cellStyle name="Note 4 6 6 2" xfId="5666"/>
    <cellStyle name="Note 4 6 7" xfId="5667"/>
    <cellStyle name="Note 4 6 7 2" xfId="5668"/>
    <cellStyle name="Note 4 6 8" xfId="5669"/>
    <cellStyle name="Note 4 6 8 2" xfId="5670"/>
    <cellStyle name="Note 4 6 9" xfId="5671"/>
    <cellStyle name="Note 4 6 9 2" xfId="5672"/>
    <cellStyle name="Note 4 7" xfId="5673"/>
    <cellStyle name="Note 4 7 10" xfId="5674"/>
    <cellStyle name="Note 4 7 10 2" xfId="5675"/>
    <cellStyle name="Note 4 7 11" xfId="5676"/>
    <cellStyle name="Note 4 7 2" xfId="5677"/>
    <cellStyle name="Note 4 7 2 2" xfId="5678"/>
    <cellStyle name="Note 4 7 2 2 2" xfId="5679"/>
    <cellStyle name="Note 4 7 2 3" xfId="5680"/>
    <cellStyle name="Note 4 7 3" xfId="5681"/>
    <cellStyle name="Note 4 7 3 2" xfId="5682"/>
    <cellStyle name="Note 4 7 4" xfId="5683"/>
    <cellStyle name="Note 4 7 4 2" xfId="5684"/>
    <cellStyle name="Note 4 7 5" xfId="5685"/>
    <cellStyle name="Note 4 7 5 2" xfId="5686"/>
    <cellStyle name="Note 4 7 6" xfId="5687"/>
    <cellStyle name="Note 4 7 6 2" xfId="5688"/>
    <cellStyle name="Note 4 7 7" xfId="5689"/>
    <cellStyle name="Note 4 7 7 2" xfId="5690"/>
    <cellStyle name="Note 4 7 8" xfId="5691"/>
    <cellStyle name="Note 4 7 8 2" xfId="5692"/>
    <cellStyle name="Note 4 7 9" xfId="5693"/>
    <cellStyle name="Note 4 7 9 2" xfId="5694"/>
    <cellStyle name="Note 4 8" xfId="5695"/>
    <cellStyle name="Note 4 8 2" xfId="5696"/>
    <cellStyle name="Note 4 8 2 2" xfId="5697"/>
    <cellStyle name="Note 4 8 3" xfId="5698"/>
    <cellStyle name="Note 4 9" xfId="5699"/>
    <cellStyle name="Note 4 9 2" xfId="5700"/>
    <cellStyle name="Note 4_7 - Cap Add WS" xfId="625"/>
    <cellStyle name="Note 5" xfId="626"/>
    <cellStyle name="Note 5 10" xfId="5701"/>
    <cellStyle name="Note 5 10 2" xfId="5702"/>
    <cellStyle name="Note 5 10 2 2" xfId="5703"/>
    <cellStyle name="Note 5 10 3" xfId="5704"/>
    <cellStyle name="Note 5 11" xfId="5705"/>
    <cellStyle name="Note 5 11 2" xfId="5706"/>
    <cellStyle name="Note 5 12" xfId="5707"/>
    <cellStyle name="Note 5 12 2" xfId="5708"/>
    <cellStyle name="Note 5 13" xfId="5709"/>
    <cellStyle name="Note 5 13 2" xfId="5710"/>
    <cellStyle name="Note 5 14" xfId="5711"/>
    <cellStyle name="Note 5 14 2" xfId="5712"/>
    <cellStyle name="Note 5 15" xfId="5713"/>
    <cellStyle name="Note 5 15 2" xfId="5714"/>
    <cellStyle name="Note 5 16" xfId="5715"/>
    <cellStyle name="Note 5 2" xfId="627"/>
    <cellStyle name="Note 5 2 10" xfId="5716"/>
    <cellStyle name="Note 5 2 10 2" xfId="5717"/>
    <cellStyle name="Note 5 2 11" xfId="5718"/>
    <cellStyle name="Note 5 2 11 2" xfId="5719"/>
    <cellStyle name="Note 5 2 12" xfId="5720"/>
    <cellStyle name="Note 5 2 12 2" xfId="5721"/>
    <cellStyle name="Note 5 2 13" xfId="5722"/>
    <cellStyle name="Note 5 2 13 2" xfId="5723"/>
    <cellStyle name="Note 5 2 14" xfId="5724"/>
    <cellStyle name="Note 5 2 2" xfId="628"/>
    <cellStyle name="Note 5 2 2 10" xfId="5725"/>
    <cellStyle name="Note 5 2 2 10 2" xfId="5726"/>
    <cellStyle name="Note 5 2 2 11" xfId="5727"/>
    <cellStyle name="Note 5 2 2 11 2" xfId="5728"/>
    <cellStyle name="Note 5 2 2 12" xfId="5729"/>
    <cellStyle name="Note 5 2 2 12 2" xfId="5730"/>
    <cellStyle name="Note 5 2 2 13" xfId="5731"/>
    <cellStyle name="Note 5 2 2 2" xfId="5732"/>
    <cellStyle name="Note 5 2 2 2 2" xfId="5733"/>
    <cellStyle name="Note 5 2 2 2 2 2" xfId="5734"/>
    <cellStyle name="Note 5 2 2 2 2 2 2" xfId="5735"/>
    <cellStyle name="Note 5 2 2 2 2 3" xfId="5736"/>
    <cellStyle name="Note 5 2 2 2 3" xfId="5737"/>
    <cellStyle name="Note 5 2 2 2 3 2" xfId="5738"/>
    <cellStyle name="Note 5 2 2 2 3 2 2" xfId="5739"/>
    <cellStyle name="Note 5 2 2 2 3 3" xfId="5740"/>
    <cellStyle name="Note 5 2 2 2 4" xfId="5741"/>
    <cellStyle name="Note 5 2 2 2 4 2" xfId="5742"/>
    <cellStyle name="Note 5 2 2 2 5" xfId="5743"/>
    <cellStyle name="Note 5 2 2 2 5 2" xfId="5744"/>
    <cellStyle name="Note 5 2 2 2 6" xfId="5745"/>
    <cellStyle name="Note 5 2 2 2 6 2" xfId="5746"/>
    <cellStyle name="Note 5 2 2 2 7" xfId="5747"/>
    <cellStyle name="Note 5 2 2 2 7 2" xfId="5748"/>
    <cellStyle name="Note 5 2 2 2 8" xfId="5749"/>
    <cellStyle name="Note 5 2 2 3" xfId="5750"/>
    <cellStyle name="Note 5 2 2 3 10" xfId="5751"/>
    <cellStyle name="Note 5 2 2 3 10 2" xfId="5752"/>
    <cellStyle name="Note 5 2 2 3 11" xfId="5753"/>
    <cellStyle name="Note 5 2 2 3 2" xfId="5754"/>
    <cellStyle name="Note 5 2 2 3 2 2" xfId="5755"/>
    <cellStyle name="Note 5 2 2 3 2 2 2" xfId="5756"/>
    <cellStyle name="Note 5 2 2 3 2 3" xfId="5757"/>
    <cellStyle name="Note 5 2 2 3 3" xfId="5758"/>
    <cellStyle name="Note 5 2 2 3 3 2" xfId="5759"/>
    <cellStyle name="Note 5 2 2 3 4" xfId="5760"/>
    <cellStyle name="Note 5 2 2 3 4 2" xfId="5761"/>
    <cellStyle name="Note 5 2 2 3 5" xfId="5762"/>
    <cellStyle name="Note 5 2 2 3 5 2" xfId="5763"/>
    <cellStyle name="Note 5 2 2 3 6" xfId="5764"/>
    <cellStyle name="Note 5 2 2 3 6 2" xfId="5765"/>
    <cellStyle name="Note 5 2 2 3 7" xfId="5766"/>
    <cellStyle name="Note 5 2 2 3 7 2" xfId="5767"/>
    <cellStyle name="Note 5 2 2 3 8" xfId="5768"/>
    <cellStyle name="Note 5 2 2 3 8 2" xfId="5769"/>
    <cellStyle name="Note 5 2 2 3 9" xfId="5770"/>
    <cellStyle name="Note 5 2 2 3 9 2" xfId="5771"/>
    <cellStyle name="Note 5 2 2 4" xfId="5772"/>
    <cellStyle name="Note 5 2 2 4 10" xfId="5773"/>
    <cellStyle name="Note 5 2 2 4 10 2" xfId="5774"/>
    <cellStyle name="Note 5 2 2 4 11" xfId="5775"/>
    <cellStyle name="Note 5 2 2 4 2" xfId="5776"/>
    <cellStyle name="Note 5 2 2 4 2 2" xfId="5777"/>
    <cellStyle name="Note 5 2 2 4 2 2 2" xfId="5778"/>
    <cellStyle name="Note 5 2 2 4 2 3" xfId="5779"/>
    <cellStyle name="Note 5 2 2 4 3" xfId="5780"/>
    <cellStyle name="Note 5 2 2 4 3 2" xfId="5781"/>
    <cellStyle name="Note 5 2 2 4 4" xfId="5782"/>
    <cellStyle name="Note 5 2 2 4 4 2" xfId="5783"/>
    <cellStyle name="Note 5 2 2 4 5" xfId="5784"/>
    <cellStyle name="Note 5 2 2 4 5 2" xfId="5785"/>
    <cellStyle name="Note 5 2 2 4 6" xfId="5786"/>
    <cellStyle name="Note 5 2 2 4 6 2" xfId="5787"/>
    <cellStyle name="Note 5 2 2 4 7" xfId="5788"/>
    <cellStyle name="Note 5 2 2 4 7 2" xfId="5789"/>
    <cellStyle name="Note 5 2 2 4 8" xfId="5790"/>
    <cellStyle name="Note 5 2 2 4 8 2" xfId="5791"/>
    <cellStyle name="Note 5 2 2 4 9" xfId="5792"/>
    <cellStyle name="Note 5 2 2 4 9 2" xfId="5793"/>
    <cellStyle name="Note 5 2 2 5" xfId="5794"/>
    <cellStyle name="Note 5 2 2 5 10" xfId="5795"/>
    <cellStyle name="Note 5 2 2 5 10 2" xfId="5796"/>
    <cellStyle name="Note 5 2 2 5 11" xfId="5797"/>
    <cellStyle name="Note 5 2 2 5 2" xfId="5798"/>
    <cellStyle name="Note 5 2 2 5 2 2" xfId="5799"/>
    <cellStyle name="Note 5 2 2 5 2 2 2" xfId="5800"/>
    <cellStyle name="Note 5 2 2 5 2 3" xfId="5801"/>
    <cellStyle name="Note 5 2 2 5 3" xfId="5802"/>
    <cellStyle name="Note 5 2 2 5 3 2" xfId="5803"/>
    <cellStyle name="Note 5 2 2 5 4" xfId="5804"/>
    <cellStyle name="Note 5 2 2 5 4 2" xfId="5805"/>
    <cellStyle name="Note 5 2 2 5 5" xfId="5806"/>
    <cellStyle name="Note 5 2 2 5 5 2" xfId="5807"/>
    <cellStyle name="Note 5 2 2 5 6" xfId="5808"/>
    <cellStyle name="Note 5 2 2 5 6 2" xfId="5809"/>
    <cellStyle name="Note 5 2 2 5 7" xfId="5810"/>
    <cellStyle name="Note 5 2 2 5 7 2" xfId="5811"/>
    <cellStyle name="Note 5 2 2 5 8" xfId="5812"/>
    <cellStyle name="Note 5 2 2 5 8 2" xfId="5813"/>
    <cellStyle name="Note 5 2 2 5 9" xfId="5814"/>
    <cellStyle name="Note 5 2 2 5 9 2" xfId="5815"/>
    <cellStyle name="Note 5 2 2 6" xfId="5816"/>
    <cellStyle name="Note 5 2 2 6 10" xfId="5817"/>
    <cellStyle name="Note 5 2 2 6 10 2" xfId="5818"/>
    <cellStyle name="Note 5 2 2 6 11" xfId="5819"/>
    <cellStyle name="Note 5 2 2 6 2" xfId="5820"/>
    <cellStyle name="Note 5 2 2 6 2 2" xfId="5821"/>
    <cellStyle name="Note 5 2 2 6 2 2 2" xfId="5822"/>
    <cellStyle name="Note 5 2 2 6 2 3" xfId="5823"/>
    <cellStyle name="Note 5 2 2 6 3" xfId="5824"/>
    <cellStyle name="Note 5 2 2 6 3 2" xfId="5825"/>
    <cellStyle name="Note 5 2 2 6 4" xfId="5826"/>
    <cellStyle name="Note 5 2 2 6 4 2" xfId="5827"/>
    <cellStyle name="Note 5 2 2 6 5" xfId="5828"/>
    <cellStyle name="Note 5 2 2 6 5 2" xfId="5829"/>
    <cellStyle name="Note 5 2 2 6 6" xfId="5830"/>
    <cellStyle name="Note 5 2 2 6 6 2" xfId="5831"/>
    <cellStyle name="Note 5 2 2 6 7" xfId="5832"/>
    <cellStyle name="Note 5 2 2 6 7 2" xfId="5833"/>
    <cellStyle name="Note 5 2 2 6 8" xfId="5834"/>
    <cellStyle name="Note 5 2 2 6 8 2" xfId="5835"/>
    <cellStyle name="Note 5 2 2 6 9" xfId="5836"/>
    <cellStyle name="Note 5 2 2 6 9 2" xfId="5837"/>
    <cellStyle name="Note 5 2 2 7" xfId="5838"/>
    <cellStyle name="Note 5 2 2 7 2" xfId="5839"/>
    <cellStyle name="Note 5 2 2 7 2 2" xfId="5840"/>
    <cellStyle name="Note 5 2 2 7 3" xfId="5841"/>
    <cellStyle name="Note 5 2 2 8" xfId="5842"/>
    <cellStyle name="Note 5 2 2 8 2" xfId="5843"/>
    <cellStyle name="Note 5 2 2 9" xfId="5844"/>
    <cellStyle name="Note 5 2 2 9 2" xfId="5845"/>
    <cellStyle name="Note 5 2 3" xfId="5846"/>
    <cellStyle name="Note 5 2 3 2" xfId="5847"/>
    <cellStyle name="Note 5 2 3 2 2" xfId="5848"/>
    <cellStyle name="Note 5 2 3 2 2 2" xfId="5849"/>
    <cellStyle name="Note 5 2 3 2 3" xfId="5850"/>
    <cellStyle name="Note 5 2 3 3" xfId="5851"/>
    <cellStyle name="Note 5 2 3 3 2" xfId="5852"/>
    <cellStyle name="Note 5 2 3 3 2 2" xfId="5853"/>
    <cellStyle name="Note 5 2 3 3 3" xfId="5854"/>
    <cellStyle name="Note 5 2 3 4" xfId="5855"/>
    <cellStyle name="Note 5 2 3 4 2" xfId="5856"/>
    <cellStyle name="Note 5 2 3 5" xfId="5857"/>
    <cellStyle name="Note 5 2 3 5 2" xfId="5858"/>
    <cellStyle name="Note 5 2 3 6" xfId="5859"/>
    <cellStyle name="Note 5 2 3 6 2" xfId="5860"/>
    <cellStyle name="Note 5 2 3 7" xfId="5861"/>
    <cellStyle name="Note 5 2 3 7 2" xfId="5862"/>
    <cellStyle name="Note 5 2 3 8" xfId="5863"/>
    <cellStyle name="Note 5 2 4" xfId="5864"/>
    <cellStyle name="Note 5 2 4 10" xfId="5865"/>
    <cellStyle name="Note 5 2 4 10 2" xfId="5866"/>
    <cellStyle name="Note 5 2 4 11" xfId="5867"/>
    <cellStyle name="Note 5 2 4 2" xfId="5868"/>
    <cellStyle name="Note 5 2 4 2 2" xfId="5869"/>
    <cellStyle name="Note 5 2 4 2 2 2" xfId="5870"/>
    <cellStyle name="Note 5 2 4 2 3" xfId="5871"/>
    <cellStyle name="Note 5 2 4 3" xfId="5872"/>
    <cellStyle name="Note 5 2 4 3 2" xfId="5873"/>
    <cellStyle name="Note 5 2 4 4" xfId="5874"/>
    <cellStyle name="Note 5 2 4 4 2" xfId="5875"/>
    <cellStyle name="Note 5 2 4 5" xfId="5876"/>
    <cellStyle name="Note 5 2 4 5 2" xfId="5877"/>
    <cellStyle name="Note 5 2 4 6" xfId="5878"/>
    <cellStyle name="Note 5 2 4 6 2" xfId="5879"/>
    <cellStyle name="Note 5 2 4 7" xfId="5880"/>
    <cellStyle name="Note 5 2 4 7 2" xfId="5881"/>
    <cellStyle name="Note 5 2 4 8" xfId="5882"/>
    <cellStyle name="Note 5 2 4 8 2" xfId="5883"/>
    <cellStyle name="Note 5 2 4 9" xfId="5884"/>
    <cellStyle name="Note 5 2 4 9 2" xfId="5885"/>
    <cellStyle name="Note 5 2 5" xfId="5886"/>
    <cellStyle name="Note 5 2 5 10" xfId="5887"/>
    <cellStyle name="Note 5 2 5 10 2" xfId="5888"/>
    <cellStyle name="Note 5 2 5 11" xfId="5889"/>
    <cellStyle name="Note 5 2 5 2" xfId="5890"/>
    <cellStyle name="Note 5 2 5 2 2" xfId="5891"/>
    <cellStyle name="Note 5 2 5 2 2 2" xfId="5892"/>
    <cellStyle name="Note 5 2 5 2 3" xfId="5893"/>
    <cellStyle name="Note 5 2 5 3" xfId="5894"/>
    <cellStyle name="Note 5 2 5 3 2" xfId="5895"/>
    <cellStyle name="Note 5 2 5 4" xfId="5896"/>
    <cellStyle name="Note 5 2 5 4 2" xfId="5897"/>
    <cellStyle name="Note 5 2 5 5" xfId="5898"/>
    <cellStyle name="Note 5 2 5 5 2" xfId="5899"/>
    <cellStyle name="Note 5 2 5 6" xfId="5900"/>
    <cellStyle name="Note 5 2 5 6 2" xfId="5901"/>
    <cellStyle name="Note 5 2 5 7" xfId="5902"/>
    <cellStyle name="Note 5 2 5 7 2" xfId="5903"/>
    <cellStyle name="Note 5 2 5 8" xfId="5904"/>
    <cellStyle name="Note 5 2 5 8 2" xfId="5905"/>
    <cellStyle name="Note 5 2 5 9" xfId="5906"/>
    <cellStyle name="Note 5 2 5 9 2" xfId="5907"/>
    <cellStyle name="Note 5 2 6" xfId="5908"/>
    <cellStyle name="Note 5 2 6 10" xfId="5909"/>
    <cellStyle name="Note 5 2 6 10 2" xfId="5910"/>
    <cellStyle name="Note 5 2 6 11" xfId="5911"/>
    <cellStyle name="Note 5 2 6 2" xfId="5912"/>
    <cellStyle name="Note 5 2 6 2 2" xfId="5913"/>
    <cellStyle name="Note 5 2 6 2 2 2" xfId="5914"/>
    <cellStyle name="Note 5 2 6 2 3" xfId="5915"/>
    <cellStyle name="Note 5 2 6 3" xfId="5916"/>
    <cellStyle name="Note 5 2 6 3 2" xfId="5917"/>
    <cellStyle name="Note 5 2 6 4" xfId="5918"/>
    <cellStyle name="Note 5 2 6 4 2" xfId="5919"/>
    <cellStyle name="Note 5 2 6 5" xfId="5920"/>
    <cellStyle name="Note 5 2 6 5 2" xfId="5921"/>
    <cellStyle name="Note 5 2 6 6" xfId="5922"/>
    <cellStyle name="Note 5 2 6 6 2" xfId="5923"/>
    <cellStyle name="Note 5 2 6 7" xfId="5924"/>
    <cellStyle name="Note 5 2 6 7 2" xfId="5925"/>
    <cellStyle name="Note 5 2 6 8" xfId="5926"/>
    <cellStyle name="Note 5 2 6 8 2" xfId="5927"/>
    <cellStyle name="Note 5 2 6 9" xfId="5928"/>
    <cellStyle name="Note 5 2 6 9 2" xfId="5929"/>
    <cellStyle name="Note 5 2 7" xfId="5930"/>
    <cellStyle name="Note 5 2 7 10" xfId="5931"/>
    <cellStyle name="Note 5 2 7 10 2" xfId="5932"/>
    <cellStyle name="Note 5 2 7 11" xfId="5933"/>
    <cellStyle name="Note 5 2 7 2" xfId="5934"/>
    <cellStyle name="Note 5 2 7 2 2" xfId="5935"/>
    <cellStyle name="Note 5 2 7 2 2 2" xfId="5936"/>
    <cellStyle name="Note 5 2 7 2 3" xfId="5937"/>
    <cellStyle name="Note 5 2 7 3" xfId="5938"/>
    <cellStyle name="Note 5 2 7 3 2" xfId="5939"/>
    <cellStyle name="Note 5 2 7 4" xfId="5940"/>
    <cellStyle name="Note 5 2 7 4 2" xfId="5941"/>
    <cellStyle name="Note 5 2 7 5" xfId="5942"/>
    <cellStyle name="Note 5 2 7 5 2" xfId="5943"/>
    <cellStyle name="Note 5 2 7 6" xfId="5944"/>
    <cellStyle name="Note 5 2 7 6 2" xfId="5945"/>
    <cellStyle name="Note 5 2 7 7" xfId="5946"/>
    <cellStyle name="Note 5 2 7 7 2" xfId="5947"/>
    <cellStyle name="Note 5 2 7 8" xfId="5948"/>
    <cellStyle name="Note 5 2 7 8 2" xfId="5949"/>
    <cellStyle name="Note 5 2 7 9" xfId="5950"/>
    <cellStyle name="Note 5 2 7 9 2" xfId="5951"/>
    <cellStyle name="Note 5 2 8" xfId="5952"/>
    <cellStyle name="Note 5 2 8 2" xfId="5953"/>
    <cellStyle name="Note 5 2 8 2 2" xfId="5954"/>
    <cellStyle name="Note 5 2 8 3" xfId="5955"/>
    <cellStyle name="Note 5 2 9" xfId="5956"/>
    <cellStyle name="Note 5 2 9 2" xfId="5957"/>
    <cellStyle name="Note 5 2_7 - Cap Add WS" xfId="629"/>
    <cellStyle name="Note 5 3" xfId="630"/>
    <cellStyle name="Note 5 3 10" xfId="5958"/>
    <cellStyle name="Note 5 3 10 2" xfId="5959"/>
    <cellStyle name="Note 5 3 11" xfId="5960"/>
    <cellStyle name="Note 5 3 11 2" xfId="5961"/>
    <cellStyle name="Note 5 3 12" xfId="5962"/>
    <cellStyle name="Note 5 3 12 2" xfId="5963"/>
    <cellStyle name="Note 5 3 13" xfId="5964"/>
    <cellStyle name="Note 5 3 13 2" xfId="5965"/>
    <cellStyle name="Note 5 3 14" xfId="5966"/>
    <cellStyle name="Note 5 3 2" xfId="631"/>
    <cellStyle name="Note 5 3 2 10" xfId="5967"/>
    <cellStyle name="Note 5 3 2 10 2" xfId="5968"/>
    <cellStyle name="Note 5 3 2 11" xfId="5969"/>
    <cellStyle name="Note 5 3 2 11 2" xfId="5970"/>
    <cellStyle name="Note 5 3 2 12" xfId="5971"/>
    <cellStyle name="Note 5 3 2 12 2" xfId="5972"/>
    <cellStyle name="Note 5 3 2 13" xfId="5973"/>
    <cellStyle name="Note 5 3 2 2" xfId="5974"/>
    <cellStyle name="Note 5 3 2 2 2" xfId="5975"/>
    <cellStyle name="Note 5 3 2 2 2 2" xfId="5976"/>
    <cellStyle name="Note 5 3 2 2 2 2 2" xfId="5977"/>
    <cellStyle name="Note 5 3 2 2 2 3" xfId="5978"/>
    <cellStyle name="Note 5 3 2 2 3" xfId="5979"/>
    <cellStyle name="Note 5 3 2 2 3 2" xfId="5980"/>
    <cellStyle name="Note 5 3 2 2 3 2 2" xfId="5981"/>
    <cellStyle name="Note 5 3 2 2 3 3" xfId="5982"/>
    <cellStyle name="Note 5 3 2 2 4" xfId="5983"/>
    <cellStyle name="Note 5 3 2 2 4 2" xfId="5984"/>
    <cellStyle name="Note 5 3 2 2 5" xfId="5985"/>
    <cellStyle name="Note 5 3 2 2 5 2" xfId="5986"/>
    <cellStyle name="Note 5 3 2 2 6" xfId="5987"/>
    <cellStyle name="Note 5 3 2 2 6 2" xfId="5988"/>
    <cellStyle name="Note 5 3 2 2 7" xfId="5989"/>
    <cellStyle name="Note 5 3 2 2 7 2" xfId="5990"/>
    <cellStyle name="Note 5 3 2 2 8" xfId="5991"/>
    <cellStyle name="Note 5 3 2 3" xfId="5992"/>
    <cellStyle name="Note 5 3 2 3 10" xfId="5993"/>
    <cellStyle name="Note 5 3 2 3 10 2" xfId="5994"/>
    <cellStyle name="Note 5 3 2 3 11" xfId="5995"/>
    <cellStyle name="Note 5 3 2 3 2" xfId="5996"/>
    <cellStyle name="Note 5 3 2 3 2 2" xfId="5997"/>
    <cellStyle name="Note 5 3 2 3 2 2 2" xfId="5998"/>
    <cellStyle name="Note 5 3 2 3 2 3" xfId="5999"/>
    <cellStyle name="Note 5 3 2 3 3" xfId="6000"/>
    <cellStyle name="Note 5 3 2 3 3 2" xfId="6001"/>
    <cellStyle name="Note 5 3 2 3 4" xfId="6002"/>
    <cellStyle name="Note 5 3 2 3 4 2" xfId="6003"/>
    <cellStyle name="Note 5 3 2 3 5" xfId="6004"/>
    <cellStyle name="Note 5 3 2 3 5 2" xfId="6005"/>
    <cellStyle name="Note 5 3 2 3 6" xfId="6006"/>
    <cellStyle name="Note 5 3 2 3 6 2" xfId="6007"/>
    <cellStyle name="Note 5 3 2 3 7" xfId="6008"/>
    <cellStyle name="Note 5 3 2 3 7 2" xfId="6009"/>
    <cellStyle name="Note 5 3 2 3 8" xfId="6010"/>
    <cellStyle name="Note 5 3 2 3 8 2" xfId="6011"/>
    <cellStyle name="Note 5 3 2 3 9" xfId="6012"/>
    <cellStyle name="Note 5 3 2 3 9 2" xfId="6013"/>
    <cellStyle name="Note 5 3 2 4" xfId="6014"/>
    <cellStyle name="Note 5 3 2 4 10" xfId="6015"/>
    <cellStyle name="Note 5 3 2 4 10 2" xfId="6016"/>
    <cellStyle name="Note 5 3 2 4 11" xfId="6017"/>
    <cellStyle name="Note 5 3 2 4 2" xfId="6018"/>
    <cellStyle name="Note 5 3 2 4 2 2" xfId="6019"/>
    <cellStyle name="Note 5 3 2 4 2 2 2" xfId="6020"/>
    <cellStyle name="Note 5 3 2 4 2 3" xfId="6021"/>
    <cellStyle name="Note 5 3 2 4 3" xfId="6022"/>
    <cellStyle name="Note 5 3 2 4 3 2" xfId="6023"/>
    <cellStyle name="Note 5 3 2 4 4" xfId="6024"/>
    <cellStyle name="Note 5 3 2 4 4 2" xfId="6025"/>
    <cellStyle name="Note 5 3 2 4 5" xfId="6026"/>
    <cellStyle name="Note 5 3 2 4 5 2" xfId="6027"/>
    <cellStyle name="Note 5 3 2 4 6" xfId="6028"/>
    <cellStyle name="Note 5 3 2 4 6 2" xfId="6029"/>
    <cellStyle name="Note 5 3 2 4 7" xfId="6030"/>
    <cellStyle name="Note 5 3 2 4 7 2" xfId="6031"/>
    <cellStyle name="Note 5 3 2 4 8" xfId="6032"/>
    <cellStyle name="Note 5 3 2 4 8 2" xfId="6033"/>
    <cellStyle name="Note 5 3 2 4 9" xfId="6034"/>
    <cellStyle name="Note 5 3 2 4 9 2" xfId="6035"/>
    <cellStyle name="Note 5 3 2 5" xfId="6036"/>
    <cellStyle name="Note 5 3 2 5 10" xfId="6037"/>
    <cellStyle name="Note 5 3 2 5 10 2" xfId="6038"/>
    <cellStyle name="Note 5 3 2 5 11" xfId="6039"/>
    <cellStyle name="Note 5 3 2 5 2" xfId="6040"/>
    <cellStyle name="Note 5 3 2 5 2 2" xfId="6041"/>
    <cellStyle name="Note 5 3 2 5 2 2 2" xfId="6042"/>
    <cellStyle name="Note 5 3 2 5 2 3" xfId="6043"/>
    <cellStyle name="Note 5 3 2 5 3" xfId="6044"/>
    <cellStyle name="Note 5 3 2 5 3 2" xfId="6045"/>
    <cellStyle name="Note 5 3 2 5 4" xfId="6046"/>
    <cellStyle name="Note 5 3 2 5 4 2" xfId="6047"/>
    <cellStyle name="Note 5 3 2 5 5" xfId="6048"/>
    <cellStyle name="Note 5 3 2 5 5 2" xfId="6049"/>
    <cellStyle name="Note 5 3 2 5 6" xfId="6050"/>
    <cellStyle name="Note 5 3 2 5 6 2" xfId="6051"/>
    <cellStyle name="Note 5 3 2 5 7" xfId="6052"/>
    <cellStyle name="Note 5 3 2 5 7 2" xfId="6053"/>
    <cellStyle name="Note 5 3 2 5 8" xfId="6054"/>
    <cellStyle name="Note 5 3 2 5 8 2" xfId="6055"/>
    <cellStyle name="Note 5 3 2 5 9" xfId="6056"/>
    <cellStyle name="Note 5 3 2 5 9 2" xfId="6057"/>
    <cellStyle name="Note 5 3 2 6" xfId="6058"/>
    <cellStyle name="Note 5 3 2 6 10" xfId="6059"/>
    <cellStyle name="Note 5 3 2 6 10 2" xfId="6060"/>
    <cellStyle name="Note 5 3 2 6 11" xfId="6061"/>
    <cellStyle name="Note 5 3 2 6 2" xfId="6062"/>
    <cellStyle name="Note 5 3 2 6 2 2" xfId="6063"/>
    <cellStyle name="Note 5 3 2 6 2 2 2" xfId="6064"/>
    <cellStyle name="Note 5 3 2 6 2 3" xfId="6065"/>
    <cellStyle name="Note 5 3 2 6 3" xfId="6066"/>
    <cellStyle name="Note 5 3 2 6 3 2" xfId="6067"/>
    <cellStyle name="Note 5 3 2 6 4" xfId="6068"/>
    <cellStyle name="Note 5 3 2 6 4 2" xfId="6069"/>
    <cellStyle name="Note 5 3 2 6 5" xfId="6070"/>
    <cellStyle name="Note 5 3 2 6 5 2" xfId="6071"/>
    <cellStyle name="Note 5 3 2 6 6" xfId="6072"/>
    <cellStyle name="Note 5 3 2 6 6 2" xfId="6073"/>
    <cellStyle name="Note 5 3 2 6 7" xfId="6074"/>
    <cellStyle name="Note 5 3 2 6 7 2" xfId="6075"/>
    <cellStyle name="Note 5 3 2 6 8" xfId="6076"/>
    <cellStyle name="Note 5 3 2 6 8 2" xfId="6077"/>
    <cellStyle name="Note 5 3 2 6 9" xfId="6078"/>
    <cellStyle name="Note 5 3 2 6 9 2" xfId="6079"/>
    <cellStyle name="Note 5 3 2 7" xfId="6080"/>
    <cellStyle name="Note 5 3 2 7 2" xfId="6081"/>
    <cellStyle name="Note 5 3 2 7 2 2" xfId="6082"/>
    <cellStyle name="Note 5 3 2 7 3" xfId="6083"/>
    <cellStyle name="Note 5 3 2 8" xfId="6084"/>
    <cellStyle name="Note 5 3 2 8 2" xfId="6085"/>
    <cellStyle name="Note 5 3 2 9" xfId="6086"/>
    <cellStyle name="Note 5 3 2 9 2" xfId="6087"/>
    <cellStyle name="Note 5 3 3" xfId="6088"/>
    <cellStyle name="Note 5 3 3 2" xfId="6089"/>
    <cellStyle name="Note 5 3 3 2 2" xfId="6090"/>
    <cellStyle name="Note 5 3 3 2 2 2" xfId="6091"/>
    <cellStyle name="Note 5 3 3 2 3" xfId="6092"/>
    <cellStyle name="Note 5 3 3 3" xfId="6093"/>
    <cellStyle name="Note 5 3 3 3 2" xfId="6094"/>
    <cellStyle name="Note 5 3 3 3 2 2" xfId="6095"/>
    <cellStyle name="Note 5 3 3 3 3" xfId="6096"/>
    <cellStyle name="Note 5 3 3 4" xfId="6097"/>
    <cellStyle name="Note 5 3 3 4 2" xfId="6098"/>
    <cellStyle name="Note 5 3 3 5" xfId="6099"/>
    <cellStyle name="Note 5 3 3 5 2" xfId="6100"/>
    <cellStyle name="Note 5 3 3 6" xfId="6101"/>
    <cellStyle name="Note 5 3 3 6 2" xfId="6102"/>
    <cellStyle name="Note 5 3 3 7" xfId="6103"/>
    <cellStyle name="Note 5 3 3 7 2" xfId="6104"/>
    <cellStyle name="Note 5 3 3 8" xfId="6105"/>
    <cellStyle name="Note 5 3 4" xfId="6106"/>
    <cellStyle name="Note 5 3 4 10" xfId="6107"/>
    <cellStyle name="Note 5 3 4 10 2" xfId="6108"/>
    <cellStyle name="Note 5 3 4 11" xfId="6109"/>
    <cellStyle name="Note 5 3 4 2" xfId="6110"/>
    <cellStyle name="Note 5 3 4 2 2" xfId="6111"/>
    <cellStyle name="Note 5 3 4 2 2 2" xfId="6112"/>
    <cellStyle name="Note 5 3 4 2 3" xfId="6113"/>
    <cellStyle name="Note 5 3 4 3" xfId="6114"/>
    <cellStyle name="Note 5 3 4 3 2" xfId="6115"/>
    <cellStyle name="Note 5 3 4 4" xfId="6116"/>
    <cellStyle name="Note 5 3 4 4 2" xfId="6117"/>
    <cellStyle name="Note 5 3 4 5" xfId="6118"/>
    <cellStyle name="Note 5 3 4 5 2" xfId="6119"/>
    <cellStyle name="Note 5 3 4 6" xfId="6120"/>
    <cellStyle name="Note 5 3 4 6 2" xfId="6121"/>
    <cellStyle name="Note 5 3 4 7" xfId="6122"/>
    <cellStyle name="Note 5 3 4 7 2" xfId="6123"/>
    <cellStyle name="Note 5 3 4 8" xfId="6124"/>
    <cellStyle name="Note 5 3 4 8 2" xfId="6125"/>
    <cellStyle name="Note 5 3 4 9" xfId="6126"/>
    <cellStyle name="Note 5 3 4 9 2" xfId="6127"/>
    <cellStyle name="Note 5 3 5" xfId="6128"/>
    <cellStyle name="Note 5 3 5 10" xfId="6129"/>
    <cellStyle name="Note 5 3 5 10 2" xfId="6130"/>
    <cellStyle name="Note 5 3 5 11" xfId="6131"/>
    <cellStyle name="Note 5 3 5 2" xfId="6132"/>
    <cellStyle name="Note 5 3 5 2 2" xfId="6133"/>
    <cellStyle name="Note 5 3 5 2 2 2" xfId="6134"/>
    <cellStyle name="Note 5 3 5 2 3" xfId="6135"/>
    <cellStyle name="Note 5 3 5 3" xfId="6136"/>
    <cellStyle name="Note 5 3 5 3 2" xfId="6137"/>
    <cellStyle name="Note 5 3 5 4" xfId="6138"/>
    <cellStyle name="Note 5 3 5 4 2" xfId="6139"/>
    <cellStyle name="Note 5 3 5 5" xfId="6140"/>
    <cellStyle name="Note 5 3 5 5 2" xfId="6141"/>
    <cellStyle name="Note 5 3 5 6" xfId="6142"/>
    <cellStyle name="Note 5 3 5 6 2" xfId="6143"/>
    <cellStyle name="Note 5 3 5 7" xfId="6144"/>
    <cellStyle name="Note 5 3 5 7 2" xfId="6145"/>
    <cellStyle name="Note 5 3 5 8" xfId="6146"/>
    <cellStyle name="Note 5 3 5 8 2" xfId="6147"/>
    <cellStyle name="Note 5 3 5 9" xfId="6148"/>
    <cellStyle name="Note 5 3 5 9 2" xfId="6149"/>
    <cellStyle name="Note 5 3 6" xfId="6150"/>
    <cellStyle name="Note 5 3 6 10" xfId="6151"/>
    <cellStyle name="Note 5 3 6 10 2" xfId="6152"/>
    <cellStyle name="Note 5 3 6 11" xfId="6153"/>
    <cellStyle name="Note 5 3 6 2" xfId="6154"/>
    <cellStyle name="Note 5 3 6 2 2" xfId="6155"/>
    <cellStyle name="Note 5 3 6 2 2 2" xfId="6156"/>
    <cellStyle name="Note 5 3 6 2 3" xfId="6157"/>
    <cellStyle name="Note 5 3 6 3" xfId="6158"/>
    <cellStyle name="Note 5 3 6 3 2" xfId="6159"/>
    <cellStyle name="Note 5 3 6 4" xfId="6160"/>
    <cellStyle name="Note 5 3 6 4 2" xfId="6161"/>
    <cellStyle name="Note 5 3 6 5" xfId="6162"/>
    <cellStyle name="Note 5 3 6 5 2" xfId="6163"/>
    <cellStyle name="Note 5 3 6 6" xfId="6164"/>
    <cellStyle name="Note 5 3 6 6 2" xfId="6165"/>
    <cellStyle name="Note 5 3 6 7" xfId="6166"/>
    <cellStyle name="Note 5 3 6 7 2" xfId="6167"/>
    <cellStyle name="Note 5 3 6 8" xfId="6168"/>
    <cellStyle name="Note 5 3 6 8 2" xfId="6169"/>
    <cellStyle name="Note 5 3 6 9" xfId="6170"/>
    <cellStyle name="Note 5 3 6 9 2" xfId="6171"/>
    <cellStyle name="Note 5 3 7" xfId="6172"/>
    <cellStyle name="Note 5 3 7 10" xfId="6173"/>
    <cellStyle name="Note 5 3 7 10 2" xfId="6174"/>
    <cellStyle name="Note 5 3 7 11" xfId="6175"/>
    <cellStyle name="Note 5 3 7 2" xfId="6176"/>
    <cellStyle name="Note 5 3 7 2 2" xfId="6177"/>
    <cellStyle name="Note 5 3 7 2 2 2" xfId="6178"/>
    <cellStyle name="Note 5 3 7 2 3" xfId="6179"/>
    <cellStyle name="Note 5 3 7 3" xfId="6180"/>
    <cellStyle name="Note 5 3 7 3 2" xfId="6181"/>
    <cellStyle name="Note 5 3 7 4" xfId="6182"/>
    <cellStyle name="Note 5 3 7 4 2" xfId="6183"/>
    <cellStyle name="Note 5 3 7 5" xfId="6184"/>
    <cellStyle name="Note 5 3 7 5 2" xfId="6185"/>
    <cellStyle name="Note 5 3 7 6" xfId="6186"/>
    <cellStyle name="Note 5 3 7 6 2" xfId="6187"/>
    <cellStyle name="Note 5 3 7 7" xfId="6188"/>
    <cellStyle name="Note 5 3 7 7 2" xfId="6189"/>
    <cellStyle name="Note 5 3 7 8" xfId="6190"/>
    <cellStyle name="Note 5 3 7 8 2" xfId="6191"/>
    <cellStyle name="Note 5 3 7 9" xfId="6192"/>
    <cellStyle name="Note 5 3 7 9 2" xfId="6193"/>
    <cellStyle name="Note 5 3 8" xfId="6194"/>
    <cellStyle name="Note 5 3 8 2" xfId="6195"/>
    <cellStyle name="Note 5 3 8 2 2" xfId="6196"/>
    <cellStyle name="Note 5 3 8 3" xfId="6197"/>
    <cellStyle name="Note 5 3 9" xfId="6198"/>
    <cellStyle name="Note 5 3 9 2" xfId="6199"/>
    <cellStyle name="Note 5 3_7 - Cap Add WS" xfId="632"/>
    <cellStyle name="Note 5 4" xfId="633"/>
    <cellStyle name="Note 5 4 10" xfId="6200"/>
    <cellStyle name="Note 5 4 10 2" xfId="6201"/>
    <cellStyle name="Note 5 4 11" xfId="6202"/>
    <cellStyle name="Note 5 4 11 2" xfId="6203"/>
    <cellStyle name="Note 5 4 12" xfId="6204"/>
    <cellStyle name="Note 5 4 12 2" xfId="6205"/>
    <cellStyle name="Note 5 4 13" xfId="6206"/>
    <cellStyle name="Note 5 4 2" xfId="6207"/>
    <cellStyle name="Note 5 4 2 2" xfId="6208"/>
    <cellStyle name="Note 5 4 2 2 2" xfId="6209"/>
    <cellStyle name="Note 5 4 2 2 2 2" xfId="6210"/>
    <cellStyle name="Note 5 4 2 2 3" xfId="6211"/>
    <cellStyle name="Note 5 4 2 3" xfId="6212"/>
    <cellStyle name="Note 5 4 2 3 2" xfId="6213"/>
    <cellStyle name="Note 5 4 2 3 2 2" xfId="6214"/>
    <cellStyle name="Note 5 4 2 3 3" xfId="6215"/>
    <cellStyle name="Note 5 4 2 4" xfId="6216"/>
    <cellStyle name="Note 5 4 2 4 2" xfId="6217"/>
    <cellStyle name="Note 5 4 2 5" xfId="6218"/>
    <cellStyle name="Note 5 4 2 5 2" xfId="6219"/>
    <cellStyle name="Note 5 4 2 6" xfId="6220"/>
    <cellStyle name="Note 5 4 2 6 2" xfId="6221"/>
    <cellStyle name="Note 5 4 2 7" xfId="6222"/>
    <cellStyle name="Note 5 4 2 7 2" xfId="6223"/>
    <cellStyle name="Note 5 4 2 8" xfId="6224"/>
    <cellStyle name="Note 5 4 3" xfId="6225"/>
    <cellStyle name="Note 5 4 3 10" xfId="6226"/>
    <cellStyle name="Note 5 4 3 10 2" xfId="6227"/>
    <cellStyle name="Note 5 4 3 11" xfId="6228"/>
    <cellStyle name="Note 5 4 3 2" xfId="6229"/>
    <cellStyle name="Note 5 4 3 2 2" xfId="6230"/>
    <cellStyle name="Note 5 4 3 2 2 2" xfId="6231"/>
    <cellStyle name="Note 5 4 3 2 3" xfId="6232"/>
    <cellStyle name="Note 5 4 3 3" xfId="6233"/>
    <cellStyle name="Note 5 4 3 3 2" xfId="6234"/>
    <cellStyle name="Note 5 4 3 4" xfId="6235"/>
    <cellStyle name="Note 5 4 3 4 2" xfId="6236"/>
    <cellStyle name="Note 5 4 3 5" xfId="6237"/>
    <cellStyle name="Note 5 4 3 5 2" xfId="6238"/>
    <cellStyle name="Note 5 4 3 6" xfId="6239"/>
    <cellStyle name="Note 5 4 3 6 2" xfId="6240"/>
    <cellStyle name="Note 5 4 3 7" xfId="6241"/>
    <cellStyle name="Note 5 4 3 7 2" xfId="6242"/>
    <cellStyle name="Note 5 4 3 8" xfId="6243"/>
    <cellStyle name="Note 5 4 3 8 2" xfId="6244"/>
    <cellStyle name="Note 5 4 3 9" xfId="6245"/>
    <cellStyle name="Note 5 4 3 9 2" xfId="6246"/>
    <cellStyle name="Note 5 4 4" xfId="6247"/>
    <cellStyle name="Note 5 4 4 10" xfId="6248"/>
    <cellStyle name="Note 5 4 4 10 2" xfId="6249"/>
    <cellStyle name="Note 5 4 4 11" xfId="6250"/>
    <cellStyle name="Note 5 4 4 2" xfId="6251"/>
    <cellStyle name="Note 5 4 4 2 2" xfId="6252"/>
    <cellStyle name="Note 5 4 4 2 2 2" xfId="6253"/>
    <cellStyle name="Note 5 4 4 2 3" xfId="6254"/>
    <cellStyle name="Note 5 4 4 3" xfId="6255"/>
    <cellStyle name="Note 5 4 4 3 2" xfId="6256"/>
    <cellStyle name="Note 5 4 4 4" xfId="6257"/>
    <cellStyle name="Note 5 4 4 4 2" xfId="6258"/>
    <cellStyle name="Note 5 4 4 5" xfId="6259"/>
    <cellStyle name="Note 5 4 4 5 2" xfId="6260"/>
    <cellStyle name="Note 5 4 4 6" xfId="6261"/>
    <cellStyle name="Note 5 4 4 6 2" xfId="6262"/>
    <cellStyle name="Note 5 4 4 7" xfId="6263"/>
    <cellStyle name="Note 5 4 4 7 2" xfId="6264"/>
    <cellStyle name="Note 5 4 4 8" xfId="6265"/>
    <cellStyle name="Note 5 4 4 8 2" xfId="6266"/>
    <cellStyle name="Note 5 4 4 9" xfId="6267"/>
    <cellStyle name="Note 5 4 4 9 2" xfId="6268"/>
    <cellStyle name="Note 5 4 5" xfId="6269"/>
    <cellStyle name="Note 5 4 5 10" xfId="6270"/>
    <cellStyle name="Note 5 4 5 10 2" xfId="6271"/>
    <cellStyle name="Note 5 4 5 11" xfId="6272"/>
    <cellStyle name="Note 5 4 5 2" xfId="6273"/>
    <cellStyle name="Note 5 4 5 2 2" xfId="6274"/>
    <cellStyle name="Note 5 4 5 2 2 2" xfId="6275"/>
    <cellStyle name="Note 5 4 5 2 3" xfId="6276"/>
    <cellStyle name="Note 5 4 5 3" xfId="6277"/>
    <cellStyle name="Note 5 4 5 3 2" xfId="6278"/>
    <cellStyle name="Note 5 4 5 4" xfId="6279"/>
    <cellStyle name="Note 5 4 5 4 2" xfId="6280"/>
    <cellStyle name="Note 5 4 5 5" xfId="6281"/>
    <cellStyle name="Note 5 4 5 5 2" xfId="6282"/>
    <cellStyle name="Note 5 4 5 6" xfId="6283"/>
    <cellStyle name="Note 5 4 5 6 2" xfId="6284"/>
    <cellStyle name="Note 5 4 5 7" xfId="6285"/>
    <cellStyle name="Note 5 4 5 7 2" xfId="6286"/>
    <cellStyle name="Note 5 4 5 8" xfId="6287"/>
    <cellStyle name="Note 5 4 5 8 2" xfId="6288"/>
    <cellStyle name="Note 5 4 5 9" xfId="6289"/>
    <cellStyle name="Note 5 4 5 9 2" xfId="6290"/>
    <cellStyle name="Note 5 4 6" xfId="6291"/>
    <cellStyle name="Note 5 4 6 10" xfId="6292"/>
    <cellStyle name="Note 5 4 6 10 2" xfId="6293"/>
    <cellStyle name="Note 5 4 6 11" xfId="6294"/>
    <cellStyle name="Note 5 4 6 2" xfId="6295"/>
    <cellStyle name="Note 5 4 6 2 2" xfId="6296"/>
    <cellStyle name="Note 5 4 6 2 2 2" xfId="6297"/>
    <cellStyle name="Note 5 4 6 2 3" xfId="6298"/>
    <cellStyle name="Note 5 4 6 3" xfId="6299"/>
    <cellStyle name="Note 5 4 6 3 2" xfId="6300"/>
    <cellStyle name="Note 5 4 6 4" xfId="6301"/>
    <cellStyle name="Note 5 4 6 4 2" xfId="6302"/>
    <cellStyle name="Note 5 4 6 5" xfId="6303"/>
    <cellStyle name="Note 5 4 6 5 2" xfId="6304"/>
    <cellStyle name="Note 5 4 6 6" xfId="6305"/>
    <cellStyle name="Note 5 4 6 6 2" xfId="6306"/>
    <cellStyle name="Note 5 4 6 7" xfId="6307"/>
    <cellStyle name="Note 5 4 6 7 2" xfId="6308"/>
    <cellStyle name="Note 5 4 6 8" xfId="6309"/>
    <cellStyle name="Note 5 4 6 8 2" xfId="6310"/>
    <cellStyle name="Note 5 4 6 9" xfId="6311"/>
    <cellStyle name="Note 5 4 6 9 2" xfId="6312"/>
    <cellStyle name="Note 5 4 7" xfId="6313"/>
    <cellStyle name="Note 5 4 7 2" xfId="6314"/>
    <cellStyle name="Note 5 4 7 2 2" xfId="6315"/>
    <cellStyle name="Note 5 4 7 3" xfId="6316"/>
    <cellStyle name="Note 5 4 8" xfId="6317"/>
    <cellStyle name="Note 5 4 8 2" xfId="6318"/>
    <cellStyle name="Note 5 4 9" xfId="6319"/>
    <cellStyle name="Note 5 4 9 2" xfId="6320"/>
    <cellStyle name="Note 5 5" xfId="6321"/>
    <cellStyle name="Note 5 5 2" xfId="6322"/>
    <cellStyle name="Note 5 5 2 2" xfId="6323"/>
    <cellStyle name="Note 5 5 2 2 2" xfId="6324"/>
    <cellStyle name="Note 5 5 2 3" xfId="6325"/>
    <cellStyle name="Note 5 5 3" xfId="6326"/>
    <cellStyle name="Note 5 5 3 2" xfId="6327"/>
    <cellStyle name="Note 5 5 3 2 2" xfId="6328"/>
    <cellStyle name="Note 5 5 3 3" xfId="6329"/>
    <cellStyle name="Note 5 5 4" xfId="6330"/>
    <cellStyle name="Note 5 5 4 2" xfId="6331"/>
    <cellStyle name="Note 5 5 5" xfId="6332"/>
    <cellStyle name="Note 5 5 5 2" xfId="6333"/>
    <cellStyle name="Note 5 5 6" xfId="6334"/>
    <cellStyle name="Note 5 5 6 2" xfId="6335"/>
    <cellStyle name="Note 5 5 7" xfId="6336"/>
    <cellStyle name="Note 5 5 7 2" xfId="6337"/>
    <cellStyle name="Note 5 5 8" xfId="6338"/>
    <cellStyle name="Note 5 6" xfId="6339"/>
    <cellStyle name="Note 5 6 10" xfId="6340"/>
    <cellStyle name="Note 5 6 10 2" xfId="6341"/>
    <cellStyle name="Note 5 6 11" xfId="6342"/>
    <cellStyle name="Note 5 6 2" xfId="6343"/>
    <cellStyle name="Note 5 6 2 2" xfId="6344"/>
    <cellStyle name="Note 5 6 2 2 2" xfId="6345"/>
    <cellStyle name="Note 5 6 2 3" xfId="6346"/>
    <cellStyle name="Note 5 6 3" xfId="6347"/>
    <cellStyle name="Note 5 6 3 2" xfId="6348"/>
    <cellStyle name="Note 5 6 4" xfId="6349"/>
    <cellStyle name="Note 5 6 4 2" xfId="6350"/>
    <cellStyle name="Note 5 6 5" xfId="6351"/>
    <cellStyle name="Note 5 6 5 2" xfId="6352"/>
    <cellStyle name="Note 5 6 6" xfId="6353"/>
    <cellStyle name="Note 5 6 6 2" xfId="6354"/>
    <cellStyle name="Note 5 6 7" xfId="6355"/>
    <cellStyle name="Note 5 6 7 2" xfId="6356"/>
    <cellStyle name="Note 5 6 8" xfId="6357"/>
    <cellStyle name="Note 5 6 8 2" xfId="6358"/>
    <cellStyle name="Note 5 6 9" xfId="6359"/>
    <cellStyle name="Note 5 6 9 2" xfId="6360"/>
    <cellStyle name="Note 5 7" xfId="6361"/>
    <cellStyle name="Note 5 7 10" xfId="6362"/>
    <cellStyle name="Note 5 7 10 2" xfId="6363"/>
    <cellStyle name="Note 5 7 11" xfId="6364"/>
    <cellStyle name="Note 5 7 2" xfId="6365"/>
    <cellStyle name="Note 5 7 2 2" xfId="6366"/>
    <cellStyle name="Note 5 7 2 2 2" xfId="6367"/>
    <cellStyle name="Note 5 7 2 3" xfId="6368"/>
    <cellStyle name="Note 5 7 3" xfId="6369"/>
    <cellStyle name="Note 5 7 3 2" xfId="6370"/>
    <cellStyle name="Note 5 7 4" xfId="6371"/>
    <cellStyle name="Note 5 7 4 2" xfId="6372"/>
    <cellStyle name="Note 5 7 5" xfId="6373"/>
    <cellStyle name="Note 5 7 5 2" xfId="6374"/>
    <cellStyle name="Note 5 7 6" xfId="6375"/>
    <cellStyle name="Note 5 7 6 2" xfId="6376"/>
    <cellStyle name="Note 5 7 7" xfId="6377"/>
    <cellStyle name="Note 5 7 7 2" xfId="6378"/>
    <cellStyle name="Note 5 7 8" xfId="6379"/>
    <cellStyle name="Note 5 7 8 2" xfId="6380"/>
    <cellStyle name="Note 5 7 9" xfId="6381"/>
    <cellStyle name="Note 5 7 9 2" xfId="6382"/>
    <cellStyle name="Note 5 8" xfId="6383"/>
    <cellStyle name="Note 5 8 10" xfId="6384"/>
    <cellStyle name="Note 5 8 10 2" xfId="6385"/>
    <cellStyle name="Note 5 8 11" xfId="6386"/>
    <cellStyle name="Note 5 8 2" xfId="6387"/>
    <cellStyle name="Note 5 8 2 2" xfId="6388"/>
    <cellStyle name="Note 5 8 2 2 2" xfId="6389"/>
    <cellStyle name="Note 5 8 2 3" xfId="6390"/>
    <cellStyle name="Note 5 8 3" xfId="6391"/>
    <cellStyle name="Note 5 8 3 2" xfId="6392"/>
    <cellStyle name="Note 5 8 4" xfId="6393"/>
    <cellStyle name="Note 5 8 4 2" xfId="6394"/>
    <cellStyle name="Note 5 8 5" xfId="6395"/>
    <cellStyle name="Note 5 8 5 2" xfId="6396"/>
    <cellStyle name="Note 5 8 6" xfId="6397"/>
    <cellStyle name="Note 5 8 6 2" xfId="6398"/>
    <cellStyle name="Note 5 8 7" xfId="6399"/>
    <cellStyle name="Note 5 8 7 2" xfId="6400"/>
    <cellStyle name="Note 5 8 8" xfId="6401"/>
    <cellStyle name="Note 5 8 8 2" xfId="6402"/>
    <cellStyle name="Note 5 8 9" xfId="6403"/>
    <cellStyle name="Note 5 8 9 2" xfId="6404"/>
    <cellStyle name="Note 5 9" xfId="6405"/>
    <cellStyle name="Note 5 9 10" xfId="6406"/>
    <cellStyle name="Note 5 9 10 2" xfId="6407"/>
    <cellStyle name="Note 5 9 11" xfId="6408"/>
    <cellStyle name="Note 5 9 2" xfId="6409"/>
    <cellStyle name="Note 5 9 2 2" xfId="6410"/>
    <cellStyle name="Note 5 9 2 2 2" xfId="6411"/>
    <cellStyle name="Note 5 9 2 3" xfId="6412"/>
    <cellStyle name="Note 5 9 3" xfId="6413"/>
    <cellStyle name="Note 5 9 3 2" xfId="6414"/>
    <cellStyle name="Note 5 9 4" xfId="6415"/>
    <cellStyle name="Note 5 9 4 2" xfId="6416"/>
    <cellStyle name="Note 5 9 5" xfId="6417"/>
    <cellStyle name="Note 5 9 5 2" xfId="6418"/>
    <cellStyle name="Note 5 9 6" xfId="6419"/>
    <cellStyle name="Note 5 9 6 2" xfId="6420"/>
    <cellStyle name="Note 5 9 7" xfId="6421"/>
    <cellStyle name="Note 5 9 7 2" xfId="6422"/>
    <cellStyle name="Note 5 9 8" xfId="6423"/>
    <cellStyle name="Note 5 9 8 2" xfId="6424"/>
    <cellStyle name="Note 5 9 9" xfId="6425"/>
    <cellStyle name="Note 5 9 9 2" xfId="6426"/>
    <cellStyle name="Note 5_7 - Cap Add WS" xfId="634"/>
    <cellStyle name="Note 6" xfId="635"/>
    <cellStyle name="Note 6 10" xfId="6427"/>
    <cellStyle name="Note 6 10 2" xfId="6428"/>
    <cellStyle name="Note 6 10 2 2" xfId="6429"/>
    <cellStyle name="Note 6 10 3" xfId="6430"/>
    <cellStyle name="Note 6 11" xfId="6431"/>
    <cellStyle name="Note 6 11 2" xfId="6432"/>
    <cellStyle name="Note 6 12" xfId="6433"/>
    <cellStyle name="Note 6 12 2" xfId="6434"/>
    <cellStyle name="Note 6 13" xfId="6435"/>
    <cellStyle name="Note 6 13 2" xfId="6436"/>
    <cellStyle name="Note 6 14" xfId="6437"/>
    <cellStyle name="Note 6 14 2" xfId="6438"/>
    <cellStyle name="Note 6 15" xfId="6439"/>
    <cellStyle name="Note 6 15 2" xfId="6440"/>
    <cellStyle name="Note 6 16" xfId="6441"/>
    <cellStyle name="Note 6 2" xfId="636"/>
    <cellStyle name="Note 6 2 10" xfId="6442"/>
    <cellStyle name="Note 6 2 10 2" xfId="6443"/>
    <cellStyle name="Note 6 2 11" xfId="6444"/>
    <cellStyle name="Note 6 2 11 2" xfId="6445"/>
    <cellStyle name="Note 6 2 12" xfId="6446"/>
    <cellStyle name="Note 6 2 12 2" xfId="6447"/>
    <cellStyle name="Note 6 2 13" xfId="6448"/>
    <cellStyle name="Note 6 2 13 2" xfId="6449"/>
    <cellStyle name="Note 6 2 14" xfId="6450"/>
    <cellStyle name="Note 6 2 2" xfId="637"/>
    <cellStyle name="Note 6 2 2 10" xfId="6451"/>
    <cellStyle name="Note 6 2 2 10 2" xfId="6452"/>
    <cellStyle name="Note 6 2 2 11" xfId="6453"/>
    <cellStyle name="Note 6 2 2 11 2" xfId="6454"/>
    <cellStyle name="Note 6 2 2 12" xfId="6455"/>
    <cellStyle name="Note 6 2 2 12 2" xfId="6456"/>
    <cellStyle name="Note 6 2 2 13" xfId="6457"/>
    <cellStyle name="Note 6 2 2 2" xfId="6458"/>
    <cellStyle name="Note 6 2 2 2 2" xfId="6459"/>
    <cellStyle name="Note 6 2 2 2 2 2" xfId="6460"/>
    <cellStyle name="Note 6 2 2 2 2 2 2" xfId="6461"/>
    <cellStyle name="Note 6 2 2 2 2 3" xfId="6462"/>
    <cellStyle name="Note 6 2 2 2 3" xfId="6463"/>
    <cellStyle name="Note 6 2 2 2 3 2" xfId="6464"/>
    <cellStyle name="Note 6 2 2 2 3 2 2" xfId="6465"/>
    <cellStyle name="Note 6 2 2 2 3 3" xfId="6466"/>
    <cellStyle name="Note 6 2 2 2 4" xfId="6467"/>
    <cellStyle name="Note 6 2 2 2 4 2" xfId="6468"/>
    <cellStyle name="Note 6 2 2 2 5" xfId="6469"/>
    <cellStyle name="Note 6 2 2 2 5 2" xfId="6470"/>
    <cellStyle name="Note 6 2 2 2 6" xfId="6471"/>
    <cellStyle name="Note 6 2 2 2 6 2" xfId="6472"/>
    <cellStyle name="Note 6 2 2 2 7" xfId="6473"/>
    <cellStyle name="Note 6 2 2 2 7 2" xfId="6474"/>
    <cellStyle name="Note 6 2 2 2 8" xfId="6475"/>
    <cellStyle name="Note 6 2 2 3" xfId="6476"/>
    <cellStyle name="Note 6 2 2 3 10" xfId="6477"/>
    <cellStyle name="Note 6 2 2 3 10 2" xfId="6478"/>
    <cellStyle name="Note 6 2 2 3 11" xfId="6479"/>
    <cellStyle name="Note 6 2 2 3 2" xfId="6480"/>
    <cellStyle name="Note 6 2 2 3 2 2" xfId="6481"/>
    <cellStyle name="Note 6 2 2 3 2 2 2" xfId="6482"/>
    <cellStyle name="Note 6 2 2 3 2 3" xfId="6483"/>
    <cellStyle name="Note 6 2 2 3 3" xfId="6484"/>
    <cellStyle name="Note 6 2 2 3 3 2" xfId="6485"/>
    <cellStyle name="Note 6 2 2 3 4" xfId="6486"/>
    <cellStyle name="Note 6 2 2 3 4 2" xfId="6487"/>
    <cellStyle name="Note 6 2 2 3 5" xfId="6488"/>
    <cellStyle name="Note 6 2 2 3 5 2" xfId="6489"/>
    <cellStyle name="Note 6 2 2 3 6" xfId="6490"/>
    <cellStyle name="Note 6 2 2 3 6 2" xfId="6491"/>
    <cellStyle name="Note 6 2 2 3 7" xfId="6492"/>
    <cellStyle name="Note 6 2 2 3 7 2" xfId="6493"/>
    <cellStyle name="Note 6 2 2 3 8" xfId="6494"/>
    <cellStyle name="Note 6 2 2 3 8 2" xfId="6495"/>
    <cellStyle name="Note 6 2 2 3 9" xfId="6496"/>
    <cellStyle name="Note 6 2 2 3 9 2" xfId="6497"/>
    <cellStyle name="Note 6 2 2 4" xfId="6498"/>
    <cellStyle name="Note 6 2 2 4 10" xfId="6499"/>
    <cellStyle name="Note 6 2 2 4 10 2" xfId="6500"/>
    <cellStyle name="Note 6 2 2 4 11" xfId="6501"/>
    <cellStyle name="Note 6 2 2 4 2" xfId="6502"/>
    <cellStyle name="Note 6 2 2 4 2 2" xfId="6503"/>
    <cellStyle name="Note 6 2 2 4 2 2 2" xfId="6504"/>
    <cellStyle name="Note 6 2 2 4 2 3" xfId="6505"/>
    <cellStyle name="Note 6 2 2 4 3" xfId="6506"/>
    <cellStyle name="Note 6 2 2 4 3 2" xfId="6507"/>
    <cellStyle name="Note 6 2 2 4 4" xfId="6508"/>
    <cellStyle name="Note 6 2 2 4 4 2" xfId="6509"/>
    <cellStyle name="Note 6 2 2 4 5" xfId="6510"/>
    <cellStyle name="Note 6 2 2 4 5 2" xfId="6511"/>
    <cellStyle name="Note 6 2 2 4 6" xfId="6512"/>
    <cellStyle name="Note 6 2 2 4 6 2" xfId="6513"/>
    <cellStyle name="Note 6 2 2 4 7" xfId="6514"/>
    <cellStyle name="Note 6 2 2 4 7 2" xfId="6515"/>
    <cellStyle name="Note 6 2 2 4 8" xfId="6516"/>
    <cellStyle name="Note 6 2 2 4 8 2" xfId="6517"/>
    <cellStyle name="Note 6 2 2 4 9" xfId="6518"/>
    <cellStyle name="Note 6 2 2 4 9 2" xfId="6519"/>
    <cellStyle name="Note 6 2 2 5" xfId="6520"/>
    <cellStyle name="Note 6 2 2 5 10" xfId="6521"/>
    <cellStyle name="Note 6 2 2 5 10 2" xfId="6522"/>
    <cellStyle name="Note 6 2 2 5 11" xfId="6523"/>
    <cellStyle name="Note 6 2 2 5 2" xfId="6524"/>
    <cellStyle name="Note 6 2 2 5 2 2" xfId="6525"/>
    <cellStyle name="Note 6 2 2 5 2 2 2" xfId="6526"/>
    <cellStyle name="Note 6 2 2 5 2 3" xfId="6527"/>
    <cellStyle name="Note 6 2 2 5 3" xfId="6528"/>
    <cellStyle name="Note 6 2 2 5 3 2" xfId="6529"/>
    <cellStyle name="Note 6 2 2 5 4" xfId="6530"/>
    <cellStyle name="Note 6 2 2 5 4 2" xfId="6531"/>
    <cellStyle name="Note 6 2 2 5 5" xfId="6532"/>
    <cellStyle name="Note 6 2 2 5 5 2" xfId="6533"/>
    <cellStyle name="Note 6 2 2 5 6" xfId="6534"/>
    <cellStyle name="Note 6 2 2 5 6 2" xfId="6535"/>
    <cellStyle name="Note 6 2 2 5 7" xfId="6536"/>
    <cellStyle name="Note 6 2 2 5 7 2" xfId="6537"/>
    <cellStyle name="Note 6 2 2 5 8" xfId="6538"/>
    <cellStyle name="Note 6 2 2 5 8 2" xfId="6539"/>
    <cellStyle name="Note 6 2 2 5 9" xfId="6540"/>
    <cellStyle name="Note 6 2 2 5 9 2" xfId="6541"/>
    <cellStyle name="Note 6 2 2 6" xfId="6542"/>
    <cellStyle name="Note 6 2 2 6 10" xfId="6543"/>
    <cellStyle name="Note 6 2 2 6 10 2" xfId="6544"/>
    <cellStyle name="Note 6 2 2 6 11" xfId="6545"/>
    <cellStyle name="Note 6 2 2 6 2" xfId="6546"/>
    <cellStyle name="Note 6 2 2 6 2 2" xfId="6547"/>
    <cellStyle name="Note 6 2 2 6 2 2 2" xfId="6548"/>
    <cellStyle name="Note 6 2 2 6 2 3" xfId="6549"/>
    <cellStyle name="Note 6 2 2 6 3" xfId="6550"/>
    <cellStyle name="Note 6 2 2 6 3 2" xfId="6551"/>
    <cellStyle name="Note 6 2 2 6 4" xfId="6552"/>
    <cellStyle name="Note 6 2 2 6 4 2" xfId="6553"/>
    <cellStyle name="Note 6 2 2 6 5" xfId="6554"/>
    <cellStyle name="Note 6 2 2 6 5 2" xfId="6555"/>
    <cellStyle name="Note 6 2 2 6 6" xfId="6556"/>
    <cellStyle name="Note 6 2 2 6 6 2" xfId="6557"/>
    <cellStyle name="Note 6 2 2 6 7" xfId="6558"/>
    <cellStyle name="Note 6 2 2 6 7 2" xfId="6559"/>
    <cellStyle name="Note 6 2 2 6 8" xfId="6560"/>
    <cellStyle name="Note 6 2 2 6 8 2" xfId="6561"/>
    <cellStyle name="Note 6 2 2 6 9" xfId="6562"/>
    <cellStyle name="Note 6 2 2 6 9 2" xfId="6563"/>
    <cellStyle name="Note 6 2 2 7" xfId="6564"/>
    <cellStyle name="Note 6 2 2 7 2" xfId="6565"/>
    <cellStyle name="Note 6 2 2 7 2 2" xfId="6566"/>
    <cellStyle name="Note 6 2 2 7 3" xfId="6567"/>
    <cellStyle name="Note 6 2 2 8" xfId="6568"/>
    <cellStyle name="Note 6 2 2 8 2" xfId="6569"/>
    <cellStyle name="Note 6 2 2 9" xfId="6570"/>
    <cellStyle name="Note 6 2 2 9 2" xfId="6571"/>
    <cellStyle name="Note 6 2 3" xfId="6572"/>
    <cellStyle name="Note 6 2 3 2" xfId="6573"/>
    <cellStyle name="Note 6 2 3 2 2" xfId="6574"/>
    <cellStyle name="Note 6 2 3 2 2 2" xfId="6575"/>
    <cellStyle name="Note 6 2 3 2 3" xfId="6576"/>
    <cellStyle name="Note 6 2 3 3" xfId="6577"/>
    <cellStyle name="Note 6 2 3 3 2" xfId="6578"/>
    <cellStyle name="Note 6 2 3 3 2 2" xfId="6579"/>
    <cellStyle name="Note 6 2 3 3 3" xfId="6580"/>
    <cellStyle name="Note 6 2 3 4" xfId="6581"/>
    <cellStyle name="Note 6 2 3 4 2" xfId="6582"/>
    <cellStyle name="Note 6 2 3 5" xfId="6583"/>
    <cellStyle name="Note 6 2 3 5 2" xfId="6584"/>
    <cellStyle name="Note 6 2 3 6" xfId="6585"/>
    <cellStyle name="Note 6 2 3 6 2" xfId="6586"/>
    <cellStyle name="Note 6 2 3 7" xfId="6587"/>
    <cellStyle name="Note 6 2 3 7 2" xfId="6588"/>
    <cellStyle name="Note 6 2 3 8" xfId="6589"/>
    <cellStyle name="Note 6 2 4" xfId="6590"/>
    <cellStyle name="Note 6 2 4 10" xfId="6591"/>
    <cellStyle name="Note 6 2 4 10 2" xfId="6592"/>
    <cellStyle name="Note 6 2 4 11" xfId="6593"/>
    <cellStyle name="Note 6 2 4 2" xfId="6594"/>
    <cellStyle name="Note 6 2 4 2 2" xfId="6595"/>
    <cellStyle name="Note 6 2 4 2 2 2" xfId="6596"/>
    <cellStyle name="Note 6 2 4 2 3" xfId="6597"/>
    <cellStyle name="Note 6 2 4 3" xfId="6598"/>
    <cellStyle name="Note 6 2 4 3 2" xfId="6599"/>
    <cellStyle name="Note 6 2 4 4" xfId="6600"/>
    <cellStyle name="Note 6 2 4 4 2" xfId="6601"/>
    <cellStyle name="Note 6 2 4 5" xfId="6602"/>
    <cellStyle name="Note 6 2 4 5 2" xfId="6603"/>
    <cellStyle name="Note 6 2 4 6" xfId="6604"/>
    <cellStyle name="Note 6 2 4 6 2" xfId="6605"/>
    <cellStyle name="Note 6 2 4 7" xfId="6606"/>
    <cellStyle name="Note 6 2 4 7 2" xfId="6607"/>
    <cellStyle name="Note 6 2 4 8" xfId="6608"/>
    <cellStyle name="Note 6 2 4 8 2" xfId="6609"/>
    <cellStyle name="Note 6 2 4 9" xfId="6610"/>
    <cellStyle name="Note 6 2 4 9 2" xfId="6611"/>
    <cellStyle name="Note 6 2 5" xfId="6612"/>
    <cellStyle name="Note 6 2 5 10" xfId="6613"/>
    <cellStyle name="Note 6 2 5 10 2" xfId="6614"/>
    <cellStyle name="Note 6 2 5 11" xfId="6615"/>
    <cellStyle name="Note 6 2 5 2" xfId="6616"/>
    <cellStyle name="Note 6 2 5 2 2" xfId="6617"/>
    <cellStyle name="Note 6 2 5 2 2 2" xfId="6618"/>
    <cellStyle name="Note 6 2 5 2 3" xfId="6619"/>
    <cellStyle name="Note 6 2 5 3" xfId="6620"/>
    <cellStyle name="Note 6 2 5 3 2" xfId="6621"/>
    <cellStyle name="Note 6 2 5 4" xfId="6622"/>
    <cellStyle name="Note 6 2 5 4 2" xfId="6623"/>
    <cellStyle name="Note 6 2 5 5" xfId="6624"/>
    <cellStyle name="Note 6 2 5 5 2" xfId="6625"/>
    <cellStyle name="Note 6 2 5 6" xfId="6626"/>
    <cellStyle name="Note 6 2 5 6 2" xfId="6627"/>
    <cellStyle name="Note 6 2 5 7" xfId="6628"/>
    <cellStyle name="Note 6 2 5 7 2" xfId="6629"/>
    <cellStyle name="Note 6 2 5 8" xfId="6630"/>
    <cellStyle name="Note 6 2 5 8 2" xfId="6631"/>
    <cellStyle name="Note 6 2 5 9" xfId="6632"/>
    <cellStyle name="Note 6 2 5 9 2" xfId="6633"/>
    <cellStyle name="Note 6 2 6" xfId="6634"/>
    <cellStyle name="Note 6 2 6 10" xfId="6635"/>
    <cellStyle name="Note 6 2 6 10 2" xfId="6636"/>
    <cellStyle name="Note 6 2 6 11" xfId="6637"/>
    <cellStyle name="Note 6 2 6 2" xfId="6638"/>
    <cellStyle name="Note 6 2 6 2 2" xfId="6639"/>
    <cellStyle name="Note 6 2 6 2 2 2" xfId="6640"/>
    <cellStyle name="Note 6 2 6 2 3" xfId="6641"/>
    <cellStyle name="Note 6 2 6 3" xfId="6642"/>
    <cellStyle name="Note 6 2 6 3 2" xfId="6643"/>
    <cellStyle name="Note 6 2 6 4" xfId="6644"/>
    <cellStyle name="Note 6 2 6 4 2" xfId="6645"/>
    <cellStyle name="Note 6 2 6 5" xfId="6646"/>
    <cellStyle name="Note 6 2 6 5 2" xfId="6647"/>
    <cellStyle name="Note 6 2 6 6" xfId="6648"/>
    <cellStyle name="Note 6 2 6 6 2" xfId="6649"/>
    <cellStyle name="Note 6 2 6 7" xfId="6650"/>
    <cellStyle name="Note 6 2 6 7 2" xfId="6651"/>
    <cellStyle name="Note 6 2 6 8" xfId="6652"/>
    <cellStyle name="Note 6 2 6 8 2" xfId="6653"/>
    <cellStyle name="Note 6 2 6 9" xfId="6654"/>
    <cellStyle name="Note 6 2 6 9 2" xfId="6655"/>
    <cellStyle name="Note 6 2 7" xfId="6656"/>
    <cellStyle name="Note 6 2 7 10" xfId="6657"/>
    <cellStyle name="Note 6 2 7 10 2" xfId="6658"/>
    <cellStyle name="Note 6 2 7 11" xfId="6659"/>
    <cellStyle name="Note 6 2 7 2" xfId="6660"/>
    <cellStyle name="Note 6 2 7 2 2" xfId="6661"/>
    <cellStyle name="Note 6 2 7 2 2 2" xfId="6662"/>
    <cellStyle name="Note 6 2 7 2 3" xfId="6663"/>
    <cellStyle name="Note 6 2 7 3" xfId="6664"/>
    <cellStyle name="Note 6 2 7 3 2" xfId="6665"/>
    <cellStyle name="Note 6 2 7 4" xfId="6666"/>
    <cellStyle name="Note 6 2 7 4 2" xfId="6667"/>
    <cellStyle name="Note 6 2 7 5" xfId="6668"/>
    <cellStyle name="Note 6 2 7 5 2" xfId="6669"/>
    <cellStyle name="Note 6 2 7 6" xfId="6670"/>
    <cellStyle name="Note 6 2 7 6 2" xfId="6671"/>
    <cellStyle name="Note 6 2 7 7" xfId="6672"/>
    <cellStyle name="Note 6 2 7 7 2" xfId="6673"/>
    <cellStyle name="Note 6 2 7 8" xfId="6674"/>
    <cellStyle name="Note 6 2 7 8 2" xfId="6675"/>
    <cellStyle name="Note 6 2 7 9" xfId="6676"/>
    <cellStyle name="Note 6 2 7 9 2" xfId="6677"/>
    <cellStyle name="Note 6 2 8" xfId="6678"/>
    <cellStyle name="Note 6 2 8 2" xfId="6679"/>
    <cellStyle name="Note 6 2 8 2 2" xfId="6680"/>
    <cellStyle name="Note 6 2 8 3" xfId="6681"/>
    <cellStyle name="Note 6 2 9" xfId="6682"/>
    <cellStyle name="Note 6 2 9 2" xfId="6683"/>
    <cellStyle name="Note 6 2_7 - Cap Add WS" xfId="638"/>
    <cellStyle name="Note 6 3" xfId="639"/>
    <cellStyle name="Note 6 3 10" xfId="6684"/>
    <cellStyle name="Note 6 3 10 2" xfId="6685"/>
    <cellStyle name="Note 6 3 11" xfId="6686"/>
    <cellStyle name="Note 6 3 11 2" xfId="6687"/>
    <cellStyle name="Note 6 3 12" xfId="6688"/>
    <cellStyle name="Note 6 3 12 2" xfId="6689"/>
    <cellStyle name="Note 6 3 13" xfId="6690"/>
    <cellStyle name="Note 6 3 13 2" xfId="6691"/>
    <cellStyle name="Note 6 3 14" xfId="6692"/>
    <cellStyle name="Note 6 3 2" xfId="640"/>
    <cellStyle name="Note 6 3 2 10" xfId="6693"/>
    <cellStyle name="Note 6 3 2 10 2" xfId="6694"/>
    <cellStyle name="Note 6 3 2 11" xfId="6695"/>
    <cellStyle name="Note 6 3 2 11 2" xfId="6696"/>
    <cellStyle name="Note 6 3 2 12" xfId="6697"/>
    <cellStyle name="Note 6 3 2 12 2" xfId="6698"/>
    <cellStyle name="Note 6 3 2 13" xfId="6699"/>
    <cellStyle name="Note 6 3 2 2" xfId="6700"/>
    <cellStyle name="Note 6 3 2 2 2" xfId="6701"/>
    <cellStyle name="Note 6 3 2 2 2 2" xfId="6702"/>
    <cellStyle name="Note 6 3 2 2 2 2 2" xfId="6703"/>
    <cellStyle name="Note 6 3 2 2 2 3" xfId="6704"/>
    <cellStyle name="Note 6 3 2 2 3" xfId="6705"/>
    <cellStyle name="Note 6 3 2 2 3 2" xfId="6706"/>
    <cellStyle name="Note 6 3 2 2 3 2 2" xfId="6707"/>
    <cellStyle name="Note 6 3 2 2 3 3" xfId="6708"/>
    <cellStyle name="Note 6 3 2 2 4" xfId="6709"/>
    <cellStyle name="Note 6 3 2 2 4 2" xfId="6710"/>
    <cellStyle name="Note 6 3 2 2 5" xfId="6711"/>
    <cellStyle name="Note 6 3 2 2 5 2" xfId="6712"/>
    <cellStyle name="Note 6 3 2 2 6" xfId="6713"/>
    <cellStyle name="Note 6 3 2 2 6 2" xfId="6714"/>
    <cellStyle name="Note 6 3 2 2 7" xfId="6715"/>
    <cellStyle name="Note 6 3 2 2 7 2" xfId="6716"/>
    <cellStyle name="Note 6 3 2 2 8" xfId="6717"/>
    <cellStyle name="Note 6 3 2 3" xfId="6718"/>
    <cellStyle name="Note 6 3 2 3 10" xfId="6719"/>
    <cellStyle name="Note 6 3 2 3 10 2" xfId="6720"/>
    <cellStyle name="Note 6 3 2 3 11" xfId="6721"/>
    <cellStyle name="Note 6 3 2 3 2" xfId="6722"/>
    <cellStyle name="Note 6 3 2 3 2 2" xfId="6723"/>
    <cellStyle name="Note 6 3 2 3 2 2 2" xfId="6724"/>
    <cellStyle name="Note 6 3 2 3 2 3" xfId="6725"/>
    <cellStyle name="Note 6 3 2 3 3" xfId="6726"/>
    <cellStyle name="Note 6 3 2 3 3 2" xfId="6727"/>
    <cellStyle name="Note 6 3 2 3 4" xfId="6728"/>
    <cellStyle name="Note 6 3 2 3 4 2" xfId="6729"/>
    <cellStyle name="Note 6 3 2 3 5" xfId="6730"/>
    <cellStyle name="Note 6 3 2 3 5 2" xfId="6731"/>
    <cellStyle name="Note 6 3 2 3 6" xfId="6732"/>
    <cellStyle name="Note 6 3 2 3 6 2" xfId="6733"/>
    <cellStyle name="Note 6 3 2 3 7" xfId="6734"/>
    <cellStyle name="Note 6 3 2 3 7 2" xfId="6735"/>
    <cellStyle name="Note 6 3 2 3 8" xfId="6736"/>
    <cellStyle name="Note 6 3 2 3 8 2" xfId="6737"/>
    <cellStyle name="Note 6 3 2 3 9" xfId="6738"/>
    <cellStyle name="Note 6 3 2 3 9 2" xfId="6739"/>
    <cellStyle name="Note 6 3 2 4" xfId="6740"/>
    <cellStyle name="Note 6 3 2 4 10" xfId="6741"/>
    <cellStyle name="Note 6 3 2 4 10 2" xfId="6742"/>
    <cellStyle name="Note 6 3 2 4 11" xfId="6743"/>
    <cellStyle name="Note 6 3 2 4 2" xfId="6744"/>
    <cellStyle name="Note 6 3 2 4 2 2" xfId="6745"/>
    <cellStyle name="Note 6 3 2 4 2 2 2" xfId="6746"/>
    <cellStyle name="Note 6 3 2 4 2 3" xfId="6747"/>
    <cellStyle name="Note 6 3 2 4 3" xfId="6748"/>
    <cellStyle name="Note 6 3 2 4 3 2" xfId="6749"/>
    <cellStyle name="Note 6 3 2 4 4" xfId="6750"/>
    <cellStyle name="Note 6 3 2 4 4 2" xfId="6751"/>
    <cellStyle name="Note 6 3 2 4 5" xfId="6752"/>
    <cellStyle name="Note 6 3 2 4 5 2" xfId="6753"/>
    <cellStyle name="Note 6 3 2 4 6" xfId="6754"/>
    <cellStyle name="Note 6 3 2 4 6 2" xfId="6755"/>
    <cellStyle name="Note 6 3 2 4 7" xfId="6756"/>
    <cellStyle name="Note 6 3 2 4 7 2" xfId="6757"/>
    <cellStyle name="Note 6 3 2 4 8" xfId="6758"/>
    <cellStyle name="Note 6 3 2 4 8 2" xfId="6759"/>
    <cellStyle name="Note 6 3 2 4 9" xfId="6760"/>
    <cellStyle name="Note 6 3 2 4 9 2" xfId="6761"/>
    <cellStyle name="Note 6 3 2 5" xfId="6762"/>
    <cellStyle name="Note 6 3 2 5 10" xfId="6763"/>
    <cellStyle name="Note 6 3 2 5 10 2" xfId="6764"/>
    <cellStyle name="Note 6 3 2 5 11" xfId="6765"/>
    <cellStyle name="Note 6 3 2 5 2" xfId="6766"/>
    <cellStyle name="Note 6 3 2 5 2 2" xfId="6767"/>
    <cellStyle name="Note 6 3 2 5 2 2 2" xfId="6768"/>
    <cellStyle name="Note 6 3 2 5 2 3" xfId="6769"/>
    <cellStyle name="Note 6 3 2 5 3" xfId="6770"/>
    <cellStyle name="Note 6 3 2 5 3 2" xfId="6771"/>
    <cellStyle name="Note 6 3 2 5 4" xfId="6772"/>
    <cellStyle name="Note 6 3 2 5 4 2" xfId="6773"/>
    <cellStyle name="Note 6 3 2 5 5" xfId="6774"/>
    <cellStyle name="Note 6 3 2 5 5 2" xfId="6775"/>
    <cellStyle name="Note 6 3 2 5 6" xfId="6776"/>
    <cellStyle name="Note 6 3 2 5 6 2" xfId="6777"/>
    <cellStyle name="Note 6 3 2 5 7" xfId="6778"/>
    <cellStyle name="Note 6 3 2 5 7 2" xfId="6779"/>
    <cellStyle name="Note 6 3 2 5 8" xfId="6780"/>
    <cellStyle name="Note 6 3 2 5 8 2" xfId="6781"/>
    <cellStyle name="Note 6 3 2 5 9" xfId="6782"/>
    <cellStyle name="Note 6 3 2 5 9 2" xfId="6783"/>
    <cellStyle name="Note 6 3 2 6" xfId="6784"/>
    <cellStyle name="Note 6 3 2 6 10" xfId="6785"/>
    <cellStyle name="Note 6 3 2 6 10 2" xfId="6786"/>
    <cellStyle name="Note 6 3 2 6 11" xfId="6787"/>
    <cellStyle name="Note 6 3 2 6 2" xfId="6788"/>
    <cellStyle name="Note 6 3 2 6 2 2" xfId="6789"/>
    <cellStyle name="Note 6 3 2 6 2 2 2" xfId="6790"/>
    <cellStyle name="Note 6 3 2 6 2 3" xfId="6791"/>
    <cellStyle name="Note 6 3 2 6 3" xfId="6792"/>
    <cellStyle name="Note 6 3 2 6 3 2" xfId="6793"/>
    <cellStyle name="Note 6 3 2 6 4" xfId="6794"/>
    <cellStyle name="Note 6 3 2 6 4 2" xfId="6795"/>
    <cellStyle name="Note 6 3 2 6 5" xfId="6796"/>
    <cellStyle name="Note 6 3 2 6 5 2" xfId="6797"/>
    <cellStyle name="Note 6 3 2 6 6" xfId="6798"/>
    <cellStyle name="Note 6 3 2 6 6 2" xfId="6799"/>
    <cellStyle name="Note 6 3 2 6 7" xfId="6800"/>
    <cellStyle name="Note 6 3 2 6 7 2" xfId="6801"/>
    <cellStyle name="Note 6 3 2 6 8" xfId="6802"/>
    <cellStyle name="Note 6 3 2 6 8 2" xfId="6803"/>
    <cellStyle name="Note 6 3 2 6 9" xfId="6804"/>
    <cellStyle name="Note 6 3 2 6 9 2" xfId="6805"/>
    <cellStyle name="Note 6 3 2 7" xfId="6806"/>
    <cellStyle name="Note 6 3 2 7 2" xfId="6807"/>
    <cellStyle name="Note 6 3 2 7 2 2" xfId="6808"/>
    <cellStyle name="Note 6 3 2 7 3" xfId="6809"/>
    <cellStyle name="Note 6 3 2 8" xfId="6810"/>
    <cellStyle name="Note 6 3 2 8 2" xfId="6811"/>
    <cellStyle name="Note 6 3 2 9" xfId="6812"/>
    <cellStyle name="Note 6 3 2 9 2" xfId="6813"/>
    <cellStyle name="Note 6 3 3" xfId="6814"/>
    <cellStyle name="Note 6 3 3 2" xfId="6815"/>
    <cellStyle name="Note 6 3 3 2 2" xfId="6816"/>
    <cellStyle name="Note 6 3 3 2 2 2" xfId="6817"/>
    <cellStyle name="Note 6 3 3 2 3" xfId="6818"/>
    <cellStyle name="Note 6 3 3 3" xfId="6819"/>
    <cellStyle name="Note 6 3 3 3 2" xfId="6820"/>
    <cellStyle name="Note 6 3 3 3 2 2" xfId="6821"/>
    <cellStyle name="Note 6 3 3 3 3" xfId="6822"/>
    <cellStyle name="Note 6 3 3 4" xfId="6823"/>
    <cellStyle name="Note 6 3 3 4 2" xfId="6824"/>
    <cellStyle name="Note 6 3 3 5" xfId="6825"/>
    <cellStyle name="Note 6 3 3 5 2" xfId="6826"/>
    <cellStyle name="Note 6 3 3 6" xfId="6827"/>
    <cellStyle name="Note 6 3 3 6 2" xfId="6828"/>
    <cellStyle name="Note 6 3 3 7" xfId="6829"/>
    <cellStyle name="Note 6 3 3 7 2" xfId="6830"/>
    <cellStyle name="Note 6 3 3 8" xfId="6831"/>
    <cellStyle name="Note 6 3 4" xfId="6832"/>
    <cellStyle name="Note 6 3 4 10" xfId="6833"/>
    <cellStyle name="Note 6 3 4 10 2" xfId="6834"/>
    <cellStyle name="Note 6 3 4 11" xfId="6835"/>
    <cellStyle name="Note 6 3 4 2" xfId="6836"/>
    <cellStyle name="Note 6 3 4 2 2" xfId="6837"/>
    <cellStyle name="Note 6 3 4 2 2 2" xfId="6838"/>
    <cellStyle name="Note 6 3 4 2 3" xfId="6839"/>
    <cellStyle name="Note 6 3 4 3" xfId="6840"/>
    <cellStyle name="Note 6 3 4 3 2" xfId="6841"/>
    <cellStyle name="Note 6 3 4 4" xfId="6842"/>
    <cellStyle name="Note 6 3 4 4 2" xfId="6843"/>
    <cellStyle name="Note 6 3 4 5" xfId="6844"/>
    <cellStyle name="Note 6 3 4 5 2" xfId="6845"/>
    <cellStyle name="Note 6 3 4 6" xfId="6846"/>
    <cellStyle name="Note 6 3 4 6 2" xfId="6847"/>
    <cellStyle name="Note 6 3 4 7" xfId="6848"/>
    <cellStyle name="Note 6 3 4 7 2" xfId="6849"/>
    <cellStyle name="Note 6 3 4 8" xfId="6850"/>
    <cellStyle name="Note 6 3 4 8 2" xfId="6851"/>
    <cellStyle name="Note 6 3 4 9" xfId="6852"/>
    <cellStyle name="Note 6 3 4 9 2" xfId="6853"/>
    <cellStyle name="Note 6 3 5" xfId="6854"/>
    <cellStyle name="Note 6 3 5 10" xfId="6855"/>
    <cellStyle name="Note 6 3 5 10 2" xfId="6856"/>
    <cellStyle name="Note 6 3 5 11" xfId="6857"/>
    <cellStyle name="Note 6 3 5 2" xfId="6858"/>
    <cellStyle name="Note 6 3 5 2 2" xfId="6859"/>
    <cellStyle name="Note 6 3 5 2 2 2" xfId="6860"/>
    <cellStyle name="Note 6 3 5 2 3" xfId="6861"/>
    <cellStyle name="Note 6 3 5 3" xfId="6862"/>
    <cellStyle name="Note 6 3 5 3 2" xfId="6863"/>
    <cellStyle name="Note 6 3 5 4" xfId="6864"/>
    <cellStyle name="Note 6 3 5 4 2" xfId="6865"/>
    <cellStyle name="Note 6 3 5 5" xfId="6866"/>
    <cellStyle name="Note 6 3 5 5 2" xfId="6867"/>
    <cellStyle name="Note 6 3 5 6" xfId="6868"/>
    <cellStyle name="Note 6 3 5 6 2" xfId="6869"/>
    <cellStyle name="Note 6 3 5 7" xfId="6870"/>
    <cellStyle name="Note 6 3 5 7 2" xfId="6871"/>
    <cellStyle name="Note 6 3 5 8" xfId="6872"/>
    <cellStyle name="Note 6 3 5 8 2" xfId="6873"/>
    <cellStyle name="Note 6 3 5 9" xfId="6874"/>
    <cellStyle name="Note 6 3 5 9 2" xfId="6875"/>
    <cellStyle name="Note 6 3 6" xfId="6876"/>
    <cellStyle name="Note 6 3 6 10" xfId="6877"/>
    <cellStyle name="Note 6 3 6 10 2" xfId="6878"/>
    <cellStyle name="Note 6 3 6 11" xfId="6879"/>
    <cellStyle name="Note 6 3 6 2" xfId="6880"/>
    <cellStyle name="Note 6 3 6 2 2" xfId="6881"/>
    <cellStyle name="Note 6 3 6 2 2 2" xfId="6882"/>
    <cellStyle name="Note 6 3 6 2 3" xfId="6883"/>
    <cellStyle name="Note 6 3 6 3" xfId="6884"/>
    <cellStyle name="Note 6 3 6 3 2" xfId="6885"/>
    <cellStyle name="Note 6 3 6 4" xfId="6886"/>
    <cellStyle name="Note 6 3 6 4 2" xfId="6887"/>
    <cellStyle name="Note 6 3 6 5" xfId="6888"/>
    <cellStyle name="Note 6 3 6 5 2" xfId="6889"/>
    <cellStyle name="Note 6 3 6 6" xfId="6890"/>
    <cellStyle name="Note 6 3 6 6 2" xfId="6891"/>
    <cellStyle name="Note 6 3 6 7" xfId="6892"/>
    <cellStyle name="Note 6 3 6 7 2" xfId="6893"/>
    <cellStyle name="Note 6 3 6 8" xfId="6894"/>
    <cellStyle name="Note 6 3 6 8 2" xfId="6895"/>
    <cellStyle name="Note 6 3 6 9" xfId="6896"/>
    <cellStyle name="Note 6 3 6 9 2" xfId="6897"/>
    <cellStyle name="Note 6 3 7" xfId="6898"/>
    <cellStyle name="Note 6 3 7 10" xfId="6899"/>
    <cellStyle name="Note 6 3 7 10 2" xfId="6900"/>
    <cellStyle name="Note 6 3 7 11" xfId="6901"/>
    <cellStyle name="Note 6 3 7 2" xfId="6902"/>
    <cellStyle name="Note 6 3 7 2 2" xfId="6903"/>
    <cellStyle name="Note 6 3 7 2 2 2" xfId="6904"/>
    <cellStyle name="Note 6 3 7 2 3" xfId="6905"/>
    <cellStyle name="Note 6 3 7 3" xfId="6906"/>
    <cellStyle name="Note 6 3 7 3 2" xfId="6907"/>
    <cellStyle name="Note 6 3 7 4" xfId="6908"/>
    <cellStyle name="Note 6 3 7 4 2" xfId="6909"/>
    <cellStyle name="Note 6 3 7 5" xfId="6910"/>
    <cellStyle name="Note 6 3 7 5 2" xfId="6911"/>
    <cellStyle name="Note 6 3 7 6" xfId="6912"/>
    <cellStyle name="Note 6 3 7 6 2" xfId="6913"/>
    <cellStyle name="Note 6 3 7 7" xfId="6914"/>
    <cellStyle name="Note 6 3 7 7 2" xfId="6915"/>
    <cellStyle name="Note 6 3 7 8" xfId="6916"/>
    <cellStyle name="Note 6 3 7 8 2" xfId="6917"/>
    <cellStyle name="Note 6 3 7 9" xfId="6918"/>
    <cellStyle name="Note 6 3 7 9 2" xfId="6919"/>
    <cellStyle name="Note 6 3 8" xfId="6920"/>
    <cellStyle name="Note 6 3 8 2" xfId="6921"/>
    <cellStyle name="Note 6 3 8 2 2" xfId="6922"/>
    <cellStyle name="Note 6 3 8 3" xfId="6923"/>
    <cellStyle name="Note 6 3 9" xfId="6924"/>
    <cellStyle name="Note 6 3 9 2" xfId="6925"/>
    <cellStyle name="Note 6 3_7 - Cap Add WS" xfId="641"/>
    <cellStyle name="Note 6 4" xfId="642"/>
    <cellStyle name="Note 6 4 10" xfId="6926"/>
    <cellStyle name="Note 6 4 10 2" xfId="6927"/>
    <cellStyle name="Note 6 4 11" xfId="6928"/>
    <cellStyle name="Note 6 4 11 2" xfId="6929"/>
    <cellStyle name="Note 6 4 12" xfId="6930"/>
    <cellStyle name="Note 6 4 12 2" xfId="6931"/>
    <cellStyle name="Note 6 4 13" xfId="6932"/>
    <cellStyle name="Note 6 4 2" xfId="6933"/>
    <cellStyle name="Note 6 4 2 2" xfId="6934"/>
    <cellStyle name="Note 6 4 2 2 2" xfId="6935"/>
    <cellStyle name="Note 6 4 2 2 2 2" xfId="6936"/>
    <cellStyle name="Note 6 4 2 2 3" xfId="6937"/>
    <cellStyle name="Note 6 4 2 3" xfId="6938"/>
    <cellStyle name="Note 6 4 2 3 2" xfId="6939"/>
    <cellStyle name="Note 6 4 2 3 2 2" xfId="6940"/>
    <cellStyle name="Note 6 4 2 3 3" xfId="6941"/>
    <cellStyle name="Note 6 4 2 4" xfId="6942"/>
    <cellStyle name="Note 6 4 2 4 2" xfId="6943"/>
    <cellStyle name="Note 6 4 2 5" xfId="6944"/>
    <cellStyle name="Note 6 4 2 5 2" xfId="6945"/>
    <cellStyle name="Note 6 4 2 6" xfId="6946"/>
    <cellStyle name="Note 6 4 2 6 2" xfId="6947"/>
    <cellStyle name="Note 6 4 2 7" xfId="6948"/>
    <cellStyle name="Note 6 4 2 7 2" xfId="6949"/>
    <cellStyle name="Note 6 4 2 8" xfId="6950"/>
    <cellStyle name="Note 6 4 3" xfId="6951"/>
    <cellStyle name="Note 6 4 3 10" xfId="6952"/>
    <cellStyle name="Note 6 4 3 10 2" xfId="6953"/>
    <cellStyle name="Note 6 4 3 11" xfId="6954"/>
    <cellStyle name="Note 6 4 3 2" xfId="6955"/>
    <cellStyle name="Note 6 4 3 2 2" xfId="6956"/>
    <cellStyle name="Note 6 4 3 2 2 2" xfId="6957"/>
    <cellStyle name="Note 6 4 3 2 3" xfId="6958"/>
    <cellStyle name="Note 6 4 3 3" xfId="6959"/>
    <cellStyle name="Note 6 4 3 3 2" xfId="6960"/>
    <cellStyle name="Note 6 4 3 4" xfId="6961"/>
    <cellStyle name="Note 6 4 3 4 2" xfId="6962"/>
    <cellStyle name="Note 6 4 3 5" xfId="6963"/>
    <cellStyle name="Note 6 4 3 5 2" xfId="6964"/>
    <cellStyle name="Note 6 4 3 6" xfId="6965"/>
    <cellStyle name="Note 6 4 3 6 2" xfId="6966"/>
    <cellStyle name="Note 6 4 3 7" xfId="6967"/>
    <cellStyle name="Note 6 4 3 7 2" xfId="6968"/>
    <cellStyle name="Note 6 4 3 8" xfId="6969"/>
    <cellStyle name="Note 6 4 3 8 2" xfId="6970"/>
    <cellStyle name="Note 6 4 3 9" xfId="6971"/>
    <cellStyle name="Note 6 4 3 9 2" xfId="6972"/>
    <cellStyle name="Note 6 4 4" xfId="6973"/>
    <cellStyle name="Note 6 4 4 10" xfId="6974"/>
    <cellStyle name="Note 6 4 4 10 2" xfId="6975"/>
    <cellStyle name="Note 6 4 4 11" xfId="6976"/>
    <cellStyle name="Note 6 4 4 2" xfId="6977"/>
    <cellStyle name="Note 6 4 4 2 2" xfId="6978"/>
    <cellStyle name="Note 6 4 4 2 2 2" xfId="6979"/>
    <cellStyle name="Note 6 4 4 2 3" xfId="6980"/>
    <cellStyle name="Note 6 4 4 3" xfId="6981"/>
    <cellStyle name="Note 6 4 4 3 2" xfId="6982"/>
    <cellStyle name="Note 6 4 4 4" xfId="6983"/>
    <cellStyle name="Note 6 4 4 4 2" xfId="6984"/>
    <cellStyle name="Note 6 4 4 5" xfId="6985"/>
    <cellStyle name="Note 6 4 4 5 2" xfId="6986"/>
    <cellStyle name="Note 6 4 4 6" xfId="6987"/>
    <cellStyle name="Note 6 4 4 6 2" xfId="6988"/>
    <cellStyle name="Note 6 4 4 7" xfId="6989"/>
    <cellStyle name="Note 6 4 4 7 2" xfId="6990"/>
    <cellStyle name="Note 6 4 4 8" xfId="6991"/>
    <cellStyle name="Note 6 4 4 8 2" xfId="6992"/>
    <cellStyle name="Note 6 4 4 9" xfId="6993"/>
    <cellStyle name="Note 6 4 4 9 2" xfId="6994"/>
    <cellStyle name="Note 6 4 5" xfId="6995"/>
    <cellStyle name="Note 6 4 5 10" xfId="6996"/>
    <cellStyle name="Note 6 4 5 10 2" xfId="6997"/>
    <cellStyle name="Note 6 4 5 11" xfId="6998"/>
    <cellStyle name="Note 6 4 5 2" xfId="6999"/>
    <cellStyle name="Note 6 4 5 2 2" xfId="7000"/>
    <cellStyle name="Note 6 4 5 2 2 2" xfId="7001"/>
    <cellStyle name="Note 6 4 5 2 3" xfId="7002"/>
    <cellStyle name="Note 6 4 5 3" xfId="7003"/>
    <cellStyle name="Note 6 4 5 3 2" xfId="7004"/>
    <cellStyle name="Note 6 4 5 4" xfId="7005"/>
    <cellStyle name="Note 6 4 5 4 2" xfId="7006"/>
    <cellStyle name="Note 6 4 5 5" xfId="7007"/>
    <cellStyle name="Note 6 4 5 5 2" xfId="7008"/>
    <cellStyle name="Note 6 4 5 6" xfId="7009"/>
    <cellStyle name="Note 6 4 5 6 2" xfId="7010"/>
    <cellStyle name="Note 6 4 5 7" xfId="7011"/>
    <cellStyle name="Note 6 4 5 7 2" xfId="7012"/>
    <cellStyle name="Note 6 4 5 8" xfId="7013"/>
    <cellStyle name="Note 6 4 5 8 2" xfId="7014"/>
    <cellStyle name="Note 6 4 5 9" xfId="7015"/>
    <cellStyle name="Note 6 4 5 9 2" xfId="7016"/>
    <cellStyle name="Note 6 4 6" xfId="7017"/>
    <cellStyle name="Note 6 4 6 10" xfId="7018"/>
    <cellStyle name="Note 6 4 6 10 2" xfId="7019"/>
    <cellStyle name="Note 6 4 6 11" xfId="7020"/>
    <cellStyle name="Note 6 4 6 2" xfId="7021"/>
    <cellStyle name="Note 6 4 6 2 2" xfId="7022"/>
    <cellStyle name="Note 6 4 6 2 2 2" xfId="7023"/>
    <cellStyle name="Note 6 4 6 2 3" xfId="7024"/>
    <cellStyle name="Note 6 4 6 3" xfId="7025"/>
    <cellStyle name="Note 6 4 6 3 2" xfId="7026"/>
    <cellStyle name="Note 6 4 6 4" xfId="7027"/>
    <cellStyle name="Note 6 4 6 4 2" xfId="7028"/>
    <cellStyle name="Note 6 4 6 5" xfId="7029"/>
    <cellStyle name="Note 6 4 6 5 2" xfId="7030"/>
    <cellStyle name="Note 6 4 6 6" xfId="7031"/>
    <cellStyle name="Note 6 4 6 6 2" xfId="7032"/>
    <cellStyle name="Note 6 4 6 7" xfId="7033"/>
    <cellStyle name="Note 6 4 6 7 2" xfId="7034"/>
    <cellStyle name="Note 6 4 6 8" xfId="7035"/>
    <cellStyle name="Note 6 4 6 8 2" xfId="7036"/>
    <cellStyle name="Note 6 4 6 9" xfId="7037"/>
    <cellStyle name="Note 6 4 6 9 2" xfId="7038"/>
    <cellStyle name="Note 6 4 7" xfId="7039"/>
    <cellStyle name="Note 6 4 7 2" xfId="7040"/>
    <cellStyle name="Note 6 4 7 2 2" xfId="7041"/>
    <cellStyle name="Note 6 4 7 3" xfId="7042"/>
    <cellStyle name="Note 6 4 8" xfId="7043"/>
    <cellStyle name="Note 6 4 8 2" xfId="7044"/>
    <cellStyle name="Note 6 4 9" xfId="7045"/>
    <cellStyle name="Note 6 4 9 2" xfId="7046"/>
    <cellStyle name="Note 6 5" xfId="7047"/>
    <cellStyle name="Note 6 5 2" xfId="7048"/>
    <cellStyle name="Note 6 5 2 2" xfId="7049"/>
    <cellStyle name="Note 6 5 2 2 2" xfId="7050"/>
    <cellStyle name="Note 6 5 2 3" xfId="7051"/>
    <cellStyle name="Note 6 5 3" xfId="7052"/>
    <cellStyle name="Note 6 5 3 2" xfId="7053"/>
    <cellStyle name="Note 6 5 3 2 2" xfId="7054"/>
    <cellStyle name="Note 6 5 3 3" xfId="7055"/>
    <cellStyle name="Note 6 5 4" xfId="7056"/>
    <cellStyle name="Note 6 5 4 2" xfId="7057"/>
    <cellStyle name="Note 6 5 5" xfId="7058"/>
    <cellStyle name="Note 6 5 5 2" xfId="7059"/>
    <cellStyle name="Note 6 5 6" xfId="7060"/>
    <cellStyle name="Note 6 5 6 2" xfId="7061"/>
    <cellStyle name="Note 6 5 7" xfId="7062"/>
    <cellStyle name="Note 6 5 7 2" xfId="7063"/>
    <cellStyle name="Note 6 5 8" xfId="7064"/>
    <cellStyle name="Note 6 6" xfId="7065"/>
    <cellStyle name="Note 6 6 10" xfId="7066"/>
    <cellStyle name="Note 6 6 10 2" xfId="7067"/>
    <cellStyle name="Note 6 6 11" xfId="7068"/>
    <cellStyle name="Note 6 6 2" xfId="7069"/>
    <cellStyle name="Note 6 6 2 2" xfId="7070"/>
    <cellStyle name="Note 6 6 2 2 2" xfId="7071"/>
    <cellStyle name="Note 6 6 2 3" xfId="7072"/>
    <cellStyle name="Note 6 6 3" xfId="7073"/>
    <cellStyle name="Note 6 6 3 2" xfId="7074"/>
    <cellStyle name="Note 6 6 4" xfId="7075"/>
    <cellStyle name="Note 6 6 4 2" xfId="7076"/>
    <cellStyle name="Note 6 6 5" xfId="7077"/>
    <cellStyle name="Note 6 6 5 2" xfId="7078"/>
    <cellStyle name="Note 6 6 6" xfId="7079"/>
    <cellStyle name="Note 6 6 6 2" xfId="7080"/>
    <cellStyle name="Note 6 6 7" xfId="7081"/>
    <cellStyle name="Note 6 6 7 2" xfId="7082"/>
    <cellStyle name="Note 6 6 8" xfId="7083"/>
    <cellStyle name="Note 6 6 8 2" xfId="7084"/>
    <cellStyle name="Note 6 6 9" xfId="7085"/>
    <cellStyle name="Note 6 6 9 2" xfId="7086"/>
    <cellStyle name="Note 6 7" xfId="7087"/>
    <cellStyle name="Note 6 7 10" xfId="7088"/>
    <cellStyle name="Note 6 7 10 2" xfId="7089"/>
    <cellStyle name="Note 6 7 11" xfId="7090"/>
    <cellStyle name="Note 6 7 2" xfId="7091"/>
    <cellStyle name="Note 6 7 2 2" xfId="7092"/>
    <cellStyle name="Note 6 7 2 2 2" xfId="7093"/>
    <cellStyle name="Note 6 7 2 3" xfId="7094"/>
    <cellStyle name="Note 6 7 3" xfId="7095"/>
    <cellStyle name="Note 6 7 3 2" xfId="7096"/>
    <cellStyle name="Note 6 7 4" xfId="7097"/>
    <cellStyle name="Note 6 7 4 2" xfId="7098"/>
    <cellStyle name="Note 6 7 5" xfId="7099"/>
    <cellStyle name="Note 6 7 5 2" xfId="7100"/>
    <cellStyle name="Note 6 7 6" xfId="7101"/>
    <cellStyle name="Note 6 7 6 2" xfId="7102"/>
    <cellStyle name="Note 6 7 7" xfId="7103"/>
    <cellStyle name="Note 6 7 7 2" xfId="7104"/>
    <cellStyle name="Note 6 7 8" xfId="7105"/>
    <cellStyle name="Note 6 7 8 2" xfId="7106"/>
    <cellStyle name="Note 6 7 9" xfId="7107"/>
    <cellStyle name="Note 6 7 9 2" xfId="7108"/>
    <cellStyle name="Note 6 8" xfId="7109"/>
    <cellStyle name="Note 6 8 10" xfId="7110"/>
    <cellStyle name="Note 6 8 10 2" xfId="7111"/>
    <cellStyle name="Note 6 8 11" xfId="7112"/>
    <cellStyle name="Note 6 8 2" xfId="7113"/>
    <cellStyle name="Note 6 8 2 2" xfId="7114"/>
    <cellStyle name="Note 6 8 2 2 2" xfId="7115"/>
    <cellStyle name="Note 6 8 2 3" xfId="7116"/>
    <cellStyle name="Note 6 8 3" xfId="7117"/>
    <cellStyle name="Note 6 8 3 2" xfId="7118"/>
    <cellStyle name="Note 6 8 4" xfId="7119"/>
    <cellStyle name="Note 6 8 4 2" xfId="7120"/>
    <cellStyle name="Note 6 8 5" xfId="7121"/>
    <cellStyle name="Note 6 8 5 2" xfId="7122"/>
    <cellStyle name="Note 6 8 6" xfId="7123"/>
    <cellStyle name="Note 6 8 6 2" xfId="7124"/>
    <cellStyle name="Note 6 8 7" xfId="7125"/>
    <cellStyle name="Note 6 8 7 2" xfId="7126"/>
    <cellStyle name="Note 6 8 8" xfId="7127"/>
    <cellStyle name="Note 6 8 8 2" xfId="7128"/>
    <cellStyle name="Note 6 8 9" xfId="7129"/>
    <cellStyle name="Note 6 8 9 2" xfId="7130"/>
    <cellStyle name="Note 6 9" xfId="7131"/>
    <cellStyle name="Note 6 9 10" xfId="7132"/>
    <cellStyle name="Note 6 9 10 2" xfId="7133"/>
    <cellStyle name="Note 6 9 11" xfId="7134"/>
    <cellStyle name="Note 6 9 2" xfId="7135"/>
    <cellStyle name="Note 6 9 2 2" xfId="7136"/>
    <cellStyle name="Note 6 9 2 2 2" xfId="7137"/>
    <cellStyle name="Note 6 9 2 3" xfId="7138"/>
    <cellStyle name="Note 6 9 3" xfId="7139"/>
    <cellStyle name="Note 6 9 3 2" xfId="7140"/>
    <cellStyle name="Note 6 9 4" xfId="7141"/>
    <cellStyle name="Note 6 9 4 2" xfId="7142"/>
    <cellStyle name="Note 6 9 5" xfId="7143"/>
    <cellStyle name="Note 6 9 5 2" xfId="7144"/>
    <cellStyle name="Note 6 9 6" xfId="7145"/>
    <cellStyle name="Note 6 9 6 2" xfId="7146"/>
    <cellStyle name="Note 6 9 7" xfId="7147"/>
    <cellStyle name="Note 6 9 7 2" xfId="7148"/>
    <cellStyle name="Note 6 9 8" xfId="7149"/>
    <cellStyle name="Note 6 9 8 2" xfId="7150"/>
    <cellStyle name="Note 6 9 9" xfId="7151"/>
    <cellStyle name="Note 6 9 9 2" xfId="7152"/>
    <cellStyle name="Note 6_7 - Cap Add WS" xfId="643"/>
    <cellStyle name="Note 7" xfId="644"/>
    <cellStyle name="Note 7 10" xfId="7153"/>
    <cellStyle name="Note 7 10 2" xfId="7154"/>
    <cellStyle name="Note 7 10 2 2" xfId="7155"/>
    <cellStyle name="Note 7 10 3" xfId="7156"/>
    <cellStyle name="Note 7 11" xfId="7157"/>
    <cellStyle name="Note 7 11 2" xfId="7158"/>
    <cellStyle name="Note 7 12" xfId="7159"/>
    <cellStyle name="Note 7 12 2" xfId="7160"/>
    <cellStyle name="Note 7 13" xfId="7161"/>
    <cellStyle name="Note 7 13 2" xfId="7162"/>
    <cellStyle name="Note 7 14" xfId="7163"/>
    <cellStyle name="Note 7 14 2" xfId="7164"/>
    <cellStyle name="Note 7 15" xfId="7165"/>
    <cellStyle name="Note 7 15 2" xfId="7166"/>
    <cellStyle name="Note 7 16" xfId="7167"/>
    <cellStyle name="Note 7 2" xfId="645"/>
    <cellStyle name="Note 7 2 10" xfId="7168"/>
    <cellStyle name="Note 7 2 10 2" xfId="7169"/>
    <cellStyle name="Note 7 2 11" xfId="7170"/>
    <cellStyle name="Note 7 2 11 2" xfId="7171"/>
    <cellStyle name="Note 7 2 12" xfId="7172"/>
    <cellStyle name="Note 7 2 12 2" xfId="7173"/>
    <cellStyle name="Note 7 2 13" xfId="7174"/>
    <cellStyle name="Note 7 2 13 2" xfId="7175"/>
    <cellStyle name="Note 7 2 14" xfId="7176"/>
    <cellStyle name="Note 7 2 2" xfId="646"/>
    <cellStyle name="Note 7 2 2 10" xfId="7177"/>
    <cellStyle name="Note 7 2 2 10 2" xfId="7178"/>
    <cellStyle name="Note 7 2 2 11" xfId="7179"/>
    <cellStyle name="Note 7 2 2 11 2" xfId="7180"/>
    <cellStyle name="Note 7 2 2 12" xfId="7181"/>
    <cellStyle name="Note 7 2 2 12 2" xfId="7182"/>
    <cellStyle name="Note 7 2 2 13" xfId="7183"/>
    <cellStyle name="Note 7 2 2 2" xfId="7184"/>
    <cellStyle name="Note 7 2 2 2 2" xfId="7185"/>
    <cellStyle name="Note 7 2 2 2 2 2" xfId="7186"/>
    <cellStyle name="Note 7 2 2 2 2 2 2" xfId="7187"/>
    <cellStyle name="Note 7 2 2 2 2 3" xfId="7188"/>
    <cellStyle name="Note 7 2 2 2 3" xfId="7189"/>
    <cellStyle name="Note 7 2 2 2 3 2" xfId="7190"/>
    <cellStyle name="Note 7 2 2 2 3 2 2" xfId="7191"/>
    <cellStyle name="Note 7 2 2 2 3 3" xfId="7192"/>
    <cellStyle name="Note 7 2 2 2 4" xfId="7193"/>
    <cellStyle name="Note 7 2 2 2 4 2" xfId="7194"/>
    <cellStyle name="Note 7 2 2 2 5" xfId="7195"/>
    <cellStyle name="Note 7 2 2 2 5 2" xfId="7196"/>
    <cellStyle name="Note 7 2 2 2 6" xfId="7197"/>
    <cellStyle name="Note 7 2 2 2 6 2" xfId="7198"/>
    <cellStyle name="Note 7 2 2 2 7" xfId="7199"/>
    <cellStyle name="Note 7 2 2 2 7 2" xfId="7200"/>
    <cellStyle name="Note 7 2 2 2 8" xfId="7201"/>
    <cellStyle name="Note 7 2 2 3" xfId="7202"/>
    <cellStyle name="Note 7 2 2 3 10" xfId="7203"/>
    <cellStyle name="Note 7 2 2 3 10 2" xfId="7204"/>
    <cellStyle name="Note 7 2 2 3 11" xfId="7205"/>
    <cellStyle name="Note 7 2 2 3 2" xfId="7206"/>
    <cellStyle name="Note 7 2 2 3 2 2" xfId="7207"/>
    <cellStyle name="Note 7 2 2 3 2 2 2" xfId="7208"/>
    <cellStyle name="Note 7 2 2 3 2 3" xfId="7209"/>
    <cellStyle name="Note 7 2 2 3 3" xfId="7210"/>
    <cellStyle name="Note 7 2 2 3 3 2" xfId="7211"/>
    <cellStyle name="Note 7 2 2 3 4" xfId="7212"/>
    <cellStyle name="Note 7 2 2 3 4 2" xfId="7213"/>
    <cellStyle name="Note 7 2 2 3 5" xfId="7214"/>
    <cellStyle name="Note 7 2 2 3 5 2" xfId="7215"/>
    <cellStyle name="Note 7 2 2 3 6" xfId="7216"/>
    <cellStyle name="Note 7 2 2 3 6 2" xfId="7217"/>
    <cellStyle name="Note 7 2 2 3 7" xfId="7218"/>
    <cellStyle name="Note 7 2 2 3 7 2" xfId="7219"/>
    <cellStyle name="Note 7 2 2 3 8" xfId="7220"/>
    <cellStyle name="Note 7 2 2 3 8 2" xfId="7221"/>
    <cellStyle name="Note 7 2 2 3 9" xfId="7222"/>
    <cellStyle name="Note 7 2 2 3 9 2" xfId="7223"/>
    <cellStyle name="Note 7 2 2 4" xfId="7224"/>
    <cellStyle name="Note 7 2 2 4 10" xfId="7225"/>
    <cellStyle name="Note 7 2 2 4 10 2" xfId="7226"/>
    <cellStyle name="Note 7 2 2 4 11" xfId="7227"/>
    <cellStyle name="Note 7 2 2 4 2" xfId="7228"/>
    <cellStyle name="Note 7 2 2 4 2 2" xfId="7229"/>
    <cellStyle name="Note 7 2 2 4 2 2 2" xfId="7230"/>
    <cellStyle name="Note 7 2 2 4 2 3" xfId="7231"/>
    <cellStyle name="Note 7 2 2 4 3" xfId="7232"/>
    <cellStyle name="Note 7 2 2 4 3 2" xfId="7233"/>
    <cellStyle name="Note 7 2 2 4 4" xfId="7234"/>
    <cellStyle name="Note 7 2 2 4 4 2" xfId="7235"/>
    <cellStyle name="Note 7 2 2 4 5" xfId="7236"/>
    <cellStyle name="Note 7 2 2 4 5 2" xfId="7237"/>
    <cellStyle name="Note 7 2 2 4 6" xfId="7238"/>
    <cellStyle name="Note 7 2 2 4 6 2" xfId="7239"/>
    <cellStyle name="Note 7 2 2 4 7" xfId="7240"/>
    <cellStyle name="Note 7 2 2 4 7 2" xfId="7241"/>
    <cellStyle name="Note 7 2 2 4 8" xfId="7242"/>
    <cellStyle name="Note 7 2 2 4 8 2" xfId="7243"/>
    <cellStyle name="Note 7 2 2 4 9" xfId="7244"/>
    <cellStyle name="Note 7 2 2 4 9 2" xfId="7245"/>
    <cellStyle name="Note 7 2 2 5" xfId="7246"/>
    <cellStyle name="Note 7 2 2 5 10" xfId="7247"/>
    <cellStyle name="Note 7 2 2 5 10 2" xfId="7248"/>
    <cellStyle name="Note 7 2 2 5 11" xfId="7249"/>
    <cellStyle name="Note 7 2 2 5 2" xfId="7250"/>
    <cellStyle name="Note 7 2 2 5 2 2" xfId="7251"/>
    <cellStyle name="Note 7 2 2 5 2 2 2" xfId="7252"/>
    <cellStyle name="Note 7 2 2 5 2 3" xfId="7253"/>
    <cellStyle name="Note 7 2 2 5 3" xfId="7254"/>
    <cellStyle name="Note 7 2 2 5 3 2" xfId="7255"/>
    <cellStyle name="Note 7 2 2 5 4" xfId="7256"/>
    <cellStyle name="Note 7 2 2 5 4 2" xfId="7257"/>
    <cellStyle name="Note 7 2 2 5 5" xfId="7258"/>
    <cellStyle name="Note 7 2 2 5 5 2" xfId="7259"/>
    <cellStyle name="Note 7 2 2 5 6" xfId="7260"/>
    <cellStyle name="Note 7 2 2 5 6 2" xfId="7261"/>
    <cellStyle name="Note 7 2 2 5 7" xfId="7262"/>
    <cellStyle name="Note 7 2 2 5 7 2" xfId="7263"/>
    <cellStyle name="Note 7 2 2 5 8" xfId="7264"/>
    <cellStyle name="Note 7 2 2 5 8 2" xfId="7265"/>
    <cellStyle name="Note 7 2 2 5 9" xfId="7266"/>
    <cellStyle name="Note 7 2 2 5 9 2" xfId="7267"/>
    <cellStyle name="Note 7 2 2 6" xfId="7268"/>
    <cellStyle name="Note 7 2 2 6 10" xfId="7269"/>
    <cellStyle name="Note 7 2 2 6 10 2" xfId="7270"/>
    <cellStyle name="Note 7 2 2 6 11" xfId="7271"/>
    <cellStyle name="Note 7 2 2 6 2" xfId="7272"/>
    <cellStyle name="Note 7 2 2 6 2 2" xfId="7273"/>
    <cellStyle name="Note 7 2 2 6 2 2 2" xfId="7274"/>
    <cellStyle name="Note 7 2 2 6 2 3" xfId="7275"/>
    <cellStyle name="Note 7 2 2 6 3" xfId="7276"/>
    <cellStyle name="Note 7 2 2 6 3 2" xfId="7277"/>
    <cellStyle name="Note 7 2 2 6 4" xfId="7278"/>
    <cellStyle name="Note 7 2 2 6 4 2" xfId="7279"/>
    <cellStyle name="Note 7 2 2 6 5" xfId="7280"/>
    <cellStyle name="Note 7 2 2 6 5 2" xfId="7281"/>
    <cellStyle name="Note 7 2 2 6 6" xfId="7282"/>
    <cellStyle name="Note 7 2 2 6 6 2" xfId="7283"/>
    <cellStyle name="Note 7 2 2 6 7" xfId="7284"/>
    <cellStyle name="Note 7 2 2 6 7 2" xfId="7285"/>
    <cellStyle name="Note 7 2 2 6 8" xfId="7286"/>
    <cellStyle name="Note 7 2 2 6 8 2" xfId="7287"/>
    <cellStyle name="Note 7 2 2 6 9" xfId="7288"/>
    <cellStyle name="Note 7 2 2 6 9 2" xfId="7289"/>
    <cellStyle name="Note 7 2 2 7" xfId="7290"/>
    <cellStyle name="Note 7 2 2 7 2" xfId="7291"/>
    <cellStyle name="Note 7 2 2 7 2 2" xfId="7292"/>
    <cellStyle name="Note 7 2 2 7 3" xfId="7293"/>
    <cellStyle name="Note 7 2 2 8" xfId="7294"/>
    <cellStyle name="Note 7 2 2 8 2" xfId="7295"/>
    <cellStyle name="Note 7 2 2 9" xfId="7296"/>
    <cellStyle name="Note 7 2 2 9 2" xfId="7297"/>
    <cellStyle name="Note 7 2 3" xfId="7298"/>
    <cellStyle name="Note 7 2 3 2" xfId="7299"/>
    <cellStyle name="Note 7 2 3 2 2" xfId="7300"/>
    <cellStyle name="Note 7 2 3 2 2 2" xfId="7301"/>
    <cellStyle name="Note 7 2 3 2 3" xfId="7302"/>
    <cellStyle name="Note 7 2 3 3" xfId="7303"/>
    <cellStyle name="Note 7 2 3 3 2" xfId="7304"/>
    <cellStyle name="Note 7 2 3 3 2 2" xfId="7305"/>
    <cellStyle name="Note 7 2 3 3 3" xfId="7306"/>
    <cellStyle name="Note 7 2 3 4" xfId="7307"/>
    <cellStyle name="Note 7 2 3 4 2" xfId="7308"/>
    <cellStyle name="Note 7 2 3 5" xfId="7309"/>
    <cellStyle name="Note 7 2 3 5 2" xfId="7310"/>
    <cellStyle name="Note 7 2 3 6" xfId="7311"/>
    <cellStyle name="Note 7 2 3 6 2" xfId="7312"/>
    <cellStyle name="Note 7 2 3 7" xfId="7313"/>
    <cellStyle name="Note 7 2 3 7 2" xfId="7314"/>
    <cellStyle name="Note 7 2 3 8" xfId="7315"/>
    <cellStyle name="Note 7 2 4" xfId="7316"/>
    <cellStyle name="Note 7 2 4 10" xfId="7317"/>
    <cellStyle name="Note 7 2 4 10 2" xfId="7318"/>
    <cellStyle name="Note 7 2 4 11" xfId="7319"/>
    <cellStyle name="Note 7 2 4 2" xfId="7320"/>
    <cellStyle name="Note 7 2 4 2 2" xfId="7321"/>
    <cellStyle name="Note 7 2 4 2 2 2" xfId="7322"/>
    <cellStyle name="Note 7 2 4 2 3" xfId="7323"/>
    <cellStyle name="Note 7 2 4 3" xfId="7324"/>
    <cellStyle name="Note 7 2 4 3 2" xfId="7325"/>
    <cellStyle name="Note 7 2 4 4" xfId="7326"/>
    <cellStyle name="Note 7 2 4 4 2" xfId="7327"/>
    <cellStyle name="Note 7 2 4 5" xfId="7328"/>
    <cellStyle name="Note 7 2 4 5 2" xfId="7329"/>
    <cellStyle name="Note 7 2 4 6" xfId="7330"/>
    <cellStyle name="Note 7 2 4 6 2" xfId="7331"/>
    <cellStyle name="Note 7 2 4 7" xfId="7332"/>
    <cellStyle name="Note 7 2 4 7 2" xfId="7333"/>
    <cellStyle name="Note 7 2 4 8" xfId="7334"/>
    <cellStyle name="Note 7 2 4 8 2" xfId="7335"/>
    <cellStyle name="Note 7 2 4 9" xfId="7336"/>
    <cellStyle name="Note 7 2 4 9 2" xfId="7337"/>
    <cellStyle name="Note 7 2 5" xfId="7338"/>
    <cellStyle name="Note 7 2 5 10" xfId="7339"/>
    <cellStyle name="Note 7 2 5 10 2" xfId="7340"/>
    <cellStyle name="Note 7 2 5 11" xfId="7341"/>
    <cellStyle name="Note 7 2 5 2" xfId="7342"/>
    <cellStyle name="Note 7 2 5 2 2" xfId="7343"/>
    <cellStyle name="Note 7 2 5 2 2 2" xfId="7344"/>
    <cellStyle name="Note 7 2 5 2 3" xfId="7345"/>
    <cellStyle name="Note 7 2 5 3" xfId="7346"/>
    <cellStyle name="Note 7 2 5 3 2" xfId="7347"/>
    <cellStyle name="Note 7 2 5 4" xfId="7348"/>
    <cellStyle name="Note 7 2 5 4 2" xfId="7349"/>
    <cellStyle name="Note 7 2 5 5" xfId="7350"/>
    <cellStyle name="Note 7 2 5 5 2" xfId="7351"/>
    <cellStyle name="Note 7 2 5 6" xfId="7352"/>
    <cellStyle name="Note 7 2 5 6 2" xfId="7353"/>
    <cellStyle name="Note 7 2 5 7" xfId="7354"/>
    <cellStyle name="Note 7 2 5 7 2" xfId="7355"/>
    <cellStyle name="Note 7 2 5 8" xfId="7356"/>
    <cellStyle name="Note 7 2 5 8 2" xfId="7357"/>
    <cellStyle name="Note 7 2 5 9" xfId="7358"/>
    <cellStyle name="Note 7 2 5 9 2" xfId="7359"/>
    <cellStyle name="Note 7 2 6" xfId="7360"/>
    <cellStyle name="Note 7 2 6 10" xfId="7361"/>
    <cellStyle name="Note 7 2 6 10 2" xfId="7362"/>
    <cellStyle name="Note 7 2 6 11" xfId="7363"/>
    <cellStyle name="Note 7 2 6 2" xfId="7364"/>
    <cellStyle name="Note 7 2 6 2 2" xfId="7365"/>
    <cellStyle name="Note 7 2 6 2 2 2" xfId="7366"/>
    <cellStyle name="Note 7 2 6 2 3" xfId="7367"/>
    <cellStyle name="Note 7 2 6 3" xfId="7368"/>
    <cellStyle name="Note 7 2 6 3 2" xfId="7369"/>
    <cellStyle name="Note 7 2 6 4" xfId="7370"/>
    <cellStyle name="Note 7 2 6 4 2" xfId="7371"/>
    <cellStyle name="Note 7 2 6 5" xfId="7372"/>
    <cellStyle name="Note 7 2 6 5 2" xfId="7373"/>
    <cellStyle name="Note 7 2 6 6" xfId="7374"/>
    <cellStyle name="Note 7 2 6 6 2" xfId="7375"/>
    <cellStyle name="Note 7 2 6 7" xfId="7376"/>
    <cellStyle name="Note 7 2 6 7 2" xfId="7377"/>
    <cellStyle name="Note 7 2 6 8" xfId="7378"/>
    <cellStyle name="Note 7 2 6 8 2" xfId="7379"/>
    <cellStyle name="Note 7 2 6 9" xfId="7380"/>
    <cellStyle name="Note 7 2 6 9 2" xfId="7381"/>
    <cellStyle name="Note 7 2 7" xfId="7382"/>
    <cellStyle name="Note 7 2 7 10" xfId="7383"/>
    <cellStyle name="Note 7 2 7 10 2" xfId="7384"/>
    <cellStyle name="Note 7 2 7 11" xfId="7385"/>
    <cellStyle name="Note 7 2 7 2" xfId="7386"/>
    <cellStyle name="Note 7 2 7 2 2" xfId="7387"/>
    <cellStyle name="Note 7 2 7 2 2 2" xfId="7388"/>
    <cellStyle name="Note 7 2 7 2 3" xfId="7389"/>
    <cellStyle name="Note 7 2 7 3" xfId="7390"/>
    <cellStyle name="Note 7 2 7 3 2" xfId="7391"/>
    <cellStyle name="Note 7 2 7 4" xfId="7392"/>
    <cellStyle name="Note 7 2 7 4 2" xfId="7393"/>
    <cellStyle name="Note 7 2 7 5" xfId="7394"/>
    <cellStyle name="Note 7 2 7 5 2" xfId="7395"/>
    <cellStyle name="Note 7 2 7 6" xfId="7396"/>
    <cellStyle name="Note 7 2 7 6 2" xfId="7397"/>
    <cellStyle name="Note 7 2 7 7" xfId="7398"/>
    <cellStyle name="Note 7 2 7 7 2" xfId="7399"/>
    <cellStyle name="Note 7 2 7 8" xfId="7400"/>
    <cellStyle name="Note 7 2 7 8 2" xfId="7401"/>
    <cellStyle name="Note 7 2 7 9" xfId="7402"/>
    <cellStyle name="Note 7 2 7 9 2" xfId="7403"/>
    <cellStyle name="Note 7 2 8" xfId="7404"/>
    <cellStyle name="Note 7 2 8 2" xfId="7405"/>
    <cellStyle name="Note 7 2 8 2 2" xfId="7406"/>
    <cellStyle name="Note 7 2 8 3" xfId="7407"/>
    <cellStyle name="Note 7 2 9" xfId="7408"/>
    <cellStyle name="Note 7 2 9 2" xfId="7409"/>
    <cellStyle name="Note 7 2_7 - Cap Add WS" xfId="647"/>
    <cellStyle name="Note 7 3" xfId="648"/>
    <cellStyle name="Note 7 3 10" xfId="7410"/>
    <cellStyle name="Note 7 3 10 2" xfId="7411"/>
    <cellStyle name="Note 7 3 11" xfId="7412"/>
    <cellStyle name="Note 7 3 11 2" xfId="7413"/>
    <cellStyle name="Note 7 3 12" xfId="7414"/>
    <cellStyle name="Note 7 3 12 2" xfId="7415"/>
    <cellStyle name="Note 7 3 13" xfId="7416"/>
    <cellStyle name="Note 7 3 13 2" xfId="7417"/>
    <cellStyle name="Note 7 3 14" xfId="7418"/>
    <cellStyle name="Note 7 3 2" xfId="649"/>
    <cellStyle name="Note 7 3 2 10" xfId="7419"/>
    <cellStyle name="Note 7 3 2 10 2" xfId="7420"/>
    <cellStyle name="Note 7 3 2 11" xfId="7421"/>
    <cellStyle name="Note 7 3 2 11 2" xfId="7422"/>
    <cellStyle name="Note 7 3 2 12" xfId="7423"/>
    <cellStyle name="Note 7 3 2 12 2" xfId="7424"/>
    <cellStyle name="Note 7 3 2 13" xfId="7425"/>
    <cellStyle name="Note 7 3 2 2" xfId="7426"/>
    <cellStyle name="Note 7 3 2 2 2" xfId="7427"/>
    <cellStyle name="Note 7 3 2 2 2 2" xfId="7428"/>
    <cellStyle name="Note 7 3 2 2 2 2 2" xfId="7429"/>
    <cellStyle name="Note 7 3 2 2 2 3" xfId="7430"/>
    <cellStyle name="Note 7 3 2 2 3" xfId="7431"/>
    <cellStyle name="Note 7 3 2 2 3 2" xfId="7432"/>
    <cellStyle name="Note 7 3 2 2 3 2 2" xfId="7433"/>
    <cellStyle name="Note 7 3 2 2 3 3" xfId="7434"/>
    <cellStyle name="Note 7 3 2 2 4" xfId="7435"/>
    <cellStyle name="Note 7 3 2 2 4 2" xfId="7436"/>
    <cellStyle name="Note 7 3 2 2 5" xfId="7437"/>
    <cellStyle name="Note 7 3 2 2 5 2" xfId="7438"/>
    <cellStyle name="Note 7 3 2 2 6" xfId="7439"/>
    <cellStyle name="Note 7 3 2 2 6 2" xfId="7440"/>
    <cellStyle name="Note 7 3 2 2 7" xfId="7441"/>
    <cellStyle name="Note 7 3 2 2 7 2" xfId="7442"/>
    <cellStyle name="Note 7 3 2 2 8" xfId="7443"/>
    <cellStyle name="Note 7 3 2 3" xfId="7444"/>
    <cellStyle name="Note 7 3 2 3 10" xfId="7445"/>
    <cellStyle name="Note 7 3 2 3 10 2" xfId="7446"/>
    <cellStyle name="Note 7 3 2 3 11" xfId="7447"/>
    <cellStyle name="Note 7 3 2 3 2" xfId="7448"/>
    <cellStyle name="Note 7 3 2 3 2 2" xfId="7449"/>
    <cellStyle name="Note 7 3 2 3 2 2 2" xfId="7450"/>
    <cellStyle name="Note 7 3 2 3 2 3" xfId="7451"/>
    <cellStyle name="Note 7 3 2 3 3" xfId="7452"/>
    <cellStyle name="Note 7 3 2 3 3 2" xfId="7453"/>
    <cellStyle name="Note 7 3 2 3 4" xfId="7454"/>
    <cellStyle name="Note 7 3 2 3 4 2" xfId="7455"/>
    <cellStyle name="Note 7 3 2 3 5" xfId="7456"/>
    <cellStyle name="Note 7 3 2 3 5 2" xfId="7457"/>
    <cellStyle name="Note 7 3 2 3 6" xfId="7458"/>
    <cellStyle name="Note 7 3 2 3 6 2" xfId="7459"/>
    <cellStyle name="Note 7 3 2 3 7" xfId="7460"/>
    <cellStyle name="Note 7 3 2 3 7 2" xfId="7461"/>
    <cellStyle name="Note 7 3 2 3 8" xfId="7462"/>
    <cellStyle name="Note 7 3 2 3 8 2" xfId="7463"/>
    <cellStyle name="Note 7 3 2 3 9" xfId="7464"/>
    <cellStyle name="Note 7 3 2 3 9 2" xfId="7465"/>
    <cellStyle name="Note 7 3 2 4" xfId="7466"/>
    <cellStyle name="Note 7 3 2 4 10" xfId="7467"/>
    <cellStyle name="Note 7 3 2 4 10 2" xfId="7468"/>
    <cellStyle name="Note 7 3 2 4 11" xfId="7469"/>
    <cellStyle name="Note 7 3 2 4 2" xfId="7470"/>
    <cellStyle name="Note 7 3 2 4 2 2" xfId="7471"/>
    <cellStyle name="Note 7 3 2 4 2 2 2" xfId="7472"/>
    <cellStyle name="Note 7 3 2 4 2 3" xfId="7473"/>
    <cellStyle name="Note 7 3 2 4 3" xfId="7474"/>
    <cellStyle name="Note 7 3 2 4 3 2" xfId="7475"/>
    <cellStyle name="Note 7 3 2 4 4" xfId="7476"/>
    <cellStyle name="Note 7 3 2 4 4 2" xfId="7477"/>
    <cellStyle name="Note 7 3 2 4 5" xfId="7478"/>
    <cellStyle name="Note 7 3 2 4 5 2" xfId="7479"/>
    <cellStyle name="Note 7 3 2 4 6" xfId="7480"/>
    <cellStyle name="Note 7 3 2 4 6 2" xfId="7481"/>
    <cellStyle name="Note 7 3 2 4 7" xfId="7482"/>
    <cellStyle name="Note 7 3 2 4 7 2" xfId="7483"/>
    <cellStyle name="Note 7 3 2 4 8" xfId="7484"/>
    <cellStyle name="Note 7 3 2 4 8 2" xfId="7485"/>
    <cellStyle name="Note 7 3 2 4 9" xfId="7486"/>
    <cellStyle name="Note 7 3 2 4 9 2" xfId="7487"/>
    <cellStyle name="Note 7 3 2 5" xfId="7488"/>
    <cellStyle name="Note 7 3 2 5 10" xfId="7489"/>
    <cellStyle name="Note 7 3 2 5 10 2" xfId="7490"/>
    <cellStyle name="Note 7 3 2 5 11" xfId="7491"/>
    <cellStyle name="Note 7 3 2 5 2" xfId="7492"/>
    <cellStyle name="Note 7 3 2 5 2 2" xfId="7493"/>
    <cellStyle name="Note 7 3 2 5 2 2 2" xfId="7494"/>
    <cellStyle name="Note 7 3 2 5 2 3" xfId="7495"/>
    <cellStyle name="Note 7 3 2 5 3" xfId="7496"/>
    <cellStyle name="Note 7 3 2 5 3 2" xfId="7497"/>
    <cellStyle name="Note 7 3 2 5 4" xfId="7498"/>
    <cellStyle name="Note 7 3 2 5 4 2" xfId="7499"/>
    <cellStyle name="Note 7 3 2 5 5" xfId="7500"/>
    <cellStyle name="Note 7 3 2 5 5 2" xfId="7501"/>
    <cellStyle name="Note 7 3 2 5 6" xfId="7502"/>
    <cellStyle name="Note 7 3 2 5 6 2" xfId="7503"/>
    <cellStyle name="Note 7 3 2 5 7" xfId="7504"/>
    <cellStyle name="Note 7 3 2 5 7 2" xfId="7505"/>
    <cellStyle name="Note 7 3 2 5 8" xfId="7506"/>
    <cellStyle name="Note 7 3 2 5 8 2" xfId="7507"/>
    <cellStyle name="Note 7 3 2 5 9" xfId="7508"/>
    <cellStyle name="Note 7 3 2 5 9 2" xfId="7509"/>
    <cellStyle name="Note 7 3 2 6" xfId="7510"/>
    <cellStyle name="Note 7 3 2 6 10" xfId="7511"/>
    <cellStyle name="Note 7 3 2 6 10 2" xfId="7512"/>
    <cellStyle name="Note 7 3 2 6 11" xfId="7513"/>
    <cellStyle name="Note 7 3 2 6 2" xfId="7514"/>
    <cellStyle name="Note 7 3 2 6 2 2" xfId="7515"/>
    <cellStyle name="Note 7 3 2 6 2 2 2" xfId="7516"/>
    <cellStyle name="Note 7 3 2 6 2 3" xfId="7517"/>
    <cellStyle name="Note 7 3 2 6 3" xfId="7518"/>
    <cellStyle name="Note 7 3 2 6 3 2" xfId="7519"/>
    <cellStyle name="Note 7 3 2 6 4" xfId="7520"/>
    <cellStyle name="Note 7 3 2 6 4 2" xfId="7521"/>
    <cellStyle name="Note 7 3 2 6 5" xfId="7522"/>
    <cellStyle name="Note 7 3 2 6 5 2" xfId="7523"/>
    <cellStyle name="Note 7 3 2 6 6" xfId="7524"/>
    <cellStyle name="Note 7 3 2 6 6 2" xfId="7525"/>
    <cellStyle name="Note 7 3 2 6 7" xfId="7526"/>
    <cellStyle name="Note 7 3 2 6 7 2" xfId="7527"/>
    <cellStyle name="Note 7 3 2 6 8" xfId="7528"/>
    <cellStyle name="Note 7 3 2 6 8 2" xfId="7529"/>
    <cellStyle name="Note 7 3 2 6 9" xfId="7530"/>
    <cellStyle name="Note 7 3 2 6 9 2" xfId="7531"/>
    <cellStyle name="Note 7 3 2 7" xfId="7532"/>
    <cellStyle name="Note 7 3 2 7 2" xfId="7533"/>
    <cellStyle name="Note 7 3 2 7 2 2" xfId="7534"/>
    <cellStyle name="Note 7 3 2 7 3" xfId="7535"/>
    <cellStyle name="Note 7 3 2 8" xfId="7536"/>
    <cellStyle name="Note 7 3 2 8 2" xfId="7537"/>
    <cellStyle name="Note 7 3 2 9" xfId="7538"/>
    <cellStyle name="Note 7 3 2 9 2" xfId="7539"/>
    <cellStyle name="Note 7 3 3" xfId="7540"/>
    <cellStyle name="Note 7 3 3 2" xfId="7541"/>
    <cellStyle name="Note 7 3 3 2 2" xfId="7542"/>
    <cellStyle name="Note 7 3 3 2 2 2" xfId="7543"/>
    <cellStyle name="Note 7 3 3 2 3" xfId="7544"/>
    <cellStyle name="Note 7 3 3 3" xfId="7545"/>
    <cellStyle name="Note 7 3 3 3 2" xfId="7546"/>
    <cellStyle name="Note 7 3 3 3 2 2" xfId="7547"/>
    <cellStyle name="Note 7 3 3 3 3" xfId="7548"/>
    <cellStyle name="Note 7 3 3 4" xfId="7549"/>
    <cellStyle name="Note 7 3 3 4 2" xfId="7550"/>
    <cellStyle name="Note 7 3 3 5" xfId="7551"/>
    <cellStyle name="Note 7 3 3 5 2" xfId="7552"/>
    <cellStyle name="Note 7 3 3 6" xfId="7553"/>
    <cellStyle name="Note 7 3 3 6 2" xfId="7554"/>
    <cellStyle name="Note 7 3 3 7" xfId="7555"/>
    <cellStyle name="Note 7 3 3 7 2" xfId="7556"/>
    <cellStyle name="Note 7 3 3 8" xfId="7557"/>
    <cellStyle name="Note 7 3 4" xfId="7558"/>
    <cellStyle name="Note 7 3 4 10" xfId="7559"/>
    <cellStyle name="Note 7 3 4 10 2" xfId="7560"/>
    <cellStyle name="Note 7 3 4 11" xfId="7561"/>
    <cellStyle name="Note 7 3 4 2" xfId="7562"/>
    <cellStyle name="Note 7 3 4 2 2" xfId="7563"/>
    <cellStyle name="Note 7 3 4 2 2 2" xfId="7564"/>
    <cellStyle name="Note 7 3 4 2 3" xfId="7565"/>
    <cellStyle name="Note 7 3 4 3" xfId="7566"/>
    <cellStyle name="Note 7 3 4 3 2" xfId="7567"/>
    <cellStyle name="Note 7 3 4 4" xfId="7568"/>
    <cellStyle name="Note 7 3 4 4 2" xfId="7569"/>
    <cellStyle name="Note 7 3 4 5" xfId="7570"/>
    <cellStyle name="Note 7 3 4 5 2" xfId="7571"/>
    <cellStyle name="Note 7 3 4 6" xfId="7572"/>
    <cellStyle name="Note 7 3 4 6 2" xfId="7573"/>
    <cellStyle name="Note 7 3 4 7" xfId="7574"/>
    <cellStyle name="Note 7 3 4 7 2" xfId="7575"/>
    <cellStyle name="Note 7 3 4 8" xfId="7576"/>
    <cellStyle name="Note 7 3 4 8 2" xfId="7577"/>
    <cellStyle name="Note 7 3 4 9" xfId="7578"/>
    <cellStyle name="Note 7 3 4 9 2" xfId="7579"/>
    <cellStyle name="Note 7 3 5" xfId="7580"/>
    <cellStyle name="Note 7 3 5 10" xfId="7581"/>
    <cellStyle name="Note 7 3 5 10 2" xfId="7582"/>
    <cellStyle name="Note 7 3 5 11" xfId="7583"/>
    <cellStyle name="Note 7 3 5 2" xfId="7584"/>
    <cellStyle name="Note 7 3 5 2 2" xfId="7585"/>
    <cellStyle name="Note 7 3 5 2 2 2" xfId="7586"/>
    <cellStyle name="Note 7 3 5 2 3" xfId="7587"/>
    <cellStyle name="Note 7 3 5 3" xfId="7588"/>
    <cellStyle name="Note 7 3 5 3 2" xfId="7589"/>
    <cellStyle name="Note 7 3 5 4" xfId="7590"/>
    <cellStyle name="Note 7 3 5 4 2" xfId="7591"/>
    <cellStyle name="Note 7 3 5 5" xfId="7592"/>
    <cellStyle name="Note 7 3 5 5 2" xfId="7593"/>
    <cellStyle name="Note 7 3 5 6" xfId="7594"/>
    <cellStyle name="Note 7 3 5 6 2" xfId="7595"/>
    <cellStyle name="Note 7 3 5 7" xfId="7596"/>
    <cellStyle name="Note 7 3 5 7 2" xfId="7597"/>
    <cellStyle name="Note 7 3 5 8" xfId="7598"/>
    <cellStyle name="Note 7 3 5 8 2" xfId="7599"/>
    <cellStyle name="Note 7 3 5 9" xfId="7600"/>
    <cellStyle name="Note 7 3 5 9 2" xfId="7601"/>
    <cellStyle name="Note 7 3 6" xfId="7602"/>
    <cellStyle name="Note 7 3 6 10" xfId="7603"/>
    <cellStyle name="Note 7 3 6 10 2" xfId="7604"/>
    <cellStyle name="Note 7 3 6 11" xfId="7605"/>
    <cellStyle name="Note 7 3 6 2" xfId="7606"/>
    <cellStyle name="Note 7 3 6 2 2" xfId="7607"/>
    <cellStyle name="Note 7 3 6 2 2 2" xfId="7608"/>
    <cellStyle name="Note 7 3 6 2 3" xfId="7609"/>
    <cellStyle name="Note 7 3 6 3" xfId="7610"/>
    <cellStyle name="Note 7 3 6 3 2" xfId="7611"/>
    <cellStyle name="Note 7 3 6 4" xfId="7612"/>
    <cellStyle name="Note 7 3 6 4 2" xfId="7613"/>
    <cellStyle name="Note 7 3 6 5" xfId="7614"/>
    <cellStyle name="Note 7 3 6 5 2" xfId="7615"/>
    <cellStyle name="Note 7 3 6 6" xfId="7616"/>
    <cellStyle name="Note 7 3 6 6 2" xfId="7617"/>
    <cellStyle name="Note 7 3 6 7" xfId="7618"/>
    <cellStyle name="Note 7 3 6 7 2" xfId="7619"/>
    <cellStyle name="Note 7 3 6 8" xfId="7620"/>
    <cellStyle name="Note 7 3 6 8 2" xfId="7621"/>
    <cellStyle name="Note 7 3 6 9" xfId="7622"/>
    <cellStyle name="Note 7 3 6 9 2" xfId="7623"/>
    <cellStyle name="Note 7 3 7" xfId="7624"/>
    <cellStyle name="Note 7 3 7 10" xfId="7625"/>
    <cellStyle name="Note 7 3 7 10 2" xfId="7626"/>
    <cellStyle name="Note 7 3 7 11" xfId="7627"/>
    <cellStyle name="Note 7 3 7 2" xfId="7628"/>
    <cellStyle name="Note 7 3 7 2 2" xfId="7629"/>
    <cellStyle name="Note 7 3 7 2 2 2" xfId="7630"/>
    <cellStyle name="Note 7 3 7 2 3" xfId="7631"/>
    <cellStyle name="Note 7 3 7 3" xfId="7632"/>
    <cellStyle name="Note 7 3 7 3 2" xfId="7633"/>
    <cellStyle name="Note 7 3 7 4" xfId="7634"/>
    <cellStyle name="Note 7 3 7 4 2" xfId="7635"/>
    <cellStyle name="Note 7 3 7 5" xfId="7636"/>
    <cellStyle name="Note 7 3 7 5 2" xfId="7637"/>
    <cellStyle name="Note 7 3 7 6" xfId="7638"/>
    <cellStyle name="Note 7 3 7 6 2" xfId="7639"/>
    <cellStyle name="Note 7 3 7 7" xfId="7640"/>
    <cellStyle name="Note 7 3 7 7 2" xfId="7641"/>
    <cellStyle name="Note 7 3 7 8" xfId="7642"/>
    <cellStyle name="Note 7 3 7 8 2" xfId="7643"/>
    <cellStyle name="Note 7 3 7 9" xfId="7644"/>
    <cellStyle name="Note 7 3 7 9 2" xfId="7645"/>
    <cellStyle name="Note 7 3 8" xfId="7646"/>
    <cellStyle name="Note 7 3 8 2" xfId="7647"/>
    <cellStyle name="Note 7 3 8 2 2" xfId="7648"/>
    <cellStyle name="Note 7 3 8 3" xfId="7649"/>
    <cellStyle name="Note 7 3 9" xfId="7650"/>
    <cellStyle name="Note 7 3 9 2" xfId="7651"/>
    <cellStyle name="Note 7 3_7 - Cap Add WS" xfId="650"/>
    <cellStyle name="Note 7 4" xfId="651"/>
    <cellStyle name="Note 7 4 10" xfId="7652"/>
    <cellStyle name="Note 7 4 10 2" xfId="7653"/>
    <cellStyle name="Note 7 4 11" xfId="7654"/>
    <cellStyle name="Note 7 4 11 2" xfId="7655"/>
    <cellStyle name="Note 7 4 12" xfId="7656"/>
    <cellStyle name="Note 7 4 12 2" xfId="7657"/>
    <cellStyle name="Note 7 4 13" xfId="7658"/>
    <cellStyle name="Note 7 4 2" xfId="7659"/>
    <cellStyle name="Note 7 4 2 2" xfId="7660"/>
    <cellStyle name="Note 7 4 2 2 2" xfId="7661"/>
    <cellStyle name="Note 7 4 2 2 2 2" xfId="7662"/>
    <cellStyle name="Note 7 4 2 2 3" xfId="7663"/>
    <cellStyle name="Note 7 4 2 3" xfId="7664"/>
    <cellStyle name="Note 7 4 2 3 2" xfId="7665"/>
    <cellStyle name="Note 7 4 2 3 2 2" xfId="7666"/>
    <cellStyle name="Note 7 4 2 3 3" xfId="7667"/>
    <cellStyle name="Note 7 4 2 4" xfId="7668"/>
    <cellStyle name="Note 7 4 2 4 2" xfId="7669"/>
    <cellStyle name="Note 7 4 2 5" xfId="7670"/>
    <cellStyle name="Note 7 4 2 5 2" xfId="7671"/>
    <cellStyle name="Note 7 4 2 6" xfId="7672"/>
    <cellStyle name="Note 7 4 2 6 2" xfId="7673"/>
    <cellStyle name="Note 7 4 2 7" xfId="7674"/>
    <cellStyle name="Note 7 4 2 7 2" xfId="7675"/>
    <cellStyle name="Note 7 4 2 8" xfId="7676"/>
    <cellStyle name="Note 7 4 3" xfId="7677"/>
    <cellStyle name="Note 7 4 3 10" xfId="7678"/>
    <cellStyle name="Note 7 4 3 10 2" xfId="7679"/>
    <cellStyle name="Note 7 4 3 11" xfId="7680"/>
    <cellStyle name="Note 7 4 3 2" xfId="7681"/>
    <cellStyle name="Note 7 4 3 2 2" xfId="7682"/>
    <cellStyle name="Note 7 4 3 2 2 2" xfId="7683"/>
    <cellStyle name="Note 7 4 3 2 3" xfId="7684"/>
    <cellStyle name="Note 7 4 3 3" xfId="7685"/>
    <cellStyle name="Note 7 4 3 3 2" xfId="7686"/>
    <cellStyle name="Note 7 4 3 4" xfId="7687"/>
    <cellStyle name="Note 7 4 3 4 2" xfId="7688"/>
    <cellStyle name="Note 7 4 3 5" xfId="7689"/>
    <cellStyle name="Note 7 4 3 5 2" xfId="7690"/>
    <cellStyle name="Note 7 4 3 6" xfId="7691"/>
    <cellStyle name="Note 7 4 3 6 2" xfId="7692"/>
    <cellStyle name="Note 7 4 3 7" xfId="7693"/>
    <cellStyle name="Note 7 4 3 7 2" xfId="7694"/>
    <cellStyle name="Note 7 4 3 8" xfId="7695"/>
    <cellStyle name="Note 7 4 3 8 2" xfId="7696"/>
    <cellStyle name="Note 7 4 3 9" xfId="7697"/>
    <cellStyle name="Note 7 4 3 9 2" xfId="7698"/>
    <cellStyle name="Note 7 4 4" xfId="7699"/>
    <cellStyle name="Note 7 4 4 10" xfId="7700"/>
    <cellStyle name="Note 7 4 4 10 2" xfId="7701"/>
    <cellStyle name="Note 7 4 4 11" xfId="7702"/>
    <cellStyle name="Note 7 4 4 2" xfId="7703"/>
    <cellStyle name="Note 7 4 4 2 2" xfId="7704"/>
    <cellStyle name="Note 7 4 4 2 2 2" xfId="7705"/>
    <cellStyle name="Note 7 4 4 2 3" xfId="7706"/>
    <cellStyle name="Note 7 4 4 3" xfId="7707"/>
    <cellStyle name="Note 7 4 4 3 2" xfId="7708"/>
    <cellStyle name="Note 7 4 4 4" xfId="7709"/>
    <cellStyle name="Note 7 4 4 4 2" xfId="7710"/>
    <cellStyle name="Note 7 4 4 5" xfId="7711"/>
    <cellStyle name="Note 7 4 4 5 2" xfId="7712"/>
    <cellStyle name="Note 7 4 4 6" xfId="7713"/>
    <cellStyle name="Note 7 4 4 6 2" xfId="7714"/>
    <cellStyle name="Note 7 4 4 7" xfId="7715"/>
    <cellStyle name="Note 7 4 4 7 2" xfId="7716"/>
    <cellStyle name="Note 7 4 4 8" xfId="7717"/>
    <cellStyle name="Note 7 4 4 8 2" xfId="7718"/>
    <cellStyle name="Note 7 4 4 9" xfId="7719"/>
    <cellStyle name="Note 7 4 4 9 2" xfId="7720"/>
    <cellStyle name="Note 7 4 5" xfId="7721"/>
    <cellStyle name="Note 7 4 5 10" xfId="7722"/>
    <cellStyle name="Note 7 4 5 10 2" xfId="7723"/>
    <cellStyle name="Note 7 4 5 11" xfId="7724"/>
    <cellStyle name="Note 7 4 5 2" xfId="7725"/>
    <cellStyle name="Note 7 4 5 2 2" xfId="7726"/>
    <cellStyle name="Note 7 4 5 2 2 2" xfId="7727"/>
    <cellStyle name="Note 7 4 5 2 3" xfId="7728"/>
    <cellStyle name="Note 7 4 5 3" xfId="7729"/>
    <cellStyle name="Note 7 4 5 3 2" xfId="7730"/>
    <cellStyle name="Note 7 4 5 4" xfId="7731"/>
    <cellStyle name="Note 7 4 5 4 2" xfId="7732"/>
    <cellStyle name="Note 7 4 5 5" xfId="7733"/>
    <cellStyle name="Note 7 4 5 5 2" xfId="7734"/>
    <cellStyle name="Note 7 4 5 6" xfId="7735"/>
    <cellStyle name="Note 7 4 5 6 2" xfId="7736"/>
    <cellStyle name="Note 7 4 5 7" xfId="7737"/>
    <cellStyle name="Note 7 4 5 7 2" xfId="7738"/>
    <cellStyle name="Note 7 4 5 8" xfId="7739"/>
    <cellStyle name="Note 7 4 5 8 2" xfId="7740"/>
    <cellStyle name="Note 7 4 5 9" xfId="7741"/>
    <cellStyle name="Note 7 4 5 9 2" xfId="7742"/>
    <cellStyle name="Note 7 4 6" xfId="7743"/>
    <cellStyle name="Note 7 4 6 10" xfId="7744"/>
    <cellStyle name="Note 7 4 6 10 2" xfId="7745"/>
    <cellStyle name="Note 7 4 6 11" xfId="7746"/>
    <cellStyle name="Note 7 4 6 2" xfId="7747"/>
    <cellStyle name="Note 7 4 6 2 2" xfId="7748"/>
    <cellStyle name="Note 7 4 6 2 2 2" xfId="7749"/>
    <cellStyle name="Note 7 4 6 2 3" xfId="7750"/>
    <cellStyle name="Note 7 4 6 3" xfId="7751"/>
    <cellStyle name="Note 7 4 6 3 2" xfId="7752"/>
    <cellStyle name="Note 7 4 6 4" xfId="7753"/>
    <cellStyle name="Note 7 4 6 4 2" xfId="7754"/>
    <cellStyle name="Note 7 4 6 5" xfId="7755"/>
    <cellStyle name="Note 7 4 6 5 2" xfId="7756"/>
    <cellStyle name="Note 7 4 6 6" xfId="7757"/>
    <cellStyle name="Note 7 4 6 6 2" xfId="7758"/>
    <cellStyle name="Note 7 4 6 7" xfId="7759"/>
    <cellStyle name="Note 7 4 6 7 2" xfId="7760"/>
    <cellStyle name="Note 7 4 6 8" xfId="7761"/>
    <cellStyle name="Note 7 4 6 8 2" xfId="7762"/>
    <cellStyle name="Note 7 4 6 9" xfId="7763"/>
    <cellStyle name="Note 7 4 6 9 2" xfId="7764"/>
    <cellStyle name="Note 7 4 7" xfId="7765"/>
    <cellStyle name="Note 7 4 7 2" xfId="7766"/>
    <cellStyle name="Note 7 4 7 2 2" xfId="7767"/>
    <cellStyle name="Note 7 4 7 3" xfId="7768"/>
    <cellStyle name="Note 7 4 8" xfId="7769"/>
    <cellStyle name="Note 7 4 8 2" xfId="7770"/>
    <cellStyle name="Note 7 4 9" xfId="7771"/>
    <cellStyle name="Note 7 4 9 2" xfId="7772"/>
    <cellStyle name="Note 7 5" xfId="7773"/>
    <cellStyle name="Note 7 5 2" xfId="7774"/>
    <cellStyle name="Note 7 5 2 2" xfId="7775"/>
    <cellStyle name="Note 7 5 2 2 2" xfId="7776"/>
    <cellStyle name="Note 7 5 2 3" xfId="7777"/>
    <cellStyle name="Note 7 5 3" xfId="7778"/>
    <cellStyle name="Note 7 5 3 2" xfId="7779"/>
    <cellStyle name="Note 7 5 3 2 2" xfId="7780"/>
    <cellStyle name="Note 7 5 3 3" xfId="7781"/>
    <cellStyle name="Note 7 5 4" xfId="7782"/>
    <cellStyle name="Note 7 5 4 2" xfId="7783"/>
    <cellStyle name="Note 7 5 5" xfId="7784"/>
    <cellStyle name="Note 7 5 5 2" xfId="7785"/>
    <cellStyle name="Note 7 5 6" xfId="7786"/>
    <cellStyle name="Note 7 5 6 2" xfId="7787"/>
    <cellStyle name="Note 7 5 7" xfId="7788"/>
    <cellStyle name="Note 7 5 7 2" xfId="7789"/>
    <cellStyle name="Note 7 5 8" xfId="7790"/>
    <cellStyle name="Note 7 6" xfId="7791"/>
    <cellStyle name="Note 7 6 10" xfId="7792"/>
    <cellStyle name="Note 7 6 10 2" xfId="7793"/>
    <cellStyle name="Note 7 6 11" xfId="7794"/>
    <cellStyle name="Note 7 6 2" xfId="7795"/>
    <cellStyle name="Note 7 6 2 2" xfId="7796"/>
    <cellStyle name="Note 7 6 2 2 2" xfId="7797"/>
    <cellStyle name="Note 7 6 2 3" xfId="7798"/>
    <cellStyle name="Note 7 6 3" xfId="7799"/>
    <cellStyle name="Note 7 6 3 2" xfId="7800"/>
    <cellStyle name="Note 7 6 4" xfId="7801"/>
    <cellStyle name="Note 7 6 4 2" xfId="7802"/>
    <cellStyle name="Note 7 6 5" xfId="7803"/>
    <cellStyle name="Note 7 6 5 2" xfId="7804"/>
    <cellStyle name="Note 7 6 6" xfId="7805"/>
    <cellStyle name="Note 7 6 6 2" xfId="7806"/>
    <cellStyle name="Note 7 6 7" xfId="7807"/>
    <cellStyle name="Note 7 6 7 2" xfId="7808"/>
    <cellStyle name="Note 7 6 8" xfId="7809"/>
    <cellStyle name="Note 7 6 8 2" xfId="7810"/>
    <cellStyle name="Note 7 6 9" xfId="7811"/>
    <cellStyle name="Note 7 6 9 2" xfId="7812"/>
    <cellStyle name="Note 7 7" xfId="7813"/>
    <cellStyle name="Note 7 7 10" xfId="7814"/>
    <cellStyle name="Note 7 7 10 2" xfId="7815"/>
    <cellStyle name="Note 7 7 11" xfId="7816"/>
    <cellStyle name="Note 7 7 2" xfId="7817"/>
    <cellStyle name="Note 7 7 2 2" xfId="7818"/>
    <cellStyle name="Note 7 7 2 2 2" xfId="7819"/>
    <cellStyle name="Note 7 7 2 3" xfId="7820"/>
    <cellStyle name="Note 7 7 3" xfId="7821"/>
    <cellStyle name="Note 7 7 3 2" xfId="7822"/>
    <cellStyle name="Note 7 7 4" xfId="7823"/>
    <cellStyle name="Note 7 7 4 2" xfId="7824"/>
    <cellStyle name="Note 7 7 5" xfId="7825"/>
    <cellStyle name="Note 7 7 5 2" xfId="7826"/>
    <cellStyle name="Note 7 7 6" xfId="7827"/>
    <cellStyle name="Note 7 7 6 2" xfId="7828"/>
    <cellStyle name="Note 7 7 7" xfId="7829"/>
    <cellStyle name="Note 7 7 7 2" xfId="7830"/>
    <cellStyle name="Note 7 7 8" xfId="7831"/>
    <cellStyle name="Note 7 7 8 2" xfId="7832"/>
    <cellStyle name="Note 7 7 9" xfId="7833"/>
    <cellStyle name="Note 7 7 9 2" xfId="7834"/>
    <cellStyle name="Note 7 8" xfId="7835"/>
    <cellStyle name="Note 7 8 10" xfId="7836"/>
    <cellStyle name="Note 7 8 10 2" xfId="7837"/>
    <cellStyle name="Note 7 8 11" xfId="7838"/>
    <cellStyle name="Note 7 8 2" xfId="7839"/>
    <cellStyle name="Note 7 8 2 2" xfId="7840"/>
    <cellStyle name="Note 7 8 2 2 2" xfId="7841"/>
    <cellStyle name="Note 7 8 2 3" xfId="7842"/>
    <cellStyle name="Note 7 8 3" xfId="7843"/>
    <cellStyle name="Note 7 8 3 2" xfId="7844"/>
    <cellStyle name="Note 7 8 4" xfId="7845"/>
    <cellStyle name="Note 7 8 4 2" xfId="7846"/>
    <cellStyle name="Note 7 8 5" xfId="7847"/>
    <cellStyle name="Note 7 8 5 2" xfId="7848"/>
    <cellStyle name="Note 7 8 6" xfId="7849"/>
    <cellStyle name="Note 7 8 6 2" xfId="7850"/>
    <cellStyle name="Note 7 8 7" xfId="7851"/>
    <cellStyle name="Note 7 8 7 2" xfId="7852"/>
    <cellStyle name="Note 7 8 8" xfId="7853"/>
    <cellStyle name="Note 7 8 8 2" xfId="7854"/>
    <cellStyle name="Note 7 8 9" xfId="7855"/>
    <cellStyle name="Note 7 8 9 2" xfId="7856"/>
    <cellStyle name="Note 7 9" xfId="7857"/>
    <cellStyle name="Note 7 9 10" xfId="7858"/>
    <cellStyle name="Note 7 9 10 2" xfId="7859"/>
    <cellStyle name="Note 7 9 11" xfId="7860"/>
    <cellStyle name="Note 7 9 2" xfId="7861"/>
    <cellStyle name="Note 7 9 2 2" xfId="7862"/>
    <cellStyle name="Note 7 9 2 2 2" xfId="7863"/>
    <cellStyle name="Note 7 9 2 3" xfId="7864"/>
    <cellStyle name="Note 7 9 3" xfId="7865"/>
    <cellStyle name="Note 7 9 3 2" xfId="7866"/>
    <cellStyle name="Note 7 9 4" xfId="7867"/>
    <cellStyle name="Note 7 9 4 2" xfId="7868"/>
    <cellStyle name="Note 7 9 5" xfId="7869"/>
    <cellStyle name="Note 7 9 5 2" xfId="7870"/>
    <cellStyle name="Note 7 9 6" xfId="7871"/>
    <cellStyle name="Note 7 9 6 2" xfId="7872"/>
    <cellStyle name="Note 7 9 7" xfId="7873"/>
    <cellStyle name="Note 7 9 7 2" xfId="7874"/>
    <cellStyle name="Note 7 9 8" xfId="7875"/>
    <cellStyle name="Note 7 9 8 2" xfId="7876"/>
    <cellStyle name="Note 7 9 9" xfId="7877"/>
    <cellStyle name="Note 7 9 9 2" xfId="7878"/>
    <cellStyle name="Note 7_7 - Cap Add WS" xfId="652"/>
    <cellStyle name="Note 8" xfId="653"/>
    <cellStyle name="Note 8 10" xfId="7879"/>
    <cellStyle name="Note 8 10 2" xfId="7880"/>
    <cellStyle name="Note 8 10 2 2" xfId="7881"/>
    <cellStyle name="Note 8 10 3" xfId="7882"/>
    <cellStyle name="Note 8 11" xfId="7883"/>
    <cellStyle name="Note 8 11 2" xfId="7884"/>
    <cellStyle name="Note 8 12" xfId="7885"/>
    <cellStyle name="Note 8 12 2" xfId="7886"/>
    <cellStyle name="Note 8 13" xfId="7887"/>
    <cellStyle name="Note 8 13 2" xfId="7888"/>
    <cellStyle name="Note 8 14" xfId="7889"/>
    <cellStyle name="Note 8 14 2" xfId="7890"/>
    <cellStyle name="Note 8 15" xfId="7891"/>
    <cellStyle name="Note 8 15 2" xfId="7892"/>
    <cellStyle name="Note 8 16" xfId="7893"/>
    <cellStyle name="Note 8 2" xfId="654"/>
    <cellStyle name="Note 8 2 10" xfId="7894"/>
    <cellStyle name="Note 8 2 10 2" xfId="7895"/>
    <cellStyle name="Note 8 2 11" xfId="7896"/>
    <cellStyle name="Note 8 2 11 2" xfId="7897"/>
    <cellStyle name="Note 8 2 12" xfId="7898"/>
    <cellStyle name="Note 8 2 12 2" xfId="7899"/>
    <cellStyle name="Note 8 2 13" xfId="7900"/>
    <cellStyle name="Note 8 2 13 2" xfId="7901"/>
    <cellStyle name="Note 8 2 14" xfId="7902"/>
    <cellStyle name="Note 8 2 2" xfId="655"/>
    <cellStyle name="Note 8 2 2 10" xfId="7903"/>
    <cellStyle name="Note 8 2 2 10 2" xfId="7904"/>
    <cellStyle name="Note 8 2 2 11" xfId="7905"/>
    <cellStyle name="Note 8 2 2 11 2" xfId="7906"/>
    <cellStyle name="Note 8 2 2 12" xfId="7907"/>
    <cellStyle name="Note 8 2 2 12 2" xfId="7908"/>
    <cellStyle name="Note 8 2 2 13" xfId="7909"/>
    <cellStyle name="Note 8 2 2 2" xfId="7910"/>
    <cellStyle name="Note 8 2 2 2 2" xfId="7911"/>
    <cellStyle name="Note 8 2 2 2 2 2" xfId="7912"/>
    <cellStyle name="Note 8 2 2 2 2 2 2" xfId="7913"/>
    <cellStyle name="Note 8 2 2 2 2 3" xfId="7914"/>
    <cellStyle name="Note 8 2 2 2 3" xfId="7915"/>
    <cellStyle name="Note 8 2 2 2 3 2" xfId="7916"/>
    <cellStyle name="Note 8 2 2 2 3 2 2" xfId="7917"/>
    <cellStyle name="Note 8 2 2 2 3 3" xfId="7918"/>
    <cellStyle name="Note 8 2 2 2 4" xfId="7919"/>
    <cellStyle name="Note 8 2 2 2 4 2" xfId="7920"/>
    <cellStyle name="Note 8 2 2 2 5" xfId="7921"/>
    <cellStyle name="Note 8 2 2 2 5 2" xfId="7922"/>
    <cellStyle name="Note 8 2 2 2 6" xfId="7923"/>
    <cellStyle name="Note 8 2 2 2 6 2" xfId="7924"/>
    <cellStyle name="Note 8 2 2 2 7" xfId="7925"/>
    <cellStyle name="Note 8 2 2 2 7 2" xfId="7926"/>
    <cellStyle name="Note 8 2 2 2 8" xfId="7927"/>
    <cellStyle name="Note 8 2 2 3" xfId="7928"/>
    <cellStyle name="Note 8 2 2 3 10" xfId="7929"/>
    <cellStyle name="Note 8 2 2 3 10 2" xfId="7930"/>
    <cellStyle name="Note 8 2 2 3 11" xfId="7931"/>
    <cellStyle name="Note 8 2 2 3 2" xfId="7932"/>
    <cellStyle name="Note 8 2 2 3 2 2" xfId="7933"/>
    <cellStyle name="Note 8 2 2 3 2 2 2" xfId="7934"/>
    <cellStyle name="Note 8 2 2 3 2 3" xfId="7935"/>
    <cellStyle name="Note 8 2 2 3 3" xfId="7936"/>
    <cellStyle name="Note 8 2 2 3 3 2" xfId="7937"/>
    <cellStyle name="Note 8 2 2 3 4" xfId="7938"/>
    <cellStyle name="Note 8 2 2 3 4 2" xfId="7939"/>
    <cellStyle name="Note 8 2 2 3 5" xfId="7940"/>
    <cellStyle name="Note 8 2 2 3 5 2" xfId="7941"/>
    <cellStyle name="Note 8 2 2 3 6" xfId="7942"/>
    <cellStyle name="Note 8 2 2 3 6 2" xfId="7943"/>
    <cellStyle name="Note 8 2 2 3 7" xfId="7944"/>
    <cellStyle name="Note 8 2 2 3 7 2" xfId="7945"/>
    <cellStyle name="Note 8 2 2 3 8" xfId="7946"/>
    <cellStyle name="Note 8 2 2 3 8 2" xfId="7947"/>
    <cellStyle name="Note 8 2 2 3 9" xfId="7948"/>
    <cellStyle name="Note 8 2 2 3 9 2" xfId="7949"/>
    <cellStyle name="Note 8 2 2 4" xfId="7950"/>
    <cellStyle name="Note 8 2 2 4 10" xfId="7951"/>
    <cellStyle name="Note 8 2 2 4 10 2" xfId="7952"/>
    <cellStyle name="Note 8 2 2 4 11" xfId="7953"/>
    <cellStyle name="Note 8 2 2 4 2" xfId="7954"/>
    <cellStyle name="Note 8 2 2 4 2 2" xfId="7955"/>
    <cellStyle name="Note 8 2 2 4 2 2 2" xfId="7956"/>
    <cellStyle name="Note 8 2 2 4 2 3" xfId="7957"/>
    <cellStyle name="Note 8 2 2 4 3" xfId="7958"/>
    <cellStyle name="Note 8 2 2 4 3 2" xfId="7959"/>
    <cellStyle name="Note 8 2 2 4 4" xfId="7960"/>
    <cellStyle name="Note 8 2 2 4 4 2" xfId="7961"/>
    <cellStyle name="Note 8 2 2 4 5" xfId="7962"/>
    <cellStyle name="Note 8 2 2 4 5 2" xfId="7963"/>
    <cellStyle name="Note 8 2 2 4 6" xfId="7964"/>
    <cellStyle name="Note 8 2 2 4 6 2" xfId="7965"/>
    <cellStyle name="Note 8 2 2 4 7" xfId="7966"/>
    <cellStyle name="Note 8 2 2 4 7 2" xfId="7967"/>
    <cellStyle name="Note 8 2 2 4 8" xfId="7968"/>
    <cellStyle name="Note 8 2 2 4 8 2" xfId="7969"/>
    <cellStyle name="Note 8 2 2 4 9" xfId="7970"/>
    <cellStyle name="Note 8 2 2 4 9 2" xfId="7971"/>
    <cellStyle name="Note 8 2 2 5" xfId="7972"/>
    <cellStyle name="Note 8 2 2 5 10" xfId="7973"/>
    <cellStyle name="Note 8 2 2 5 10 2" xfId="7974"/>
    <cellStyle name="Note 8 2 2 5 11" xfId="7975"/>
    <cellStyle name="Note 8 2 2 5 2" xfId="7976"/>
    <cellStyle name="Note 8 2 2 5 2 2" xfId="7977"/>
    <cellStyle name="Note 8 2 2 5 2 2 2" xfId="7978"/>
    <cellStyle name="Note 8 2 2 5 2 3" xfId="7979"/>
    <cellStyle name="Note 8 2 2 5 3" xfId="7980"/>
    <cellStyle name="Note 8 2 2 5 3 2" xfId="7981"/>
    <cellStyle name="Note 8 2 2 5 4" xfId="7982"/>
    <cellStyle name="Note 8 2 2 5 4 2" xfId="7983"/>
    <cellStyle name="Note 8 2 2 5 5" xfId="7984"/>
    <cellStyle name="Note 8 2 2 5 5 2" xfId="7985"/>
    <cellStyle name="Note 8 2 2 5 6" xfId="7986"/>
    <cellStyle name="Note 8 2 2 5 6 2" xfId="7987"/>
    <cellStyle name="Note 8 2 2 5 7" xfId="7988"/>
    <cellStyle name="Note 8 2 2 5 7 2" xfId="7989"/>
    <cellStyle name="Note 8 2 2 5 8" xfId="7990"/>
    <cellStyle name="Note 8 2 2 5 8 2" xfId="7991"/>
    <cellStyle name="Note 8 2 2 5 9" xfId="7992"/>
    <cellStyle name="Note 8 2 2 5 9 2" xfId="7993"/>
    <cellStyle name="Note 8 2 2 6" xfId="7994"/>
    <cellStyle name="Note 8 2 2 6 10" xfId="7995"/>
    <cellStyle name="Note 8 2 2 6 10 2" xfId="7996"/>
    <cellStyle name="Note 8 2 2 6 11" xfId="7997"/>
    <cellStyle name="Note 8 2 2 6 2" xfId="7998"/>
    <cellStyle name="Note 8 2 2 6 2 2" xfId="7999"/>
    <cellStyle name="Note 8 2 2 6 2 2 2" xfId="8000"/>
    <cellStyle name="Note 8 2 2 6 2 3" xfId="8001"/>
    <cellStyle name="Note 8 2 2 6 3" xfId="8002"/>
    <cellStyle name="Note 8 2 2 6 3 2" xfId="8003"/>
    <cellStyle name="Note 8 2 2 6 4" xfId="8004"/>
    <cellStyle name="Note 8 2 2 6 4 2" xfId="8005"/>
    <cellStyle name="Note 8 2 2 6 5" xfId="8006"/>
    <cellStyle name="Note 8 2 2 6 5 2" xfId="8007"/>
    <cellStyle name="Note 8 2 2 6 6" xfId="8008"/>
    <cellStyle name="Note 8 2 2 6 6 2" xfId="8009"/>
    <cellStyle name="Note 8 2 2 6 7" xfId="8010"/>
    <cellStyle name="Note 8 2 2 6 7 2" xfId="8011"/>
    <cellStyle name="Note 8 2 2 6 8" xfId="8012"/>
    <cellStyle name="Note 8 2 2 6 8 2" xfId="8013"/>
    <cellStyle name="Note 8 2 2 6 9" xfId="8014"/>
    <cellStyle name="Note 8 2 2 6 9 2" xfId="8015"/>
    <cellStyle name="Note 8 2 2 7" xfId="8016"/>
    <cellStyle name="Note 8 2 2 7 2" xfId="8017"/>
    <cellStyle name="Note 8 2 2 7 2 2" xfId="8018"/>
    <cellStyle name="Note 8 2 2 7 3" xfId="8019"/>
    <cellStyle name="Note 8 2 2 8" xfId="8020"/>
    <cellStyle name="Note 8 2 2 8 2" xfId="8021"/>
    <cellStyle name="Note 8 2 2 9" xfId="8022"/>
    <cellStyle name="Note 8 2 2 9 2" xfId="8023"/>
    <cellStyle name="Note 8 2 3" xfId="8024"/>
    <cellStyle name="Note 8 2 3 2" xfId="8025"/>
    <cellStyle name="Note 8 2 3 2 2" xfId="8026"/>
    <cellStyle name="Note 8 2 3 2 2 2" xfId="8027"/>
    <cellStyle name="Note 8 2 3 2 3" xfId="8028"/>
    <cellStyle name="Note 8 2 3 3" xfId="8029"/>
    <cellStyle name="Note 8 2 3 3 2" xfId="8030"/>
    <cellStyle name="Note 8 2 3 3 2 2" xfId="8031"/>
    <cellStyle name="Note 8 2 3 3 3" xfId="8032"/>
    <cellStyle name="Note 8 2 3 4" xfId="8033"/>
    <cellStyle name="Note 8 2 3 4 2" xfId="8034"/>
    <cellStyle name="Note 8 2 3 5" xfId="8035"/>
    <cellStyle name="Note 8 2 3 5 2" xfId="8036"/>
    <cellStyle name="Note 8 2 3 6" xfId="8037"/>
    <cellStyle name="Note 8 2 3 6 2" xfId="8038"/>
    <cellStyle name="Note 8 2 3 7" xfId="8039"/>
    <cellStyle name="Note 8 2 3 7 2" xfId="8040"/>
    <cellStyle name="Note 8 2 3 8" xfId="8041"/>
    <cellStyle name="Note 8 2 4" xfId="8042"/>
    <cellStyle name="Note 8 2 4 10" xfId="8043"/>
    <cellStyle name="Note 8 2 4 10 2" xfId="8044"/>
    <cellStyle name="Note 8 2 4 11" xfId="8045"/>
    <cellStyle name="Note 8 2 4 2" xfId="8046"/>
    <cellStyle name="Note 8 2 4 2 2" xfId="8047"/>
    <cellStyle name="Note 8 2 4 2 2 2" xfId="8048"/>
    <cellStyle name="Note 8 2 4 2 3" xfId="8049"/>
    <cellStyle name="Note 8 2 4 3" xfId="8050"/>
    <cellStyle name="Note 8 2 4 3 2" xfId="8051"/>
    <cellStyle name="Note 8 2 4 4" xfId="8052"/>
    <cellStyle name="Note 8 2 4 4 2" xfId="8053"/>
    <cellStyle name="Note 8 2 4 5" xfId="8054"/>
    <cellStyle name="Note 8 2 4 5 2" xfId="8055"/>
    <cellStyle name="Note 8 2 4 6" xfId="8056"/>
    <cellStyle name="Note 8 2 4 6 2" xfId="8057"/>
    <cellStyle name="Note 8 2 4 7" xfId="8058"/>
    <cellStyle name="Note 8 2 4 7 2" xfId="8059"/>
    <cellStyle name="Note 8 2 4 8" xfId="8060"/>
    <cellStyle name="Note 8 2 4 8 2" xfId="8061"/>
    <cellStyle name="Note 8 2 4 9" xfId="8062"/>
    <cellStyle name="Note 8 2 4 9 2" xfId="8063"/>
    <cellStyle name="Note 8 2 5" xfId="8064"/>
    <cellStyle name="Note 8 2 5 10" xfId="8065"/>
    <cellStyle name="Note 8 2 5 10 2" xfId="8066"/>
    <cellStyle name="Note 8 2 5 11" xfId="8067"/>
    <cellStyle name="Note 8 2 5 2" xfId="8068"/>
    <cellStyle name="Note 8 2 5 2 2" xfId="8069"/>
    <cellStyle name="Note 8 2 5 2 2 2" xfId="8070"/>
    <cellStyle name="Note 8 2 5 2 3" xfId="8071"/>
    <cellStyle name="Note 8 2 5 3" xfId="8072"/>
    <cellStyle name="Note 8 2 5 3 2" xfId="8073"/>
    <cellStyle name="Note 8 2 5 4" xfId="8074"/>
    <cellStyle name="Note 8 2 5 4 2" xfId="8075"/>
    <cellStyle name="Note 8 2 5 5" xfId="8076"/>
    <cellStyle name="Note 8 2 5 5 2" xfId="8077"/>
    <cellStyle name="Note 8 2 5 6" xfId="8078"/>
    <cellStyle name="Note 8 2 5 6 2" xfId="8079"/>
    <cellStyle name="Note 8 2 5 7" xfId="8080"/>
    <cellStyle name="Note 8 2 5 7 2" xfId="8081"/>
    <cellStyle name="Note 8 2 5 8" xfId="8082"/>
    <cellStyle name="Note 8 2 5 8 2" xfId="8083"/>
    <cellStyle name="Note 8 2 5 9" xfId="8084"/>
    <cellStyle name="Note 8 2 5 9 2" xfId="8085"/>
    <cellStyle name="Note 8 2 6" xfId="8086"/>
    <cellStyle name="Note 8 2 6 10" xfId="8087"/>
    <cellStyle name="Note 8 2 6 10 2" xfId="8088"/>
    <cellStyle name="Note 8 2 6 11" xfId="8089"/>
    <cellStyle name="Note 8 2 6 2" xfId="8090"/>
    <cellStyle name="Note 8 2 6 2 2" xfId="8091"/>
    <cellStyle name="Note 8 2 6 2 2 2" xfId="8092"/>
    <cellStyle name="Note 8 2 6 2 3" xfId="8093"/>
    <cellStyle name="Note 8 2 6 3" xfId="8094"/>
    <cellStyle name="Note 8 2 6 3 2" xfId="8095"/>
    <cellStyle name="Note 8 2 6 4" xfId="8096"/>
    <cellStyle name="Note 8 2 6 4 2" xfId="8097"/>
    <cellStyle name="Note 8 2 6 5" xfId="8098"/>
    <cellStyle name="Note 8 2 6 5 2" xfId="8099"/>
    <cellStyle name="Note 8 2 6 6" xfId="8100"/>
    <cellStyle name="Note 8 2 6 6 2" xfId="8101"/>
    <cellStyle name="Note 8 2 6 7" xfId="8102"/>
    <cellStyle name="Note 8 2 6 7 2" xfId="8103"/>
    <cellStyle name="Note 8 2 6 8" xfId="8104"/>
    <cellStyle name="Note 8 2 6 8 2" xfId="8105"/>
    <cellStyle name="Note 8 2 6 9" xfId="8106"/>
    <cellStyle name="Note 8 2 6 9 2" xfId="8107"/>
    <cellStyle name="Note 8 2 7" xfId="8108"/>
    <cellStyle name="Note 8 2 7 10" xfId="8109"/>
    <cellStyle name="Note 8 2 7 10 2" xfId="8110"/>
    <cellStyle name="Note 8 2 7 11" xfId="8111"/>
    <cellStyle name="Note 8 2 7 2" xfId="8112"/>
    <cellStyle name="Note 8 2 7 2 2" xfId="8113"/>
    <cellStyle name="Note 8 2 7 2 2 2" xfId="8114"/>
    <cellStyle name="Note 8 2 7 2 3" xfId="8115"/>
    <cellStyle name="Note 8 2 7 3" xfId="8116"/>
    <cellStyle name="Note 8 2 7 3 2" xfId="8117"/>
    <cellStyle name="Note 8 2 7 4" xfId="8118"/>
    <cellStyle name="Note 8 2 7 4 2" xfId="8119"/>
    <cellStyle name="Note 8 2 7 5" xfId="8120"/>
    <cellStyle name="Note 8 2 7 5 2" xfId="8121"/>
    <cellStyle name="Note 8 2 7 6" xfId="8122"/>
    <cellStyle name="Note 8 2 7 6 2" xfId="8123"/>
    <cellStyle name="Note 8 2 7 7" xfId="8124"/>
    <cellStyle name="Note 8 2 7 7 2" xfId="8125"/>
    <cellStyle name="Note 8 2 7 8" xfId="8126"/>
    <cellStyle name="Note 8 2 7 8 2" xfId="8127"/>
    <cellStyle name="Note 8 2 7 9" xfId="8128"/>
    <cellStyle name="Note 8 2 7 9 2" xfId="8129"/>
    <cellStyle name="Note 8 2 8" xfId="8130"/>
    <cellStyle name="Note 8 2 8 2" xfId="8131"/>
    <cellStyle name="Note 8 2 8 2 2" xfId="8132"/>
    <cellStyle name="Note 8 2 8 3" xfId="8133"/>
    <cellStyle name="Note 8 2 9" xfId="8134"/>
    <cellStyle name="Note 8 2 9 2" xfId="8135"/>
    <cellStyle name="Note 8 2_7 - Cap Add WS" xfId="656"/>
    <cellStyle name="Note 8 3" xfId="657"/>
    <cellStyle name="Note 8 3 10" xfId="8136"/>
    <cellStyle name="Note 8 3 10 2" xfId="8137"/>
    <cellStyle name="Note 8 3 11" xfId="8138"/>
    <cellStyle name="Note 8 3 11 2" xfId="8139"/>
    <cellStyle name="Note 8 3 12" xfId="8140"/>
    <cellStyle name="Note 8 3 12 2" xfId="8141"/>
    <cellStyle name="Note 8 3 13" xfId="8142"/>
    <cellStyle name="Note 8 3 13 2" xfId="8143"/>
    <cellStyle name="Note 8 3 14" xfId="8144"/>
    <cellStyle name="Note 8 3 2" xfId="658"/>
    <cellStyle name="Note 8 3 2 10" xfId="8145"/>
    <cellStyle name="Note 8 3 2 10 2" xfId="8146"/>
    <cellStyle name="Note 8 3 2 11" xfId="8147"/>
    <cellStyle name="Note 8 3 2 11 2" xfId="8148"/>
    <cellStyle name="Note 8 3 2 12" xfId="8149"/>
    <cellStyle name="Note 8 3 2 12 2" xfId="8150"/>
    <cellStyle name="Note 8 3 2 13" xfId="8151"/>
    <cellStyle name="Note 8 3 2 2" xfId="8152"/>
    <cellStyle name="Note 8 3 2 2 2" xfId="8153"/>
    <cellStyle name="Note 8 3 2 2 2 2" xfId="8154"/>
    <cellStyle name="Note 8 3 2 2 2 2 2" xfId="8155"/>
    <cellStyle name="Note 8 3 2 2 2 3" xfId="8156"/>
    <cellStyle name="Note 8 3 2 2 3" xfId="8157"/>
    <cellStyle name="Note 8 3 2 2 3 2" xfId="8158"/>
    <cellStyle name="Note 8 3 2 2 3 2 2" xfId="8159"/>
    <cellStyle name="Note 8 3 2 2 3 3" xfId="8160"/>
    <cellStyle name="Note 8 3 2 2 4" xfId="8161"/>
    <cellStyle name="Note 8 3 2 2 4 2" xfId="8162"/>
    <cellStyle name="Note 8 3 2 2 5" xfId="8163"/>
    <cellStyle name="Note 8 3 2 2 5 2" xfId="8164"/>
    <cellStyle name="Note 8 3 2 2 6" xfId="8165"/>
    <cellStyle name="Note 8 3 2 2 6 2" xfId="8166"/>
    <cellStyle name="Note 8 3 2 2 7" xfId="8167"/>
    <cellStyle name="Note 8 3 2 2 7 2" xfId="8168"/>
    <cellStyle name="Note 8 3 2 2 8" xfId="8169"/>
    <cellStyle name="Note 8 3 2 3" xfId="8170"/>
    <cellStyle name="Note 8 3 2 3 10" xfId="8171"/>
    <cellStyle name="Note 8 3 2 3 10 2" xfId="8172"/>
    <cellStyle name="Note 8 3 2 3 11" xfId="8173"/>
    <cellStyle name="Note 8 3 2 3 2" xfId="8174"/>
    <cellStyle name="Note 8 3 2 3 2 2" xfId="8175"/>
    <cellStyle name="Note 8 3 2 3 2 2 2" xfId="8176"/>
    <cellStyle name="Note 8 3 2 3 2 3" xfId="8177"/>
    <cellStyle name="Note 8 3 2 3 3" xfId="8178"/>
    <cellStyle name="Note 8 3 2 3 3 2" xfId="8179"/>
    <cellStyle name="Note 8 3 2 3 4" xfId="8180"/>
    <cellStyle name="Note 8 3 2 3 4 2" xfId="8181"/>
    <cellStyle name="Note 8 3 2 3 5" xfId="8182"/>
    <cellStyle name="Note 8 3 2 3 5 2" xfId="8183"/>
    <cellStyle name="Note 8 3 2 3 6" xfId="8184"/>
    <cellStyle name="Note 8 3 2 3 6 2" xfId="8185"/>
    <cellStyle name="Note 8 3 2 3 7" xfId="8186"/>
    <cellStyle name="Note 8 3 2 3 7 2" xfId="8187"/>
    <cellStyle name="Note 8 3 2 3 8" xfId="8188"/>
    <cellStyle name="Note 8 3 2 3 8 2" xfId="8189"/>
    <cellStyle name="Note 8 3 2 3 9" xfId="8190"/>
    <cellStyle name="Note 8 3 2 3 9 2" xfId="8191"/>
    <cellStyle name="Note 8 3 2 4" xfId="8192"/>
    <cellStyle name="Note 8 3 2 4 10" xfId="8193"/>
    <cellStyle name="Note 8 3 2 4 10 2" xfId="8194"/>
    <cellStyle name="Note 8 3 2 4 11" xfId="8195"/>
    <cellStyle name="Note 8 3 2 4 2" xfId="8196"/>
    <cellStyle name="Note 8 3 2 4 2 2" xfId="8197"/>
    <cellStyle name="Note 8 3 2 4 2 2 2" xfId="8198"/>
    <cellStyle name="Note 8 3 2 4 2 3" xfId="8199"/>
    <cellStyle name="Note 8 3 2 4 3" xfId="8200"/>
    <cellStyle name="Note 8 3 2 4 3 2" xfId="8201"/>
    <cellStyle name="Note 8 3 2 4 4" xfId="8202"/>
    <cellStyle name="Note 8 3 2 4 4 2" xfId="8203"/>
    <cellStyle name="Note 8 3 2 4 5" xfId="8204"/>
    <cellStyle name="Note 8 3 2 4 5 2" xfId="8205"/>
    <cellStyle name="Note 8 3 2 4 6" xfId="8206"/>
    <cellStyle name="Note 8 3 2 4 6 2" xfId="8207"/>
    <cellStyle name="Note 8 3 2 4 7" xfId="8208"/>
    <cellStyle name="Note 8 3 2 4 7 2" xfId="8209"/>
    <cellStyle name="Note 8 3 2 4 8" xfId="8210"/>
    <cellStyle name="Note 8 3 2 4 8 2" xfId="8211"/>
    <cellStyle name="Note 8 3 2 4 9" xfId="8212"/>
    <cellStyle name="Note 8 3 2 4 9 2" xfId="8213"/>
    <cellStyle name="Note 8 3 2 5" xfId="8214"/>
    <cellStyle name="Note 8 3 2 5 10" xfId="8215"/>
    <cellStyle name="Note 8 3 2 5 10 2" xfId="8216"/>
    <cellStyle name="Note 8 3 2 5 11" xfId="8217"/>
    <cellStyle name="Note 8 3 2 5 2" xfId="8218"/>
    <cellStyle name="Note 8 3 2 5 2 2" xfId="8219"/>
    <cellStyle name="Note 8 3 2 5 2 2 2" xfId="8220"/>
    <cellStyle name="Note 8 3 2 5 2 3" xfId="8221"/>
    <cellStyle name="Note 8 3 2 5 3" xfId="8222"/>
    <cellStyle name="Note 8 3 2 5 3 2" xfId="8223"/>
    <cellStyle name="Note 8 3 2 5 4" xfId="8224"/>
    <cellStyle name="Note 8 3 2 5 4 2" xfId="8225"/>
    <cellStyle name="Note 8 3 2 5 5" xfId="8226"/>
    <cellStyle name="Note 8 3 2 5 5 2" xfId="8227"/>
    <cellStyle name="Note 8 3 2 5 6" xfId="8228"/>
    <cellStyle name="Note 8 3 2 5 6 2" xfId="8229"/>
    <cellStyle name="Note 8 3 2 5 7" xfId="8230"/>
    <cellStyle name="Note 8 3 2 5 7 2" xfId="8231"/>
    <cellStyle name="Note 8 3 2 5 8" xfId="8232"/>
    <cellStyle name="Note 8 3 2 5 8 2" xfId="8233"/>
    <cellStyle name="Note 8 3 2 5 9" xfId="8234"/>
    <cellStyle name="Note 8 3 2 5 9 2" xfId="8235"/>
    <cellStyle name="Note 8 3 2 6" xfId="8236"/>
    <cellStyle name="Note 8 3 2 6 10" xfId="8237"/>
    <cellStyle name="Note 8 3 2 6 10 2" xfId="8238"/>
    <cellStyle name="Note 8 3 2 6 11" xfId="8239"/>
    <cellStyle name="Note 8 3 2 6 2" xfId="8240"/>
    <cellStyle name="Note 8 3 2 6 2 2" xfId="8241"/>
    <cellStyle name="Note 8 3 2 6 2 2 2" xfId="8242"/>
    <cellStyle name="Note 8 3 2 6 2 3" xfId="8243"/>
    <cellStyle name="Note 8 3 2 6 3" xfId="8244"/>
    <cellStyle name="Note 8 3 2 6 3 2" xfId="8245"/>
    <cellStyle name="Note 8 3 2 6 4" xfId="8246"/>
    <cellStyle name="Note 8 3 2 6 4 2" xfId="8247"/>
    <cellStyle name="Note 8 3 2 6 5" xfId="8248"/>
    <cellStyle name="Note 8 3 2 6 5 2" xfId="8249"/>
    <cellStyle name="Note 8 3 2 6 6" xfId="8250"/>
    <cellStyle name="Note 8 3 2 6 6 2" xfId="8251"/>
    <cellStyle name="Note 8 3 2 6 7" xfId="8252"/>
    <cellStyle name="Note 8 3 2 6 7 2" xfId="8253"/>
    <cellStyle name="Note 8 3 2 6 8" xfId="8254"/>
    <cellStyle name="Note 8 3 2 6 8 2" xfId="8255"/>
    <cellStyle name="Note 8 3 2 6 9" xfId="8256"/>
    <cellStyle name="Note 8 3 2 6 9 2" xfId="8257"/>
    <cellStyle name="Note 8 3 2 7" xfId="8258"/>
    <cellStyle name="Note 8 3 2 7 2" xfId="8259"/>
    <cellStyle name="Note 8 3 2 7 2 2" xfId="8260"/>
    <cellStyle name="Note 8 3 2 7 3" xfId="8261"/>
    <cellStyle name="Note 8 3 2 8" xfId="8262"/>
    <cellStyle name="Note 8 3 2 8 2" xfId="8263"/>
    <cellStyle name="Note 8 3 2 9" xfId="8264"/>
    <cellStyle name="Note 8 3 2 9 2" xfId="8265"/>
    <cellStyle name="Note 8 3 3" xfId="8266"/>
    <cellStyle name="Note 8 3 3 2" xfId="8267"/>
    <cellStyle name="Note 8 3 3 2 2" xfId="8268"/>
    <cellStyle name="Note 8 3 3 2 2 2" xfId="8269"/>
    <cellStyle name="Note 8 3 3 2 3" xfId="8270"/>
    <cellStyle name="Note 8 3 3 3" xfId="8271"/>
    <cellStyle name="Note 8 3 3 3 2" xfId="8272"/>
    <cellStyle name="Note 8 3 3 3 2 2" xfId="8273"/>
    <cellStyle name="Note 8 3 3 3 3" xfId="8274"/>
    <cellStyle name="Note 8 3 3 4" xfId="8275"/>
    <cellStyle name="Note 8 3 3 4 2" xfId="8276"/>
    <cellStyle name="Note 8 3 3 5" xfId="8277"/>
    <cellStyle name="Note 8 3 3 5 2" xfId="8278"/>
    <cellStyle name="Note 8 3 3 6" xfId="8279"/>
    <cellStyle name="Note 8 3 3 6 2" xfId="8280"/>
    <cellStyle name="Note 8 3 3 7" xfId="8281"/>
    <cellStyle name="Note 8 3 3 7 2" xfId="8282"/>
    <cellStyle name="Note 8 3 3 8" xfId="8283"/>
    <cellStyle name="Note 8 3 4" xfId="8284"/>
    <cellStyle name="Note 8 3 4 10" xfId="8285"/>
    <cellStyle name="Note 8 3 4 10 2" xfId="8286"/>
    <cellStyle name="Note 8 3 4 11" xfId="8287"/>
    <cellStyle name="Note 8 3 4 2" xfId="8288"/>
    <cellStyle name="Note 8 3 4 2 2" xfId="8289"/>
    <cellStyle name="Note 8 3 4 2 2 2" xfId="8290"/>
    <cellStyle name="Note 8 3 4 2 3" xfId="8291"/>
    <cellStyle name="Note 8 3 4 3" xfId="8292"/>
    <cellStyle name="Note 8 3 4 3 2" xfId="8293"/>
    <cellStyle name="Note 8 3 4 4" xfId="8294"/>
    <cellStyle name="Note 8 3 4 4 2" xfId="8295"/>
    <cellStyle name="Note 8 3 4 5" xfId="8296"/>
    <cellStyle name="Note 8 3 4 5 2" xfId="8297"/>
    <cellStyle name="Note 8 3 4 6" xfId="8298"/>
    <cellStyle name="Note 8 3 4 6 2" xfId="8299"/>
    <cellStyle name="Note 8 3 4 7" xfId="8300"/>
    <cellStyle name="Note 8 3 4 7 2" xfId="8301"/>
    <cellStyle name="Note 8 3 4 8" xfId="8302"/>
    <cellStyle name="Note 8 3 4 8 2" xfId="8303"/>
    <cellStyle name="Note 8 3 4 9" xfId="8304"/>
    <cellStyle name="Note 8 3 4 9 2" xfId="8305"/>
    <cellStyle name="Note 8 3 5" xfId="8306"/>
    <cellStyle name="Note 8 3 5 10" xfId="8307"/>
    <cellStyle name="Note 8 3 5 10 2" xfId="8308"/>
    <cellStyle name="Note 8 3 5 11" xfId="8309"/>
    <cellStyle name="Note 8 3 5 2" xfId="8310"/>
    <cellStyle name="Note 8 3 5 2 2" xfId="8311"/>
    <cellStyle name="Note 8 3 5 2 2 2" xfId="8312"/>
    <cellStyle name="Note 8 3 5 2 3" xfId="8313"/>
    <cellStyle name="Note 8 3 5 3" xfId="8314"/>
    <cellStyle name="Note 8 3 5 3 2" xfId="8315"/>
    <cellStyle name="Note 8 3 5 4" xfId="8316"/>
    <cellStyle name="Note 8 3 5 4 2" xfId="8317"/>
    <cellStyle name="Note 8 3 5 5" xfId="8318"/>
    <cellStyle name="Note 8 3 5 5 2" xfId="8319"/>
    <cellStyle name="Note 8 3 5 6" xfId="8320"/>
    <cellStyle name="Note 8 3 5 6 2" xfId="8321"/>
    <cellStyle name="Note 8 3 5 7" xfId="8322"/>
    <cellStyle name="Note 8 3 5 7 2" xfId="8323"/>
    <cellStyle name="Note 8 3 5 8" xfId="8324"/>
    <cellStyle name="Note 8 3 5 8 2" xfId="8325"/>
    <cellStyle name="Note 8 3 5 9" xfId="8326"/>
    <cellStyle name="Note 8 3 5 9 2" xfId="8327"/>
    <cellStyle name="Note 8 3 6" xfId="8328"/>
    <cellStyle name="Note 8 3 6 10" xfId="8329"/>
    <cellStyle name="Note 8 3 6 10 2" xfId="8330"/>
    <cellStyle name="Note 8 3 6 11" xfId="8331"/>
    <cellStyle name="Note 8 3 6 2" xfId="8332"/>
    <cellStyle name="Note 8 3 6 2 2" xfId="8333"/>
    <cellStyle name="Note 8 3 6 2 2 2" xfId="8334"/>
    <cellStyle name="Note 8 3 6 2 3" xfId="8335"/>
    <cellStyle name="Note 8 3 6 3" xfId="8336"/>
    <cellStyle name="Note 8 3 6 3 2" xfId="8337"/>
    <cellStyle name="Note 8 3 6 4" xfId="8338"/>
    <cellStyle name="Note 8 3 6 4 2" xfId="8339"/>
    <cellStyle name="Note 8 3 6 5" xfId="8340"/>
    <cellStyle name="Note 8 3 6 5 2" xfId="8341"/>
    <cellStyle name="Note 8 3 6 6" xfId="8342"/>
    <cellStyle name="Note 8 3 6 6 2" xfId="8343"/>
    <cellStyle name="Note 8 3 6 7" xfId="8344"/>
    <cellStyle name="Note 8 3 6 7 2" xfId="8345"/>
    <cellStyle name="Note 8 3 6 8" xfId="8346"/>
    <cellStyle name="Note 8 3 6 8 2" xfId="8347"/>
    <cellStyle name="Note 8 3 6 9" xfId="8348"/>
    <cellStyle name="Note 8 3 6 9 2" xfId="8349"/>
    <cellStyle name="Note 8 3 7" xfId="8350"/>
    <cellStyle name="Note 8 3 7 10" xfId="8351"/>
    <cellStyle name="Note 8 3 7 10 2" xfId="8352"/>
    <cellStyle name="Note 8 3 7 11" xfId="8353"/>
    <cellStyle name="Note 8 3 7 2" xfId="8354"/>
    <cellStyle name="Note 8 3 7 2 2" xfId="8355"/>
    <cellStyle name="Note 8 3 7 2 2 2" xfId="8356"/>
    <cellStyle name="Note 8 3 7 2 3" xfId="8357"/>
    <cellStyle name="Note 8 3 7 3" xfId="8358"/>
    <cellStyle name="Note 8 3 7 3 2" xfId="8359"/>
    <cellStyle name="Note 8 3 7 4" xfId="8360"/>
    <cellStyle name="Note 8 3 7 4 2" xfId="8361"/>
    <cellStyle name="Note 8 3 7 5" xfId="8362"/>
    <cellStyle name="Note 8 3 7 5 2" xfId="8363"/>
    <cellStyle name="Note 8 3 7 6" xfId="8364"/>
    <cellStyle name="Note 8 3 7 6 2" xfId="8365"/>
    <cellStyle name="Note 8 3 7 7" xfId="8366"/>
    <cellStyle name="Note 8 3 7 7 2" xfId="8367"/>
    <cellStyle name="Note 8 3 7 8" xfId="8368"/>
    <cellStyle name="Note 8 3 7 8 2" xfId="8369"/>
    <cellStyle name="Note 8 3 7 9" xfId="8370"/>
    <cellStyle name="Note 8 3 7 9 2" xfId="8371"/>
    <cellStyle name="Note 8 3 8" xfId="8372"/>
    <cellStyle name="Note 8 3 8 2" xfId="8373"/>
    <cellStyle name="Note 8 3 8 2 2" xfId="8374"/>
    <cellStyle name="Note 8 3 8 3" xfId="8375"/>
    <cellStyle name="Note 8 3 9" xfId="8376"/>
    <cellStyle name="Note 8 3 9 2" xfId="8377"/>
    <cellStyle name="Note 8 3_7 - Cap Add WS" xfId="659"/>
    <cellStyle name="Note 8 4" xfId="660"/>
    <cellStyle name="Note 8 4 10" xfId="8378"/>
    <cellStyle name="Note 8 4 10 2" xfId="8379"/>
    <cellStyle name="Note 8 4 11" xfId="8380"/>
    <cellStyle name="Note 8 4 11 2" xfId="8381"/>
    <cellStyle name="Note 8 4 12" xfId="8382"/>
    <cellStyle name="Note 8 4 12 2" xfId="8383"/>
    <cellStyle name="Note 8 4 13" xfId="8384"/>
    <cellStyle name="Note 8 4 2" xfId="8385"/>
    <cellStyle name="Note 8 4 2 2" xfId="8386"/>
    <cellStyle name="Note 8 4 2 2 2" xfId="8387"/>
    <cellStyle name="Note 8 4 2 2 2 2" xfId="8388"/>
    <cellStyle name="Note 8 4 2 2 3" xfId="8389"/>
    <cellStyle name="Note 8 4 2 3" xfId="8390"/>
    <cellStyle name="Note 8 4 2 3 2" xfId="8391"/>
    <cellStyle name="Note 8 4 2 3 2 2" xfId="8392"/>
    <cellStyle name="Note 8 4 2 3 3" xfId="8393"/>
    <cellStyle name="Note 8 4 2 4" xfId="8394"/>
    <cellStyle name="Note 8 4 2 4 2" xfId="8395"/>
    <cellStyle name="Note 8 4 2 5" xfId="8396"/>
    <cellStyle name="Note 8 4 2 5 2" xfId="8397"/>
    <cellStyle name="Note 8 4 2 6" xfId="8398"/>
    <cellStyle name="Note 8 4 2 6 2" xfId="8399"/>
    <cellStyle name="Note 8 4 2 7" xfId="8400"/>
    <cellStyle name="Note 8 4 2 7 2" xfId="8401"/>
    <cellStyle name="Note 8 4 2 8" xfId="8402"/>
    <cellStyle name="Note 8 4 3" xfId="8403"/>
    <cellStyle name="Note 8 4 3 10" xfId="8404"/>
    <cellStyle name="Note 8 4 3 10 2" xfId="8405"/>
    <cellStyle name="Note 8 4 3 11" xfId="8406"/>
    <cellStyle name="Note 8 4 3 2" xfId="8407"/>
    <cellStyle name="Note 8 4 3 2 2" xfId="8408"/>
    <cellStyle name="Note 8 4 3 2 2 2" xfId="8409"/>
    <cellStyle name="Note 8 4 3 2 3" xfId="8410"/>
    <cellStyle name="Note 8 4 3 3" xfId="8411"/>
    <cellStyle name="Note 8 4 3 3 2" xfId="8412"/>
    <cellStyle name="Note 8 4 3 4" xfId="8413"/>
    <cellStyle name="Note 8 4 3 4 2" xfId="8414"/>
    <cellStyle name="Note 8 4 3 5" xfId="8415"/>
    <cellStyle name="Note 8 4 3 5 2" xfId="8416"/>
    <cellStyle name="Note 8 4 3 6" xfId="8417"/>
    <cellStyle name="Note 8 4 3 6 2" xfId="8418"/>
    <cellStyle name="Note 8 4 3 7" xfId="8419"/>
    <cellStyle name="Note 8 4 3 7 2" xfId="8420"/>
    <cellStyle name="Note 8 4 3 8" xfId="8421"/>
    <cellStyle name="Note 8 4 3 8 2" xfId="8422"/>
    <cellStyle name="Note 8 4 3 9" xfId="8423"/>
    <cellStyle name="Note 8 4 3 9 2" xfId="8424"/>
    <cellStyle name="Note 8 4 4" xfId="8425"/>
    <cellStyle name="Note 8 4 4 10" xfId="8426"/>
    <cellStyle name="Note 8 4 4 10 2" xfId="8427"/>
    <cellStyle name="Note 8 4 4 11" xfId="8428"/>
    <cellStyle name="Note 8 4 4 2" xfId="8429"/>
    <cellStyle name="Note 8 4 4 2 2" xfId="8430"/>
    <cellStyle name="Note 8 4 4 2 2 2" xfId="8431"/>
    <cellStyle name="Note 8 4 4 2 3" xfId="8432"/>
    <cellStyle name="Note 8 4 4 3" xfId="8433"/>
    <cellStyle name="Note 8 4 4 3 2" xfId="8434"/>
    <cellStyle name="Note 8 4 4 4" xfId="8435"/>
    <cellStyle name="Note 8 4 4 4 2" xfId="8436"/>
    <cellStyle name="Note 8 4 4 5" xfId="8437"/>
    <cellStyle name="Note 8 4 4 5 2" xfId="8438"/>
    <cellStyle name="Note 8 4 4 6" xfId="8439"/>
    <cellStyle name="Note 8 4 4 6 2" xfId="8440"/>
    <cellStyle name="Note 8 4 4 7" xfId="8441"/>
    <cellStyle name="Note 8 4 4 7 2" xfId="8442"/>
    <cellStyle name="Note 8 4 4 8" xfId="8443"/>
    <cellStyle name="Note 8 4 4 8 2" xfId="8444"/>
    <cellStyle name="Note 8 4 4 9" xfId="8445"/>
    <cellStyle name="Note 8 4 4 9 2" xfId="8446"/>
    <cellStyle name="Note 8 4 5" xfId="8447"/>
    <cellStyle name="Note 8 4 5 10" xfId="8448"/>
    <cellStyle name="Note 8 4 5 10 2" xfId="8449"/>
    <cellStyle name="Note 8 4 5 11" xfId="8450"/>
    <cellStyle name="Note 8 4 5 2" xfId="8451"/>
    <cellStyle name="Note 8 4 5 2 2" xfId="8452"/>
    <cellStyle name="Note 8 4 5 2 2 2" xfId="8453"/>
    <cellStyle name="Note 8 4 5 2 3" xfId="8454"/>
    <cellStyle name="Note 8 4 5 3" xfId="8455"/>
    <cellStyle name="Note 8 4 5 3 2" xfId="8456"/>
    <cellStyle name="Note 8 4 5 4" xfId="8457"/>
    <cellStyle name="Note 8 4 5 4 2" xfId="8458"/>
    <cellStyle name="Note 8 4 5 5" xfId="8459"/>
    <cellStyle name="Note 8 4 5 5 2" xfId="8460"/>
    <cellStyle name="Note 8 4 5 6" xfId="8461"/>
    <cellStyle name="Note 8 4 5 6 2" xfId="8462"/>
    <cellStyle name="Note 8 4 5 7" xfId="8463"/>
    <cellStyle name="Note 8 4 5 7 2" xfId="8464"/>
    <cellStyle name="Note 8 4 5 8" xfId="8465"/>
    <cellStyle name="Note 8 4 5 8 2" xfId="8466"/>
    <cellStyle name="Note 8 4 5 9" xfId="8467"/>
    <cellStyle name="Note 8 4 5 9 2" xfId="8468"/>
    <cellStyle name="Note 8 4 6" xfId="8469"/>
    <cellStyle name="Note 8 4 6 10" xfId="8470"/>
    <cellStyle name="Note 8 4 6 10 2" xfId="8471"/>
    <cellStyle name="Note 8 4 6 11" xfId="8472"/>
    <cellStyle name="Note 8 4 6 2" xfId="8473"/>
    <cellStyle name="Note 8 4 6 2 2" xfId="8474"/>
    <cellStyle name="Note 8 4 6 2 2 2" xfId="8475"/>
    <cellStyle name="Note 8 4 6 2 3" xfId="8476"/>
    <cellStyle name="Note 8 4 6 3" xfId="8477"/>
    <cellStyle name="Note 8 4 6 3 2" xfId="8478"/>
    <cellStyle name="Note 8 4 6 4" xfId="8479"/>
    <cellStyle name="Note 8 4 6 4 2" xfId="8480"/>
    <cellStyle name="Note 8 4 6 5" xfId="8481"/>
    <cellStyle name="Note 8 4 6 5 2" xfId="8482"/>
    <cellStyle name="Note 8 4 6 6" xfId="8483"/>
    <cellStyle name="Note 8 4 6 6 2" xfId="8484"/>
    <cellStyle name="Note 8 4 6 7" xfId="8485"/>
    <cellStyle name="Note 8 4 6 7 2" xfId="8486"/>
    <cellStyle name="Note 8 4 6 8" xfId="8487"/>
    <cellStyle name="Note 8 4 6 8 2" xfId="8488"/>
    <cellStyle name="Note 8 4 6 9" xfId="8489"/>
    <cellStyle name="Note 8 4 6 9 2" xfId="8490"/>
    <cellStyle name="Note 8 4 7" xfId="8491"/>
    <cellStyle name="Note 8 4 7 2" xfId="8492"/>
    <cellStyle name="Note 8 4 7 2 2" xfId="8493"/>
    <cellStyle name="Note 8 4 7 3" xfId="8494"/>
    <cellStyle name="Note 8 4 8" xfId="8495"/>
    <cellStyle name="Note 8 4 8 2" xfId="8496"/>
    <cellStyle name="Note 8 4 9" xfId="8497"/>
    <cellStyle name="Note 8 4 9 2" xfId="8498"/>
    <cellStyle name="Note 8 5" xfId="8499"/>
    <cellStyle name="Note 8 5 2" xfId="8500"/>
    <cellStyle name="Note 8 5 2 2" xfId="8501"/>
    <cellStyle name="Note 8 5 2 2 2" xfId="8502"/>
    <cellStyle name="Note 8 5 2 3" xfId="8503"/>
    <cellStyle name="Note 8 5 3" xfId="8504"/>
    <cellStyle name="Note 8 5 3 2" xfId="8505"/>
    <cellStyle name="Note 8 5 3 2 2" xfId="8506"/>
    <cellStyle name="Note 8 5 3 3" xfId="8507"/>
    <cellStyle name="Note 8 5 4" xfId="8508"/>
    <cellStyle name="Note 8 5 4 2" xfId="8509"/>
    <cellStyle name="Note 8 5 5" xfId="8510"/>
    <cellStyle name="Note 8 5 5 2" xfId="8511"/>
    <cellStyle name="Note 8 5 6" xfId="8512"/>
    <cellStyle name="Note 8 5 6 2" xfId="8513"/>
    <cellStyle name="Note 8 5 7" xfId="8514"/>
    <cellStyle name="Note 8 5 7 2" xfId="8515"/>
    <cellStyle name="Note 8 5 8" xfId="8516"/>
    <cellStyle name="Note 8 6" xfId="8517"/>
    <cellStyle name="Note 8 6 10" xfId="8518"/>
    <cellStyle name="Note 8 6 10 2" xfId="8519"/>
    <cellStyle name="Note 8 6 11" xfId="8520"/>
    <cellStyle name="Note 8 6 2" xfId="8521"/>
    <cellStyle name="Note 8 6 2 2" xfId="8522"/>
    <cellStyle name="Note 8 6 2 2 2" xfId="8523"/>
    <cellStyle name="Note 8 6 2 3" xfId="8524"/>
    <cellStyle name="Note 8 6 3" xfId="8525"/>
    <cellStyle name="Note 8 6 3 2" xfId="8526"/>
    <cellStyle name="Note 8 6 4" xfId="8527"/>
    <cellStyle name="Note 8 6 4 2" xfId="8528"/>
    <cellStyle name="Note 8 6 5" xfId="8529"/>
    <cellStyle name="Note 8 6 5 2" xfId="8530"/>
    <cellStyle name="Note 8 6 6" xfId="8531"/>
    <cellStyle name="Note 8 6 6 2" xfId="8532"/>
    <cellStyle name="Note 8 6 7" xfId="8533"/>
    <cellStyle name="Note 8 6 7 2" xfId="8534"/>
    <cellStyle name="Note 8 6 8" xfId="8535"/>
    <cellStyle name="Note 8 6 8 2" xfId="8536"/>
    <cellStyle name="Note 8 6 9" xfId="8537"/>
    <cellStyle name="Note 8 6 9 2" xfId="8538"/>
    <cellStyle name="Note 8 7" xfId="8539"/>
    <cellStyle name="Note 8 7 10" xfId="8540"/>
    <cellStyle name="Note 8 7 10 2" xfId="8541"/>
    <cellStyle name="Note 8 7 11" xfId="8542"/>
    <cellStyle name="Note 8 7 2" xfId="8543"/>
    <cellStyle name="Note 8 7 2 2" xfId="8544"/>
    <cellStyle name="Note 8 7 2 2 2" xfId="8545"/>
    <cellStyle name="Note 8 7 2 3" xfId="8546"/>
    <cellStyle name="Note 8 7 3" xfId="8547"/>
    <cellStyle name="Note 8 7 3 2" xfId="8548"/>
    <cellStyle name="Note 8 7 4" xfId="8549"/>
    <cellStyle name="Note 8 7 4 2" xfId="8550"/>
    <cellStyle name="Note 8 7 5" xfId="8551"/>
    <cellStyle name="Note 8 7 5 2" xfId="8552"/>
    <cellStyle name="Note 8 7 6" xfId="8553"/>
    <cellStyle name="Note 8 7 6 2" xfId="8554"/>
    <cellStyle name="Note 8 7 7" xfId="8555"/>
    <cellStyle name="Note 8 7 7 2" xfId="8556"/>
    <cellStyle name="Note 8 7 8" xfId="8557"/>
    <cellStyle name="Note 8 7 8 2" xfId="8558"/>
    <cellStyle name="Note 8 7 9" xfId="8559"/>
    <cellStyle name="Note 8 7 9 2" xfId="8560"/>
    <cellStyle name="Note 8 8" xfId="8561"/>
    <cellStyle name="Note 8 8 10" xfId="8562"/>
    <cellStyle name="Note 8 8 10 2" xfId="8563"/>
    <cellStyle name="Note 8 8 11" xfId="8564"/>
    <cellStyle name="Note 8 8 2" xfId="8565"/>
    <cellStyle name="Note 8 8 2 2" xfId="8566"/>
    <cellStyle name="Note 8 8 2 2 2" xfId="8567"/>
    <cellStyle name="Note 8 8 2 3" xfId="8568"/>
    <cellStyle name="Note 8 8 3" xfId="8569"/>
    <cellStyle name="Note 8 8 3 2" xfId="8570"/>
    <cellStyle name="Note 8 8 4" xfId="8571"/>
    <cellStyle name="Note 8 8 4 2" xfId="8572"/>
    <cellStyle name="Note 8 8 5" xfId="8573"/>
    <cellStyle name="Note 8 8 5 2" xfId="8574"/>
    <cellStyle name="Note 8 8 6" xfId="8575"/>
    <cellStyle name="Note 8 8 6 2" xfId="8576"/>
    <cellStyle name="Note 8 8 7" xfId="8577"/>
    <cellStyle name="Note 8 8 7 2" xfId="8578"/>
    <cellStyle name="Note 8 8 8" xfId="8579"/>
    <cellStyle name="Note 8 8 8 2" xfId="8580"/>
    <cellStyle name="Note 8 8 9" xfId="8581"/>
    <cellStyle name="Note 8 8 9 2" xfId="8582"/>
    <cellStyle name="Note 8 9" xfId="8583"/>
    <cellStyle name="Note 8 9 10" xfId="8584"/>
    <cellStyle name="Note 8 9 10 2" xfId="8585"/>
    <cellStyle name="Note 8 9 11" xfId="8586"/>
    <cellStyle name="Note 8 9 2" xfId="8587"/>
    <cellStyle name="Note 8 9 2 2" xfId="8588"/>
    <cellStyle name="Note 8 9 2 2 2" xfId="8589"/>
    <cellStyle name="Note 8 9 2 3" xfId="8590"/>
    <cellStyle name="Note 8 9 3" xfId="8591"/>
    <cellStyle name="Note 8 9 3 2" xfId="8592"/>
    <cellStyle name="Note 8 9 4" xfId="8593"/>
    <cellStyle name="Note 8 9 4 2" xfId="8594"/>
    <cellStyle name="Note 8 9 5" xfId="8595"/>
    <cellStyle name="Note 8 9 5 2" xfId="8596"/>
    <cellStyle name="Note 8 9 6" xfId="8597"/>
    <cellStyle name="Note 8 9 6 2" xfId="8598"/>
    <cellStyle name="Note 8 9 7" xfId="8599"/>
    <cellStyle name="Note 8 9 7 2" xfId="8600"/>
    <cellStyle name="Note 8 9 8" xfId="8601"/>
    <cellStyle name="Note 8 9 8 2" xfId="8602"/>
    <cellStyle name="Note 8 9 9" xfId="8603"/>
    <cellStyle name="Note 8 9 9 2" xfId="8604"/>
    <cellStyle name="Note 8_7 - Cap Add WS" xfId="661"/>
    <cellStyle name="Note 9" xfId="662"/>
    <cellStyle name="Note 9 10" xfId="8605"/>
    <cellStyle name="Note 9 10 2" xfId="8606"/>
    <cellStyle name="Note 9 10 2 2" xfId="8607"/>
    <cellStyle name="Note 9 10 3" xfId="8608"/>
    <cellStyle name="Note 9 11" xfId="8609"/>
    <cellStyle name="Note 9 11 2" xfId="8610"/>
    <cellStyle name="Note 9 12" xfId="8611"/>
    <cellStyle name="Note 9 12 2" xfId="8612"/>
    <cellStyle name="Note 9 13" xfId="8613"/>
    <cellStyle name="Note 9 13 2" xfId="8614"/>
    <cellStyle name="Note 9 14" xfId="8615"/>
    <cellStyle name="Note 9 14 2" xfId="8616"/>
    <cellStyle name="Note 9 15" xfId="8617"/>
    <cellStyle name="Note 9 15 2" xfId="8618"/>
    <cellStyle name="Note 9 16" xfId="8619"/>
    <cellStyle name="Note 9 2" xfId="663"/>
    <cellStyle name="Note 9 2 10" xfId="8620"/>
    <cellStyle name="Note 9 2 10 2" xfId="8621"/>
    <cellStyle name="Note 9 2 11" xfId="8622"/>
    <cellStyle name="Note 9 2 11 2" xfId="8623"/>
    <cellStyle name="Note 9 2 12" xfId="8624"/>
    <cellStyle name="Note 9 2 12 2" xfId="8625"/>
    <cellStyle name="Note 9 2 13" xfId="8626"/>
    <cellStyle name="Note 9 2 13 2" xfId="8627"/>
    <cellStyle name="Note 9 2 14" xfId="8628"/>
    <cellStyle name="Note 9 2 2" xfId="664"/>
    <cellStyle name="Note 9 2 2 10" xfId="8629"/>
    <cellStyle name="Note 9 2 2 10 2" xfId="8630"/>
    <cellStyle name="Note 9 2 2 11" xfId="8631"/>
    <cellStyle name="Note 9 2 2 11 2" xfId="8632"/>
    <cellStyle name="Note 9 2 2 12" xfId="8633"/>
    <cellStyle name="Note 9 2 2 12 2" xfId="8634"/>
    <cellStyle name="Note 9 2 2 13" xfId="8635"/>
    <cellStyle name="Note 9 2 2 2" xfId="8636"/>
    <cellStyle name="Note 9 2 2 2 2" xfId="8637"/>
    <cellStyle name="Note 9 2 2 2 2 2" xfId="8638"/>
    <cellStyle name="Note 9 2 2 2 2 2 2" xfId="8639"/>
    <cellStyle name="Note 9 2 2 2 2 3" xfId="8640"/>
    <cellStyle name="Note 9 2 2 2 3" xfId="8641"/>
    <cellStyle name="Note 9 2 2 2 3 2" xfId="8642"/>
    <cellStyle name="Note 9 2 2 2 3 2 2" xfId="8643"/>
    <cellStyle name="Note 9 2 2 2 3 3" xfId="8644"/>
    <cellStyle name="Note 9 2 2 2 4" xfId="8645"/>
    <cellStyle name="Note 9 2 2 2 4 2" xfId="8646"/>
    <cellStyle name="Note 9 2 2 2 5" xfId="8647"/>
    <cellStyle name="Note 9 2 2 2 5 2" xfId="8648"/>
    <cellStyle name="Note 9 2 2 2 6" xfId="8649"/>
    <cellStyle name="Note 9 2 2 2 6 2" xfId="8650"/>
    <cellStyle name="Note 9 2 2 2 7" xfId="8651"/>
    <cellStyle name="Note 9 2 2 2 7 2" xfId="8652"/>
    <cellStyle name="Note 9 2 2 2 8" xfId="8653"/>
    <cellStyle name="Note 9 2 2 3" xfId="8654"/>
    <cellStyle name="Note 9 2 2 3 10" xfId="8655"/>
    <cellStyle name="Note 9 2 2 3 10 2" xfId="8656"/>
    <cellStyle name="Note 9 2 2 3 11" xfId="8657"/>
    <cellStyle name="Note 9 2 2 3 2" xfId="8658"/>
    <cellStyle name="Note 9 2 2 3 2 2" xfId="8659"/>
    <cellStyle name="Note 9 2 2 3 2 2 2" xfId="8660"/>
    <cellStyle name="Note 9 2 2 3 2 3" xfId="8661"/>
    <cellStyle name="Note 9 2 2 3 3" xfId="8662"/>
    <cellStyle name="Note 9 2 2 3 3 2" xfId="8663"/>
    <cellStyle name="Note 9 2 2 3 4" xfId="8664"/>
    <cellStyle name="Note 9 2 2 3 4 2" xfId="8665"/>
    <cellStyle name="Note 9 2 2 3 5" xfId="8666"/>
    <cellStyle name="Note 9 2 2 3 5 2" xfId="8667"/>
    <cellStyle name="Note 9 2 2 3 6" xfId="8668"/>
    <cellStyle name="Note 9 2 2 3 6 2" xfId="8669"/>
    <cellStyle name="Note 9 2 2 3 7" xfId="8670"/>
    <cellStyle name="Note 9 2 2 3 7 2" xfId="8671"/>
    <cellStyle name="Note 9 2 2 3 8" xfId="8672"/>
    <cellStyle name="Note 9 2 2 3 8 2" xfId="8673"/>
    <cellStyle name="Note 9 2 2 3 9" xfId="8674"/>
    <cellStyle name="Note 9 2 2 3 9 2" xfId="8675"/>
    <cellStyle name="Note 9 2 2 4" xfId="8676"/>
    <cellStyle name="Note 9 2 2 4 10" xfId="8677"/>
    <cellStyle name="Note 9 2 2 4 10 2" xfId="8678"/>
    <cellStyle name="Note 9 2 2 4 11" xfId="8679"/>
    <cellStyle name="Note 9 2 2 4 2" xfId="8680"/>
    <cellStyle name="Note 9 2 2 4 2 2" xfId="8681"/>
    <cellStyle name="Note 9 2 2 4 2 2 2" xfId="8682"/>
    <cellStyle name="Note 9 2 2 4 2 3" xfId="8683"/>
    <cellStyle name="Note 9 2 2 4 3" xfId="8684"/>
    <cellStyle name="Note 9 2 2 4 3 2" xfId="8685"/>
    <cellStyle name="Note 9 2 2 4 4" xfId="8686"/>
    <cellStyle name="Note 9 2 2 4 4 2" xfId="8687"/>
    <cellStyle name="Note 9 2 2 4 5" xfId="8688"/>
    <cellStyle name="Note 9 2 2 4 5 2" xfId="8689"/>
    <cellStyle name="Note 9 2 2 4 6" xfId="8690"/>
    <cellStyle name="Note 9 2 2 4 6 2" xfId="8691"/>
    <cellStyle name="Note 9 2 2 4 7" xfId="8692"/>
    <cellStyle name="Note 9 2 2 4 7 2" xfId="8693"/>
    <cellStyle name="Note 9 2 2 4 8" xfId="8694"/>
    <cellStyle name="Note 9 2 2 4 8 2" xfId="8695"/>
    <cellStyle name="Note 9 2 2 4 9" xfId="8696"/>
    <cellStyle name="Note 9 2 2 4 9 2" xfId="8697"/>
    <cellStyle name="Note 9 2 2 5" xfId="8698"/>
    <cellStyle name="Note 9 2 2 5 10" xfId="8699"/>
    <cellStyle name="Note 9 2 2 5 10 2" xfId="8700"/>
    <cellStyle name="Note 9 2 2 5 11" xfId="8701"/>
    <cellStyle name="Note 9 2 2 5 2" xfId="8702"/>
    <cellStyle name="Note 9 2 2 5 2 2" xfId="8703"/>
    <cellStyle name="Note 9 2 2 5 2 2 2" xfId="8704"/>
    <cellStyle name="Note 9 2 2 5 2 3" xfId="8705"/>
    <cellStyle name="Note 9 2 2 5 3" xfId="8706"/>
    <cellStyle name="Note 9 2 2 5 3 2" xfId="8707"/>
    <cellStyle name="Note 9 2 2 5 4" xfId="8708"/>
    <cellStyle name="Note 9 2 2 5 4 2" xfId="8709"/>
    <cellStyle name="Note 9 2 2 5 5" xfId="8710"/>
    <cellStyle name="Note 9 2 2 5 5 2" xfId="8711"/>
    <cellStyle name="Note 9 2 2 5 6" xfId="8712"/>
    <cellStyle name="Note 9 2 2 5 6 2" xfId="8713"/>
    <cellStyle name="Note 9 2 2 5 7" xfId="8714"/>
    <cellStyle name="Note 9 2 2 5 7 2" xfId="8715"/>
    <cellStyle name="Note 9 2 2 5 8" xfId="8716"/>
    <cellStyle name="Note 9 2 2 5 8 2" xfId="8717"/>
    <cellStyle name="Note 9 2 2 5 9" xfId="8718"/>
    <cellStyle name="Note 9 2 2 5 9 2" xfId="8719"/>
    <cellStyle name="Note 9 2 2 6" xfId="8720"/>
    <cellStyle name="Note 9 2 2 6 10" xfId="8721"/>
    <cellStyle name="Note 9 2 2 6 10 2" xfId="8722"/>
    <cellStyle name="Note 9 2 2 6 11" xfId="8723"/>
    <cellStyle name="Note 9 2 2 6 2" xfId="8724"/>
    <cellStyle name="Note 9 2 2 6 2 2" xfId="8725"/>
    <cellStyle name="Note 9 2 2 6 2 2 2" xfId="8726"/>
    <cellStyle name="Note 9 2 2 6 2 3" xfId="8727"/>
    <cellStyle name="Note 9 2 2 6 3" xfId="8728"/>
    <cellStyle name="Note 9 2 2 6 3 2" xfId="8729"/>
    <cellStyle name="Note 9 2 2 6 4" xfId="8730"/>
    <cellStyle name="Note 9 2 2 6 4 2" xfId="8731"/>
    <cellStyle name="Note 9 2 2 6 5" xfId="8732"/>
    <cellStyle name="Note 9 2 2 6 5 2" xfId="8733"/>
    <cellStyle name="Note 9 2 2 6 6" xfId="8734"/>
    <cellStyle name="Note 9 2 2 6 6 2" xfId="8735"/>
    <cellStyle name="Note 9 2 2 6 7" xfId="8736"/>
    <cellStyle name="Note 9 2 2 6 7 2" xfId="8737"/>
    <cellStyle name="Note 9 2 2 6 8" xfId="8738"/>
    <cellStyle name="Note 9 2 2 6 8 2" xfId="8739"/>
    <cellStyle name="Note 9 2 2 6 9" xfId="8740"/>
    <cellStyle name="Note 9 2 2 6 9 2" xfId="8741"/>
    <cellStyle name="Note 9 2 2 7" xfId="8742"/>
    <cellStyle name="Note 9 2 2 7 2" xfId="8743"/>
    <cellStyle name="Note 9 2 2 7 2 2" xfId="8744"/>
    <cellStyle name="Note 9 2 2 7 3" xfId="8745"/>
    <cellStyle name="Note 9 2 2 8" xfId="8746"/>
    <cellStyle name="Note 9 2 2 8 2" xfId="8747"/>
    <cellStyle name="Note 9 2 2 9" xfId="8748"/>
    <cellStyle name="Note 9 2 2 9 2" xfId="8749"/>
    <cellStyle name="Note 9 2 3" xfId="8750"/>
    <cellStyle name="Note 9 2 3 2" xfId="8751"/>
    <cellStyle name="Note 9 2 3 2 2" xfId="8752"/>
    <cellStyle name="Note 9 2 3 2 2 2" xfId="8753"/>
    <cellStyle name="Note 9 2 3 2 3" xfId="8754"/>
    <cellStyle name="Note 9 2 3 3" xfId="8755"/>
    <cellStyle name="Note 9 2 3 3 2" xfId="8756"/>
    <cellStyle name="Note 9 2 3 3 2 2" xfId="8757"/>
    <cellStyle name="Note 9 2 3 3 3" xfId="8758"/>
    <cellStyle name="Note 9 2 3 4" xfId="8759"/>
    <cellStyle name="Note 9 2 3 4 2" xfId="8760"/>
    <cellStyle name="Note 9 2 3 5" xfId="8761"/>
    <cellStyle name="Note 9 2 3 5 2" xfId="8762"/>
    <cellStyle name="Note 9 2 3 6" xfId="8763"/>
    <cellStyle name="Note 9 2 3 6 2" xfId="8764"/>
    <cellStyle name="Note 9 2 3 7" xfId="8765"/>
    <cellStyle name="Note 9 2 3 7 2" xfId="8766"/>
    <cellStyle name="Note 9 2 3 8" xfId="8767"/>
    <cellStyle name="Note 9 2 4" xfId="8768"/>
    <cellStyle name="Note 9 2 4 10" xfId="8769"/>
    <cellStyle name="Note 9 2 4 10 2" xfId="8770"/>
    <cellStyle name="Note 9 2 4 11" xfId="8771"/>
    <cellStyle name="Note 9 2 4 2" xfId="8772"/>
    <cellStyle name="Note 9 2 4 2 2" xfId="8773"/>
    <cellStyle name="Note 9 2 4 2 2 2" xfId="8774"/>
    <cellStyle name="Note 9 2 4 2 3" xfId="8775"/>
    <cellStyle name="Note 9 2 4 3" xfId="8776"/>
    <cellStyle name="Note 9 2 4 3 2" xfId="8777"/>
    <cellStyle name="Note 9 2 4 4" xfId="8778"/>
    <cellStyle name="Note 9 2 4 4 2" xfId="8779"/>
    <cellStyle name="Note 9 2 4 5" xfId="8780"/>
    <cellStyle name="Note 9 2 4 5 2" xfId="8781"/>
    <cellStyle name="Note 9 2 4 6" xfId="8782"/>
    <cellStyle name="Note 9 2 4 6 2" xfId="8783"/>
    <cellStyle name="Note 9 2 4 7" xfId="8784"/>
    <cellStyle name="Note 9 2 4 7 2" xfId="8785"/>
    <cellStyle name="Note 9 2 4 8" xfId="8786"/>
    <cellStyle name="Note 9 2 4 8 2" xfId="8787"/>
    <cellStyle name="Note 9 2 4 9" xfId="8788"/>
    <cellStyle name="Note 9 2 4 9 2" xfId="8789"/>
    <cellStyle name="Note 9 2 5" xfId="8790"/>
    <cellStyle name="Note 9 2 5 10" xfId="8791"/>
    <cellStyle name="Note 9 2 5 10 2" xfId="8792"/>
    <cellStyle name="Note 9 2 5 11" xfId="8793"/>
    <cellStyle name="Note 9 2 5 2" xfId="8794"/>
    <cellStyle name="Note 9 2 5 2 2" xfId="8795"/>
    <cellStyle name="Note 9 2 5 2 2 2" xfId="8796"/>
    <cellStyle name="Note 9 2 5 2 3" xfId="8797"/>
    <cellStyle name="Note 9 2 5 3" xfId="8798"/>
    <cellStyle name="Note 9 2 5 3 2" xfId="8799"/>
    <cellStyle name="Note 9 2 5 4" xfId="8800"/>
    <cellStyle name="Note 9 2 5 4 2" xfId="8801"/>
    <cellStyle name="Note 9 2 5 5" xfId="8802"/>
    <cellStyle name="Note 9 2 5 5 2" xfId="8803"/>
    <cellStyle name="Note 9 2 5 6" xfId="8804"/>
    <cellStyle name="Note 9 2 5 6 2" xfId="8805"/>
    <cellStyle name="Note 9 2 5 7" xfId="8806"/>
    <cellStyle name="Note 9 2 5 7 2" xfId="8807"/>
    <cellStyle name="Note 9 2 5 8" xfId="8808"/>
    <cellStyle name="Note 9 2 5 8 2" xfId="8809"/>
    <cellStyle name="Note 9 2 5 9" xfId="8810"/>
    <cellStyle name="Note 9 2 5 9 2" xfId="8811"/>
    <cellStyle name="Note 9 2 6" xfId="8812"/>
    <cellStyle name="Note 9 2 6 10" xfId="8813"/>
    <cellStyle name="Note 9 2 6 10 2" xfId="8814"/>
    <cellStyle name="Note 9 2 6 11" xfId="8815"/>
    <cellStyle name="Note 9 2 6 2" xfId="8816"/>
    <cellStyle name="Note 9 2 6 2 2" xfId="8817"/>
    <cellStyle name="Note 9 2 6 2 2 2" xfId="8818"/>
    <cellStyle name="Note 9 2 6 2 3" xfId="8819"/>
    <cellStyle name="Note 9 2 6 3" xfId="8820"/>
    <cellStyle name="Note 9 2 6 3 2" xfId="8821"/>
    <cellStyle name="Note 9 2 6 4" xfId="8822"/>
    <cellStyle name="Note 9 2 6 4 2" xfId="8823"/>
    <cellStyle name="Note 9 2 6 5" xfId="8824"/>
    <cellStyle name="Note 9 2 6 5 2" xfId="8825"/>
    <cellStyle name="Note 9 2 6 6" xfId="8826"/>
    <cellStyle name="Note 9 2 6 6 2" xfId="8827"/>
    <cellStyle name="Note 9 2 6 7" xfId="8828"/>
    <cellStyle name="Note 9 2 6 7 2" xfId="8829"/>
    <cellStyle name="Note 9 2 6 8" xfId="8830"/>
    <cellStyle name="Note 9 2 6 8 2" xfId="8831"/>
    <cellStyle name="Note 9 2 6 9" xfId="8832"/>
    <cellStyle name="Note 9 2 6 9 2" xfId="8833"/>
    <cellStyle name="Note 9 2 7" xfId="8834"/>
    <cellStyle name="Note 9 2 7 10" xfId="8835"/>
    <cellStyle name="Note 9 2 7 10 2" xfId="8836"/>
    <cellStyle name="Note 9 2 7 11" xfId="8837"/>
    <cellStyle name="Note 9 2 7 2" xfId="8838"/>
    <cellStyle name="Note 9 2 7 2 2" xfId="8839"/>
    <cellStyle name="Note 9 2 7 2 2 2" xfId="8840"/>
    <cellStyle name="Note 9 2 7 2 3" xfId="8841"/>
    <cellStyle name="Note 9 2 7 3" xfId="8842"/>
    <cellStyle name="Note 9 2 7 3 2" xfId="8843"/>
    <cellStyle name="Note 9 2 7 4" xfId="8844"/>
    <cellStyle name="Note 9 2 7 4 2" xfId="8845"/>
    <cellStyle name="Note 9 2 7 5" xfId="8846"/>
    <cellStyle name="Note 9 2 7 5 2" xfId="8847"/>
    <cellStyle name="Note 9 2 7 6" xfId="8848"/>
    <cellStyle name="Note 9 2 7 6 2" xfId="8849"/>
    <cellStyle name="Note 9 2 7 7" xfId="8850"/>
    <cellStyle name="Note 9 2 7 7 2" xfId="8851"/>
    <cellStyle name="Note 9 2 7 8" xfId="8852"/>
    <cellStyle name="Note 9 2 7 8 2" xfId="8853"/>
    <cellStyle name="Note 9 2 7 9" xfId="8854"/>
    <cellStyle name="Note 9 2 7 9 2" xfId="8855"/>
    <cellStyle name="Note 9 2 8" xfId="8856"/>
    <cellStyle name="Note 9 2 8 2" xfId="8857"/>
    <cellStyle name="Note 9 2 8 2 2" xfId="8858"/>
    <cellStyle name="Note 9 2 8 3" xfId="8859"/>
    <cellStyle name="Note 9 2 9" xfId="8860"/>
    <cellStyle name="Note 9 2 9 2" xfId="8861"/>
    <cellStyle name="Note 9 2_7 - Cap Add WS" xfId="665"/>
    <cellStyle name="Note 9 3" xfId="666"/>
    <cellStyle name="Note 9 3 10" xfId="8862"/>
    <cellStyle name="Note 9 3 10 2" xfId="8863"/>
    <cellStyle name="Note 9 3 11" xfId="8864"/>
    <cellStyle name="Note 9 3 11 2" xfId="8865"/>
    <cellStyle name="Note 9 3 12" xfId="8866"/>
    <cellStyle name="Note 9 3 12 2" xfId="8867"/>
    <cellStyle name="Note 9 3 13" xfId="8868"/>
    <cellStyle name="Note 9 3 13 2" xfId="8869"/>
    <cellStyle name="Note 9 3 14" xfId="8870"/>
    <cellStyle name="Note 9 3 2" xfId="667"/>
    <cellStyle name="Note 9 3 2 10" xfId="8871"/>
    <cellStyle name="Note 9 3 2 10 2" xfId="8872"/>
    <cellStyle name="Note 9 3 2 11" xfId="8873"/>
    <cellStyle name="Note 9 3 2 11 2" xfId="8874"/>
    <cellStyle name="Note 9 3 2 12" xfId="8875"/>
    <cellStyle name="Note 9 3 2 12 2" xfId="8876"/>
    <cellStyle name="Note 9 3 2 13" xfId="8877"/>
    <cellStyle name="Note 9 3 2 2" xfId="8878"/>
    <cellStyle name="Note 9 3 2 2 2" xfId="8879"/>
    <cellStyle name="Note 9 3 2 2 2 2" xfId="8880"/>
    <cellStyle name="Note 9 3 2 2 2 2 2" xfId="8881"/>
    <cellStyle name="Note 9 3 2 2 2 3" xfId="8882"/>
    <cellStyle name="Note 9 3 2 2 3" xfId="8883"/>
    <cellStyle name="Note 9 3 2 2 3 2" xfId="8884"/>
    <cellStyle name="Note 9 3 2 2 3 2 2" xfId="8885"/>
    <cellStyle name="Note 9 3 2 2 3 3" xfId="8886"/>
    <cellStyle name="Note 9 3 2 2 4" xfId="8887"/>
    <cellStyle name="Note 9 3 2 2 4 2" xfId="8888"/>
    <cellStyle name="Note 9 3 2 2 5" xfId="8889"/>
    <cellStyle name="Note 9 3 2 2 5 2" xfId="8890"/>
    <cellStyle name="Note 9 3 2 2 6" xfId="8891"/>
    <cellStyle name="Note 9 3 2 2 6 2" xfId="8892"/>
    <cellStyle name="Note 9 3 2 2 7" xfId="8893"/>
    <cellStyle name="Note 9 3 2 2 7 2" xfId="8894"/>
    <cellStyle name="Note 9 3 2 2 8" xfId="8895"/>
    <cellStyle name="Note 9 3 2 3" xfId="8896"/>
    <cellStyle name="Note 9 3 2 3 10" xfId="8897"/>
    <cellStyle name="Note 9 3 2 3 10 2" xfId="8898"/>
    <cellStyle name="Note 9 3 2 3 11" xfId="8899"/>
    <cellStyle name="Note 9 3 2 3 2" xfId="8900"/>
    <cellStyle name="Note 9 3 2 3 2 2" xfId="8901"/>
    <cellStyle name="Note 9 3 2 3 2 2 2" xfId="8902"/>
    <cellStyle name="Note 9 3 2 3 2 3" xfId="8903"/>
    <cellStyle name="Note 9 3 2 3 3" xfId="8904"/>
    <cellStyle name="Note 9 3 2 3 3 2" xfId="8905"/>
    <cellStyle name="Note 9 3 2 3 4" xfId="8906"/>
    <cellStyle name="Note 9 3 2 3 4 2" xfId="8907"/>
    <cellStyle name="Note 9 3 2 3 5" xfId="8908"/>
    <cellStyle name="Note 9 3 2 3 5 2" xfId="8909"/>
    <cellStyle name="Note 9 3 2 3 6" xfId="8910"/>
    <cellStyle name="Note 9 3 2 3 6 2" xfId="8911"/>
    <cellStyle name="Note 9 3 2 3 7" xfId="8912"/>
    <cellStyle name="Note 9 3 2 3 7 2" xfId="8913"/>
    <cellStyle name="Note 9 3 2 3 8" xfId="8914"/>
    <cellStyle name="Note 9 3 2 3 8 2" xfId="8915"/>
    <cellStyle name="Note 9 3 2 3 9" xfId="8916"/>
    <cellStyle name="Note 9 3 2 3 9 2" xfId="8917"/>
    <cellStyle name="Note 9 3 2 4" xfId="8918"/>
    <cellStyle name="Note 9 3 2 4 10" xfId="8919"/>
    <cellStyle name="Note 9 3 2 4 10 2" xfId="8920"/>
    <cellStyle name="Note 9 3 2 4 11" xfId="8921"/>
    <cellStyle name="Note 9 3 2 4 2" xfId="8922"/>
    <cellStyle name="Note 9 3 2 4 2 2" xfId="8923"/>
    <cellStyle name="Note 9 3 2 4 2 2 2" xfId="8924"/>
    <cellStyle name="Note 9 3 2 4 2 3" xfId="8925"/>
    <cellStyle name="Note 9 3 2 4 3" xfId="8926"/>
    <cellStyle name="Note 9 3 2 4 3 2" xfId="8927"/>
    <cellStyle name="Note 9 3 2 4 4" xfId="8928"/>
    <cellStyle name="Note 9 3 2 4 4 2" xfId="8929"/>
    <cellStyle name="Note 9 3 2 4 5" xfId="8930"/>
    <cellStyle name="Note 9 3 2 4 5 2" xfId="8931"/>
    <cellStyle name="Note 9 3 2 4 6" xfId="8932"/>
    <cellStyle name="Note 9 3 2 4 6 2" xfId="8933"/>
    <cellStyle name="Note 9 3 2 4 7" xfId="8934"/>
    <cellStyle name="Note 9 3 2 4 7 2" xfId="8935"/>
    <cellStyle name="Note 9 3 2 4 8" xfId="8936"/>
    <cellStyle name="Note 9 3 2 4 8 2" xfId="8937"/>
    <cellStyle name="Note 9 3 2 4 9" xfId="8938"/>
    <cellStyle name="Note 9 3 2 4 9 2" xfId="8939"/>
    <cellStyle name="Note 9 3 2 5" xfId="8940"/>
    <cellStyle name="Note 9 3 2 5 10" xfId="8941"/>
    <cellStyle name="Note 9 3 2 5 10 2" xfId="8942"/>
    <cellStyle name="Note 9 3 2 5 11" xfId="8943"/>
    <cellStyle name="Note 9 3 2 5 2" xfId="8944"/>
    <cellStyle name="Note 9 3 2 5 2 2" xfId="8945"/>
    <cellStyle name="Note 9 3 2 5 2 2 2" xfId="8946"/>
    <cellStyle name="Note 9 3 2 5 2 3" xfId="8947"/>
    <cellStyle name="Note 9 3 2 5 3" xfId="8948"/>
    <cellStyle name="Note 9 3 2 5 3 2" xfId="8949"/>
    <cellStyle name="Note 9 3 2 5 4" xfId="8950"/>
    <cellStyle name="Note 9 3 2 5 4 2" xfId="8951"/>
    <cellStyle name="Note 9 3 2 5 5" xfId="8952"/>
    <cellStyle name="Note 9 3 2 5 5 2" xfId="8953"/>
    <cellStyle name="Note 9 3 2 5 6" xfId="8954"/>
    <cellStyle name="Note 9 3 2 5 6 2" xfId="8955"/>
    <cellStyle name="Note 9 3 2 5 7" xfId="8956"/>
    <cellStyle name="Note 9 3 2 5 7 2" xfId="8957"/>
    <cellStyle name="Note 9 3 2 5 8" xfId="8958"/>
    <cellStyle name="Note 9 3 2 5 8 2" xfId="8959"/>
    <cellStyle name="Note 9 3 2 5 9" xfId="8960"/>
    <cellStyle name="Note 9 3 2 5 9 2" xfId="8961"/>
    <cellStyle name="Note 9 3 2 6" xfId="8962"/>
    <cellStyle name="Note 9 3 2 6 10" xfId="8963"/>
    <cellStyle name="Note 9 3 2 6 10 2" xfId="8964"/>
    <cellStyle name="Note 9 3 2 6 11" xfId="8965"/>
    <cellStyle name="Note 9 3 2 6 2" xfId="8966"/>
    <cellStyle name="Note 9 3 2 6 2 2" xfId="8967"/>
    <cellStyle name="Note 9 3 2 6 2 2 2" xfId="8968"/>
    <cellStyle name="Note 9 3 2 6 2 3" xfId="8969"/>
    <cellStyle name="Note 9 3 2 6 3" xfId="8970"/>
    <cellStyle name="Note 9 3 2 6 3 2" xfId="8971"/>
    <cellStyle name="Note 9 3 2 6 4" xfId="8972"/>
    <cellStyle name="Note 9 3 2 6 4 2" xfId="8973"/>
    <cellStyle name="Note 9 3 2 6 5" xfId="8974"/>
    <cellStyle name="Note 9 3 2 6 5 2" xfId="8975"/>
    <cellStyle name="Note 9 3 2 6 6" xfId="8976"/>
    <cellStyle name="Note 9 3 2 6 6 2" xfId="8977"/>
    <cellStyle name="Note 9 3 2 6 7" xfId="8978"/>
    <cellStyle name="Note 9 3 2 6 7 2" xfId="8979"/>
    <cellStyle name="Note 9 3 2 6 8" xfId="8980"/>
    <cellStyle name="Note 9 3 2 6 8 2" xfId="8981"/>
    <cellStyle name="Note 9 3 2 6 9" xfId="8982"/>
    <cellStyle name="Note 9 3 2 6 9 2" xfId="8983"/>
    <cellStyle name="Note 9 3 2 7" xfId="8984"/>
    <cellStyle name="Note 9 3 2 7 2" xfId="8985"/>
    <cellStyle name="Note 9 3 2 7 2 2" xfId="8986"/>
    <cellStyle name="Note 9 3 2 7 3" xfId="8987"/>
    <cellStyle name="Note 9 3 2 8" xfId="8988"/>
    <cellStyle name="Note 9 3 2 8 2" xfId="8989"/>
    <cellStyle name="Note 9 3 2 9" xfId="8990"/>
    <cellStyle name="Note 9 3 2 9 2" xfId="8991"/>
    <cellStyle name="Note 9 3 3" xfId="8992"/>
    <cellStyle name="Note 9 3 3 2" xfId="8993"/>
    <cellStyle name="Note 9 3 3 2 2" xfId="8994"/>
    <cellStyle name="Note 9 3 3 2 2 2" xfId="8995"/>
    <cellStyle name="Note 9 3 3 2 3" xfId="8996"/>
    <cellStyle name="Note 9 3 3 3" xfId="8997"/>
    <cellStyle name="Note 9 3 3 3 2" xfId="8998"/>
    <cellStyle name="Note 9 3 3 3 2 2" xfId="8999"/>
    <cellStyle name="Note 9 3 3 3 3" xfId="9000"/>
    <cellStyle name="Note 9 3 3 4" xfId="9001"/>
    <cellStyle name="Note 9 3 3 4 2" xfId="9002"/>
    <cellStyle name="Note 9 3 3 5" xfId="9003"/>
    <cellStyle name="Note 9 3 3 5 2" xfId="9004"/>
    <cellStyle name="Note 9 3 3 6" xfId="9005"/>
    <cellStyle name="Note 9 3 3 6 2" xfId="9006"/>
    <cellStyle name="Note 9 3 3 7" xfId="9007"/>
    <cellStyle name="Note 9 3 3 7 2" xfId="9008"/>
    <cellStyle name="Note 9 3 3 8" xfId="9009"/>
    <cellStyle name="Note 9 3 4" xfId="9010"/>
    <cellStyle name="Note 9 3 4 10" xfId="9011"/>
    <cellStyle name="Note 9 3 4 10 2" xfId="9012"/>
    <cellStyle name="Note 9 3 4 11" xfId="9013"/>
    <cellStyle name="Note 9 3 4 2" xfId="9014"/>
    <cellStyle name="Note 9 3 4 2 2" xfId="9015"/>
    <cellStyle name="Note 9 3 4 2 2 2" xfId="9016"/>
    <cellStyle name="Note 9 3 4 2 3" xfId="9017"/>
    <cellStyle name="Note 9 3 4 3" xfId="9018"/>
    <cellStyle name="Note 9 3 4 3 2" xfId="9019"/>
    <cellStyle name="Note 9 3 4 4" xfId="9020"/>
    <cellStyle name="Note 9 3 4 4 2" xfId="9021"/>
    <cellStyle name="Note 9 3 4 5" xfId="9022"/>
    <cellStyle name="Note 9 3 4 5 2" xfId="9023"/>
    <cellStyle name="Note 9 3 4 6" xfId="9024"/>
    <cellStyle name="Note 9 3 4 6 2" xfId="9025"/>
    <cellStyle name="Note 9 3 4 7" xfId="9026"/>
    <cellStyle name="Note 9 3 4 7 2" xfId="9027"/>
    <cellStyle name="Note 9 3 4 8" xfId="9028"/>
    <cellStyle name="Note 9 3 4 8 2" xfId="9029"/>
    <cellStyle name="Note 9 3 4 9" xfId="9030"/>
    <cellStyle name="Note 9 3 4 9 2" xfId="9031"/>
    <cellStyle name="Note 9 3 5" xfId="9032"/>
    <cellStyle name="Note 9 3 5 10" xfId="9033"/>
    <cellStyle name="Note 9 3 5 10 2" xfId="9034"/>
    <cellStyle name="Note 9 3 5 11" xfId="9035"/>
    <cellStyle name="Note 9 3 5 2" xfId="9036"/>
    <cellStyle name="Note 9 3 5 2 2" xfId="9037"/>
    <cellStyle name="Note 9 3 5 2 2 2" xfId="9038"/>
    <cellStyle name="Note 9 3 5 2 3" xfId="9039"/>
    <cellStyle name="Note 9 3 5 3" xfId="9040"/>
    <cellStyle name="Note 9 3 5 3 2" xfId="9041"/>
    <cellStyle name="Note 9 3 5 4" xfId="9042"/>
    <cellStyle name="Note 9 3 5 4 2" xfId="9043"/>
    <cellStyle name="Note 9 3 5 5" xfId="9044"/>
    <cellStyle name="Note 9 3 5 5 2" xfId="9045"/>
    <cellStyle name="Note 9 3 5 6" xfId="9046"/>
    <cellStyle name="Note 9 3 5 6 2" xfId="9047"/>
    <cellStyle name="Note 9 3 5 7" xfId="9048"/>
    <cellStyle name="Note 9 3 5 7 2" xfId="9049"/>
    <cellStyle name="Note 9 3 5 8" xfId="9050"/>
    <cellStyle name="Note 9 3 5 8 2" xfId="9051"/>
    <cellStyle name="Note 9 3 5 9" xfId="9052"/>
    <cellStyle name="Note 9 3 5 9 2" xfId="9053"/>
    <cellStyle name="Note 9 3 6" xfId="9054"/>
    <cellStyle name="Note 9 3 6 10" xfId="9055"/>
    <cellStyle name="Note 9 3 6 10 2" xfId="9056"/>
    <cellStyle name="Note 9 3 6 11" xfId="9057"/>
    <cellStyle name="Note 9 3 6 2" xfId="9058"/>
    <cellStyle name="Note 9 3 6 2 2" xfId="9059"/>
    <cellStyle name="Note 9 3 6 2 2 2" xfId="9060"/>
    <cellStyle name="Note 9 3 6 2 3" xfId="9061"/>
    <cellStyle name="Note 9 3 6 3" xfId="9062"/>
    <cellStyle name="Note 9 3 6 3 2" xfId="9063"/>
    <cellStyle name="Note 9 3 6 4" xfId="9064"/>
    <cellStyle name="Note 9 3 6 4 2" xfId="9065"/>
    <cellStyle name="Note 9 3 6 5" xfId="9066"/>
    <cellStyle name="Note 9 3 6 5 2" xfId="9067"/>
    <cellStyle name="Note 9 3 6 6" xfId="9068"/>
    <cellStyle name="Note 9 3 6 6 2" xfId="9069"/>
    <cellStyle name="Note 9 3 6 7" xfId="9070"/>
    <cellStyle name="Note 9 3 6 7 2" xfId="9071"/>
    <cellStyle name="Note 9 3 6 8" xfId="9072"/>
    <cellStyle name="Note 9 3 6 8 2" xfId="9073"/>
    <cellStyle name="Note 9 3 6 9" xfId="9074"/>
    <cellStyle name="Note 9 3 6 9 2" xfId="9075"/>
    <cellStyle name="Note 9 3 7" xfId="9076"/>
    <cellStyle name="Note 9 3 7 10" xfId="9077"/>
    <cellStyle name="Note 9 3 7 10 2" xfId="9078"/>
    <cellStyle name="Note 9 3 7 11" xfId="9079"/>
    <cellStyle name="Note 9 3 7 2" xfId="9080"/>
    <cellStyle name="Note 9 3 7 2 2" xfId="9081"/>
    <cellStyle name="Note 9 3 7 2 2 2" xfId="9082"/>
    <cellStyle name="Note 9 3 7 2 3" xfId="9083"/>
    <cellStyle name="Note 9 3 7 3" xfId="9084"/>
    <cellStyle name="Note 9 3 7 3 2" xfId="9085"/>
    <cellStyle name="Note 9 3 7 4" xfId="9086"/>
    <cellStyle name="Note 9 3 7 4 2" xfId="9087"/>
    <cellStyle name="Note 9 3 7 5" xfId="9088"/>
    <cellStyle name="Note 9 3 7 5 2" xfId="9089"/>
    <cellStyle name="Note 9 3 7 6" xfId="9090"/>
    <cellStyle name="Note 9 3 7 6 2" xfId="9091"/>
    <cellStyle name="Note 9 3 7 7" xfId="9092"/>
    <cellStyle name="Note 9 3 7 7 2" xfId="9093"/>
    <cellStyle name="Note 9 3 7 8" xfId="9094"/>
    <cellStyle name="Note 9 3 7 8 2" xfId="9095"/>
    <cellStyle name="Note 9 3 7 9" xfId="9096"/>
    <cellStyle name="Note 9 3 7 9 2" xfId="9097"/>
    <cellStyle name="Note 9 3 8" xfId="9098"/>
    <cellStyle name="Note 9 3 8 2" xfId="9099"/>
    <cellStyle name="Note 9 3 8 2 2" xfId="9100"/>
    <cellStyle name="Note 9 3 8 3" xfId="9101"/>
    <cellStyle name="Note 9 3 9" xfId="9102"/>
    <cellStyle name="Note 9 3 9 2" xfId="9103"/>
    <cellStyle name="Note 9 3_7 - Cap Add WS" xfId="668"/>
    <cellStyle name="Note 9 4" xfId="669"/>
    <cellStyle name="Note 9 4 10" xfId="9104"/>
    <cellStyle name="Note 9 4 10 2" xfId="9105"/>
    <cellStyle name="Note 9 4 11" xfId="9106"/>
    <cellStyle name="Note 9 4 11 2" xfId="9107"/>
    <cellStyle name="Note 9 4 12" xfId="9108"/>
    <cellStyle name="Note 9 4 12 2" xfId="9109"/>
    <cellStyle name="Note 9 4 13" xfId="9110"/>
    <cellStyle name="Note 9 4 2" xfId="9111"/>
    <cellStyle name="Note 9 4 2 2" xfId="9112"/>
    <cellStyle name="Note 9 4 2 2 2" xfId="9113"/>
    <cellStyle name="Note 9 4 2 2 2 2" xfId="9114"/>
    <cellStyle name="Note 9 4 2 2 3" xfId="9115"/>
    <cellStyle name="Note 9 4 2 3" xfId="9116"/>
    <cellStyle name="Note 9 4 2 3 2" xfId="9117"/>
    <cellStyle name="Note 9 4 2 3 2 2" xfId="9118"/>
    <cellStyle name="Note 9 4 2 3 3" xfId="9119"/>
    <cellStyle name="Note 9 4 2 4" xfId="9120"/>
    <cellStyle name="Note 9 4 2 4 2" xfId="9121"/>
    <cellStyle name="Note 9 4 2 5" xfId="9122"/>
    <cellStyle name="Note 9 4 2 5 2" xfId="9123"/>
    <cellStyle name="Note 9 4 2 6" xfId="9124"/>
    <cellStyle name="Note 9 4 2 6 2" xfId="9125"/>
    <cellStyle name="Note 9 4 2 7" xfId="9126"/>
    <cellStyle name="Note 9 4 2 7 2" xfId="9127"/>
    <cellStyle name="Note 9 4 2 8" xfId="9128"/>
    <cellStyle name="Note 9 4 3" xfId="9129"/>
    <cellStyle name="Note 9 4 3 10" xfId="9130"/>
    <cellStyle name="Note 9 4 3 10 2" xfId="9131"/>
    <cellStyle name="Note 9 4 3 11" xfId="9132"/>
    <cellStyle name="Note 9 4 3 2" xfId="9133"/>
    <cellStyle name="Note 9 4 3 2 2" xfId="9134"/>
    <cellStyle name="Note 9 4 3 2 2 2" xfId="9135"/>
    <cellStyle name="Note 9 4 3 2 3" xfId="9136"/>
    <cellStyle name="Note 9 4 3 3" xfId="9137"/>
    <cellStyle name="Note 9 4 3 3 2" xfId="9138"/>
    <cellStyle name="Note 9 4 3 4" xfId="9139"/>
    <cellStyle name="Note 9 4 3 4 2" xfId="9140"/>
    <cellStyle name="Note 9 4 3 5" xfId="9141"/>
    <cellStyle name="Note 9 4 3 5 2" xfId="9142"/>
    <cellStyle name="Note 9 4 3 6" xfId="9143"/>
    <cellStyle name="Note 9 4 3 6 2" xfId="9144"/>
    <cellStyle name="Note 9 4 3 7" xfId="9145"/>
    <cellStyle name="Note 9 4 3 7 2" xfId="9146"/>
    <cellStyle name="Note 9 4 3 8" xfId="9147"/>
    <cellStyle name="Note 9 4 3 8 2" xfId="9148"/>
    <cellStyle name="Note 9 4 3 9" xfId="9149"/>
    <cellStyle name="Note 9 4 3 9 2" xfId="9150"/>
    <cellStyle name="Note 9 4 4" xfId="9151"/>
    <cellStyle name="Note 9 4 4 10" xfId="9152"/>
    <cellStyle name="Note 9 4 4 10 2" xfId="9153"/>
    <cellStyle name="Note 9 4 4 11" xfId="9154"/>
    <cellStyle name="Note 9 4 4 2" xfId="9155"/>
    <cellStyle name="Note 9 4 4 2 2" xfId="9156"/>
    <cellStyle name="Note 9 4 4 2 2 2" xfId="9157"/>
    <cellStyle name="Note 9 4 4 2 3" xfId="9158"/>
    <cellStyle name="Note 9 4 4 3" xfId="9159"/>
    <cellStyle name="Note 9 4 4 3 2" xfId="9160"/>
    <cellStyle name="Note 9 4 4 4" xfId="9161"/>
    <cellStyle name="Note 9 4 4 4 2" xfId="9162"/>
    <cellStyle name="Note 9 4 4 5" xfId="9163"/>
    <cellStyle name="Note 9 4 4 5 2" xfId="9164"/>
    <cellStyle name="Note 9 4 4 6" xfId="9165"/>
    <cellStyle name="Note 9 4 4 6 2" xfId="9166"/>
    <cellStyle name="Note 9 4 4 7" xfId="9167"/>
    <cellStyle name="Note 9 4 4 7 2" xfId="9168"/>
    <cellStyle name="Note 9 4 4 8" xfId="9169"/>
    <cellStyle name="Note 9 4 4 8 2" xfId="9170"/>
    <cellStyle name="Note 9 4 4 9" xfId="9171"/>
    <cellStyle name="Note 9 4 4 9 2" xfId="9172"/>
    <cellStyle name="Note 9 4 5" xfId="9173"/>
    <cellStyle name="Note 9 4 5 10" xfId="9174"/>
    <cellStyle name="Note 9 4 5 10 2" xfId="9175"/>
    <cellStyle name="Note 9 4 5 11" xfId="9176"/>
    <cellStyle name="Note 9 4 5 2" xfId="9177"/>
    <cellStyle name="Note 9 4 5 2 2" xfId="9178"/>
    <cellStyle name="Note 9 4 5 2 2 2" xfId="9179"/>
    <cellStyle name="Note 9 4 5 2 3" xfId="9180"/>
    <cellStyle name="Note 9 4 5 3" xfId="9181"/>
    <cellStyle name="Note 9 4 5 3 2" xfId="9182"/>
    <cellStyle name="Note 9 4 5 4" xfId="9183"/>
    <cellStyle name="Note 9 4 5 4 2" xfId="9184"/>
    <cellStyle name="Note 9 4 5 5" xfId="9185"/>
    <cellStyle name="Note 9 4 5 5 2" xfId="9186"/>
    <cellStyle name="Note 9 4 5 6" xfId="9187"/>
    <cellStyle name="Note 9 4 5 6 2" xfId="9188"/>
    <cellStyle name="Note 9 4 5 7" xfId="9189"/>
    <cellStyle name="Note 9 4 5 7 2" xfId="9190"/>
    <cellStyle name="Note 9 4 5 8" xfId="9191"/>
    <cellStyle name="Note 9 4 5 8 2" xfId="9192"/>
    <cellStyle name="Note 9 4 5 9" xfId="9193"/>
    <cellStyle name="Note 9 4 5 9 2" xfId="9194"/>
    <cellStyle name="Note 9 4 6" xfId="9195"/>
    <cellStyle name="Note 9 4 6 10" xfId="9196"/>
    <cellStyle name="Note 9 4 6 10 2" xfId="9197"/>
    <cellStyle name="Note 9 4 6 11" xfId="9198"/>
    <cellStyle name="Note 9 4 6 2" xfId="9199"/>
    <cellStyle name="Note 9 4 6 2 2" xfId="9200"/>
    <cellStyle name="Note 9 4 6 2 2 2" xfId="9201"/>
    <cellStyle name="Note 9 4 6 2 3" xfId="9202"/>
    <cellStyle name="Note 9 4 6 3" xfId="9203"/>
    <cellStyle name="Note 9 4 6 3 2" xfId="9204"/>
    <cellStyle name="Note 9 4 6 4" xfId="9205"/>
    <cellStyle name="Note 9 4 6 4 2" xfId="9206"/>
    <cellStyle name="Note 9 4 6 5" xfId="9207"/>
    <cellStyle name="Note 9 4 6 5 2" xfId="9208"/>
    <cellStyle name="Note 9 4 6 6" xfId="9209"/>
    <cellStyle name="Note 9 4 6 6 2" xfId="9210"/>
    <cellStyle name="Note 9 4 6 7" xfId="9211"/>
    <cellStyle name="Note 9 4 6 7 2" xfId="9212"/>
    <cellStyle name="Note 9 4 6 8" xfId="9213"/>
    <cellStyle name="Note 9 4 6 8 2" xfId="9214"/>
    <cellStyle name="Note 9 4 6 9" xfId="9215"/>
    <cellStyle name="Note 9 4 6 9 2" xfId="9216"/>
    <cellStyle name="Note 9 4 7" xfId="9217"/>
    <cellStyle name="Note 9 4 7 2" xfId="9218"/>
    <cellStyle name="Note 9 4 7 2 2" xfId="9219"/>
    <cellStyle name="Note 9 4 7 3" xfId="9220"/>
    <cellStyle name="Note 9 4 8" xfId="9221"/>
    <cellStyle name="Note 9 4 8 2" xfId="9222"/>
    <cellStyle name="Note 9 4 9" xfId="9223"/>
    <cellStyle name="Note 9 4 9 2" xfId="9224"/>
    <cellStyle name="Note 9 5" xfId="9225"/>
    <cellStyle name="Note 9 5 2" xfId="9226"/>
    <cellStyle name="Note 9 5 2 2" xfId="9227"/>
    <cellStyle name="Note 9 5 2 2 2" xfId="9228"/>
    <cellStyle name="Note 9 5 2 3" xfId="9229"/>
    <cellStyle name="Note 9 5 3" xfId="9230"/>
    <cellStyle name="Note 9 5 3 2" xfId="9231"/>
    <cellStyle name="Note 9 5 3 2 2" xfId="9232"/>
    <cellStyle name="Note 9 5 3 3" xfId="9233"/>
    <cellStyle name="Note 9 5 4" xfId="9234"/>
    <cellStyle name="Note 9 5 4 2" xfId="9235"/>
    <cellStyle name="Note 9 5 5" xfId="9236"/>
    <cellStyle name="Note 9 5 5 2" xfId="9237"/>
    <cellStyle name="Note 9 5 6" xfId="9238"/>
    <cellStyle name="Note 9 5 6 2" xfId="9239"/>
    <cellStyle name="Note 9 5 7" xfId="9240"/>
    <cellStyle name="Note 9 5 7 2" xfId="9241"/>
    <cellStyle name="Note 9 5 8" xfId="9242"/>
    <cellStyle name="Note 9 6" xfId="9243"/>
    <cellStyle name="Note 9 6 10" xfId="9244"/>
    <cellStyle name="Note 9 6 10 2" xfId="9245"/>
    <cellStyle name="Note 9 6 11" xfId="9246"/>
    <cellStyle name="Note 9 6 2" xfId="9247"/>
    <cellStyle name="Note 9 6 2 2" xfId="9248"/>
    <cellStyle name="Note 9 6 2 2 2" xfId="9249"/>
    <cellStyle name="Note 9 6 2 3" xfId="9250"/>
    <cellStyle name="Note 9 6 3" xfId="9251"/>
    <cellStyle name="Note 9 6 3 2" xfId="9252"/>
    <cellStyle name="Note 9 6 4" xfId="9253"/>
    <cellStyle name="Note 9 6 4 2" xfId="9254"/>
    <cellStyle name="Note 9 6 5" xfId="9255"/>
    <cellStyle name="Note 9 6 5 2" xfId="9256"/>
    <cellStyle name="Note 9 6 6" xfId="9257"/>
    <cellStyle name="Note 9 6 6 2" xfId="9258"/>
    <cellStyle name="Note 9 6 7" xfId="9259"/>
    <cellStyle name="Note 9 6 7 2" xfId="9260"/>
    <cellStyle name="Note 9 6 8" xfId="9261"/>
    <cellStyle name="Note 9 6 8 2" xfId="9262"/>
    <cellStyle name="Note 9 6 9" xfId="9263"/>
    <cellStyle name="Note 9 6 9 2" xfId="9264"/>
    <cellStyle name="Note 9 7" xfId="9265"/>
    <cellStyle name="Note 9 7 10" xfId="9266"/>
    <cellStyle name="Note 9 7 10 2" xfId="9267"/>
    <cellStyle name="Note 9 7 11" xfId="9268"/>
    <cellStyle name="Note 9 7 2" xfId="9269"/>
    <cellStyle name="Note 9 7 2 2" xfId="9270"/>
    <cellStyle name="Note 9 7 2 2 2" xfId="9271"/>
    <cellStyle name="Note 9 7 2 3" xfId="9272"/>
    <cellStyle name="Note 9 7 3" xfId="9273"/>
    <cellStyle name="Note 9 7 3 2" xfId="9274"/>
    <cellStyle name="Note 9 7 4" xfId="9275"/>
    <cellStyle name="Note 9 7 4 2" xfId="9276"/>
    <cellStyle name="Note 9 7 5" xfId="9277"/>
    <cellStyle name="Note 9 7 5 2" xfId="9278"/>
    <cellStyle name="Note 9 7 6" xfId="9279"/>
    <cellStyle name="Note 9 7 6 2" xfId="9280"/>
    <cellStyle name="Note 9 7 7" xfId="9281"/>
    <cellStyle name="Note 9 7 7 2" xfId="9282"/>
    <cellStyle name="Note 9 7 8" xfId="9283"/>
    <cellStyle name="Note 9 7 8 2" xfId="9284"/>
    <cellStyle name="Note 9 7 9" xfId="9285"/>
    <cellStyle name="Note 9 7 9 2" xfId="9286"/>
    <cellStyle name="Note 9 8" xfId="9287"/>
    <cellStyle name="Note 9 8 10" xfId="9288"/>
    <cellStyle name="Note 9 8 10 2" xfId="9289"/>
    <cellStyle name="Note 9 8 11" xfId="9290"/>
    <cellStyle name="Note 9 8 2" xfId="9291"/>
    <cellStyle name="Note 9 8 2 2" xfId="9292"/>
    <cellStyle name="Note 9 8 2 2 2" xfId="9293"/>
    <cellStyle name="Note 9 8 2 3" xfId="9294"/>
    <cellStyle name="Note 9 8 3" xfId="9295"/>
    <cellStyle name="Note 9 8 3 2" xfId="9296"/>
    <cellStyle name="Note 9 8 4" xfId="9297"/>
    <cellStyle name="Note 9 8 4 2" xfId="9298"/>
    <cellStyle name="Note 9 8 5" xfId="9299"/>
    <cellStyle name="Note 9 8 5 2" xfId="9300"/>
    <cellStyle name="Note 9 8 6" xfId="9301"/>
    <cellStyle name="Note 9 8 6 2" xfId="9302"/>
    <cellStyle name="Note 9 8 7" xfId="9303"/>
    <cellStyle name="Note 9 8 7 2" xfId="9304"/>
    <cellStyle name="Note 9 8 8" xfId="9305"/>
    <cellStyle name="Note 9 8 8 2" xfId="9306"/>
    <cellStyle name="Note 9 8 9" xfId="9307"/>
    <cellStyle name="Note 9 8 9 2" xfId="9308"/>
    <cellStyle name="Note 9 9" xfId="9309"/>
    <cellStyle name="Note 9 9 10" xfId="9310"/>
    <cellStyle name="Note 9 9 10 2" xfId="9311"/>
    <cellStyle name="Note 9 9 11" xfId="9312"/>
    <cellStyle name="Note 9 9 2" xfId="9313"/>
    <cellStyle name="Note 9 9 2 2" xfId="9314"/>
    <cellStyle name="Note 9 9 2 2 2" xfId="9315"/>
    <cellStyle name="Note 9 9 2 3" xfId="9316"/>
    <cellStyle name="Note 9 9 3" xfId="9317"/>
    <cellStyle name="Note 9 9 3 2" xfId="9318"/>
    <cellStyle name="Note 9 9 4" xfId="9319"/>
    <cellStyle name="Note 9 9 4 2" xfId="9320"/>
    <cellStyle name="Note 9 9 5" xfId="9321"/>
    <cellStyle name="Note 9 9 5 2" xfId="9322"/>
    <cellStyle name="Note 9 9 6" xfId="9323"/>
    <cellStyle name="Note 9 9 6 2" xfId="9324"/>
    <cellStyle name="Note 9 9 7" xfId="9325"/>
    <cellStyle name="Note 9 9 7 2" xfId="9326"/>
    <cellStyle name="Note 9 9 8" xfId="9327"/>
    <cellStyle name="Note 9 9 8 2" xfId="9328"/>
    <cellStyle name="Note 9 9 9" xfId="9329"/>
    <cellStyle name="Note 9 9 9 2" xfId="9330"/>
    <cellStyle name="Note 9_7 - Cap Add WS" xfId="670"/>
    <cellStyle name="nPlosion" xfId="671"/>
    <cellStyle name="Output 2" xfId="672"/>
    <cellStyle name="Output 2 10" xfId="9331"/>
    <cellStyle name="Output 2 10 2" xfId="9332"/>
    <cellStyle name="Output 2 11" xfId="9333"/>
    <cellStyle name="Output 2 11 2" xfId="9334"/>
    <cellStyle name="Output 2 12" xfId="9335"/>
    <cellStyle name="Output 2 12 2" xfId="9336"/>
    <cellStyle name="Output 2 13" xfId="9337"/>
    <cellStyle name="Output 2 2" xfId="9338"/>
    <cellStyle name="Output 2 2 2" xfId="9339"/>
    <cellStyle name="Output 2 2 2 2" xfId="9340"/>
    <cellStyle name="Output 2 2 2 2 2" xfId="9341"/>
    <cellStyle name="Output 2 2 2 3" xfId="9342"/>
    <cellStyle name="Output 2 2 3" xfId="9343"/>
    <cellStyle name="Output 2 2 3 2" xfId="9344"/>
    <cellStyle name="Output 2 2 3 2 2" xfId="9345"/>
    <cellStyle name="Output 2 2 3 3" xfId="9346"/>
    <cellStyle name="Output 2 2 4" xfId="9347"/>
    <cellStyle name="Output 2 2 4 2" xfId="9348"/>
    <cellStyle name="Output 2 2 5" xfId="9349"/>
    <cellStyle name="Output 2 2 5 2" xfId="9350"/>
    <cellStyle name="Output 2 2 6" xfId="9351"/>
    <cellStyle name="Output 2 2 6 2" xfId="9352"/>
    <cellStyle name="Output 2 2 7" xfId="9353"/>
    <cellStyle name="Output 2 2 7 2" xfId="9354"/>
    <cellStyle name="Output 2 2 8" xfId="9355"/>
    <cellStyle name="Output 2 3" xfId="9356"/>
    <cellStyle name="Output 2 3 10" xfId="9357"/>
    <cellStyle name="Output 2 3 10 2" xfId="9358"/>
    <cellStyle name="Output 2 3 11" xfId="9359"/>
    <cellStyle name="Output 2 3 2" xfId="9360"/>
    <cellStyle name="Output 2 3 2 2" xfId="9361"/>
    <cellStyle name="Output 2 3 2 2 2" xfId="9362"/>
    <cellStyle name="Output 2 3 2 3" xfId="9363"/>
    <cellStyle name="Output 2 3 3" xfId="9364"/>
    <cellStyle name="Output 2 3 3 2" xfId="9365"/>
    <cellStyle name="Output 2 3 4" xfId="9366"/>
    <cellStyle name="Output 2 3 4 2" xfId="9367"/>
    <cellStyle name="Output 2 3 5" xfId="9368"/>
    <cellStyle name="Output 2 3 5 2" xfId="9369"/>
    <cellStyle name="Output 2 3 6" xfId="9370"/>
    <cellStyle name="Output 2 3 6 2" xfId="9371"/>
    <cellStyle name="Output 2 3 7" xfId="9372"/>
    <cellStyle name="Output 2 3 7 2" xfId="9373"/>
    <cellStyle name="Output 2 3 8" xfId="9374"/>
    <cellStyle name="Output 2 3 8 2" xfId="9375"/>
    <cellStyle name="Output 2 3 9" xfId="9376"/>
    <cellStyle name="Output 2 3 9 2" xfId="9377"/>
    <cellStyle name="Output 2 4" xfId="9378"/>
    <cellStyle name="Output 2 4 10" xfId="9379"/>
    <cellStyle name="Output 2 4 10 2" xfId="9380"/>
    <cellStyle name="Output 2 4 11" xfId="9381"/>
    <cellStyle name="Output 2 4 2" xfId="9382"/>
    <cellStyle name="Output 2 4 2 2" xfId="9383"/>
    <cellStyle name="Output 2 4 2 2 2" xfId="9384"/>
    <cellStyle name="Output 2 4 2 3" xfId="9385"/>
    <cellStyle name="Output 2 4 3" xfId="9386"/>
    <cellStyle name="Output 2 4 3 2" xfId="9387"/>
    <cellStyle name="Output 2 4 4" xfId="9388"/>
    <cellStyle name="Output 2 4 4 2" xfId="9389"/>
    <cellStyle name="Output 2 4 5" xfId="9390"/>
    <cellStyle name="Output 2 4 5 2" xfId="9391"/>
    <cellStyle name="Output 2 4 6" xfId="9392"/>
    <cellStyle name="Output 2 4 6 2" xfId="9393"/>
    <cellStyle name="Output 2 4 7" xfId="9394"/>
    <cellStyle name="Output 2 4 7 2" xfId="9395"/>
    <cellStyle name="Output 2 4 8" xfId="9396"/>
    <cellStyle name="Output 2 4 8 2" xfId="9397"/>
    <cellStyle name="Output 2 4 9" xfId="9398"/>
    <cellStyle name="Output 2 4 9 2" xfId="9399"/>
    <cellStyle name="Output 2 5" xfId="9400"/>
    <cellStyle name="Output 2 5 10" xfId="9401"/>
    <cellStyle name="Output 2 5 10 2" xfId="9402"/>
    <cellStyle name="Output 2 5 11" xfId="9403"/>
    <cellStyle name="Output 2 5 2" xfId="9404"/>
    <cellStyle name="Output 2 5 2 2" xfId="9405"/>
    <cellStyle name="Output 2 5 2 2 2" xfId="9406"/>
    <cellStyle name="Output 2 5 2 3" xfId="9407"/>
    <cellStyle name="Output 2 5 3" xfId="9408"/>
    <cellStyle name="Output 2 5 3 2" xfId="9409"/>
    <cellStyle name="Output 2 5 4" xfId="9410"/>
    <cellStyle name="Output 2 5 4 2" xfId="9411"/>
    <cellStyle name="Output 2 5 5" xfId="9412"/>
    <cellStyle name="Output 2 5 5 2" xfId="9413"/>
    <cellStyle name="Output 2 5 6" xfId="9414"/>
    <cellStyle name="Output 2 5 6 2" xfId="9415"/>
    <cellStyle name="Output 2 5 7" xfId="9416"/>
    <cellStyle name="Output 2 5 7 2" xfId="9417"/>
    <cellStyle name="Output 2 5 8" xfId="9418"/>
    <cellStyle name="Output 2 5 8 2" xfId="9419"/>
    <cellStyle name="Output 2 5 9" xfId="9420"/>
    <cellStyle name="Output 2 5 9 2" xfId="9421"/>
    <cellStyle name="Output 2 6" xfId="9422"/>
    <cellStyle name="Output 2 6 10" xfId="9423"/>
    <cellStyle name="Output 2 6 10 2" xfId="9424"/>
    <cellStyle name="Output 2 6 11" xfId="9425"/>
    <cellStyle name="Output 2 6 2" xfId="9426"/>
    <cellStyle name="Output 2 6 2 2" xfId="9427"/>
    <cellStyle name="Output 2 6 2 2 2" xfId="9428"/>
    <cellStyle name="Output 2 6 2 3" xfId="9429"/>
    <cellStyle name="Output 2 6 3" xfId="9430"/>
    <cellStyle name="Output 2 6 3 2" xfId="9431"/>
    <cellStyle name="Output 2 6 4" xfId="9432"/>
    <cellStyle name="Output 2 6 4 2" xfId="9433"/>
    <cellStyle name="Output 2 6 5" xfId="9434"/>
    <cellStyle name="Output 2 6 5 2" xfId="9435"/>
    <cellStyle name="Output 2 6 6" xfId="9436"/>
    <cellStyle name="Output 2 6 6 2" xfId="9437"/>
    <cellStyle name="Output 2 6 7" xfId="9438"/>
    <cellStyle name="Output 2 6 7 2" xfId="9439"/>
    <cellStyle name="Output 2 6 8" xfId="9440"/>
    <cellStyle name="Output 2 6 8 2" xfId="9441"/>
    <cellStyle name="Output 2 6 9" xfId="9442"/>
    <cellStyle name="Output 2 6 9 2" xfId="9443"/>
    <cellStyle name="Output 2 7" xfId="9444"/>
    <cellStyle name="Output 2 7 2" xfId="9445"/>
    <cellStyle name="Output 2 7 2 2" xfId="9446"/>
    <cellStyle name="Output 2 7 3" xfId="9447"/>
    <cellStyle name="Output 2 8" xfId="9448"/>
    <cellStyle name="Output 2 8 2" xfId="9449"/>
    <cellStyle name="Output 2 9" xfId="9450"/>
    <cellStyle name="Output 2 9 2" xfId="9451"/>
    <cellStyle name="Password" xfId="9452"/>
    <cellStyle name="Percen - Style1" xfId="673"/>
    <cellStyle name="Percent" xfId="674" builtinId="5"/>
    <cellStyle name="Percent (0)" xfId="675"/>
    <cellStyle name="Percent [2]" xfId="676"/>
    <cellStyle name="Percent 10" xfId="11282"/>
    <cellStyle name="Percent 10 2" xfId="13645"/>
    <cellStyle name="Percent 10 3" xfId="15655"/>
    <cellStyle name="Percent 10 3 2" xfId="23670"/>
    <cellStyle name="Percent 11" xfId="11305"/>
    <cellStyle name="Percent 11 2" xfId="13647"/>
    <cellStyle name="Percent 11 3" xfId="15657"/>
    <cellStyle name="Percent 11 3 2" xfId="23672"/>
    <cellStyle name="Percent 2" xfId="677"/>
    <cellStyle name="Percent 2 2" xfId="678"/>
    <cellStyle name="Percent 2 2 2" xfId="679"/>
    <cellStyle name="Percent 3" xfId="680"/>
    <cellStyle name="Percent 3 2" xfId="681"/>
    <cellStyle name="Percent 4" xfId="682"/>
    <cellStyle name="Percent 4 10" xfId="11642"/>
    <cellStyle name="Percent 4 2" xfId="683"/>
    <cellStyle name="Percent 4 3" xfId="9453"/>
    <cellStyle name="Percent 4 3 10" xfId="17533"/>
    <cellStyle name="Percent 4 3 10 2" xfId="31558"/>
    <cellStyle name="Percent 4 3 11" xfId="19535"/>
    <cellStyle name="Percent 4 3 11 2" xfId="33560"/>
    <cellStyle name="Percent 4 3 12" xfId="25549"/>
    <cellStyle name="Percent 4 3 2" xfId="9454"/>
    <cellStyle name="Percent 4 3 2 10" xfId="19536"/>
    <cellStyle name="Percent 4 3 2 10 2" xfId="33561"/>
    <cellStyle name="Percent 4 3 2 11" xfId="25550"/>
    <cellStyle name="Percent 4 3 2 2" xfId="9455"/>
    <cellStyle name="Percent 4 3 2 2 10" xfId="25551"/>
    <cellStyle name="Percent 4 3 2 2 2" xfId="9456"/>
    <cellStyle name="Percent 4 3 2 2 2 2" xfId="9457"/>
    <cellStyle name="Percent 4 3 2 2 2 2 2" xfId="9458"/>
    <cellStyle name="Percent 4 3 2 2 2 2 2 2" xfId="13517"/>
    <cellStyle name="Percent 4 3 2 2 2 2 2 2 2" xfId="21542"/>
    <cellStyle name="Percent 4 3 2 2 2 2 2 2 2 2" xfId="35567"/>
    <cellStyle name="Percent 4 3 2 2 2 2 2 2 3" xfId="27556"/>
    <cellStyle name="Percent 4 3 2 2 2 2 2 3" xfId="15532"/>
    <cellStyle name="Percent 4 3 2 2 2 2 2 3 2" xfId="23547"/>
    <cellStyle name="Percent 4 3 2 2 2 2 2 3 2 2" xfId="37572"/>
    <cellStyle name="Percent 4 3 2 2 2 2 2 3 3" xfId="29561"/>
    <cellStyle name="Percent 4 3 2 2 2 2 2 4" xfId="17538"/>
    <cellStyle name="Percent 4 3 2 2 2 2 2 4 2" xfId="31563"/>
    <cellStyle name="Percent 4 3 2 2 2 2 2 5" xfId="19540"/>
    <cellStyle name="Percent 4 3 2 2 2 2 2 5 2" xfId="33565"/>
    <cellStyle name="Percent 4 3 2 2 2 2 2 6" xfId="25554"/>
    <cellStyle name="Percent 4 3 2 2 2 2 3" xfId="13516"/>
    <cellStyle name="Percent 4 3 2 2 2 2 3 2" xfId="21541"/>
    <cellStyle name="Percent 4 3 2 2 2 2 3 2 2" xfId="35566"/>
    <cellStyle name="Percent 4 3 2 2 2 2 3 3" xfId="27555"/>
    <cellStyle name="Percent 4 3 2 2 2 2 4" xfId="15531"/>
    <cellStyle name="Percent 4 3 2 2 2 2 4 2" xfId="23546"/>
    <cellStyle name="Percent 4 3 2 2 2 2 4 2 2" xfId="37571"/>
    <cellStyle name="Percent 4 3 2 2 2 2 4 3" xfId="29560"/>
    <cellStyle name="Percent 4 3 2 2 2 2 5" xfId="17537"/>
    <cellStyle name="Percent 4 3 2 2 2 2 5 2" xfId="31562"/>
    <cellStyle name="Percent 4 3 2 2 2 2 6" xfId="19539"/>
    <cellStyle name="Percent 4 3 2 2 2 2 6 2" xfId="33564"/>
    <cellStyle name="Percent 4 3 2 2 2 2 7" xfId="25553"/>
    <cellStyle name="Percent 4 3 2 2 2 3" xfId="9459"/>
    <cellStyle name="Percent 4 3 2 2 2 3 2" xfId="13518"/>
    <cellStyle name="Percent 4 3 2 2 2 3 2 2" xfId="21543"/>
    <cellStyle name="Percent 4 3 2 2 2 3 2 2 2" xfId="35568"/>
    <cellStyle name="Percent 4 3 2 2 2 3 2 3" xfId="27557"/>
    <cellStyle name="Percent 4 3 2 2 2 3 3" xfId="15533"/>
    <cellStyle name="Percent 4 3 2 2 2 3 3 2" xfId="23548"/>
    <cellStyle name="Percent 4 3 2 2 2 3 3 2 2" xfId="37573"/>
    <cellStyle name="Percent 4 3 2 2 2 3 3 3" xfId="29562"/>
    <cellStyle name="Percent 4 3 2 2 2 3 4" xfId="17539"/>
    <cellStyle name="Percent 4 3 2 2 2 3 4 2" xfId="31564"/>
    <cellStyle name="Percent 4 3 2 2 2 3 5" xfId="19541"/>
    <cellStyle name="Percent 4 3 2 2 2 3 5 2" xfId="33566"/>
    <cellStyle name="Percent 4 3 2 2 2 3 6" xfId="25555"/>
    <cellStyle name="Percent 4 3 2 2 2 4" xfId="13515"/>
    <cellStyle name="Percent 4 3 2 2 2 4 2" xfId="21540"/>
    <cellStyle name="Percent 4 3 2 2 2 4 2 2" xfId="35565"/>
    <cellStyle name="Percent 4 3 2 2 2 4 3" xfId="27554"/>
    <cellStyle name="Percent 4 3 2 2 2 5" xfId="15530"/>
    <cellStyle name="Percent 4 3 2 2 2 5 2" xfId="23545"/>
    <cellStyle name="Percent 4 3 2 2 2 5 2 2" xfId="37570"/>
    <cellStyle name="Percent 4 3 2 2 2 5 3" xfId="29559"/>
    <cellStyle name="Percent 4 3 2 2 2 6" xfId="17536"/>
    <cellStyle name="Percent 4 3 2 2 2 6 2" xfId="31561"/>
    <cellStyle name="Percent 4 3 2 2 2 7" xfId="19538"/>
    <cellStyle name="Percent 4 3 2 2 2 7 2" xfId="33563"/>
    <cellStyle name="Percent 4 3 2 2 2 8" xfId="25552"/>
    <cellStyle name="Percent 4 3 2 2 3" xfId="9460"/>
    <cellStyle name="Percent 4 3 2 2 3 2" xfId="9461"/>
    <cellStyle name="Percent 4 3 2 2 3 2 2" xfId="13520"/>
    <cellStyle name="Percent 4 3 2 2 3 2 2 2" xfId="21545"/>
    <cellStyle name="Percent 4 3 2 2 3 2 2 2 2" xfId="35570"/>
    <cellStyle name="Percent 4 3 2 2 3 2 2 3" xfId="27559"/>
    <cellStyle name="Percent 4 3 2 2 3 2 3" xfId="15535"/>
    <cellStyle name="Percent 4 3 2 2 3 2 3 2" xfId="23550"/>
    <cellStyle name="Percent 4 3 2 2 3 2 3 2 2" xfId="37575"/>
    <cellStyle name="Percent 4 3 2 2 3 2 3 3" xfId="29564"/>
    <cellStyle name="Percent 4 3 2 2 3 2 4" xfId="17541"/>
    <cellStyle name="Percent 4 3 2 2 3 2 4 2" xfId="31566"/>
    <cellStyle name="Percent 4 3 2 2 3 2 5" xfId="19543"/>
    <cellStyle name="Percent 4 3 2 2 3 2 5 2" xfId="33568"/>
    <cellStyle name="Percent 4 3 2 2 3 2 6" xfId="25557"/>
    <cellStyle name="Percent 4 3 2 2 3 3" xfId="13519"/>
    <cellStyle name="Percent 4 3 2 2 3 3 2" xfId="21544"/>
    <cellStyle name="Percent 4 3 2 2 3 3 2 2" xfId="35569"/>
    <cellStyle name="Percent 4 3 2 2 3 3 3" xfId="27558"/>
    <cellStyle name="Percent 4 3 2 2 3 4" xfId="15534"/>
    <cellStyle name="Percent 4 3 2 2 3 4 2" xfId="23549"/>
    <cellStyle name="Percent 4 3 2 2 3 4 2 2" xfId="37574"/>
    <cellStyle name="Percent 4 3 2 2 3 4 3" xfId="29563"/>
    <cellStyle name="Percent 4 3 2 2 3 5" xfId="17540"/>
    <cellStyle name="Percent 4 3 2 2 3 5 2" xfId="31565"/>
    <cellStyle name="Percent 4 3 2 2 3 6" xfId="19542"/>
    <cellStyle name="Percent 4 3 2 2 3 6 2" xfId="33567"/>
    <cellStyle name="Percent 4 3 2 2 3 7" xfId="25556"/>
    <cellStyle name="Percent 4 3 2 2 4" xfId="9462"/>
    <cellStyle name="Percent 4 3 2 2 4 2" xfId="9463"/>
    <cellStyle name="Percent 4 3 2 2 4 2 2" xfId="13522"/>
    <cellStyle name="Percent 4 3 2 2 4 2 2 2" xfId="21547"/>
    <cellStyle name="Percent 4 3 2 2 4 2 2 2 2" xfId="35572"/>
    <cellStyle name="Percent 4 3 2 2 4 2 2 3" xfId="27561"/>
    <cellStyle name="Percent 4 3 2 2 4 2 3" xfId="15537"/>
    <cellStyle name="Percent 4 3 2 2 4 2 3 2" xfId="23552"/>
    <cellStyle name="Percent 4 3 2 2 4 2 3 2 2" xfId="37577"/>
    <cellStyle name="Percent 4 3 2 2 4 2 3 3" xfId="29566"/>
    <cellStyle name="Percent 4 3 2 2 4 2 4" xfId="17543"/>
    <cellStyle name="Percent 4 3 2 2 4 2 4 2" xfId="31568"/>
    <cellStyle name="Percent 4 3 2 2 4 2 5" xfId="19545"/>
    <cellStyle name="Percent 4 3 2 2 4 2 5 2" xfId="33570"/>
    <cellStyle name="Percent 4 3 2 2 4 2 6" xfId="25559"/>
    <cellStyle name="Percent 4 3 2 2 4 3" xfId="13521"/>
    <cellStyle name="Percent 4 3 2 2 4 3 2" xfId="21546"/>
    <cellStyle name="Percent 4 3 2 2 4 3 2 2" xfId="35571"/>
    <cellStyle name="Percent 4 3 2 2 4 3 3" xfId="27560"/>
    <cellStyle name="Percent 4 3 2 2 4 4" xfId="15536"/>
    <cellStyle name="Percent 4 3 2 2 4 4 2" xfId="23551"/>
    <cellStyle name="Percent 4 3 2 2 4 4 2 2" xfId="37576"/>
    <cellStyle name="Percent 4 3 2 2 4 4 3" xfId="29565"/>
    <cellStyle name="Percent 4 3 2 2 4 5" xfId="17542"/>
    <cellStyle name="Percent 4 3 2 2 4 5 2" xfId="31567"/>
    <cellStyle name="Percent 4 3 2 2 4 6" xfId="19544"/>
    <cellStyle name="Percent 4 3 2 2 4 6 2" xfId="33569"/>
    <cellStyle name="Percent 4 3 2 2 4 7" xfId="25558"/>
    <cellStyle name="Percent 4 3 2 2 5" xfId="9464"/>
    <cellStyle name="Percent 4 3 2 2 5 2" xfId="13523"/>
    <cellStyle name="Percent 4 3 2 2 5 2 2" xfId="21548"/>
    <cellStyle name="Percent 4 3 2 2 5 2 2 2" xfId="35573"/>
    <cellStyle name="Percent 4 3 2 2 5 2 3" xfId="27562"/>
    <cellStyle name="Percent 4 3 2 2 5 3" xfId="15538"/>
    <cellStyle name="Percent 4 3 2 2 5 3 2" xfId="23553"/>
    <cellStyle name="Percent 4 3 2 2 5 3 2 2" xfId="37578"/>
    <cellStyle name="Percent 4 3 2 2 5 3 3" xfId="29567"/>
    <cellStyle name="Percent 4 3 2 2 5 4" xfId="17544"/>
    <cellStyle name="Percent 4 3 2 2 5 4 2" xfId="31569"/>
    <cellStyle name="Percent 4 3 2 2 5 5" xfId="19546"/>
    <cellStyle name="Percent 4 3 2 2 5 5 2" xfId="33571"/>
    <cellStyle name="Percent 4 3 2 2 5 6" xfId="25560"/>
    <cellStyle name="Percent 4 3 2 2 6" xfId="13514"/>
    <cellStyle name="Percent 4 3 2 2 6 2" xfId="21539"/>
    <cellStyle name="Percent 4 3 2 2 6 2 2" xfId="35564"/>
    <cellStyle name="Percent 4 3 2 2 6 3" xfId="27553"/>
    <cellStyle name="Percent 4 3 2 2 7" xfId="15529"/>
    <cellStyle name="Percent 4 3 2 2 7 2" xfId="23544"/>
    <cellStyle name="Percent 4 3 2 2 7 2 2" xfId="37569"/>
    <cellStyle name="Percent 4 3 2 2 7 3" xfId="29558"/>
    <cellStyle name="Percent 4 3 2 2 8" xfId="17535"/>
    <cellStyle name="Percent 4 3 2 2 8 2" xfId="31560"/>
    <cellStyle name="Percent 4 3 2 2 9" xfId="19537"/>
    <cellStyle name="Percent 4 3 2 2 9 2" xfId="33562"/>
    <cellStyle name="Percent 4 3 2 3" xfId="9465"/>
    <cellStyle name="Percent 4 3 2 3 2" xfId="9466"/>
    <cellStyle name="Percent 4 3 2 3 2 2" xfId="9467"/>
    <cellStyle name="Percent 4 3 2 3 2 2 2" xfId="13526"/>
    <cellStyle name="Percent 4 3 2 3 2 2 2 2" xfId="21551"/>
    <cellStyle name="Percent 4 3 2 3 2 2 2 2 2" xfId="35576"/>
    <cellStyle name="Percent 4 3 2 3 2 2 2 3" xfId="27565"/>
    <cellStyle name="Percent 4 3 2 3 2 2 3" xfId="15541"/>
    <cellStyle name="Percent 4 3 2 3 2 2 3 2" xfId="23556"/>
    <cellStyle name="Percent 4 3 2 3 2 2 3 2 2" xfId="37581"/>
    <cellStyle name="Percent 4 3 2 3 2 2 3 3" xfId="29570"/>
    <cellStyle name="Percent 4 3 2 3 2 2 4" xfId="17547"/>
    <cellStyle name="Percent 4 3 2 3 2 2 4 2" xfId="31572"/>
    <cellStyle name="Percent 4 3 2 3 2 2 5" xfId="19549"/>
    <cellStyle name="Percent 4 3 2 3 2 2 5 2" xfId="33574"/>
    <cellStyle name="Percent 4 3 2 3 2 2 6" xfId="25563"/>
    <cellStyle name="Percent 4 3 2 3 2 3" xfId="13525"/>
    <cellStyle name="Percent 4 3 2 3 2 3 2" xfId="21550"/>
    <cellStyle name="Percent 4 3 2 3 2 3 2 2" xfId="35575"/>
    <cellStyle name="Percent 4 3 2 3 2 3 3" xfId="27564"/>
    <cellStyle name="Percent 4 3 2 3 2 4" xfId="15540"/>
    <cellStyle name="Percent 4 3 2 3 2 4 2" xfId="23555"/>
    <cellStyle name="Percent 4 3 2 3 2 4 2 2" xfId="37580"/>
    <cellStyle name="Percent 4 3 2 3 2 4 3" xfId="29569"/>
    <cellStyle name="Percent 4 3 2 3 2 5" xfId="17546"/>
    <cellStyle name="Percent 4 3 2 3 2 5 2" xfId="31571"/>
    <cellStyle name="Percent 4 3 2 3 2 6" xfId="19548"/>
    <cellStyle name="Percent 4 3 2 3 2 6 2" xfId="33573"/>
    <cellStyle name="Percent 4 3 2 3 2 7" xfId="25562"/>
    <cellStyle name="Percent 4 3 2 3 3" xfId="9468"/>
    <cellStyle name="Percent 4 3 2 3 3 2" xfId="13527"/>
    <cellStyle name="Percent 4 3 2 3 3 2 2" xfId="21552"/>
    <cellStyle name="Percent 4 3 2 3 3 2 2 2" xfId="35577"/>
    <cellStyle name="Percent 4 3 2 3 3 2 3" xfId="27566"/>
    <cellStyle name="Percent 4 3 2 3 3 3" xfId="15542"/>
    <cellStyle name="Percent 4 3 2 3 3 3 2" xfId="23557"/>
    <cellStyle name="Percent 4 3 2 3 3 3 2 2" xfId="37582"/>
    <cellStyle name="Percent 4 3 2 3 3 3 3" xfId="29571"/>
    <cellStyle name="Percent 4 3 2 3 3 4" xfId="17548"/>
    <cellStyle name="Percent 4 3 2 3 3 4 2" xfId="31573"/>
    <cellStyle name="Percent 4 3 2 3 3 5" xfId="19550"/>
    <cellStyle name="Percent 4 3 2 3 3 5 2" xfId="33575"/>
    <cellStyle name="Percent 4 3 2 3 3 6" xfId="25564"/>
    <cellStyle name="Percent 4 3 2 3 4" xfId="13524"/>
    <cellStyle name="Percent 4 3 2 3 4 2" xfId="21549"/>
    <cellStyle name="Percent 4 3 2 3 4 2 2" xfId="35574"/>
    <cellStyle name="Percent 4 3 2 3 4 3" xfId="27563"/>
    <cellStyle name="Percent 4 3 2 3 5" xfId="15539"/>
    <cellStyle name="Percent 4 3 2 3 5 2" xfId="23554"/>
    <cellStyle name="Percent 4 3 2 3 5 2 2" xfId="37579"/>
    <cellStyle name="Percent 4 3 2 3 5 3" xfId="29568"/>
    <cellStyle name="Percent 4 3 2 3 6" xfId="17545"/>
    <cellStyle name="Percent 4 3 2 3 6 2" xfId="31570"/>
    <cellStyle name="Percent 4 3 2 3 7" xfId="19547"/>
    <cellStyle name="Percent 4 3 2 3 7 2" xfId="33572"/>
    <cellStyle name="Percent 4 3 2 3 8" xfId="25561"/>
    <cellStyle name="Percent 4 3 2 4" xfId="9469"/>
    <cellStyle name="Percent 4 3 2 4 2" xfId="9470"/>
    <cellStyle name="Percent 4 3 2 4 2 2" xfId="13529"/>
    <cellStyle name="Percent 4 3 2 4 2 2 2" xfId="21554"/>
    <cellStyle name="Percent 4 3 2 4 2 2 2 2" xfId="35579"/>
    <cellStyle name="Percent 4 3 2 4 2 2 3" xfId="27568"/>
    <cellStyle name="Percent 4 3 2 4 2 3" xfId="15544"/>
    <cellStyle name="Percent 4 3 2 4 2 3 2" xfId="23559"/>
    <cellStyle name="Percent 4 3 2 4 2 3 2 2" xfId="37584"/>
    <cellStyle name="Percent 4 3 2 4 2 3 3" xfId="29573"/>
    <cellStyle name="Percent 4 3 2 4 2 4" xfId="17550"/>
    <cellStyle name="Percent 4 3 2 4 2 4 2" xfId="31575"/>
    <cellStyle name="Percent 4 3 2 4 2 5" xfId="19552"/>
    <cellStyle name="Percent 4 3 2 4 2 5 2" xfId="33577"/>
    <cellStyle name="Percent 4 3 2 4 2 6" xfId="25566"/>
    <cellStyle name="Percent 4 3 2 4 3" xfId="13528"/>
    <cellStyle name="Percent 4 3 2 4 3 2" xfId="21553"/>
    <cellStyle name="Percent 4 3 2 4 3 2 2" xfId="35578"/>
    <cellStyle name="Percent 4 3 2 4 3 3" xfId="27567"/>
    <cellStyle name="Percent 4 3 2 4 4" xfId="15543"/>
    <cellStyle name="Percent 4 3 2 4 4 2" xfId="23558"/>
    <cellStyle name="Percent 4 3 2 4 4 2 2" xfId="37583"/>
    <cellStyle name="Percent 4 3 2 4 4 3" xfId="29572"/>
    <cellStyle name="Percent 4 3 2 4 5" xfId="17549"/>
    <cellStyle name="Percent 4 3 2 4 5 2" xfId="31574"/>
    <cellStyle name="Percent 4 3 2 4 6" xfId="19551"/>
    <cellStyle name="Percent 4 3 2 4 6 2" xfId="33576"/>
    <cellStyle name="Percent 4 3 2 4 7" xfId="25565"/>
    <cellStyle name="Percent 4 3 2 5" xfId="9471"/>
    <cellStyle name="Percent 4 3 2 5 2" xfId="9472"/>
    <cellStyle name="Percent 4 3 2 5 2 2" xfId="13531"/>
    <cellStyle name="Percent 4 3 2 5 2 2 2" xfId="21556"/>
    <cellStyle name="Percent 4 3 2 5 2 2 2 2" xfId="35581"/>
    <cellStyle name="Percent 4 3 2 5 2 2 3" xfId="27570"/>
    <cellStyle name="Percent 4 3 2 5 2 3" xfId="15546"/>
    <cellStyle name="Percent 4 3 2 5 2 3 2" xfId="23561"/>
    <cellStyle name="Percent 4 3 2 5 2 3 2 2" xfId="37586"/>
    <cellStyle name="Percent 4 3 2 5 2 3 3" xfId="29575"/>
    <cellStyle name="Percent 4 3 2 5 2 4" xfId="17552"/>
    <cellStyle name="Percent 4 3 2 5 2 4 2" xfId="31577"/>
    <cellStyle name="Percent 4 3 2 5 2 5" xfId="19554"/>
    <cellStyle name="Percent 4 3 2 5 2 5 2" xfId="33579"/>
    <cellStyle name="Percent 4 3 2 5 2 6" xfId="25568"/>
    <cellStyle name="Percent 4 3 2 5 3" xfId="13530"/>
    <cellStyle name="Percent 4 3 2 5 3 2" xfId="21555"/>
    <cellStyle name="Percent 4 3 2 5 3 2 2" xfId="35580"/>
    <cellStyle name="Percent 4 3 2 5 3 3" xfId="27569"/>
    <cellStyle name="Percent 4 3 2 5 4" xfId="15545"/>
    <cellStyle name="Percent 4 3 2 5 4 2" xfId="23560"/>
    <cellStyle name="Percent 4 3 2 5 4 2 2" xfId="37585"/>
    <cellStyle name="Percent 4 3 2 5 4 3" xfId="29574"/>
    <cellStyle name="Percent 4 3 2 5 5" xfId="17551"/>
    <cellStyle name="Percent 4 3 2 5 5 2" xfId="31576"/>
    <cellStyle name="Percent 4 3 2 5 6" xfId="19553"/>
    <cellStyle name="Percent 4 3 2 5 6 2" xfId="33578"/>
    <cellStyle name="Percent 4 3 2 5 7" xfId="25567"/>
    <cellStyle name="Percent 4 3 2 6" xfId="9473"/>
    <cellStyle name="Percent 4 3 2 6 2" xfId="13532"/>
    <cellStyle name="Percent 4 3 2 6 2 2" xfId="21557"/>
    <cellStyle name="Percent 4 3 2 6 2 2 2" xfId="35582"/>
    <cellStyle name="Percent 4 3 2 6 2 3" xfId="27571"/>
    <cellStyle name="Percent 4 3 2 6 3" xfId="15547"/>
    <cellStyle name="Percent 4 3 2 6 3 2" xfId="23562"/>
    <cellStyle name="Percent 4 3 2 6 3 2 2" xfId="37587"/>
    <cellStyle name="Percent 4 3 2 6 3 3" xfId="29576"/>
    <cellStyle name="Percent 4 3 2 6 4" xfId="17553"/>
    <cellStyle name="Percent 4 3 2 6 4 2" xfId="31578"/>
    <cellStyle name="Percent 4 3 2 6 5" xfId="19555"/>
    <cellStyle name="Percent 4 3 2 6 5 2" xfId="33580"/>
    <cellStyle name="Percent 4 3 2 6 6" xfId="25569"/>
    <cellStyle name="Percent 4 3 2 7" xfId="13513"/>
    <cellStyle name="Percent 4 3 2 7 2" xfId="21538"/>
    <cellStyle name="Percent 4 3 2 7 2 2" xfId="35563"/>
    <cellStyle name="Percent 4 3 2 7 3" xfId="27552"/>
    <cellStyle name="Percent 4 3 2 8" xfId="15528"/>
    <cellStyle name="Percent 4 3 2 8 2" xfId="23543"/>
    <cellStyle name="Percent 4 3 2 8 2 2" xfId="37568"/>
    <cellStyle name="Percent 4 3 2 8 3" xfId="29557"/>
    <cellStyle name="Percent 4 3 2 9" xfId="17534"/>
    <cellStyle name="Percent 4 3 2 9 2" xfId="31559"/>
    <cellStyle name="Percent 4 3 3" xfId="9474"/>
    <cellStyle name="Percent 4 3 3 10" xfId="25570"/>
    <cellStyle name="Percent 4 3 3 2" xfId="9475"/>
    <cellStyle name="Percent 4 3 3 2 2" xfId="9476"/>
    <cellStyle name="Percent 4 3 3 2 2 2" xfId="9477"/>
    <cellStyle name="Percent 4 3 3 2 2 2 2" xfId="13536"/>
    <cellStyle name="Percent 4 3 3 2 2 2 2 2" xfId="21561"/>
    <cellStyle name="Percent 4 3 3 2 2 2 2 2 2" xfId="35586"/>
    <cellStyle name="Percent 4 3 3 2 2 2 2 3" xfId="27575"/>
    <cellStyle name="Percent 4 3 3 2 2 2 3" xfId="15551"/>
    <cellStyle name="Percent 4 3 3 2 2 2 3 2" xfId="23566"/>
    <cellStyle name="Percent 4 3 3 2 2 2 3 2 2" xfId="37591"/>
    <cellStyle name="Percent 4 3 3 2 2 2 3 3" xfId="29580"/>
    <cellStyle name="Percent 4 3 3 2 2 2 4" xfId="17557"/>
    <cellStyle name="Percent 4 3 3 2 2 2 4 2" xfId="31582"/>
    <cellStyle name="Percent 4 3 3 2 2 2 5" xfId="19559"/>
    <cellStyle name="Percent 4 3 3 2 2 2 5 2" xfId="33584"/>
    <cellStyle name="Percent 4 3 3 2 2 2 6" xfId="25573"/>
    <cellStyle name="Percent 4 3 3 2 2 3" xfId="13535"/>
    <cellStyle name="Percent 4 3 3 2 2 3 2" xfId="21560"/>
    <cellStyle name="Percent 4 3 3 2 2 3 2 2" xfId="35585"/>
    <cellStyle name="Percent 4 3 3 2 2 3 3" xfId="27574"/>
    <cellStyle name="Percent 4 3 3 2 2 4" xfId="15550"/>
    <cellStyle name="Percent 4 3 3 2 2 4 2" xfId="23565"/>
    <cellStyle name="Percent 4 3 3 2 2 4 2 2" xfId="37590"/>
    <cellStyle name="Percent 4 3 3 2 2 4 3" xfId="29579"/>
    <cellStyle name="Percent 4 3 3 2 2 5" xfId="17556"/>
    <cellStyle name="Percent 4 3 3 2 2 5 2" xfId="31581"/>
    <cellStyle name="Percent 4 3 3 2 2 6" xfId="19558"/>
    <cellStyle name="Percent 4 3 3 2 2 6 2" xfId="33583"/>
    <cellStyle name="Percent 4 3 3 2 2 7" xfId="25572"/>
    <cellStyle name="Percent 4 3 3 2 3" xfId="9478"/>
    <cellStyle name="Percent 4 3 3 2 3 2" xfId="13537"/>
    <cellStyle name="Percent 4 3 3 2 3 2 2" xfId="21562"/>
    <cellStyle name="Percent 4 3 3 2 3 2 2 2" xfId="35587"/>
    <cellStyle name="Percent 4 3 3 2 3 2 3" xfId="27576"/>
    <cellStyle name="Percent 4 3 3 2 3 3" xfId="15552"/>
    <cellStyle name="Percent 4 3 3 2 3 3 2" xfId="23567"/>
    <cellStyle name="Percent 4 3 3 2 3 3 2 2" xfId="37592"/>
    <cellStyle name="Percent 4 3 3 2 3 3 3" xfId="29581"/>
    <cellStyle name="Percent 4 3 3 2 3 4" xfId="17558"/>
    <cellStyle name="Percent 4 3 3 2 3 4 2" xfId="31583"/>
    <cellStyle name="Percent 4 3 3 2 3 5" xfId="19560"/>
    <cellStyle name="Percent 4 3 3 2 3 5 2" xfId="33585"/>
    <cellStyle name="Percent 4 3 3 2 3 6" xfId="25574"/>
    <cellStyle name="Percent 4 3 3 2 4" xfId="13534"/>
    <cellStyle name="Percent 4 3 3 2 4 2" xfId="21559"/>
    <cellStyle name="Percent 4 3 3 2 4 2 2" xfId="35584"/>
    <cellStyle name="Percent 4 3 3 2 4 3" xfId="27573"/>
    <cellStyle name="Percent 4 3 3 2 5" xfId="15549"/>
    <cellStyle name="Percent 4 3 3 2 5 2" xfId="23564"/>
    <cellStyle name="Percent 4 3 3 2 5 2 2" xfId="37589"/>
    <cellStyle name="Percent 4 3 3 2 5 3" xfId="29578"/>
    <cellStyle name="Percent 4 3 3 2 6" xfId="17555"/>
    <cellStyle name="Percent 4 3 3 2 6 2" xfId="31580"/>
    <cellStyle name="Percent 4 3 3 2 7" xfId="19557"/>
    <cellStyle name="Percent 4 3 3 2 7 2" xfId="33582"/>
    <cellStyle name="Percent 4 3 3 2 8" xfId="25571"/>
    <cellStyle name="Percent 4 3 3 3" xfId="9479"/>
    <cellStyle name="Percent 4 3 3 3 2" xfId="9480"/>
    <cellStyle name="Percent 4 3 3 3 2 2" xfId="13539"/>
    <cellStyle name="Percent 4 3 3 3 2 2 2" xfId="21564"/>
    <cellStyle name="Percent 4 3 3 3 2 2 2 2" xfId="35589"/>
    <cellStyle name="Percent 4 3 3 3 2 2 3" xfId="27578"/>
    <cellStyle name="Percent 4 3 3 3 2 3" xfId="15554"/>
    <cellStyle name="Percent 4 3 3 3 2 3 2" xfId="23569"/>
    <cellStyle name="Percent 4 3 3 3 2 3 2 2" xfId="37594"/>
    <cellStyle name="Percent 4 3 3 3 2 3 3" xfId="29583"/>
    <cellStyle name="Percent 4 3 3 3 2 4" xfId="17560"/>
    <cellStyle name="Percent 4 3 3 3 2 4 2" xfId="31585"/>
    <cellStyle name="Percent 4 3 3 3 2 5" xfId="19562"/>
    <cellStyle name="Percent 4 3 3 3 2 5 2" xfId="33587"/>
    <cellStyle name="Percent 4 3 3 3 2 6" xfId="25576"/>
    <cellStyle name="Percent 4 3 3 3 3" xfId="13538"/>
    <cellStyle name="Percent 4 3 3 3 3 2" xfId="21563"/>
    <cellStyle name="Percent 4 3 3 3 3 2 2" xfId="35588"/>
    <cellStyle name="Percent 4 3 3 3 3 3" xfId="27577"/>
    <cellStyle name="Percent 4 3 3 3 4" xfId="15553"/>
    <cellStyle name="Percent 4 3 3 3 4 2" xfId="23568"/>
    <cellStyle name="Percent 4 3 3 3 4 2 2" xfId="37593"/>
    <cellStyle name="Percent 4 3 3 3 4 3" xfId="29582"/>
    <cellStyle name="Percent 4 3 3 3 5" xfId="17559"/>
    <cellStyle name="Percent 4 3 3 3 5 2" xfId="31584"/>
    <cellStyle name="Percent 4 3 3 3 6" xfId="19561"/>
    <cellStyle name="Percent 4 3 3 3 6 2" xfId="33586"/>
    <cellStyle name="Percent 4 3 3 3 7" xfId="25575"/>
    <cellStyle name="Percent 4 3 3 4" xfId="9481"/>
    <cellStyle name="Percent 4 3 3 4 2" xfId="9482"/>
    <cellStyle name="Percent 4 3 3 4 2 2" xfId="13541"/>
    <cellStyle name="Percent 4 3 3 4 2 2 2" xfId="21566"/>
    <cellStyle name="Percent 4 3 3 4 2 2 2 2" xfId="35591"/>
    <cellStyle name="Percent 4 3 3 4 2 2 3" xfId="27580"/>
    <cellStyle name="Percent 4 3 3 4 2 3" xfId="15556"/>
    <cellStyle name="Percent 4 3 3 4 2 3 2" xfId="23571"/>
    <cellStyle name="Percent 4 3 3 4 2 3 2 2" xfId="37596"/>
    <cellStyle name="Percent 4 3 3 4 2 3 3" xfId="29585"/>
    <cellStyle name="Percent 4 3 3 4 2 4" xfId="17562"/>
    <cellStyle name="Percent 4 3 3 4 2 4 2" xfId="31587"/>
    <cellStyle name="Percent 4 3 3 4 2 5" xfId="19564"/>
    <cellStyle name="Percent 4 3 3 4 2 5 2" xfId="33589"/>
    <cellStyle name="Percent 4 3 3 4 2 6" xfId="25578"/>
    <cellStyle name="Percent 4 3 3 4 3" xfId="13540"/>
    <cellStyle name="Percent 4 3 3 4 3 2" xfId="21565"/>
    <cellStyle name="Percent 4 3 3 4 3 2 2" xfId="35590"/>
    <cellStyle name="Percent 4 3 3 4 3 3" xfId="27579"/>
    <cellStyle name="Percent 4 3 3 4 4" xfId="15555"/>
    <cellStyle name="Percent 4 3 3 4 4 2" xfId="23570"/>
    <cellStyle name="Percent 4 3 3 4 4 2 2" xfId="37595"/>
    <cellStyle name="Percent 4 3 3 4 4 3" xfId="29584"/>
    <cellStyle name="Percent 4 3 3 4 5" xfId="17561"/>
    <cellStyle name="Percent 4 3 3 4 5 2" xfId="31586"/>
    <cellStyle name="Percent 4 3 3 4 6" xfId="19563"/>
    <cellStyle name="Percent 4 3 3 4 6 2" xfId="33588"/>
    <cellStyle name="Percent 4 3 3 4 7" xfId="25577"/>
    <cellStyle name="Percent 4 3 3 5" xfId="9483"/>
    <cellStyle name="Percent 4 3 3 5 2" xfId="13542"/>
    <cellStyle name="Percent 4 3 3 5 2 2" xfId="21567"/>
    <cellStyle name="Percent 4 3 3 5 2 2 2" xfId="35592"/>
    <cellStyle name="Percent 4 3 3 5 2 3" xfId="27581"/>
    <cellStyle name="Percent 4 3 3 5 3" xfId="15557"/>
    <cellStyle name="Percent 4 3 3 5 3 2" xfId="23572"/>
    <cellStyle name="Percent 4 3 3 5 3 2 2" xfId="37597"/>
    <cellStyle name="Percent 4 3 3 5 3 3" xfId="29586"/>
    <cellStyle name="Percent 4 3 3 5 4" xfId="17563"/>
    <cellStyle name="Percent 4 3 3 5 4 2" xfId="31588"/>
    <cellStyle name="Percent 4 3 3 5 5" xfId="19565"/>
    <cellStyle name="Percent 4 3 3 5 5 2" xfId="33590"/>
    <cellStyle name="Percent 4 3 3 5 6" xfId="25579"/>
    <cellStyle name="Percent 4 3 3 6" xfId="13533"/>
    <cellStyle name="Percent 4 3 3 6 2" xfId="21558"/>
    <cellStyle name="Percent 4 3 3 6 2 2" xfId="35583"/>
    <cellStyle name="Percent 4 3 3 6 3" xfId="27572"/>
    <cellStyle name="Percent 4 3 3 7" xfId="15548"/>
    <cellStyle name="Percent 4 3 3 7 2" xfId="23563"/>
    <cellStyle name="Percent 4 3 3 7 2 2" xfId="37588"/>
    <cellStyle name="Percent 4 3 3 7 3" xfId="29577"/>
    <cellStyle name="Percent 4 3 3 8" xfId="17554"/>
    <cellStyle name="Percent 4 3 3 8 2" xfId="31579"/>
    <cellStyle name="Percent 4 3 3 9" xfId="19556"/>
    <cellStyle name="Percent 4 3 3 9 2" xfId="33581"/>
    <cellStyle name="Percent 4 3 4" xfId="9484"/>
    <cellStyle name="Percent 4 3 4 2" xfId="9485"/>
    <cellStyle name="Percent 4 3 4 2 2" xfId="9486"/>
    <cellStyle name="Percent 4 3 4 2 2 2" xfId="13545"/>
    <cellStyle name="Percent 4 3 4 2 2 2 2" xfId="21570"/>
    <cellStyle name="Percent 4 3 4 2 2 2 2 2" xfId="35595"/>
    <cellStyle name="Percent 4 3 4 2 2 2 3" xfId="27584"/>
    <cellStyle name="Percent 4 3 4 2 2 3" xfId="15560"/>
    <cellStyle name="Percent 4 3 4 2 2 3 2" xfId="23575"/>
    <cellStyle name="Percent 4 3 4 2 2 3 2 2" xfId="37600"/>
    <cellStyle name="Percent 4 3 4 2 2 3 3" xfId="29589"/>
    <cellStyle name="Percent 4 3 4 2 2 4" xfId="17566"/>
    <cellStyle name="Percent 4 3 4 2 2 4 2" xfId="31591"/>
    <cellStyle name="Percent 4 3 4 2 2 5" xfId="19568"/>
    <cellStyle name="Percent 4 3 4 2 2 5 2" xfId="33593"/>
    <cellStyle name="Percent 4 3 4 2 2 6" xfId="25582"/>
    <cellStyle name="Percent 4 3 4 2 3" xfId="13544"/>
    <cellStyle name="Percent 4 3 4 2 3 2" xfId="21569"/>
    <cellStyle name="Percent 4 3 4 2 3 2 2" xfId="35594"/>
    <cellStyle name="Percent 4 3 4 2 3 3" xfId="27583"/>
    <cellStyle name="Percent 4 3 4 2 4" xfId="15559"/>
    <cellStyle name="Percent 4 3 4 2 4 2" xfId="23574"/>
    <cellStyle name="Percent 4 3 4 2 4 2 2" xfId="37599"/>
    <cellStyle name="Percent 4 3 4 2 4 3" xfId="29588"/>
    <cellStyle name="Percent 4 3 4 2 5" xfId="17565"/>
    <cellStyle name="Percent 4 3 4 2 5 2" xfId="31590"/>
    <cellStyle name="Percent 4 3 4 2 6" xfId="19567"/>
    <cellStyle name="Percent 4 3 4 2 6 2" xfId="33592"/>
    <cellStyle name="Percent 4 3 4 2 7" xfId="25581"/>
    <cellStyle name="Percent 4 3 4 3" xfId="9487"/>
    <cellStyle name="Percent 4 3 4 3 2" xfId="13546"/>
    <cellStyle name="Percent 4 3 4 3 2 2" xfId="21571"/>
    <cellStyle name="Percent 4 3 4 3 2 2 2" xfId="35596"/>
    <cellStyle name="Percent 4 3 4 3 2 3" xfId="27585"/>
    <cellStyle name="Percent 4 3 4 3 3" xfId="15561"/>
    <cellStyle name="Percent 4 3 4 3 3 2" xfId="23576"/>
    <cellStyle name="Percent 4 3 4 3 3 2 2" xfId="37601"/>
    <cellStyle name="Percent 4 3 4 3 3 3" xfId="29590"/>
    <cellStyle name="Percent 4 3 4 3 4" xfId="17567"/>
    <cellStyle name="Percent 4 3 4 3 4 2" xfId="31592"/>
    <cellStyle name="Percent 4 3 4 3 5" xfId="19569"/>
    <cellStyle name="Percent 4 3 4 3 5 2" xfId="33594"/>
    <cellStyle name="Percent 4 3 4 3 6" xfId="25583"/>
    <cellStyle name="Percent 4 3 4 4" xfId="13543"/>
    <cellStyle name="Percent 4 3 4 4 2" xfId="21568"/>
    <cellStyle name="Percent 4 3 4 4 2 2" xfId="35593"/>
    <cellStyle name="Percent 4 3 4 4 3" xfId="27582"/>
    <cellStyle name="Percent 4 3 4 5" xfId="15558"/>
    <cellStyle name="Percent 4 3 4 5 2" xfId="23573"/>
    <cellStyle name="Percent 4 3 4 5 2 2" xfId="37598"/>
    <cellStyle name="Percent 4 3 4 5 3" xfId="29587"/>
    <cellStyle name="Percent 4 3 4 6" xfId="17564"/>
    <cellStyle name="Percent 4 3 4 6 2" xfId="31589"/>
    <cellStyle name="Percent 4 3 4 7" xfId="19566"/>
    <cellStyle name="Percent 4 3 4 7 2" xfId="33591"/>
    <cellStyle name="Percent 4 3 4 8" xfId="25580"/>
    <cellStyle name="Percent 4 3 5" xfId="9488"/>
    <cellStyle name="Percent 4 3 5 2" xfId="9489"/>
    <cellStyle name="Percent 4 3 5 2 2" xfId="13548"/>
    <cellStyle name="Percent 4 3 5 2 2 2" xfId="21573"/>
    <cellStyle name="Percent 4 3 5 2 2 2 2" xfId="35598"/>
    <cellStyle name="Percent 4 3 5 2 2 3" xfId="27587"/>
    <cellStyle name="Percent 4 3 5 2 3" xfId="15563"/>
    <cellStyle name="Percent 4 3 5 2 3 2" xfId="23578"/>
    <cellStyle name="Percent 4 3 5 2 3 2 2" xfId="37603"/>
    <cellStyle name="Percent 4 3 5 2 3 3" xfId="29592"/>
    <cellStyle name="Percent 4 3 5 2 4" xfId="17569"/>
    <cellStyle name="Percent 4 3 5 2 4 2" xfId="31594"/>
    <cellStyle name="Percent 4 3 5 2 5" xfId="19571"/>
    <cellStyle name="Percent 4 3 5 2 5 2" xfId="33596"/>
    <cellStyle name="Percent 4 3 5 2 6" xfId="25585"/>
    <cellStyle name="Percent 4 3 5 3" xfId="13547"/>
    <cellStyle name="Percent 4 3 5 3 2" xfId="21572"/>
    <cellStyle name="Percent 4 3 5 3 2 2" xfId="35597"/>
    <cellStyle name="Percent 4 3 5 3 3" xfId="27586"/>
    <cellStyle name="Percent 4 3 5 4" xfId="15562"/>
    <cellStyle name="Percent 4 3 5 4 2" xfId="23577"/>
    <cellStyle name="Percent 4 3 5 4 2 2" xfId="37602"/>
    <cellStyle name="Percent 4 3 5 4 3" xfId="29591"/>
    <cellStyle name="Percent 4 3 5 5" xfId="17568"/>
    <cellStyle name="Percent 4 3 5 5 2" xfId="31593"/>
    <cellStyle name="Percent 4 3 5 6" xfId="19570"/>
    <cellStyle name="Percent 4 3 5 6 2" xfId="33595"/>
    <cellStyle name="Percent 4 3 5 7" xfId="25584"/>
    <cellStyle name="Percent 4 3 6" xfId="9490"/>
    <cellStyle name="Percent 4 3 6 2" xfId="9491"/>
    <cellStyle name="Percent 4 3 6 2 2" xfId="13550"/>
    <cellStyle name="Percent 4 3 6 2 2 2" xfId="21575"/>
    <cellStyle name="Percent 4 3 6 2 2 2 2" xfId="35600"/>
    <cellStyle name="Percent 4 3 6 2 2 3" xfId="27589"/>
    <cellStyle name="Percent 4 3 6 2 3" xfId="15565"/>
    <cellStyle name="Percent 4 3 6 2 3 2" xfId="23580"/>
    <cellStyle name="Percent 4 3 6 2 3 2 2" xfId="37605"/>
    <cellStyle name="Percent 4 3 6 2 3 3" xfId="29594"/>
    <cellStyle name="Percent 4 3 6 2 4" xfId="17571"/>
    <cellStyle name="Percent 4 3 6 2 4 2" xfId="31596"/>
    <cellStyle name="Percent 4 3 6 2 5" xfId="19573"/>
    <cellStyle name="Percent 4 3 6 2 5 2" xfId="33598"/>
    <cellStyle name="Percent 4 3 6 2 6" xfId="25587"/>
    <cellStyle name="Percent 4 3 6 3" xfId="13549"/>
    <cellStyle name="Percent 4 3 6 3 2" xfId="21574"/>
    <cellStyle name="Percent 4 3 6 3 2 2" xfId="35599"/>
    <cellStyle name="Percent 4 3 6 3 3" xfId="27588"/>
    <cellStyle name="Percent 4 3 6 4" xfId="15564"/>
    <cellStyle name="Percent 4 3 6 4 2" xfId="23579"/>
    <cellStyle name="Percent 4 3 6 4 2 2" xfId="37604"/>
    <cellStyle name="Percent 4 3 6 4 3" xfId="29593"/>
    <cellStyle name="Percent 4 3 6 5" xfId="17570"/>
    <cellStyle name="Percent 4 3 6 5 2" xfId="31595"/>
    <cellStyle name="Percent 4 3 6 6" xfId="19572"/>
    <cellStyle name="Percent 4 3 6 6 2" xfId="33597"/>
    <cellStyle name="Percent 4 3 6 7" xfId="25586"/>
    <cellStyle name="Percent 4 3 7" xfId="9492"/>
    <cellStyle name="Percent 4 3 7 2" xfId="13551"/>
    <cellStyle name="Percent 4 3 7 2 2" xfId="21576"/>
    <cellStyle name="Percent 4 3 7 2 2 2" xfId="35601"/>
    <cellStyle name="Percent 4 3 7 2 3" xfId="27590"/>
    <cellStyle name="Percent 4 3 7 3" xfId="15566"/>
    <cellStyle name="Percent 4 3 7 3 2" xfId="23581"/>
    <cellStyle name="Percent 4 3 7 3 2 2" xfId="37606"/>
    <cellStyle name="Percent 4 3 7 3 3" xfId="29595"/>
    <cellStyle name="Percent 4 3 7 4" xfId="17572"/>
    <cellStyle name="Percent 4 3 7 4 2" xfId="31597"/>
    <cellStyle name="Percent 4 3 7 5" xfId="19574"/>
    <cellStyle name="Percent 4 3 7 5 2" xfId="33599"/>
    <cellStyle name="Percent 4 3 7 6" xfId="25588"/>
    <cellStyle name="Percent 4 3 8" xfId="13512"/>
    <cellStyle name="Percent 4 3 8 2" xfId="21537"/>
    <cellStyle name="Percent 4 3 8 2 2" xfId="35562"/>
    <cellStyle name="Percent 4 3 8 3" xfId="27551"/>
    <cellStyle name="Percent 4 3 9" xfId="15527"/>
    <cellStyle name="Percent 4 3 9 2" xfId="23542"/>
    <cellStyle name="Percent 4 3 9 2 2" xfId="37567"/>
    <cellStyle name="Percent 4 3 9 3" xfId="29556"/>
    <cellStyle name="Percent 4 4" xfId="9493"/>
    <cellStyle name="Percent 4 4 10" xfId="19575"/>
    <cellStyle name="Percent 4 4 10 2" xfId="33600"/>
    <cellStyle name="Percent 4 4 11" xfId="25589"/>
    <cellStyle name="Percent 4 4 2" xfId="9494"/>
    <cellStyle name="Percent 4 4 2 10" xfId="25590"/>
    <cellStyle name="Percent 4 4 2 2" xfId="9495"/>
    <cellStyle name="Percent 4 4 2 2 2" xfId="9496"/>
    <cellStyle name="Percent 4 4 2 2 2 2" xfId="9497"/>
    <cellStyle name="Percent 4 4 2 2 2 2 2" xfId="13556"/>
    <cellStyle name="Percent 4 4 2 2 2 2 2 2" xfId="21581"/>
    <cellStyle name="Percent 4 4 2 2 2 2 2 2 2" xfId="35606"/>
    <cellStyle name="Percent 4 4 2 2 2 2 2 3" xfId="27595"/>
    <cellStyle name="Percent 4 4 2 2 2 2 3" xfId="15571"/>
    <cellStyle name="Percent 4 4 2 2 2 2 3 2" xfId="23586"/>
    <cellStyle name="Percent 4 4 2 2 2 2 3 2 2" xfId="37611"/>
    <cellStyle name="Percent 4 4 2 2 2 2 3 3" xfId="29600"/>
    <cellStyle name="Percent 4 4 2 2 2 2 4" xfId="17577"/>
    <cellStyle name="Percent 4 4 2 2 2 2 4 2" xfId="31602"/>
    <cellStyle name="Percent 4 4 2 2 2 2 5" xfId="19579"/>
    <cellStyle name="Percent 4 4 2 2 2 2 5 2" xfId="33604"/>
    <cellStyle name="Percent 4 4 2 2 2 2 6" xfId="25593"/>
    <cellStyle name="Percent 4 4 2 2 2 3" xfId="13555"/>
    <cellStyle name="Percent 4 4 2 2 2 3 2" xfId="21580"/>
    <cellStyle name="Percent 4 4 2 2 2 3 2 2" xfId="35605"/>
    <cellStyle name="Percent 4 4 2 2 2 3 3" xfId="27594"/>
    <cellStyle name="Percent 4 4 2 2 2 4" xfId="15570"/>
    <cellStyle name="Percent 4 4 2 2 2 4 2" xfId="23585"/>
    <cellStyle name="Percent 4 4 2 2 2 4 2 2" xfId="37610"/>
    <cellStyle name="Percent 4 4 2 2 2 4 3" xfId="29599"/>
    <cellStyle name="Percent 4 4 2 2 2 5" xfId="17576"/>
    <cellStyle name="Percent 4 4 2 2 2 5 2" xfId="31601"/>
    <cellStyle name="Percent 4 4 2 2 2 6" xfId="19578"/>
    <cellStyle name="Percent 4 4 2 2 2 6 2" xfId="33603"/>
    <cellStyle name="Percent 4 4 2 2 2 7" xfId="25592"/>
    <cellStyle name="Percent 4 4 2 2 3" xfId="9498"/>
    <cellStyle name="Percent 4 4 2 2 3 2" xfId="13557"/>
    <cellStyle name="Percent 4 4 2 2 3 2 2" xfId="21582"/>
    <cellStyle name="Percent 4 4 2 2 3 2 2 2" xfId="35607"/>
    <cellStyle name="Percent 4 4 2 2 3 2 3" xfId="27596"/>
    <cellStyle name="Percent 4 4 2 2 3 3" xfId="15572"/>
    <cellStyle name="Percent 4 4 2 2 3 3 2" xfId="23587"/>
    <cellStyle name="Percent 4 4 2 2 3 3 2 2" xfId="37612"/>
    <cellStyle name="Percent 4 4 2 2 3 3 3" xfId="29601"/>
    <cellStyle name="Percent 4 4 2 2 3 4" xfId="17578"/>
    <cellStyle name="Percent 4 4 2 2 3 4 2" xfId="31603"/>
    <cellStyle name="Percent 4 4 2 2 3 5" xfId="19580"/>
    <cellStyle name="Percent 4 4 2 2 3 5 2" xfId="33605"/>
    <cellStyle name="Percent 4 4 2 2 3 6" xfId="25594"/>
    <cellStyle name="Percent 4 4 2 2 4" xfId="13554"/>
    <cellStyle name="Percent 4 4 2 2 4 2" xfId="21579"/>
    <cellStyle name="Percent 4 4 2 2 4 2 2" xfId="35604"/>
    <cellStyle name="Percent 4 4 2 2 4 3" xfId="27593"/>
    <cellStyle name="Percent 4 4 2 2 5" xfId="15569"/>
    <cellStyle name="Percent 4 4 2 2 5 2" xfId="23584"/>
    <cellStyle name="Percent 4 4 2 2 5 2 2" xfId="37609"/>
    <cellStyle name="Percent 4 4 2 2 5 3" xfId="29598"/>
    <cellStyle name="Percent 4 4 2 2 6" xfId="17575"/>
    <cellStyle name="Percent 4 4 2 2 6 2" xfId="31600"/>
    <cellStyle name="Percent 4 4 2 2 7" xfId="19577"/>
    <cellStyle name="Percent 4 4 2 2 7 2" xfId="33602"/>
    <cellStyle name="Percent 4 4 2 2 8" xfId="25591"/>
    <cellStyle name="Percent 4 4 2 3" xfId="9499"/>
    <cellStyle name="Percent 4 4 2 3 2" xfId="9500"/>
    <cellStyle name="Percent 4 4 2 3 2 2" xfId="13559"/>
    <cellStyle name="Percent 4 4 2 3 2 2 2" xfId="21584"/>
    <cellStyle name="Percent 4 4 2 3 2 2 2 2" xfId="35609"/>
    <cellStyle name="Percent 4 4 2 3 2 2 3" xfId="27598"/>
    <cellStyle name="Percent 4 4 2 3 2 3" xfId="15574"/>
    <cellStyle name="Percent 4 4 2 3 2 3 2" xfId="23589"/>
    <cellStyle name="Percent 4 4 2 3 2 3 2 2" xfId="37614"/>
    <cellStyle name="Percent 4 4 2 3 2 3 3" xfId="29603"/>
    <cellStyle name="Percent 4 4 2 3 2 4" xfId="17580"/>
    <cellStyle name="Percent 4 4 2 3 2 4 2" xfId="31605"/>
    <cellStyle name="Percent 4 4 2 3 2 5" xfId="19582"/>
    <cellStyle name="Percent 4 4 2 3 2 5 2" xfId="33607"/>
    <cellStyle name="Percent 4 4 2 3 2 6" xfId="25596"/>
    <cellStyle name="Percent 4 4 2 3 3" xfId="13558"/>
    <cellStyle name="Percent 4 4 2 3 3 2" xfId="21583"/>
    <cellStyle name="Percent 4 4 2 3 3 2 2" xfId="35608"/>
    <cellStyle name="Percent 4 4 2 3 3 3" xfId="27597"/>
    <cellStyle name="Percent 4 4 2 3 4" xfId="15573"/>
    <cellStyle name="Percent 4 4 2 3 4 2" xfId="23588"/>
    <cellStyle name="Percent 4 4 2 3 4 2 2" xfId="37613"/>
    <cellStyle name="Percent 4 4 2 3 4 3" xfId="29602"/>
    <cellStyle name="Percent 4 4 2 3 5" xfId="17579"/>
    <cellStyle name="Percent 4 4 2 3 5 2" xfId="31604"/>
    <cellStyle name="Percent 4 4 2 3 6" xfId="19581"/>
    <cellStyle name="Percent 4 4 2 3 6 2" xfId="33606"/>
    <cellStyle name="Percent 4 4 2 3 7" xfId="25595"/>
    <cellStyle name="Percent 4 4 2 4" xfId="9501"/>
    <cellStyle name="Percent 4 4 2 4 2" xfId="9502"/>
    <cellStyle name="Percent 4 4 2 4 2 2" xfId="13561"/>
    <cellStyle name="Percent 4 4 2 4 2 2 2" xfId="21586"/>
    <cellStyle name="Percent 4 4 2 4 2 2 2 2" xfId="35611"/>
    <cellStyle name="Percent 4 4 2 4 2 2 3" xfId="27600"/>
    <cellStyle name="Percent 4 4 2 4 2 3" xfId="15576"/>
    <cellStyle name="Percent 4 4 2 4 2 3 2" xfId="23591"/>
    <cellStyle name="Percent 4 4 2 4 2 3 2 2" xfId="37616"/>
    <cellStyle name="Percent 4 4 2 4 2 3 3" xfId="29605"/>
    <cellStyle name="Percent 4 4 2 4 2 4" xfId="17582"/>
    <cellStyle name="Percent 4 4 2 4 2 4 2" xfId="31607"/>
    <cellStyle name="Percent 4 4 2 4 2 5" xfId="19584"/>
    <cellStyle name="Percent 4 4 2 4 2 5 2" xfId="33609"/>
    <cellStyle name="Percent 4 4 2 4 2 6" xfId="25598"/>
    <cellStyle name="Percent 4 4 2 4 3" xfId="13560"/>
    <cellStyle name="Percent 4 4 2 4 3 2" xfId="21585"/>
    <cellStyle name="Percent 4 4 2 4 3 2 2" xfId="35610"/>
    <cellStyle name="Percent 4 4 2 4 3 3" xfId="27599"/>
    <cellStyle name="Percent 4 4 2 4 4" xfId="15575"/>
    <cellStyle name="Percent 4 4 2 4 4 2" xfId="23590"/>
    <cellStyle name="Percent 4 4 2 4 4 2 2" xfId="37615"/>
    <cellStyle name="Percent 4 4 2 4 4 3" xfId="29604"/>
    <cellStyle name="Percent 4 4 2 4 5" xfId="17581"/>
    <cellStyle name="Percent 4 4 2 4 5 2" xfId="31606"/>
    <cellStyle name="Percent 4 4 2 4 6" xfId="19583"/>
    <cellStyle name="Percent 4 4 2 4 6 2" xfId="33608"/>
    <cellStyle name="Percent 4 4 2 4 7" xfId="25597"/>
    <cellStyle name="Percent 4 4 2 5" xfId="9503"/>
    <cellStyle name="Percent 4 4 2 5 2" xfId="13562"/>
    <cellStyle name="Percent 4 4 2 5 2 2" xfId="21587"/>
    <cellStyle name="Percent 4 4 2 5 2 2 2" xfId="35612"/>
    <cellStyle name="Percent 4 4 2 5 2 3" xfId="27601"/>
    <cellStyle name="Percent 4 4 2 5 3" xfId="15577"/>
    <cellStyle name="Percent 4 4 2 5 3 2" xfId="23592"/>
    <cellStyle name="Percent 4 4 2 5 3 2 2" xfId="37617"/>
    <cellStyle name="Percent 4 4 2 5 3 3" xfId="29606"/>
    <cellStyle name="Percent 4 4 2 5 4" xfId="17583"/>
    <cellStyle name="Percent 4 4 2 5 4 2" xfId="31608"/>
    <cellStyle name="Percent 4 4 2 5 5" xfId="19585"/>
    <cellStyle name="Percent 4 4 2 5 5 2" xfId="33610"/>
    <cellStyle name="Percent 4 4 2 5 6" xfId="25599"/>
    <cellStyle name="Percent 4 4 2 6" xfId="13553"/>
    <cellStyle name="Percent 4 4 2 6 2" xfId="21578"/>
    <cellStyle name="Percent 4 4 2 6 2 2" xfId="35603"/>
    <cellStyle name="Percent 4 4 2 6 3" xfId="27592"/>
    <cellStyle name="Percent 4 4 2 7" xfId="15568"/>
    <cellStyle name="Percent 4 4 2 7 2" xfId="23583"/>
    <cellStyle name="Percent 4 4 2 7 2 2" xfId="37608"/>
    <cellStyle name="Percent 4 4 2 7 3" xfId="29597"/>
    <cellStyle name="Percent 4 4 2 8" xfId="17574"/>
    <cellStyle name="Percent 4 4 2 8 2" xfId="31599"/>
    <cellStyle name="Percent 4 4 2 9" xfId="19576"/>
    <cellStyle name="Percent 4 4 2 9 2" xfId="33601"/>
    <cellStyle name="Percent 4 4 3" xfId="9504"/>
    <cellStyle name="Percent 4 4 3 2" xfId="9505"/>
    <cellStyle name="Percent 4 4 3 2 2" xfId="9506"/>
    <cellStyle name="Percent 4 4 3 2 2 2" xfId="13565"/>
    <cellStyle name="Percent 4 4 3 2 2 2 2" xfId="21590"/>
    <cellStyle name="Percent 4 4 3 2 2 2 2 2" xfId="35615"/>
    <cellStyle name="Percent 4 4 3 2 2 2 3" xfId="27604"/>
    <cellStyle name="Percent 4 4 3 2 2 3" xfId="15580"/>
    <cellStyle name="Percent 4 4 3 2 2 3 2" xfId="23595"/>
    <cellStyle name="Percent 4 4 3 2 2 3 2 2" xfId="37620"/>
    <cellStyle name="Percent 4 4 3 2 2 3 3" xfId="29609"/>
    <cellStyle name="Percent 4 4 3 2 2 4" xfId="17586"/>
    <cellStyle name="Percent 4 4 3 2 2 4 2" xfId="31611"/>
    <cellStyle name="Percent 4 4 3 2 2 5" xfId="19588"/>
    <cellStyle name="Percent 4 4 3 2 2 5 2" xfId="33613"/>
    <cellStyle name="Percent 4 4 3 2 2 6" xfId="25602"/>
    <cellStyle name="Percent 4 4 3 2 3" xfId="13564"/>
    <cellStyle name="Percent 4 4 3 2 3 2" xfId="21589"/>
    <cellStyle name="Percent 4 4 3 2 3 2 2" xfId="35614"/>
    <cellStyle name="Percent 4 4 3 2 3 3" xfId="27603"/>
    <cellStyle name="Percent 4 4 3 2 4" xfId="15579"/>
    <cellStyle name="Percent 4 4 3 2 4 2" xfId="23594"/>
    <cellStyle name="Percent 4 4 3 2 4 2 2" xfId="37619"/>
    <cellStyle name="Percent 4 4 3 2 4 3" xfId="29608"/>
    <cellStyle name="Percent 4 4 3 2 5" xfId="17585"/>
    <cellStyle name="Percent 4 4 3 2 5 2" xfId="31610"/>
    <cellStyle name="Percent 4 4 3 2 6" xfId="19587"/>
    <cellStyle name="Percent 4 4 3 2 6 2" xfId="33612"/>
    <cellStyle name="Percent 4 4 3 2 7" xfId="25601"/>
    <cellStyle name="Percent 4 4 3 3" xfId="9507"/>
    <cellStyle name="Percent 4 4 3 3 2" xfId="13566"/>
    <cellStyle name="Percent 4 4 3 3 2 2" xfId="21591"/>
    <cellStyle name="Percent 4 4 3 3 2 2 2" xfId="35616"/>
    <cellStyle name="Percent 4 4 3 3 2 3" xfId="27605"/>
    <cellStyle name="Percent 4 4 3 3 3" xfId="15581"/>
    <cellStyle name="Percent 4 4 3 3 3 2" xfId="23596"/>
    <cellStyle name="Percent 4 4 3 3 3 2 2" xfId="37621"/>
    <cellStyle name="Percent 4 4 3 3 3 3" xfId="29610"/>
    <cellStyle name="Percent 4 4 3 3 4" xfId="17587"/>
    <cellStyle name="Percent 4 4 3 3 4 2" xfId="31612"/>
    <cellStyle name="Percent 4 4 3 3 5" xfId="19589"/>
    <cellStyle name="Percent 4 4 3 3 5 2" xfId="33614"/>
    <cellStyle name="Percent 4 4 3 3 6" xfId="25603"/>
    <cellStyle name="Percent 4 4 3 4" xfId="13563"/>
    <cellStyle name="Percent 4 4 3 4 2" xfId="21588"/>
    <cellStyle name="Percent 4 4 3 4 2 2" xfId="35613"/>
    <cellStyle name="Percent 4 4 3 4 3" xfId="27602"/>
    <cellStyle name="Percent 4 4 3 5" xfId="15578"/>
    <cellStyle name="Percent 4 4 3 5 2" xfId="23593"/>
    <cellStyle name="Percent 4 4 3 5 2 2" xfId="37618"/>
    <cellStyle name="Percent 4 4 3 5 3" xfId="29607"/>
    <cellStyle name="Percent 4 4 3 6" xfId="17584"/>
    <cellStyle name="Percent 4 4 3 6 2" xfId="31609"/>
    <cellStyle name="Percent 4 4 3 7" xfId="19586"/>
    <cellStyle name="Percent 4 4 3 7 2" xfId="33611"/>
    <cellStyle name="Percent 4 4 3 8" xfId="25600"/>
    <cellStyle name="Percent 4 4 4" xfId="9508"/>
    <cellStyle name="Percent 4 4 4 2" xfId="9509"/>
    <cellStyle name="Percent 4 4 4 2 2" xfId="13568"/>
    <cellStyle name="Percent 4 4 4 2 2 2" xfId="21593"/>
    <cellStyle name="Percent 4 4 4 2 2 2 2" xfId="35618"/>
    <cellStyle name="Percent 4 4 4 2 2 3" xfId="27607"/>
    <cellStyle name="Percent 4 4 4 2 3" xfId="15583"/>
    <cellStyle name="Percent 4 4 4 2 3 2" xfId="23598"/>
    <cellStyle name="Percent 4 4 4 2 3 2 2" xfId="37623"/>
    <cellStyle name="Percent 4 4 4 2 3 3" xfId="29612"/>
    <cellStyle name="Percent 4 4 4 2 4" xfId="17589"/>
    <cellStyle name="Percent 4 4 4 2 4 2" xfId="31614"/>
    <cellStyle name="Percent 4 4 4 2 5" xfId="19591"/>
    <cellStyle name="Percent 4 4 4 2 5 2" xfId="33616"/>
    <cellStyle name="Percent 4 4 4 2 6" xfId="25605"/>
    <cellStyle name="Percent 4 4 4 3" xfId="13567"/>
    <cellStyle name="Percent 4 4 4 3 2" xfId="21592"/>
    <cellStyle name="Percent 4 4 4 3 2 2" xfId="35617"/>
    <cellStyle name="Percent 4 4 4 3 3" xfId="27606"/>
    <cellStyle name="Percent 4 4 4 4" xfId="15582"/>
    <cellStyle name="Percent 4 4 4 4 2" xfId="23597"/>
    <cellStyle name="Percent 4 4 4 4 2 2" xfId="37622"/>
    <cellStyle name="Percent 4 4 4 4 3" xfId="29611"/>
    <cellStyle name="Percent 4 4 4 5" xfId="17588"/>
    <cellStyle name="Percent 4 4 4 5 2" xfId="31613"/>
    <cellStyle name="Percent 4 4 4 6" xfId="19590"/>
    <cellStyle name="Percent 4 4 4 6 2" xfId="33615"/>
    <cellStyle name="Percent 4 4 4 7" xfId="25604"/>
    <cellStyle name="Percent 4 4 5" xfId="9510"/>
    <cellStyle name="Percent 4 4 5 2" xfId="9511"/>
    <cellStyle name="Percent 4 4 5 2 2" xfId="13570"/>
    <cellStyle name="Percent 4 4 5 2 2 2" xfId="21595"/>
    <cellStyle name="Percent 4 4 5 2 2 2 2" xfId="35620"/>
    <cellStyle name="Percent 4 4 5 2 2 3" xfId="27609"/>
    <cellStyle name="Percent 4 4 5 2 3" xfId="15585"/>
    <cellStyle name="Percent 4 4 5 2 3 2" xfId="23600"/>
    <cellStyle name="Percent 4 4 5 2 3 2 2" xfId="37625"/>
    <cellStyle name="Percent 4 4 5 2 3 3" xfId="29614"/>
    <cellStyle name="Percent 4 4 5 2 4" xfId="17591"/>
    <cellStyle name="Percent 4 4 5 2 4 2" xfId="31616"/>
    <cellStyle name="Percent 4 4 5 2 5" xfId="19593"/>
    <cellStyle name="Percent 4 4 5 2 5 2" xfId="33618"/>
    <cellStyle name="Percent 4 4 5 2 6" xfId="25607"/>
    <cellStyle name="Percent 4 4 5 3" xfId="13569"/>
    <cellStyle name="Percent 4 4 5 3 2" xfId="21594"/>
    <cellStyle name="Percent 4 4 5 3 2 2" xfId="35619"/>
    <cellStyle name="Percent 4 4 5 3 3" xfId="27608"/>
    <cellStyle name="Percent 4 4 5 4" xfId="15584"/>
    <cellStyle name="Percent 4 4 5 4 2" xfId="23599"/>
    <cellStyle name="Percent 4 4 5 4 2 2" xfId="37624"/>
    <cellStyle name="Percent 4 4 5 4 3" xfId="29613"/>
    <cellStyle name="Percent 4 4 5 5" xfId="17590"/>
    <cellStyle name="Percent 4 4 5 5 2" xfId="31615"/>
    <cellStyle name="Percent 4 4 5 6" xfId="19592"/>
    <cellStyle name="Percent 4 4 5 6 2" xfId="33617"/>
    <cellStyle name="Percent 4 4 5 7" xfId="25606"/>
    <cellStyle name="Percent 4 4 6" xfId="9512"/>
    <cellStyle name="Percent 4 4 6 2" xfId="13571"/>
    <cellStyle name="Percent 4 4 6 2 2" xfId="21596"/>
    <cellStyle name="Percent 4 4 6 2 2 2" xfId="35621"/>
    <cellStyle name="Percent 4 4 6 2 3" xfId="27610"/>
    <cellStyle name="Percent 4 4 6 3" xfId="15586"/>
    <cellStyle name="Percent 4 4 6 3 2" xfId="23601"/>
    <cellStyle name="Percent 4 4 6 3 2 2" xfId="37626"/>
    <cellStyle name="Percent 4 4 6 3 3" xfId="29615"/>
    <cellStyle name="Percent 4 4 6 4" xfId="17592"/>
    <cellStyle name="Percent 4 4 6 4 2" xfId="31617"/>
    <cellStyle name="Percent 4 4 6 5" xfId="19594"/>
    <cellStyle name="Percent 4 4 6 5 2" xfId="33619"/>
    <cellStyle name="Percent 4 4 6 6" xfId="25608"/>
    <cellStyle name="Percent 4 4 7" xfId="13552"/>
    <cellStyle name="Percent 4 4 7 2" xfId="21577"/>
    <cellStyle name="Percent 4 4 7 2 2" xfId="35602"/>
    <cellStyle name="Percent 4 4 7 3" xfId="27591"/>
    <cellStyle name="Percent 4 4 8" xfId="15567"/>
    <cellStyle name="Percent 4 4 8 2" xfId="23582"/>
    <cellStyle name="Percent 4 4 8 2 2" xfId="37607"/>
    <cellStyle name="Percent 4 4 8 3" xfId="29596"/>
    <cellStyle name="Percent 4 4 9" xfId="17573"/>
    <cellStyle name="Percent 4 4 9 2" xfId="31598"/>
    <cellStyle name="Percent 4 5" xfId="9513"/>
    <cellStyle name="Percent 4 5 10" xfId="25609"/>
    <cellStyle name="Percent 4 5 2" xfId="9514"/>
    <cellStyle name="Percent 4 5 2 2" xfId="9515"/>
    <cellStyle name="Percent 4 5 2 2 2" xfId="9516"/>
    <cellStyle name="Percent 4 5 2 2 2 2" xfId="13575"/>
    <cellStyle name="Percent 4 5 2 2 2 2 2" xfId="21600"/>
    <cellStyle name="Percent 4 5 2 2 2 2 2 2" xfId="35625"/>
    <cellStyle name="Percent 4 5 2 2 2 2 3" xfId="27614"/>
    <cellStyle name="Percent 4 5 2 2 2 3" xfId="15590"/>
    <cellStyle name="Percent 4 5 2 2 2 3 2" xfId="23605"/>
    <cellStyle name="Percent 4 5 2 2 2 3 2 2" xfId="37630"/>
    <cellStyle name="Percent 4 5 2 2 2 3 3" xfId="29619"/>
    <cellStyle name="Percent 4 5 2 2 2 4" xfId="17596"/>
    <cellStyle name="Percent 4 5 2 2 2 4 2" xfId="31621"/>
    <cellStyle name="Percent 4 5 2 2 2 5" xfId="19598"/>
    <cellStyle name="Percent 4 5 2 2 2 5 2" xfId="33623"/>
    <cellStyle name="Percent 4 5 2 2 2 6" xfId="25612"/>
    <cellStyle name="Percent 4 5 2 2 3" xfId="13574"/>
    <cellStyle name="Percent 4 5 2 2 3 2" xfId="21599"/>
    <cellStyle name="Percent 4 5 2 2 3 2 2" xfId="35624"/>
    <cellStyle name="Percent 4 5 2 2 3 3" xfId="27613"/>
    <cellStyle name="Percent 4 5 2 2 4" xfId="15589"/>
    <cellStyle name="Percent 4 5 2 2 4 2" xfId="23604"/>
    <cellStyle name="Percent 4 5 2 2 4 2 2" xfId="37629"/>
    <cellStyle name="Percent 4 5 2 2 4 3" xfId="29618"/>
    <cellStyle name="Percent 4 5 2 2 5" xfId="17595"/>
    <cellStyle name="Percent 4 5 2 2 5 2" xfId="31620"/>
    <cellStyle name="Percent 4 5 2 2 6" xfId="19597"/>
    <cellStyle name="Percent 4 5 2 2 6 2" xfId="33622"/>
    <cellStyle name="Percent 4 5 2 2 7" xfId="25611"/>
    <cellStyle name="Percent 4 5 2 3" xfId="9517"/>
    <cellStyle name="Percent 4 5 2 3 2" xfId="13576"/>
    <cellStyle name="Percent 4 5 2 3 2 2" xfId="21601"/>
    <cellStyle name="Percent 4 5 2 3 2 2 2" xfId="35626"/>
    <cellStyle name="Percent 4 5 2 3 2 3" xfId="27615"/>
    <cellStyle name="Percent 4 5 2 3 3" xfId="15591"/>
    <cellStyle name="Percent 4 5 2 3 3 2" xfId="23606"/>
    <cellStyle name="Percent 4 5 2 3 3 2 2" xfId="37631"/>
    <cellStyle name="Percent 4 5 2 3 3 3" xfId="29620"/>
    <cellStyle name="Percent 4 5 2 3 4" xfId="17597"/>
    <cellStyle name="Percent 4 5 2 3 4 2" xfId="31622"/>
    <cellStyle name="Percent 4 5 2 3 5" xfId="19599"/>
    <cellStyle name="Percent 4 5 2 3 5 2" xfId="33624"/>
    <cellStyle name="Percent 4 5 2 3 6" xfId="25613"/>
    <cellStyle name="Percent 4 5 2 4" xfId="13573"/>
    <cellStyle name="Percent 4 5 2 4 2" xfId="21598"/>
    <cellStyle name="Percent 4 5 2 4 2 2" xfId="35623"/>
    <cellStyle name="Percent 4 5 2 4 3" xfId="27612"/>
    <cellStyle name="Percent 4 5 2 5" xfId="15588"/>
    <cellStyle name="Percent 4 5 2 5 2" xfId="23603"/>
    <cellStyle name="Percent 4 5 2 5 2 2" xfId="37628"/>
    <cellStyle name="Percent 4 5 2 5 3" xfId="29617"/>
    <cellStyle name="Percent 4 5 2 6" xfId="17594"/>
    <cellStyle name="Percent 4 5 2 6 2" xfId="31619"/>
    <cellStyle name="Percent 4 5 2 7" xfId="19596"/>
    <cellStyle name="Percent 4 5 2 7 2" xfId="33621"/>
    <cellStyle name="Percent 4 5 2 8" xfId="25610"/>
    <cellStyle name="Percent 4 5 3" xfId="9518"/>
    <cellStyle name="Percent 4 5 3 2" xfId="9519"/>
    <cellStyle name="Percent 4 5 3 2 2" xfId="13578"/>
    <cellStyle name="Percent 4 5 3 2 2 2" xfId="21603"/>
    <cellStyle name="Percent 4 5 3 2 2 2 2" xfId="35628"/>
    <cellStyle name="Percent 4 5 3 2 2 3" xfId="27617"/>
    <cellStyle name="Percent 4 5 3 2 3" xfId="15593"/>
    <cellStyle name="Percent 4 5 3 2 3 2" xfId="23608"/>
    <cellStyle name="Percent 4 5 3 2 3 2 2" xfId="37633"/>
    <cellStyle name="Percent 4 5 3 2 3 3" xfId="29622"/>
    <cellStyle name="Percent 4 5 3 2 4" xfId="17599"/>
    <cellStyle name="Percent 4 5 3 2 4 2" xfId="31624"/>
    <cellStyle name="Percent 4 5 3 2 5" xfId="19601"/>
    <cellStyle name="Percent 4 5 3 2 5 2" xfId="33626"/>
    <cellStyle name="Percent 4 5 3 2 6" xfId="25615"/>
    <cellStyle name="Percent 4 5 3 3" xfId="13577"/>
    <cellStyle name="Percent 4 5 3 3 2" xfId="21602"/>
    <cellStyle name="Percent 4 5 3 3 2 2" xfId="35627"/>
    <cellStyle name="Percent 4 5 3 3 3" xfId="27616"/>
    <cellStyle name="Percent 4 5 3 4" xfId="15592"/>
    <cellStyle name="Percent 4 5 3 4 2" xfId="23607"/>
    <cellStyle name="Percent 4 5 3 4 2 2" xfId="37632"/>
    <cellStyle name="Percent 4 5 3 4 3" xfId="29621"/>
    <cellStyle name="Percent 4 5 3 5" xfId="17598"/>
    <cellStyle name="Percent 4 5 3 5 2" xfId="31623"/>
    <cellStyle name="Percent 4 5 3 6" xfId="19600"/>
    <cellStyle name="Percent 4 5 3 6 2" xfId="33625"/>
    <cellStyle name="Percent 4 5 3 7" xfId="25614"/>
    <cellStyle name="Percent 4 5 4" xfId="9520"/>
    <cellStyle name="Percent 4 5 4 2" xfId="9521"/>
    <cellStyle name="Percent 4 5 4 2 2" xfId="13580"/>
    <cellStyle name="Percent 4 5 4 2 2 2" xfId="21605"/>
    <cellStyle name="Percent 4 5 4 2 2 2 2" xfId="35630"/>
    <cellStyle name="Percent 4 5 4 2 2 3" xfId="27619"/>
    <cellStyle name="Percent 4 5 4 2 3" xfId="15595"/>
    <cellStyle name="Percent 4 5 4 2 3 2" xfId="23610"/>
    <cellStyle name="Percent 4 5 4 2 3 2 2" xfId="37635"/>
    <cellStyle name="Percent 4 5 4 2 3 3" xfId="29624"/>
    <cellStyle name="Percent 4 5 4 2 4" xfId="17601"/>
    <cellStyle name="Percent 4 5 4 2 4 2" xfId="31626"/>
    <cellStyle name="Percent 4 5 4 2 5" xfId="19603"/>
    <cellStyle name="Percent 4 5 4 2 5 2" xfId="33628"/>
    <cellStyle name="Percent 4 5 4 2 6" xfId="25617"/>
    <cellStyle name="Percent 4 5 4 3" xfId="13579"/>
    <cellStyle name="Percent 4 5 4 3 2" xfId="21604"/>
    <cellStyle name="Percent 4 5 4 3 2 2" xfId="35629"/>
    <cellStyle name="Percent 4 5 4 3 3" xfId="27618"/>
    <cellStyle name="Percent 4 5 4 4" xfId="15594"/>
    <cellStyle name="Percent 4 5 4 4 2" xfId="23609"/>
    <cellStyle name="Percent 4 5 4 4 2 2" xfId="37634"/>
    <cellStyle name="Percent 4 5 4 4 3" xfId="29623"/>
    <cellStyle name="Percent 4 5 4 5" xfId="17600"/>
    <cellStyle name="Percent 4 5 4 5 2" xfId="31625"/>
    <cellStyle name="Percent 4 5 4 6" xfId="19602"/>
    <cellStyle name="Percent 4 5 4 6 2" xfId="33627"/>
    <cellStyle name="Percent 4 5 4 7" xfId="25616"/>
    <cellStyle name="Percent 4 5 5" xfId="9522"/>
    <cellStyle name="Percent 4 5 5 2" xfId="13581"/>
    <cellStyle name="Percent 4 5 5 2 2" xfId="21606"/>
    <cellStyle name="Percent 4 5 5 2 2 2" xfId="35631"/>
    <cellStyle name="Percent 4 5 5 2 3" xfId="27620"/>
    <cellStyle name="Percent 4 5 5 3" xfId="15596"/>
    <cellStyle name="Percent 4 5 5 3 2" xfId="23611"/>
    <cellStyle name="Percent 4 5 5 3 2 2" xfId="37636"/>
    <cellStyle name="Percent 4 5 5 3 3" xfId="29625"/>
    <cellStyle name="Percent 4 5 5 4" xfId="17602"/>
    <cellStyle name="Percent 4 5 5 4 2" xfId="31627"/>
    <cellStyle name="Percent 4 5 5 5" xfId="19604"/>
    <cellStyle name="Percent 4 5 5 5 2" xfId="33629"/>
    <cellStyle name="Percent 4 5 5 6" xfId="25618"/>
    <cellStyle name="Percent 4 5 6" xfId="13572"/>
    <cellStyle name="Percent 4 5 6 2" xfId="21597"/>
    <cellStyle name="Percent 4 5 6 2 2" xfId="35622"/>
    <cellStyle name="Percent 4 5 6 3" xfId="27611"/>
    <cellStyle name="Percent 4 5 7" xfId="15587"/>
    <cellStyle name="Percent 4 5 7 2" xfId="23602"/>
    <cellStyle name="Percent 4 5 7 2 2" xfId="37627"/>
    <cellStyle name="Percent 4 5 7 3" xfId="29616"/>
    <cellStyle name="Percent 4 5 8" xfId="17593"/>
    <cellStyle name="Percent 4 5 8 2" xfId="31618"/>
    <cellStyle name="Percent 4 5 9" xfId="19595"/>
    <cellStyle name="Percent 4 5 9 2" xfId="33620"/>
    <cellStyle name="Percent 4 6" xfId="9523"/>
    <cellStyle name="Percent 4 6 2" xfId="9524"/>
    <cellStyle name="Percent 4 6 2 2" xfId="9525"/>
    <cellStyle name="Percent 4 6 2 2 2" xfId="13584"/>
    <cellStyle name="Percent 4 6 2 2 2 2" xfId="21609"/>
    <cellStyle name="Percent 4 6 2 2 2 2 2" xfId="35634"/>
    <cellStyle name="Percent 4 6 2 2 2 3" xfId="27623"/>
    <cellStyle name="Percent 4 6 2 2 3" xfId="15599"/>
    <cellStyle name="Percent 4 6 2 2 3 2" xfId="23614"/>
    <cellStyle name="Percent 4 6 2 2 3 2 2" xfId="37639"/>
    <cellStyle name="Percent 4 6 2 2 3 3" xfId="29628"/>
    <cellStyle name="Percent 4 6 2 2 4" xfId="17605"/>
    <cellStyle name="Percent 4 6 2 2 4 2" xfId="31630"/>
    <cellStyle name="Percent 4 6 2 2 5" xfId="19607"/>
    <cellStyle name="Percent 4 6 2 2 5 2" xfId="33632"/>
    <cellStyle name="Percent 4 6 2 2 6" xfId="25621"/>
    <cellStyle name="Percent 4 6 2 3" xfId="13583"/>
    <cellStyle name="Percent 4 6 2 3 2" xfId="21608"/>
    <cellStyle name="Percent 4 6 2 3 2 2" xfId="35633"/>
    <cellStyle name="Percent 4 6 2 3 3" xfId="27622"/>
    <cellStyle name="Percent 4 6 2 4" xfId="15598"/>
    <cellStyle name="Percent 4 6 2 4 2" xfId="23613"/>
    <cellStyle name="Percent 4 6 2 4 2 2" xfId="37638"/>
    <cellStyle name="Percent 4 6 2 4 3" xfId="29627"/>
    <cellStyle name="Percent 4 6 2 5" xfId="17604"/>
    <cellStyle name="Percent 4 6 2 5 2" xfId="31629"/>
    <cellStyle name="Percent 4 6 2 6" xfId="19606"/>
    <cellStyle name="Percent 4 6 2 6 2" xfId="33631"/>
    <cellStyle name="Percent 4 6 2 7" xfId="25620"/>
    <cellStyle name="Percent 4 6 3" xfId="9526"/>
    <cellStyle name="Percent 4 6 3 2" xfId="13585"/>
    <cellStyle name="Percent 4 6 3 2 2" xfId="21610"/>
    <cellStyle name="Percent 4 6 3 2 2 2" xfId="35635"/>
    <cellStyle name="Percent 4 6 3 2 3" xfId="27624"/>
    <cellStyle name="Percent 4 6 3 3" xfId="15600"/>
    <cellStyle name="Percent 4 6 3 3 2" xfId="23615"/>
    <cellStyle name="Percent 4 6 3 3 2 2" xfId="37640"/>
    <cellStyle name="Percent 4 6 3 3 3" xfId="29629"/>
    <cellStyle name="Percent 4 6 3 4" xfId="17606"/>
    <cellStyle name="Percent 4 6 3 4 2" xfId="31631"/>
    <cellStyle name="Percent 4 6 3 5" xfId="19608"/>
    <cellStyle name="Percent 4 6 3 5 2" xfId="33633"/>
    <cellStyle name="Percent 4 6 3 6" xfId="25622"/>
    <cellStyle name="Percent 4 6 4" xfId="13582"/>
    <cellStyle name="Percent 4 6 4 2" xfId="21607"/>
    <cellStyle name="Percent 4 6 4 2 2" xfId="35632"/>
    <cellStyle name="Percent 4 6 4 3" xfId="27621"/>
    <cellStyle name="Percent 4 6 5" xfId="15597"/>
    <cellStyle name="Percent 4 6 5 2" xfId="23612"/>
    <cellStyle name="Percent 4 6 5 2 2" xfId="37637"/>
    <cellStyle name="Percent 4 6 5 3" xfId="29626"/>
    <cellStyle name="Percent 4 6 6" xfId="17603"/>
    <cellStyle name="Percent 4 6 6 2" xfId="31628"/>
    <cellStyle name="Percent 4 6 7" xfId="19605"/>
    <cellStyle name="Percent 4 6 7 2" xfId="33630"/>
    <cellStyle name="Percent 4 6 8" xfId="25619"/>
    <cellStyle name="Percent 4 7" xfId="9527"/>
    <cellStyle name="Percent 4 7 2" xfId="9528"/>
    <cellStyle name="Percent 4 7 2 2" xfId="13587"/>
    <cellStyle name="Percent 4 7 2 2 2" xfId="21612"/>
    <cellStyle name="Percent 4 7 2 2 2 2" xfId="35637"/>
    <cellStyle name="Percent 4 7 2 2 3" xfId="27626"/>
    <cellStyle name="Percent 4 7 2 3" xfId="15602"/>
    <cellStyle name="Percent 4 7 2 3 2" xfId="23617"/>
    <cellStyle name="Percent 4 7 2 3 2 2" xfId="37642"/>
    <cellStyle name="Percent 4 7 2 3 3" xfId="29631"/>
    <cellStyle name="Percent 4 7 2 4" xfId="17608"/>
    <cellStyle name="Percent 4 7 2 4 2" xfId="31633"/>
    <cellStyle name="Percent 4 7 2 5" xfId="19610"/>
    <cellStyle name="Percent 4 7 2 5 2" xfId="33635"/>
    <cellStyle name="Percent 4 7 2 6" xfId="25624"/>
    <cellStyle name="Percent 4 7 3" xfId="13586"/>
    <cellStyle name="Percent 4 7 3 2" xfId="21611"/>
    <cellStyle name="Percent 4 7 3 2 2" xfId="35636"/>
    <cellStyle name="Percent 4 7 3 3" xfId="27625"/>
    <cellStyle name="Percent 4 7 4" xfId="15601"/>
    <cellStyle name="Percent 4 7 4 2" xfId="23616"/>
    <cellStyle name="Percent 4 7 4 2 2" xfId="37641"/>
    <cellStyle name="Percent 4 7 4 3" xfId="29630"/>
    <cellStyle name="Percent 4 7 5" xfId="17607"/>
    <cellStyle name="Percent 4 7 5 2" xfId="31632"/>
    <cellStyle name="Percent 4 7 6" xfId="19609"/>
    <cellStyle name="Percent 4 7 6 2" xfId="33634"/>
    <cellStyle name="Percent 4 7 7" xfId="25623"/>
    <cellStyle name="Percent 4 8" xfId="9529"/>
    <cellStyle name="Percent 4 8 2" xfId="9530"/>
    <cellStyle name="Percent 4 8 2 2" xfId="13589"/>
    <cellStyle name="Percent 4 8 2 2 2" xfId="21614"/>
    <cellStyle name="Percent 4 8 2 2 2 2" xfId="35639"/>
    <cellStyle name="Percent 4 8 2 2 3" xfId="27628"/>
    <cellStyle name="Percent 4 8 2 3" xfId="15604"/>
    <cellStyle name="Percent 4 8 2 3 2" xfId="23619"/>
    <cellStyle name="Percent 4 8 2 3 2 2" xfId="37644"/>
    <cellStyle name="Percent 4 8 2 3 3" xfId="29633"/>
    <cellStyle name="Percent 4 8 2 4" xfId="17610"/>
    <cellStyle name="Percent 4 8 2 4 2" xfId="31635"/>
    <cellStyle name="Percent 4 8 2 5" xfId="19612"/>
    <cellStyle name="Percent 4 8 2 5 2" xfId="33637"/>
    <cellStyle name="Percent 4 8 2 6" xfId="25626"/>
    <cellStyle name="Percent 4 8 3" xfId="13588"/>
    <cellStyle name="Percent 4 8 3 2" xfId="21613"/>
    <cellStyle name="Percent 4 8 3 2 2" xfId="35638"/>
    <cellStyle name="Percent 4 8 3 3" xfId="27627"/>
    <cellStyle name="Percent 4 8 4" xfId="15603"/>
    <cellStyle name="Percent 4 8 4 2" xfId="23618"/>
    <cellStyle name="Percent 4 8 4 2 2" xfId="37643"/>
    <cellStyle name="Percent 4 8 4 3" xfId="29632"/>
    <cellStyle name="Percent 4 8 5" xfId="17609"/>
    <cellStyle name="Percent 4 8 5 2" xfId="31634"/>
    <cellStyle name="Percent 4 8 6" xfId="19611"/>
    <cellStyle name="Percent 4 8 6 2" xfId="33636"/>
    <cellStyle name="Percent 4 8 7" xfId="25625"/>
    <cellStyle name="Percent 4 9" xfId="9531"/>
    <cellStyle name="Percent 4 9 2" xfId="13590"/>
    <cellStyle name="Percent 4 9 2 2" xfId="21615"/>
    <cellStyle name="Percent 4 9 2 2 2" xfId="35640"/>
    <cellStyle name="Percent 4 9 2 3" xfId="27629"/>
    <cellStyle name="Percent 4 9 3" xfId="15605"/>
    <cellStyle name="Percent 4 9 3 2" xfId="23620"/>
    <cellStyle name="Percent 4 9 3 2 2" xfId="37645"/>
    <cellStyle name="Percent 4 9 3 3" xfId="29634"/>
    <cellStyle name="Percent 4 9 4" xfId="17611"/>
    <cellStyle name="Percent 4 9 4 2" xfId="31636"/>
    <cellStyle name="Percent 4 9 5" xfId="19613"/>
    <cellStyle name="Percent 4 9 5 2" xfId="33638"/>
    <cellStyle name="Percent 4 9 6" xfId="25627"/>
    <cellStyle name="Percent 5" xfId="684"/>
    <cellStyle name="Percent 6" xfId="9532"/>
    <cellStyle name="Percent 6 10" xfId="17612"/>
    <cellStyle name="Percent 6 10 2" xfId="31637"/>
    <cellStyle name="Percent 6 11" xfId="19614"/>
    <cellStyle name="Percent 6 11 2" xfId="33639"/>
    <cellStyle name="Percent 6 12" xfId="25628"/>
    <cellStyle name="Percent 6 2" xfId="9533"/>
    <cellStyle name="Percent 6 2 10" xfId="19615"/>
    <cellStyle name="Percent 6 2 10 2" xfId="33640"/>
    <cellStyle name="Percent 6 2 11" xfId="25629"/>
    <cellStyle name="Percent 6 2 2" xfId="9534"/>
    <cellStyle name="Percent 6 2 2 10" xfId="25630"/>
    <cellStyle name="Percent 6 2 2 2" xfId="9535"/>
    <cellStyle name="Percent 6 2 2 2 2" xfId="9536"/>
    <cellStyle name="Percent 6 2 2 2 2 2" xfId="9537"/>
    <cellStyle name="Percent 6 2 2 2 2 2 2" xfId="13596"/>
    <cellStyle name="Percent 6 2 2 2 2 2 2 2" xfId="21621"/>
    <cellStyle name="Percent 6 2 2 2 2 2 2 2 2" xfId="35646"/>
    <cellStyle name="Percent 6 2 2 2 2 2 2 3" xfId="27635"/>
    <cellStyle name="Percent 6 2 2 2 2 2 3" xfId="15611"/>
    <cellStyle name="Percent 6 2 2 2 2 2 3 2" xfId="23626"/>
    <cellStyle name="Percent 6 2 2 2 2 2 3 2 2" xfId="37651"/>
    <cellStyle name="Percent 6 2 2 2 2 2 3 3" xfId="29640"/>
    <cellStyle name="Percent 6 2 2 2 2 2 4" xfId="17617"/>
    <cellStyle name="Percent 6 2 2 2 2 2 4 2" xfId="31642"/>
    <cellStyle name="Percent 6 2 2 2 2 2 5" xfId="19619"/>
    <cellStyle name="Percent 6 2 2 2 2 2 5 2" xfId="33644"/>
    <cellStyle name="Percent 6 2 2 2 2 2 6" xfId="25633"/>
    <cellStyle name="Percent 6 2 2 2 2 3" xfId="13595"/>
    <cellStyle name="Percent 6 2 2 2 2 3 2" xfId="21620"/>
    <cellStyle name="Percent 6 2 2 2 2 3 2 2" xfId="35645"/>
    <cellStyle name="Percent 6 2 2 2 2 3 3" xfId="27634"/>
    <cellStyle name="Percent 6 2 2 2 2 4" xfId="15610"/>
    <cellStyle name="Percent 6 2 2 2 2 4 2" xfId="23625"/>
    <cellStyle name="Percent 6 2 2 2 2 4 2 2" xfId="37650"/>
    <cellStyle name="Percent 6 2 2 2 2 4 3" xfId="29639"/>
    <cellStyle name="Percent 6 2 2 2 2 5" xfId="17616"/>
    <cellStyle name="Percent 6 2 2 2 2 5 2" xfId="31641"/>
    <cellStyle name="Percent 6 2 2 2 2 6" xfId="19618"/>
    <cellStyle name="Percent 6 2 2 2 2 6 2" xfId="33643"/>
    <cellStyle name="Percent 6 2 2 2 2 7" xfId="25632"/>
    <cellStyle name="Percent 6 2 2 2 3" xfId="9538"/>
    <cellStyle name="Percent 6 2 2 2 3 2" xfId="13597"/>
    <cellStyle name="Percent 6 2 2 2 3 2 2" xfId="21622"/>
    <cellStyle name="Percent 6 2 2 2 3 2 2 2" xfId="35647"/>
    <cellStyle name="Percent 6 2 2 2 3 2 3" xfId="27636"/>
    <cellStyle name="Percent 6 2 2 2 3 3" xfId="15612"/>
    <cellStyle name="Percent 6 2 2 2 3 3 2" xfId="23627"/>
    <cellStyle name="Percent 6 2 2 2 3 3 2 2" xfId="37652"/>
    <cellStyle name="Percent 6 2 2 2 3 3 3" xfId="29641"/>
    <cellStyle name="Percent 6 2 2 2 3 4" xfId="17618"/>
    <cellStyle name="Percent 6 2 2 2 3 4 2" xfId="31643"/>
    <cellStyle name="Percent 6 2 2 2 3 5" xfId="19620"/>
    <cellStyle name="Percent 6 2 2 2 3 5 2" xfId="33645"/>
    <cellStyle name="Percent 6 2 2 2 3 6" xfId="25634"/>
    <cellStyle name="Percent 6 2 2 2 4" xfId="13594"/>
    <cellStyle name="Percent 6 2 2 2 4 2" xfId="21619"/>
    <cellStyle name="Percent 6 2 2 2 4 2 2" xfId="35644"/>
    <cellStyle name="Percent 6 2 2 2 4 3" xfId="27633"/>
    <cellStyle name="Percent 6 2 2 2 5" xfId="15609"/>
    <cellStyle name="Percent 6 2 2 2 5 2" xfId="23624"/>
    <cellStyle name="Percent 6 2 2 2 5 2 2" xfId="37649"/>
    <cellStyle name="Percent 6 2 2 2 5 3" xfId="29638"/>
    <cellStyle name="Percent 6 2 2 2 6" xfId="17615"/>
    <cellStyle name="Percent 6 2 2 2 6 2" xfId="31640"/>
    <cellStyle name="Percent 6 2 2 2 7" xfId="19617"/>
    <cellStyle name="Percent 6 2 2 2 7 2" xfId="33642"/>
    <cellStyle name="Percent 6 2 2 2 8" xfId="25631"/>
    <cellStyle name="Percent 6 2 2 3" xfId="9539"/>
    <cellStyle name="Percent 6 2 2 3 2" xfId="9540"/>
    <cellStyle name="Percent 6 2 2 3 2 2" xfId="13599"/>
    <cellStyle name="Percent 6 2 2 3 2 2 2" xfId="21624"/>
    <cellStyle name="Percent 6 2 2 3 2 2 2 2" xfId="35649"/>
    <cellStyle name="Percent 6 2 2 3 2 2 3" xfId="27638"/>
    <cellStyle name="Percent 6 2 2 3 2 3" xfId="15614"/>
    <cellStyle name="Percent 6 2 2 3 2 3 2" xfId="23629"/>
    <cellStyle name="Percent 6 2 2 3 2 3 2 2" xfId="37654"/>
    <cellStyle name="Percent 6 2 2 3 2 3 3" xfId="29643"/>
    <cellStyle name="Percent 6 2 2 3 2 4" xfId="17620"/>
    <cellStyle name="Percent 6 2 2 3 2 4 2" xfId="31645"/>
    <cellStyle name="Percent 6 2 2 3 2 5" xfId="19622"/>
    <cellStyle name="Percent 6 2 2 3 2 5 2" xfId="33647"/>
    <cellStyle name="Percent 6 2 2 3 2 6" xfId="25636"/>
    <cellStyle name="Percent 6 2 2 3 3" xfId="13598"/>
    <cellStyle name="Percent 6 2 2 3 3 2" xfId="21623"/>
    <cellStyle name="Percent 6 2 2 3 3 2 2" xfId="35648"/>
    <cellStyle name="Percent 6 2 2 3 3 3" xfId="27637"/>
    <cellStyle name="Percent 6 2 2 3 4" xfId="15613"/>
    <cellStyle name="Percent 6 2 2 3 4 2" xfId="23628"/>
    <cellStyle name="Percent 6 2 2 3 4 2 2" xfId="37653"/>
    <cellStyle name="Percent 6 2 2 3 4 3" xfId="29642"/>
    <cellStyle name="Percent 6 2 2 3 5" xfId="17619"/>
    <cellStyle name="Percent 6 2 2 3 5 2" xfId="31644"/>
    <cellStyle name="Percent 6 2 2 3 6" xfId="19621"/>
    <cellStyle name="Percent 6 2 2 3 6 2" xfId="33646"/>
    <cellStyle name="Percent 6 2 2 3 7" xfId="25635"/>
    <cellStyle name="Percent 6 2 2 4" xfId="9541"/>
    <cellStyle name="Percent 6 2 2 4 2" xfId="9542"/>
    <cellStyle name="Percent 6 2 2 4 2 2" xfId="13601"/>
    <cellStyle name="Percent 6 2 2 4 2 2 2" xfId="21626"/>
    <cellStyle name="Percent 6 2 2 4 2 2 2 2" xfId="35651"/>
    <cellStyle name="Percent 6 2 2 4 2 2 3" xfId="27640"/>
    <cellStyle name="Percent 6 2 2 4 2 3" xfId="15616"/>
    <cellStyle name="Percent 6 2 2 4 2 3 2" xfId="23631"/>
    <cellStyle name="Percent 6 2 2 4 2 3 2 2" xfId="37656"/>
    <cellStyle name="Percent 6 2 2 4 2 3 3" xfId="29645"/>
    <cellStyle name="Percent 6 2 2 4 2 4" xfId="17622"/>
    <cellStyle name="Percent 6 2 2 4 2 4 2" xfId="31647"/>
    <cellStyle name="Percent 6 2 2 4 2 5" xfId="19624"/>
    <cellStyle name="Percent 6 2 2 4 2 5 2" xfId="33649"/>
    <cellStyle name="Percent 6 2 2 4 2 6" xfId="25638"/>
    <cellStyle name="Percent 6 2 2 4 3" xfId="13600"/>
    <cellStyle name="Percent 6 2 2 4 3 2" xfId="21625"/>
    <cellStyle name="Percent 6 2 2 4 3 2 2" xfId="35650"/>
    <cellStyle name="Percent 6 2 2 4 3 3" xfId="27639"/>
    <cellStyle name="Percent 6 2 2 4 4" xfId="15615"/>
    <cellStyle name="Percent 6 2 2 4 4 2" xfId="23630"/>
    <cellStyle name="Percent 6 2 2 4 4 2 2" xfId="37655"/>
    <cellStyle name="Percent 6 2 2 4 4 3" xfId="29644"/>
    <cellStyle name="Percent 6 2 2 4 5" xfId="17621"/>
    <cellStyle name="Percent 6 2 2 4 5 2" xfId="31646"/>
    <cellStyle name="Percent 6 2 2 4 6" xfId="19623"/>
    <cellStyle name="Percent 6 2 2 4 6 2" xfId="33648"/>
    <cellStyle name="Percent 6 2 2 4 7" xfId="25637"/>
    <cellStyle name="Percent 6 2 2 5" xfId="9543"/>
    <cellStyle name="Percent 6 2 2 5 2" xfId="13602"/>
    <cellStyle name="Percent 6 2 2 5 2 2" xfId="21627"/>
    <cellStyle name="Percent 6 2 2 5 2 2 2" xfId="35652"/>
    <cellStyle name="Percent 6 2 2 5 2 3" xfId="27641"/>
    <cellStyle name="Percent 6 2 2 5 3" xfId="15617"/>
    <cellStyle name="Percent 6 2 2 5 3 2" xfId="23632"/>
    <cellStyle name="Percent 6 2 2 5 3 2 2" xfId="37657"/>
    <cellStyle name="Percent 6 2 2 5 3 3" xfId="29646"/>
    <cellStyle name="Percent 6 2 2 5 4" xfId="17623"/>
    <cellStyle name="Percent 6 2 2 5 4 2" xfId="31648"/>
    <cellStyle name="Percent 6 2 2 5 5" xfId="19625"/>
    <cellStyle name="Percent 6 2 2 5 5 2" xfId="33650"/>
    <cellStyle name="Percent 6 2 2 5 6" xfId="25639"/>
    <cellStyle name="Percent 6 2 2 6" xfId="13593"/>
    <cellStyle name="Percent 6 2 2 6 2" xfId="21618"/>
    <cellStyle name="Percent 6 2 2 6 2 2" xfId="35643"/>
    <cellStyle name="Percent 6 2 2 6 3" xfId="27632"/>
    <cellStyle name="Percent 6 2 2 7" xfId="15608"/>
    <cellStyle name="Percent 6 2 2 7 2" xfId="23623"/>
    <cellStyle name="Percent 6 2 2 7 2 2" xfId="37648"/>
    <cellStyle name="Percent 6 2 2 7 3" xfId="29637"/>
    <cellStyle name="Percent 6 2 2 8" xfId="17614"/>
    <cellStyle name="Percent 6 2 2 8 2" xfId="31639"/>
    <cellStyle name="Percent 6 2 2 9" xfId="19616"/>
    <cellStyle name="Percent 6 2 2 9 2" xfId="33641"/>
    <cellStyle name="Percent 6 2 3" xfId="9544"/>
    <cellStyle name="Percent 6 2 3 2" xfId="9545"/>
    <cellStyle name="Percent 6 2 3 2 2" xfId="9546"/>
    <cellStyle name="Percent 6 2 3 2 2 2" xfId="13605"/>
    <cellStyle name="Percent 6 2 3 2 2 2 2" xfId="21630"/>
    <cellStyle name="Percent 6 2 3 2 2 2 2 2" xfId="35655"/>
    <cellStyle name="Percent 6 2 3 2 2 2 3" xfId="27644"/>
    <cellStyle name="Percent 6 2 3 2 2 3" xfId="15620"/>
    <cellStyle name="Percent 6 2 3 2 2 3 2" xfId="23635"/>
    <cellStyle name="Percent 6 2 3 2 2 3 2 2" xfId="37660"/>
    <cellStyle name="Percent 6 2 3 2 2 3 3" xfId="29649"/>
    <cellStyle name="Percent 6 2 3 2 2 4" xfId="17626"/>
    <cellStyle name="Percent 6 2 3 2 2 4 2" xfId="31651"/>
    <cellStyle name="Percent 6 2 3 2 2 5" xfId="19628"/>
    <cellStyle name="Percent 6 2 3 2 2 5 2" xfId="33653"/>
    <cellStyle name="Percent 6 2 3 2 2 6" xfId="25642"/>
    <cellStyle name="Percent 6 2 3 2 3" xfId="13604"/>
    <cellStyle name="Percent 6 2 3 2 3 2" xfId="21629"/>
    <cellStyle name="Percent 6 2 3 2 3 2 2" xfId="35654"/>
    <cellStyle name="Percent 6 2 3 2 3 3" xfId="27643"/>
    <cellStyle name="Percent 6 2 3 2 4" xfId="15619"/>
    <cellStyle name="Percent 6 2 3 2 4 2" xfId="23634"/>
    <cellStyle name="Percent 6 2 3 2 4 2 2" xfId="37659"/>
    <cellStyle name="Percent 6 2 3 2 4 3" xfId="29648"/>
    <cellStyle name="Percent 6 2 3 2 5" xfId="17625"/>
    <cellStyle name="Percent 6 2 3 2 5 2" xfId="31650"/>
    <cellStyle name="Percent 6 2 3 2 6" xfId="19627"/>
    <cellStyle name="Percent 6 2 3 2 6 2" xfId="33652"/>
    <cellStyle name="Percent 6 2 3 2 7" xfId="25641"/>
    <cellStyle name="Percent 6 2 3 3" xfId="9547"/>
    <cellStyle name="Percent 6 2 3 3 2" xfId="13606"/>
    <cellStyle name="Percent 6 2 3 3 2 2" xfId="21631"/>
    <cellStyle name="Percent 6 2 3 3 2 2 2" xfId="35656"/>
    <cellStyle name="Percent 6 2 3 3 2 3" xfId="27645"/>
    <cellStyle name="Percent 6 2 3 3 3" xfId="15621"/>
    <cellStyle name="Percent 6 2 3 3 3 2" xfId="23636"/>
    <cellStyle name="Percent 6 2 3 3 3 2 2" xfId="37661"/>
    <cellStyle name="Percent 6 2 3 3 3 3" xfId="29650"/>
    <cellStyle name="Percent 6 2 3 3 4" xfId="17627"/>
    <cellStyle name="Percent 6 2 3 3 4 2" xfId="31652"/>
    <cellStyle name="Percent 6 2 3 3 5" xfId="19629"/>
    <cellStyle name="Percent 6 2 3 3 5 2" xfId="33654"/>
    <cellStyle name="Percent 6 2 3 3 6" xfId="25643"/>
    <cellStyle name="Percent 6 2 3 4" xfId="13603"/>
    <cellStyle name="Percent 6 2 3 4 2" xfId="21628"/>
    <cellStyle name="Percent 6 2 3 4 2 2" xfId="35653"/>
    <cellStyle name="Percent 6 2 3 4 3" xfId="27642"/>
    <cellStyle name="Percent 6 2 3 5" xfId="15618"/>
    <cellStyle name="Percent 6 2 3 5 2" xfId="23633"/>
    <cellStyle name="Percent 6 2 3 5 2 2" xfId="37658"/>
    <cellStyle name="Percent 6 2 3 5 3" xfId="29647"/>
    <cellStyle name="Percent 6 2 3 6" xfId="17624"/>
    <cellStyle name="Percent 6 2 3 6 2" xfId="31649"/>
    <cellStyle name="Percent 6 2 3 7" xfId="19626"/>
    <cellStyle name="Percent 6 2 3 7 2" xfId="33651"/>
    <cellStyle name="Percent 6 2 3 8" xfId="25640"/>
    <cellStyle name="Percent 6 2 4" xfId="9548"/>
    <cellStyle name="Percent 6 2 4 2" xfId="9549"/>
    <cellStyle name="Percent 6 2 4 2 2" xfId="13608"/>
    <cellStyle name="Percent 6 2 4 2 2 2" xfId="21633"/>
    <cellStyle name="Percent 6 2 4 2 2 2 2" xfId="35658"/>
    <cellStyle name="Percent 6 2 4 2 2 3" xfId="27647"/>
    <cellStyle name="Percent 6 2 4 2 3" xfId="15623"/>
    <cellStyle name="Percent 6 2 4 2 3 2" xfId="23638"/>
    <cellStyle name="Percent 6 2 4 2 3 2 2" xfId="37663"/>
    <cellStyle name="Percent 6 2 4 2 3 3" xfId="29652"/>
    <cellStyle name="Percent 6 2 4 2 4" xfId="17629"/>
    <cellStyle name="Percent 6 2 4 2 4 2" xfId="31654"/>
    <cellStyle name="Percent 6 2 4 2 5" xfId="19631"/>
    <cellStyle name="Percent 6 2 4 2 5 2" xfId="33656"/>
    <cellStyle name="Percent 6 2 4 2 6" xfId="25645"/>
    <cellStyle name="Percent 6 2 4 3" xfId="13607"/>
    <cellStyle name="Percent 6 2 4 3 2" xfId="21632"/>
    <cellStyle name="Percent 6 2 4 3 2 2" xfId="35657"/>
    <cellStyle name="Percent 6 2 4 3 3" xfId="27646"/>
    <cellStyle name="Percent 6 2 4 4" xfId="15622"/>
    <cellStyle name="Percent 6 2 4 4 2" xfId="23637"/>
    <cellStyle name="Percent 6 2 4 4 2 2" xfId="37662"/>
    <cellStyle name="Percent 6 2 4 4 3" xfId="29651"/>
    <cellStyle name="Percent 6 2 4 5" xfId="17628"/>
    <cellStyle name="Percent 6 2 4 5 2" xfId="31653"/>
    <cellStyle name="Percent 6 2 4 6" xfId="19630"/>
    <cellStyle name="Percent 6 2 4 6 2" xfId="33655"/>
    <cellStyle name="Percent 6 2 4 7" xfId="25644"/>
    <cellStyle name="Percent 6 2 5" xfId="9550"/>
    <cellStyle name="Percent 6 2 5 2" xfId="9551"/>
    <cellStyle name="Percent 6 2 5 2 2" xfId="13610"/>
    <cellStyle name="Percent 6 2 5 2 2 2" xfId="21635"/>
    <cellStyle name="Percent 6 2 5 2 2 2 2" xfId="35660"/>
    <cellStyle name="Percent 6 2 5 2 2 3" xfId="27649"/>
    <cellStyle name="Percent 6 2 5 2 3" xfId="15625"/>
    <cellStyle name="Percent 6 2 5 2 3 2" xfId="23640"/>
    <cellStyle name="Percent 6 2 5 2 3 2 2" xfId="37665"/>
    <cellStyle name="Percent 6 2 5 2 3 3" xfId="29654"/>
    <cellStyle name="Percent 6 2 5 2 4" xfId="17631"/>
    <cellStyle name="Percent 6 2 5 2 4 2" xfId="31656"/>
    <cellStyle name="Percent 6 2 5 2 5" xfId="19633"/>
    <cellStyle name="Percent 6 2 5 2 5 2" xfId="33658"/>
    <cellStyle name="Percent 6 2 5 2 6" xfId="25647"/>
    <cellStyle name="Percent 6 2 5 3" xfId="13609"/>
    <cellStyle name="Percent 6 2 5 3 2" xfId="21634"/>
    <cellStyle name="Percent 6 2 5 3 2 2" xfId="35659"/>
    <cellStyle name="Percent 6 2 5 3 3" xfId="27648"/>
    <cellStyle name="Percent 6 2 5 4" xfId="15624"/>
    <cellStyle name="Percent 6 2 5 4 2" xfId="23639"/>
    <cellStyle name="Percent 6 2 5 4 2 2" xfId="37664"/>
    <cellStyle name="Percent 6 2 5 4 3" xfId="29653"/>
    <cellStyle name="Percent 6 2 5 5" xfId="17630"/>
    <cellStyle name="Percent 6 2 5 5 2" xfId="31655"/>
    <cellStyle name="Percent 6 2 5 6" xfId="19632"/>
    <cellStyle name="Percent 6 2 5 6 2" xfId="33657"/>
    <cellStyle name="Percent 6 2 5 7" xfId="25646"/>
    <cellStyle name="Percent 6 2 6" xfId="9552"/>
    <cellStyle name="Percent 6 2 6 2" xfId="13611"/>
    <cellStyle name="Percent 6 2 6 2 2" xfId="21636"/>
    <cellStyle name="Percent 6 2 6 2 2 2" xfId="35661"/>
    <cellStyle name="Percent 6 2 6 2 3" xfId="27650"/>
    <cellStyle name="Percent 6 2 6 3" xfId="15626"/>
    <cellStyle name="Percent 6 2 6 3 2" xfId="23641"/>
    <cellStyle name="Percent 6 2 6 3 2 2" xfId="37666"/>
    <cellStyle name="Percent 6 2 6 3 3" xfId="29655"/>
    <cellStyle name="Percent 6 2 6 4" xfId="17632"/>
    <cellStyle name="Percent 6 2 6 4 2" xfId="31657"/>
    <cellStyle name="Percent 6 2 6 5" xfId="19634"/>
    <cellStyle name="Percent 6 2 6 5 2" xfId="33659"/>
    <cellStyle name="Percent 6 2 6 6" xfId="25648"/>
    <cellStyle name="Percent 6 2 7" xfId="13592"/>
    <cellStyle name="Percent 6 2 7 2" xfId="21617"/>
    <cellStyle name="Percent 6 2 7 2 2" xfId="35642"/>
    <cellStyle name="Percent 6 2 7 3" xfId="27631"/>
    <cellStyle name="Percent 6 2 8" xfId="15607"/>
    <cellStyle name="Percent 6 2 8 2" xfId="23622"/>
    <cellStyle name="Percent 6 2 8 2 2" xfId="37647"/>
    <cellStyle name="Percent 6 2 8 3" xfId="29636"/>
    <cellStyle name="Percent 6 2 9" xfId="17613"/>
    <cellStyle name="Percent 6 2 9 2" xfId="31638"/>
    <cellStyle name="Percent 6 3" xfId="9553"/>
    <cellStyle name="Percent 6 3 10" xfId="25649"/>
    <cellStyle name="Percent 6 3 2" xfId="9554"/>
    <cellStyle name="Percent 6 3 2 2" xfId="9555"/>
    <cellStyle name="Percent 6 3 2 2 2" xfId="9556"/>
    <cellStyle name="Percent 6 3 2 2 2 2" xfId="13615"/>
    <cellStyle name="Percent 6 3 2 2 2 2 2" xfId="21640"/>
    <cellStyle name="Percent 6 3 2 2 2 2 2 2" xfId="35665"/>
    <cellStyle name="Percent 6 3 2 2 2 2 3" xfId="27654"/>
    <cellStyle name="Percent 6 3 2 2 2 3" xfId="15630"/>
    <cellStyle name="Percent 6 3 2 2 2 3 2" xfId="23645"/>
    <cellStyle name="Percent 6 3 2 2 2 3 2 2" xfId="37670"/>
    <cellStyle name="Percent 6 3 2 2 2 3 3" xfId="29659"/>
    <cellStyle name="Percent 6 3 2 2 2 4" xfId="17636"/>
    <cellStyle name="Percent 6 3 2 2 2 4 2" xfId="31661"/>
    <cellStyle name="Percent 6 3 2 2 2 5" xfId="19638"/>
    <cellStyle name="Percent 6 3 2 2 2 5 2" xfId="33663"/>
    <cellStyle name="Percent 6 3 2 2 2 6" xfId="25652"/>
    <cellStyle name="Percent 6 3 2 2 3" xfId="13614"/>
    <cellStyle name="Percent 6 3 2 2 3 2" xfId="21639"/>
    <cellStyle name="Percent 6 3 2 2 3 2 2" xfId="35664"/>
    <cellStyle name="Percent 6 3 2 2 3 3" xfId="27653"/>
    <cellStyle name="Percent 6 3 2 2 4" xfId="15629"/>
    <cellStyle name="Percent 6 3 2 2 4 2" xfId="23644"/>
    <cellStyle name="Percent 6 3 2 2 4 2 2" xfId="37669"/>
    <cellStyle name="Percent 6 3 2 2 4 3" xfId="29658"/>
    <cellStyle name="Percent 6 3 2 2 5" xfId="17635"/>
    <cellStyle name="Percent 6 3 2 2 5 2" xfId="31660"/>
    <cellStyle name="Percent 6 3 2 2 6" xfId="19637"/>
    <cellStyle name="Percent 6 3 2 2 6 2" xfId="33662"/>
    <cellStyle name="Percent 6 3 2 2 7" xfId="25651"/>
    <cellStyle name="Percent 6 3 2 3" xfId="9557"/>
    <cellStyle name="Percent 6 3 2 3 2" xfId="13616"/>
    <cellStyle name="Percent 6 3 2 3 2 2" xfId="21641"/>
    <cellStyle name="Percent 6 3 2 3 2 2 2" xfId="35666"/>
    <cellStyle name="Percent 6 3 2 3 2 3" xfId="27655"/>
    <cellStyle name="Percent 6 3 2 3 3" xfId="15631"/>
    <cellStyle name="Percent 6 3 2 3 3 2" xfId="23646"/>
    <cellStyle name="Percent 6 3 2 3 3 2 2" xfId="37671"/>
    <cellStyle name="Percent 6 3 2 3 3 3" xfId="29660"/>
    <cellStyle name="Percent 6 3 2 3 4" xfId="17637"/>
    <cellStyle name="Percent 6 3 2 3 4 2" xfId="31662"/>
    <cellStyle name="Percent 6 3 2 3 5" xfId="19639"/>
    <cellStyle name="Percent 6 3 2 3 5 2" xfId="33664"/>
    <cellStyle name="Percent 6 3 2 3 6" xfId="25653"/>
    <cellStyle name="Percent 6 3 2 4" xfId="13613"/>
    <cellStyle name="Percent 6 3 2 4 2" xfId="21638"/>
    <cellStyle name="Percent 6 3 2 4 2 2" xfId="35663"/>
    <cellStyle name="Percent 6 3 2 4 3" xfId="27652"/>
    <cellStyle name="Percent 6 3 2 5" xfId="15628"/>
    <cellStyle name="Percent 6 3 2 5 2" xfId="23643"/>
    <cellStyle name="Percent 6 3 2 5 2 2" xfId="37668"/>
    <cellStyle name="Percent 6 3 2 5 3" xfId="29657"/>
    <cellStyle name="Percent 6 3 2 6" xfId="17634"/>
    <cellStyle name="Percent 6 3 2 6 2" xfId="31659"/>
    <cellStyle name="Percent 6 3 2 7" xfId="19636"/>
    <cellStyle name="Percent 6 3 2 7 2" xfId="33661"/>
    <cellStyle name="Percent 6 3 2 8" xfId="25650"/>
    <cellStyle name="Percent 6 3 3" xfId="9558"/>
    <cellStyle name="Percent 6 3 3 2" xfId="9559"/>
    <cellStyle name="Percent 6 3 3 2 2" xfId="13618"/>
    <cellStyle name="Percent 6 3 3 2 2 2" xfId="21643"/>
    <cellStyle name="Percent 6 3 3 2 2 2 2" xfId="35668"/>
    <cellStyle name="Percent 6 3 3 2 2 3" xfId="27657"/>
    <cellStyle name="Percent 6 3 3 2 3" xfId="15633"/>
    <cellStyle name="Percent 6 3 3 2 3 2" xfId="23648"/>
    <cellStyle name="Percent 6 3 3 2 3 2 2" xfId="37673"/>
    <cellStyle name="Percent 6 3 3 2 3 3" xfId="29662"/>
    <cellStyle name="Percent 6 3 3 2 4" xfId="17639"/>
    <cellStyle name="Percent 6 3 3 2 4 2" xfId="31664"/>
    <cellStyle name="Percent 6 3 3 2 5" xfId="19641"/>
    <cellStyle name="Percent 6 3 3 2 5 2" xfId="33666"/>
    <cellStyle name="Percent 6 3 3 2 6" xfId="25655"/>
    <cellStyle name="Percent 6 3 3 3" xfId="13617"/>
    <cellStyle name="Percent 6 3 3 3 2" xfId="21642"/>
    <cellStyle name="Percent 6 3 3 3 2 2" xfId="35667"/>
    <cellStyle name="Percent 6 3 3 3 3" xfId="27656"/>
    <cellStyle name="Percent 6 3 3 4" xfId="15632"/>
    <cellStyle name="Percent 6 3 3 4 2" xfId="23647"/>
    <cellStyle name="Percent 6 3 3 4 2 2" xfId="37672"/>
    <cellStyle name="Percent 6 3 3 4 3" xfId="29661"/>
    <cellStyle name="Percent 6 3 3 5" xfId="17638"/>
    <cellStyle name="Percent 6 3 3 5 2" xfId="31663"/>
    <cellStyle name="Percent 6 3 3 6" xfId="19640"/>
    <cellStyle name="Percent 6 3 3 6 2" xfId="33665"/>
    <cellStyle name="Percent 6 3 3 7" xfId="25654"/>
    <cellStyle name="Percent 6 3 4" xfId="9560"/>
    <cellStyle name="Percent 6 3 4 2" xfId="9561"/>
    <cellStyle name="Percent 6 3 4 2 2" xfId="13620"/>
    <cellStyle name="Percent 6 3 4 2 2 2" xfId="21645"/>
    <cellStyle name="Percent 6 3 4 2 2 2 2" xfId="35670"/>
    <cellStyle name="Percent 6 3 4 2 2 3" xfId="27659"/>
    <cellStyle name="Percent 6 3 4 2 3" xfId="15635"/>
    <cellStyle name="Percent 6 3 4 2 3 2" xfId="23650"/>
    <cellStyle name="Percent 6 3 4 2 3 2 2" xfId="37675"/>
    <cellStyle name="Percent 6 3 4 2 3 3" xfId="29664"/>
    <cellStyle name="Percent 6 3 4 2 4" xfId="17641"/>
    <cellStyle name="Percent 6 3 4 2 4 2" xfId="31666"/>
    <cellStyle name="Percent 6 3 4 2 5" xfId="19643"/>
    <cellStyle name="Percent 6 3 4 2 5 2" xfId="33668"/>
    <cellStyle name="Percent 6 3 4 2 6" xfId="25657"/>
    <cellStyle name="Percent 6 3 4 3" xfId="13619"/>
    <cellStyle name="Percent 6 3 4 3 2" xfId="21644"/>
    <cellStyle name="Percent 6 3 4 3 2 2" xfId="35669"/>
    <cellStyle name="Percent 6 3 4 3 3" xfId="27658"/>
    <cellStyle name="Percent 6 3 4 4" xfId="15634"/>
    <cellStyle name="Percent 6 3 4 4 2" xfId="23649"/>
    <cellStyle name="Percent 6 3 4 4 2 2" xfId="37674"/>
    <cellStyle name="Percent 6 3 4 4 3" xfId="29663"/>
    <cellStyle name="Percent 6 3 4 5" xfId="17640"/>
    <cellStyle name="Percent 6 3 4 5 2" xfId="31665"/>
    <cellStyle name="Percent 6 3 4 6" xfId="19642"/>
    <cellStyle name="Percent 6 3 4 6 2" xfId="33667"/>
    <cellStyle name="Percent 6 3 4 7" xfId="25656"/>
    <cellStyle name="Percent 6 3 5" xfId="9562"/>
    <cellStyle name="Percent 6 3 5 2" xfId="13621"/>
    <cellStyle name="Percent 6 3 5 2 2" xfId="21646"/>
    <cellStyle name="Percent 6 3 5 2 2 2" xfId="35671"/>
    <cellStyle name="Percent 6 3 5 2 3" xfId="27660"/>
    <cellStyle name="Percent 6 3 5 3" xfId="15636"/>
    <cellStyle name="Percent 6 3 5 3 2" xfId="23651"/>
    <cellStyle name="Percent 6 3 5 3 2 2" xfId="37676"/>
    <cellStyle name="Percent 6 3 5 3 3" xfId="29665"/>
    <cellStyle name="Percent 6 3 5 4" xfId="17642"/>
    <cellStyle name="Percent 6 3 5 4 2" xfId="31667"/>
    <cellStyle name="Percent 6 3 5 5" xfId="19644"/>
    <cellStyle name="Percent 6 3 5 5 2" xfId="33669"/>
    <cellStyle name="Percent 6 3 5 6" xfId="25658"/>
    <cellStyle name="Percent 6 3 6" xfId="13612"/>
    <cellStyle name="Percent 6 3 6 2" xfId="21637"/>
    <cellStyle name="Percent 6 3 6 2 2" xfId="35662"/>
    <cellStyle name="Percent 6 3 6 3" xfId="27651"/>
    <cellStyle name="Percent 6 3 7" xfId="15627"/>
    <cellStyle name="Percent 6 3 7 2" xfId="23642"/>
    <cellStyle name="Percent 6 3 7 2 2" xfId="37667"/>
    <cellStyle name="Percent 6 3 7 3" xfId="29656"/>
    <cellStyle name="Percent 6 3 8" xfId="17633"/>
    <cellStyle name="Percent 6 3 8 2" xfId="31658"/>
    <cellStyle name="Percent 6 3 9" xfId="19635"/>
    <cellStyle name="Percent 6 3 9 2" xfId="33660"/>
    <cellStyle name="Percent 6 4" xfId="9563"/>
    <cellStyle name="Percent 6 4 2" xfId="9564"/>
    <cellStyle name="Percent 6 4 2 2" xfId="9565"/>
    <cellStyle name="Percent 6 4 2 2 2" xfId="13624"/>
    <cellStyle name="Percent 6 4 2 2 2 2" xfId="21649"/>
    <cellStyle name="Percent 6 4 2 2 2 2 2" xfId="35674"/>
    <cellStyle name="Percent 6 4 2 2 2 3" xfId="27663"/>
    <cellStyle name="Percent 6 4 2 2 3" xfId="15639"/>
    <cellStyle name="Percent 6 4 2 2 3 2" xfId="23654"/>
    <cellStyle name="Percent 6 4 2 2 3 2 2" xfId="37679"/>
    <cellStyle name="Percent 6 4 2 2 3 3" xfId="29668"/>
    <cellStyle name="Percent 6 4 2 2 4" xfId="17645"/>
    <cellStyle name="Percent 6 4 2 2 4 2" xfId="31670"/>
    <cellStyle name="Percent 6 4 2 2 5" xfId="19647"/>
    <cellStyle name="Percent 6 4 2 2 5 2" xfId="33672"/>
    <cellStyle name="Percent 6 4 2 2 6" xfId="25661"/>
    <cellStyle name="Percent 6 4 2 3" xfId="13623"/>
    <cellStyle name="Percent 6 4 2 3 2" xfId="21648"/>
    <cellStyle name="Percent 6 4 2 3 2 2" xfId="35673"/>
    <cellStyle name="Percent 6 4 2 3 3" xfId="27662"/>
    <cellStyle name="Percent 6 4 2 4" xfId="15638"/>
    <cellStyle name="Percent 6 4 2 4 2" xfId="23653"/>
    <cellStyle name="Percent 6 4 2 4 2 2" xfId="37678"/>
    <cellStyle name="Percent 6 4 2 4 3" xfId="29667"/>
    <cellStyle name="Percent 6 4 2 5" xfId="17644"/>
    <cellStyle name="Percent 6 4 2 5 2" xfId="31669"/>
    <cellStyle name="Percent 6 4 2 6" xfId="19646"/>
    <cellStyle name="Percent 6 4 2 6 2" xfId="33671"/>
    <cellStyle name="Percent 6 4 2 7" xfId="25660"/>
    <cellStyle name="Percent 6 4 3" xfId="9566"/>
    <cellStyle name="Percent 6 4 3 2" xfId="13625"/>
    <cellStyle name="Percent 6 4 3 2 2" xfId="21650"/>
    <cellStyle name="Percent 6 4 3 2 2 2" xfId="35675"/>
    <cellStyle name="Percent 6 4 3 2 3" xfId="27664"/>
    <cellStyle name="Percent 6 4 3 3" xfId="15640"/>
    <cellStyle name="Percent 6 4 3 3 2" xfId="23655"/>
    <cellStyle name="Percent 6 4 3 3 2 2" xfId="37680"/>
    <cellStyle name="Percent 6 4 3 3 3" xfId="29669"/>
    <cellStyle name="Percent 6 4 3 4" xfId="17646"/>
    <cellStyle name="Percent 6 4 3 4 2" xfId="31671"/>
    <cellStyle name="Percent 6 4 3 5" xfId="19648"/>
    <cellStyle name="Percent 6 4 3 5 2" xfId="33673"/>
    <cellStyle name="Percent 6 4 3 6" xfId="25662"/>
    <cellStyle name="Percent 6 4 4" xfId="13622"/>
    <cellStyle name="Percent 6 4 4 2" xfId="21647"/>
    <cellStyle name="Percent 6 4 4 2 2" xfId="35672"/>
    <cellStyle name="Percent 6 4 4 3" xfId="27661"/>
    <cellStyle name="Percent 6 4 5" xfId="15637"/>
    <cellStyle name="Percent 6 4 5 2" xfId="23652"/>
    <cellStyle name="Percent 6 4 5 2 2" xfId="37677"/>
    <cellStyle name="Percent 6 4 5 3" xfId="29666"/>
    <cellStyle name="Percent 6 4 6" xfId="17643"/>
    <cellStyle name="Percent 6 4 6 2" xfId="31668"/>
    <cellStyle name="Percent 6 4 7" xfId="19645"/>
    <cellStyle name="Percent 6 4 7 2" xfId="33670"/>
    <cellStyle name="Percent 6 4 8" xfId="25659"/>
    <cellStyle name="Percent 6 5" xfId="9567"/>
    <cellStyle name="Percent 6 5 2" xfId="9568"/>
    <cellStyle name="Percent 6 5 2 2" xfId="13627"/>
    <cellStyle name="Percent 6 5 2 2 2" xfId="21652"/>
    <cellStyle name="Percent 6 5 2 2 2 2" xfId="35677"/>
    <cellStyle name="Percent 6 5 2 2 3" xfId="27666"/>
    <cellStyle name="Percent 6 5 2 3" xfId="15642"/>
    <cellStyle name="Percent 6 5 2 3 2" xfId="23657"/>
    <cellStyle name="Percent 6 5 2 3 2 2" xfId="37682"/>
    <cellStyle name="Percent 6 5 2 3 3" xfId="29671"/>
    <cellStyle name="Percent 6 5 2 4" xfId="17648"/>
    <cellStyle name="Percent 6 5 2 4 2" xfId="31673"/>
    <cellStyle name="Percent 6 5 2 5" xfId="19650"/>
    <cellStyle name="Percent 6 5 2 5 2" xfId="33675"/>
    <cellStyle name="Percent 6 5 2 6" xfId="25664"/>
    <cellStyle name="Percent 6 5 3" xfId="13626"/>
    <cellStyle name="Percent 6 5 3 2" xfId="21651"/>
    <cellStyle name="Percent 6 5 3 2 2" xfId="35676"/>
    <cellStyle name="Percent 6 5 3 3" xfId="27665"/>
    <cellStyle name="Percent 6 5 4" xfId="15641"/>
    <cellStyle name="Percent 6 5 4 2" xfId="23656"/>
    <cellStyle name="Percent 6 5 4 2 2" xfId="37681"/>
    <cellStyle name="Percent 6 5 4 3" xfId="29670"/>
    <cellStyle name="Percent 6 5 5" xfId="17647"/>
    <cellStyle name="Percent 6 5 5 2" xfId="31672"/>
    <cellStyle name="Percent 6 5 6" xfId="19649"/>
    <cellStyle name="Percent 6 5 6 2" xfId="33674"/>
    <cellStyle name="Percent 6 5 7" xfId="25663"/>
    <cellStyle name="Percent 6 6" xfId="9569"/>
    <cellStyle name="Percent 6 6 2" xfId="9570"/>
    <cellStyle name="Percent 6 6 2 2" xfId="13629"/>
    <cellStyle name="Percent 6 6 2 2 2" xfId="21654"/>
    <cellStyle name="Percent 6 6 2 2 2 2" xfId="35679"/>
    <cellStyle name="Percent 6 6 2 2 3" xfId="27668"/>
    <cellStyle name="Percent 6 6 2 3" xfId="15644"/>
    <cellStyle name="Percent 6 6 2 3 2" xfId="23659"/>
    <cellStyle name="Percent 6 6 2 3 2 2" xfId="37684"/>
    <cellStyle name="Percent 6 6 2 3 3" xfId="29673"/>
    <cellStyle name="Percent 6 6 2 4" xfId="17650"/>
    <cellStyle name="Percent 6 6 2 4 2" xfId="31675"/>
    <cellStyle name="Percent 6 6 2 5" xfId="19652"/>
    <cellStyle name="Percent 6 6 2 5 2" xfId="33677"/>
    <cellStyle name="Percent 6 6 2 6" xfId="25666"/>
    <cellStyle name="Percent 6 6 3" xfId="13628"/>
    <cellStyle name="Percent 6 6 3 2" xfId="21653"/>
    <cellStyle name="Percent 6 6 3 2 2" xfId="35678"/>
    <cellStyle name="Percent 6 6 3 3" xfId="27667"/>
    <cellStyle name="Percent 6 6 4" xfId="15643"/>
    <cellStyle name="Percent 6 6 4 2" xfId="23658"/>
    <cellStyle name="Percent 6 6 4 2 2" xfId="37683"/>
    <cellStyle name="Percent 6 6 4 3" xfId="29672"/>
    <cellStyle name="Percent 6 6 5" xfId="17649"/>
    <cellStyle name="Percent 6 6 5 2" xfId="31674"/>
    <cellStyle name="Percent 6 6 6" xfId="19651"/>
    <cellStyle name="Percent 6 6 6 2" xfId="33676"/>
    <cellStyle name="Percent 6 6 7" xfId="25665"/>
    <cellStyle name="Percent 6 7" xfId="9571"/>
    <cellStyle name="Percent 6 7 2" xfId="13630"/>
    <cellStyle name="Percent 6 7 2 2" xfId="21655"/>
    <cellStyle name="Percent 6 7 2 2 2" xfId="35680"/>
    <cellStyle name="Percent 6 7 2 3" xfId="27669"/>
    <cellStyle name="Percent 6 7 3" xfId="15645"/>
    <cellStyle name="Percent 6 7 3 2" xfId="23660"/>
    <cellStyle name="Percent 6 7 3 2 2" xfId="37685"/>
    <cellStyle name="Percent 6 7 3 3" xfId="29674"/>
    <cellStyle name="Percent 6 7 4" xfId="17651"/>
    <cellStyle name="Percent 6 7 4 2" xfId="31676"/>
    <cellStyle name="Percent 6 7 5" xfId="19653"/>
    <cellStyle name="Percent 6 7 5 2" xfId="33678"/>
    <cellStyle name="Percent 6 7 6" xfId="25667"/>
    <cellStyle name="Percent 6 8" xfId="13591"/>
    <cellStyle name="Percent 6 8 2" xfId="21616"/>
    <cellStyle name="Percent 6 8 2 2" xfId="35641"/>
    <cellStyle name="Percent 6 8 3" xfId="27630"/>
    <cellStyle name="Percent 6 9" xfId="15606"/>
    <cellStyle name="Percent 6 9 2" xfId="23621"/>
    <cellStyle name="Percent 6 9 2 2" xfId="37646"/>
    <cellStyle name="Percent 6 9 3" xfId="29635"/>
    <cellStyle name="Percent 7" xfId="9572"/>
    <cellStyle name="Percent 7 2" xfId="9573"/>
    <cellStyle name="Percent 8" xfId="9574"/>
    <cellStyle name="Percent 9" xfId="11273"/>
    <cellStyle name="PSChar" xfId="685"/>
    <cellStyle name="PSChar 2" xfId="686"/>
    <cellStyle name="PSDate" xfId="687"/>
    <cellStyle name="PSDec" xfId="688"/>
    <cellStyle name="PSDec 2" xfId="689"/>
    <cellStyle name="PSHeading" xfId="690"/>
    <cellStyle name="PSHeading 2" xfId="9575"/>
    <cellStyle name="PSInt" xfId="691"/>
    <cellStyle name="PSSpacer" xfId="692"/>
    <cellStyle name="RowLevel_" xfId="693"/>
    <cellStyle name="SAPBEXaggData" xfId="9576"/>
    <cellStyle name="SAPBEXaggDataEmph" xfId="9577"/>
    <cellStyle name="SAPBEXaggItem" xfId="9578"/>
    <cellStyle name="SAPBEXaggItem 2" xfId="9579"/>
    <cellStyle name="SAPBEXaggItem 3" xfId="9580"/>
    <cellStyle name="SAPBEXaggItem 4" xfId="9581"/>
    <cellStyle name="SAPBEXaggItem 5" xfId="9582"/>
    <cellStyle name="SAPBEXaggItem 6" xfId="9583"/>
    <cellStyle name="SAPBEXaggItem_Copy of xSAPtemp5457" xfId="9584"/>
    <cellStyle name="SAPBEXaggItemX" xfId="9585"/>
    <cellStyle name="SAPBEXchaText" xfId="694"/>
    <cellStyle name="SAPBEXchaText 2" xfId="9586"/>
    <cellStyle name="SAPBEXchaText 2 10" xfId="9587"/>
    <cellStyle name="SAPBEXchaText 2 10 2" xfId="9588"/>
    <cellStyle name="SAPBEXchaText 2 11" xfId="9589"/>
    <cellStyle name="SAPBEXchaText 2 11 2" xfId="9590"/>
    <cellStyle name="SAPBEXchaText 2 12" xfId="9591"/>
    <cellStyle name="SAPBEXchaText 2 12 2" xfId="9592"/>
    <cellStyle name="SAPBEXchaText 2 13" xfId="9593"/>
    <cellStyle name="SAPBEXchaText 2 2" xfId="9594"/>
    <cellStyle name="SAPBEXchaText 2 2 2" xfId="9595"/>
    <cellStyle name="SAPBEXchaText 2 2 2 2" xfId="9596"/>
    <cellStyle name="SAPBEXchaText 2 2 2 2 2" xfId="9597"/>
    <cellStyle name="SAPBEXchaText 2 2 2 3" xfId="9598"/>
    <cellStyle name="SAPBEXchaText 2 2 3" xfId="9599"/>
    <cellStyle name="SAPBEXchaText 2 2 3 2" xfId="9600"/>
    <cellStyle name="SAPBEXchaText 2 2 3 2 2" xfId="9601"/>
    <cellStyle name="SAPBEXchaText 2 2 3 3" xfId="9602"/>
    <cellStyle name="SAPBEXchaText 2 2 4" xfId="9603"/>
    <cellStyle name="SAPBEXchaText 2 2 4 2" xfId="9604"/>
    <cellStyle name="SAPBEXchaText 2 2 5" xfId="9605"/>
    <cellStyle name="SAPBEXchaText 2 2 5 2" xfId="9606"/>
    <cellStyle name="SAPBEXchaText 2 2 6" xfId="9607"/>
    <cellStyle name="SAPBEXchaText 2 2 6 2" xfId="9608"/>
    <cellStyle name="SAPBEXchaText 2 2 7" xfId="9609"/>
    <cellStyle name="SAPBEXchaText 2 2 7 2" xfId="9610"/>
    <cellStyle name="SAPBEXchaText 2 2 8" xfId="9611"/>
    <cellStyle name="SAPBEXchaText 2 3" xfId="9612"/>
    <cellStyle name="SAPBEXchaText 2 3 10" xfId="9613"/>
    <cellStyle name="SAPBEXchaText 2 3 10 2" xfId="9614"/>
    <cellStyle name="SAPBEXchaText 2 3 11" xfId="9615"/>
    <cellStyle name="SAPBEXchaText 2 3 2" xfId="9616"/>
    <cellStyle name="SAPBEXchaText 2 3 2 2" xfId="9617"/>
    <cellStyle name="SAPBEXchaText 2 3 2 2 2" xfId="9618"/>
    <cellStyle name="SAPBEXchaText 2 3 2 3" xfId="9619"/>
    <cellStyle name="SAPBEXchaText 2 3 3" xfId="9620"/>
    <cellStyle name="SAPBEXchaText 2 3 3 2" xfId="9621"/>
    <cellStyle name="SAPBEXchaText 2 3 4" xfId="9622"/>
    <cellStyle name="SAPBEXchaText 2 3 4 2" xfId="9623"/>
    <cellStyle name="SAPBEXchaText 2 3 5" xfId="9624"/>
    <cellStyle name="SAPBEXchaText 2 3 5 2" xfId="9625"/>
    <cellStyle name="SAPBEXchaText 2 3 6" xfId="9626"/>
    <cellStyle name="SAPBEXchaText 2 3 6 2" xfId="9627"/>
    <cellStyle name="SAPBEXchaText 2 3 7" xfId="9628"/>
    <cellStyle name="SAPBEXchaText 2 3 7 2" xfId="9629"/>
    <cellStyle name="SAPBEXchaText 2 3 8" xfId="9630"/>
    <cellStyle name="SAPBEXchaText 2 3 8 2" xfId="9631"/>
    <cellStyle name="SAPBEXchaText 2 3 9" xfId="9632"/>
    <cellStyle name="SAPBEXchaText 2 3 9 2" xfId="9633"/>
    <cellStyle name="SAPBEXchaText 2 4" xfId="9634"/>
    <cellStyle name="SAPBEXchaText 2 4 10" xfId="9635"/>
    <cellStyle name="SAPBEXchaText 2 4 10 2" xfId="9636"/>
    <cellStyle name="SAPBEXchaText 2 4 11" xfId="9637"/>
    <cellStyle name="SAPBEXchaText 2 4 2" xfId="9638"/>
    <cellStyle name="SAPBEXchaText 2 4 2 2" xfId="9639"/>
    <cellStyle name="SAPBEXchaText 2 4 2 2 2" xfId="9640"/>
    <cellStyle name="SAPBEXchaText 2 4 2 3" xfId="9641"/>
    <cellStyle name="SAPBEXchaText 2 4 3" xfId="9642"/>
    <cellStyle name="SAPBEXchaText 2 4 3 2" xfId="9643"/>
    <cellStyle name="SAPBEXchaText 2 4 4" xfId="9644"/>
    <cellStyle name="SAPBEXchaText 2 4 4 2" xfId="9645"/>
    <cellStyle name="SAPBEXchaText 2 4 5" xfId="9646"/>
    <cellStyle name="SAPBEXchaText 2 4 5 2" xfId="9647"/>
    <cellStyle name="SAPBEXchaText 2 4 6" xfId="9648"/>
    <cellStyle name="SAPBEXchaText 2 4 6 2" xfId="9649"/>
    <cellStyle name="SAPBEXchaText 2 4 7" xfId="9650"/>
    <cellStyle name="SAPBEXchaText 2 4 7 2" xfId="9651"/>
    <cellStyle name="SAPBEXchaText 2 4 8" xfId="9652"/>
    <cellStyle name="SAPBEXchaText 2 4 8 2" xfId="9653"/>
    <cellStyle name="SAPBEXchaText 2 4 9" xfId="9654"/>
    <cellStyle name="SAPBEXchaText 2 4 9 2" xfId="9655"/>
    <cellStyle name="SAPBEXchaText 2 5" xfId="9656"/>
    <cellStyle name="SAPBEXchaText 2 5 10" xfId="9657"/>
    <cellStyle name="SAPBEXchaText 2 5 10 2" xfId="9658"/>
    <cellStyle name="SAPBEXchaText 2 5 11" xfId="9659"/>
    <cellStyle name="SAPBEXchaText 2 5 2" xfId="9660"/>
    <cellStyle name="SAPBEXchaText 2 5 2 2" xfId="9661"/>
    <cellStyle name="SAPBEXchaText 2 5 2 2 2" xfId="9662"/>
    <cellStyle name="SAPBEXchaText 2 5 2 3" xfId="9663"/>
    <cellStyle name="SAPBEXchaText 2 5 3" xfId="9664"/>
    <cellStyle name="SAPBEXchaText 2 5 3 2" xfId="9665"/>
    <cellStyle name="SAPBEXchaText 2 5 4" xfId="9666"/>
    <cellStyle name="SAPBEXchaText 2 5 4 2" xfId="9667"/>
    <cellStyle name="SAPBEXchaText 2 5 5" xfId="9668"/>
    <cellStyle name="SAPBEXchaText 2 5 5 2" xfId="9669"/>
    <cellStyle name="SAPBEXchaText 2 5 6" xfId="9670"/>
    <cellStyle name="SAPBEXchaText 2 5 6 2" xfId="9671"/>
    <cellStyle name="SAPBEXchaText 2 5 7" xfId="9672"/>
    <cellStyle name="SAPBEXchaText 2 5 7 2" xfId="9673"/>
    <cellStyle name="SAPBEXchaText 2 5 8" xfId="9674"/>
    <cellStyle name="SAPBEXchaText 2 5 8 2" xfId="9675"/>
    <cellStyle name="SAPBEXchaText 2 5 9" xfId="9676"/>
    <cellStyle name="SAPBEXchaText 2 5 9 2" xfId="9677"/>
    <cellStyle name="SAPBEXchaText 2 6" xfId="9678"/>
    <cellStyle name="SAPBEXchaText 2 6 10" xfId="9679"/>
    <cellStyle name="SAPBEXchaText 2 6 10 2" xfId="9680"/>
    <cellStyle name="SAPBEXchaText 2 6 11" xfId="9681"/>
    <cellStyle name="SAPBEXchaText 2 6 2" xfId="9682"/>
    <cellStyle name="SAPBEXchaText 2 6 2 2" xfId="9683"/>
    <cellStyle name="SAPBEXchaText 2 6 2 2 2" xfId="9684"/>
    <cellStyle name="SAPBEXchaText 2 6 2 3" xfId="9685"/>
    <cellStyle name="SAPBEXchaText 2 6 3" xfId="9686"/>
    <cellStyle name="SAPBEXchaText 2 6 3 2" xfId="9687"/>
    <cellStyle name="SAPBEXchaText 2 6 4" xfId="9688"/>
    <cellStyle name="SAPBEXchaText 2 6 4 2" xfId="9689"/>
    <cellStyle name="SAPBEXchaText 2 6 5" xfId="9690"/>
    <cellStyle name="SAPBEXchaText 2 6 5 2" xfId="9691"/>
    <cellStyle name="SAPBEXchaText 2 6 6" xfId="9692"/>
    <cellStyle name="SAPBEXchaText 2 6 6 2" xfId="9693"/>
    <cellStyle name="SAPBEXchaText 2 6 7" xfId="9694"/>
    <cellStyle name="SAPBEXchaText 2 6 7 2" xfId="9695"/>
    <cellStyle name="SAPBEXchaText 2 6 8" xfId="9696"/>
    <cellStyle name="SAPBEXchaText 2 6 8 2" xfId="9697"/>
    <cellStyle name="SAPBEXchaText 2 6 9" xfId="9698"/>
    <cellStyle name="SAPBEXchaText 2 6 9 2" xfId="9699"/>
    <cellStyle name="SAPBEXchaText 2 7" xfId="9700"/>
    <cellStyle name="SAPBEXchaText 2 7 2" xfId="9701"/>
    <cellStyle name="SAPBEXchaText 2 7 2 2" xfId="9702"/>
    <cellStyle name="SAPBEXchaText 2 7 3" xfId="9703"/>
    <cellStyle name="SAPBEXchaText 2 8" xfId="9704"/>
    <cellStyle name="SAPBEXchaText 2 8 2" xfId="9705"/>
    <cellStyle name="SAPBEXchaText 2 9" xfId="9706"/>
    <cellStyle name="SAPBEXchaText 2 9 2" xfId="9707"/>
    <cellStyle name="SAPBEXchaText 3" xfId="9708"/>
    <cellStyle name="SAPBEXchaText 3 10" xfId="9709"/>
    <cellStyle name="SAPBEXchaText 3 10 2" xfId="9710"/>
    <cellStyle name="SAPBEXchaText 3 11" xfId="9711"/>
    <cellStyle name="SAPBEXchaText 3 11 2" xfId="9712"/>
    <cellStyle name="SAPBEXchaText 3 12" xfId="9713"/>
    <cellStyle name="SAPBEXchaText 3 12 2" xfId="9714"/>
    <cellStyle name="SAPBEXchaText 3 13" xfId="9715"/>
    <cellStyle name="SAPBEXchaText 3 2" xfId="9716"/>
    <cellStyle name="SAPBEXchaText 3 2 2" xfId="9717"/>
    <cellStyle name="SAPBEXchaText 3 2 2 2" xfId="9718"/>
    <cellStyle name="SAPBEXchaText 3 2 2 2 2" xfId="9719"/>
    <cellStyle name="SAPBEXchaText 3 2 2 3" xfId="9720"/>
    <cellStyle name="SAPBEXchaText 3 2 3" xfId="9721"/>
    <cellStyle name="SAPBEXchaText 3 2 3 2" xfId="9722"/>
    <cellStyle name="SAPBEXchaText 3 2 3 2 2" xfId="9723"/>
    <cellStyle name="SAPBEXchaText 3 2 3 3" xfId="9724"/>
    <cellStyle name="SAPBEXchaText 3 2 4" xfId="9725"/>
    <cellStyle name="SAPBEXchaText 3 2 4 2" xfId="9726"/>
    <cellStyle name="SAPBEXchaText 3 2 5" xfId="9727"/>
    <cellStyle name="SAPBEXchaText 3 2 5 2" xfId="9728"/>
    <cellStyle name="SAPBEXchaText 3 2 6" xfId="9729"/>
    <cellStyle name="SAPBEXchaText 3 2 6 2" xfId="9730"/>
    <cellStyle name="SAPBEXchaText 3 2 7" xfId="9731"/>
    <cellStyle name="SAPBEXchaText 3 2 7 2" xfId="9732"/>
    <cellStyle name="SAPBEXchaText 3 2 8" xfId="9733"/>
    <cellStyle name="SAPBEXchaText 3 3" xfId="9734"/>
    <cellStyle name="SAPBEXchaText 3 3 10" xfId="9735"/>
    <cellStyle name="SAPBEXchaText 3 3 10 2" xfId="9736"/>
    <cellStyle name="SAPBEXchaText 3 3 11" xfId="9737"/>
    <cellStyle name="SAPBEXchaText 3 3 2" xfId="9738"/>
    <cellStyle name="SAPBEXchaText 3 3 2 2" xfId="9739"/>
    <cellStyle name="SAPBEXchaText 3 3 2 2 2" xfId="9740"/>
    <cellStyle name="SAPBEXchaText 3 3 2 3" xfId="9741"/>
    <cellStyle name="SAPBEXchaText 3 3 3" xfId="9742"/>
    <cellStyle name="SAPBEXchaText 3 3 3 2" xfId="9743"/>
    <cellStyle name="SAPBEXchaText 3 3 4" xfId="9744"/>
    <cellStyle name="SAPBEXchaText 3 3 4 2" xfId="9745"/>
    <cellStyle name="SAPBEXchaText 3 3 5" xfId="9746"/>
    <cellStyle name="SAPBEXchaText 3 3 5 2" xfId="9747"/>
    <cellStyle name="SAPBEXchaText 3 3 6" xfId="9748"/>
    <cellStyle name="SAPBEXchaText 3 3 6 2" xfId="9749"/>
    <cellStyle name="SAPBEXchaText 3 3 7" xfId="9750"/>
    <cellStyle name="SAPBEXchaText 3 3 7 2" xfId="9751"/>
    <cellStyle name="SAPBEXchaText 3 3 8" xfId="9752"/>
    <cellStyle name="SAPBEXchaText 3 3 8 2" xfId="9753"/>
    <cellStyle name="SAPBEXchaText 3 3 9" xfId="9754"/>
    <cellStyle name="SAPBEXchaText 3 3 9 2" xfId="9755"/>
    <cellStyle name="SAPBEXchaText 3 4" xfId="9756"/>
    <cellStyle name="SAPBEXchaText 3 4 10" xfId="9757"/>
    <cellStyle name="SAPBEXchaText 3 4 10 2" xfId="9758"/>
    <cellStyle name="SAPBEXchaText 3 4 11" xfId="9759"/>
    <cellStyle name="SAPBEXchaText 3 4 2" xfId="9760"/>
    <cellStyle name="SAPBEXchaText 3 4 2 2" xfId="9761"/>
    <cellStyle name="SAPBEXchaText 3 4 2 2 2" xfId="9762"/>
    <cellStyle name="SAPBEXchaText 3 4 2 3" xfId="9763"/>
    <cellStyle name="SAPBEXchaText 3 4 3" xfId="9764"/>
    <cellStyle name="SAPBEXchaText 3 4 3 2" xfId="9765"/>
    <cellStyle name="SAPBEXchaText 3 4 4" xfId="9766"/>
    <cellStyle name="SAPBEXchaText 3 4 4 2" xfId="9767"/>
    <cellStyle name="SAPBEXchaText 3 4 5" xfId="9768"/>
    <cellStyle name="SAPBEXchaText 3 4 5 2" xfId="9769"/>
    <cellStyle name="SAPBEXchaText 3 4 6" xfId="9770"/>
    <cellStyle name="SAPBEXchaText 3 4 6 2" xfId="9771"/>
    <cellStyle name="SAPBEXchaText 3 4 7" xfId="9772"/>
    <cellStyle name="SAPBEXchaText 3 4 7 2" xfId="9773"/>
    <cellStyle name="SAPBEXchaText 3 4 8" xfId="9774"/>
    <cellStyle name="SAPBEXchaText 3 4 8 2" xfId="9775"/>
    <cellStyle name="SAPBEXchaText 3 4 9" xfId="9776"/>
    <cellStyle name="SAPBEXchaText 3 4 9 2" xfId="9777"/>
    <cellStyle name="SAPBEXchaText 3 5" xfId="9778"/>
    <cellStyle name="SAPBEXchaText 3 5 10" xfId="9779"/>
    <cellStyle name="SAPBEXchaText 3 5 10 2" xfId="9780"/>
    <cellStyle name="SAPBEXchaText 3 5 11" xfId="9781"/>
    <cellStyle name="SAPBEXchaText 3 5 2" xfId="9782"/>
    <cellStyle name="SAPBEXchaText 3 5 2 2" xfId="9783"/>
    <cellStyle name="SAPBEXchaText 3 5 2 2 2" xfId="9784"/>
    <cellStyle name="SAPBEXchaText 3 5 2 3" xfId="9785"/>
    <cellStyle name="SAPBEXchaText 3 5 3" xfId="9786"/>
    <cellStyle name="SAPBEXchaText 3 5 3 2" xfId="9787"/>
    <cellStyle name="SAPBEXchaText 3 5 4" xfId="9788"/>
    <cellStyle name="SAPBEXchaText 3 5 4 2" xfId="9789"/>
    <cellStyle name="SAPBEXchaText 3 5 5" xfId="9790"/>
    <cellStyle name="SAPBEXchaText 3 5 5 2" xfId="9791"/>
    <cellStyle name="SAPBEXchaText 3 5 6" xfId="9792"/>
    <cellStyle name="SAPBEXchaText 3 5 6 2" xfId="9793"/>
    <cellStyle name="SAPBEXchaText 3 5 7" xfId="9794"/>
    <cellStyle name="SAPBEXchaText 3 5 7 2" xfId="9795"/>
    <cellStyle name="SAPBEXchaText 3 5 8" xfId="9796"/>
    <cellStyle name="SAPBEXchaText 3 5 8 2" xfId="9797"/>
    <cellStyle name="SAPBEXchaText 3 5 9" xfId="9798"/>
    <cellStyle name="SAPBEXchaText 3 5 9 2" xfId="9799"/>
    <cellStyle name="SAPBEXchaText 3 6" xfId="9800"/>
    <cellStyle name="SAPBEXchaText 3 6 10" xfId="9801"/>
    <cellStyle name="SAPBEXchaText 3 6 10 2" xfId="9802"/>
    <cellStyle name="SAPBEXchaText 3 6 11" xfId="9803"/>
    <cellStyle name="SAPBEXchaText 3 6 2" xfId="9804"/>
    <cellStyle name="SAPBEXchaText 3 6 2 2" xfId="9805"/>
    <cellStyle name="SAPBEXchaText 3 6 2 2 2" xfId="9806"/>
    <cellStyle name="SAPBEXchaText 3 6 2 3" xfId="9807"/>
    <cellStyle name="SAPBEXchaText 3 6 3" xfId="9808"/>
    <cellStyle name="SAPBEXchaText 3 6 3 2" xfId="9809"/>
    <cellStyle name="SAPBEXchaText 3 6 4" xfId="9810"/>
    <cellStyle name="SAPBEXchaText 3 6 4 2" xfId="9811"/>
    <cellStyle name="SAPBEXchaText 3 6 5" xfId="9812"/>
    <cellStyle name="SAPBEXchaText 3 6 5 2" xfId="9813"/>
    <cellStyle name="SAPBEXchaText 3 6 6" xfId="9814"/>
    <cellStyle name="SAPBEXchaText 3 6 6 2" xfId="9815"/>
    <cellStyle name="SAPBEXchaText 3 6 7" xfId="9816"/>
    <cellStyle name="SAPBEXchaText 3 6 7 2" xfId="9817"/>
    <cellStyle name="SAPBEXchaText 3 6 8" xfId="9818"/>
    <cellStyle name="SAPBEXchaText 3 6 8 2" xfId="9819"/>
    <cellStyle name="SAPBEXchaText 3 6 9" xfId="9820"/>
    <cellStyle name="SAPBEXchaText 3 6 9 2" xfId="9821"/>
    <cellStyle name="SAPBEXchaText 3 7" xfId="9822"/>
    <cellStyle name="SAPBEXchaText 3 7 2" xfId="9823"/>
    <cellStyle name="SAPBEXchaText 3 7 2 2" xfId="9824"/>
    <cellStyle name="SAPBEXchaText 3 7 3" xfId="9825"/>
    <cellStyle name="SAPBEXchaText 3 8" xfId="9826"/>
    <cellStyle name="SAPBEXchaText 3 8 2" xfId="9827"/>
    <cellStyle name="SAPBEXchaText 3 9" xfId="9828"/>
    <cellStyle name="SAPBEXchaText 3 9 2" xfId="9829"/>
    <cellStyle name="SAPBEXchaText 4" xfId="9830"/>
    <cellStyle name="SAPBEXchaText 4 10" xfId="9831"/>
    <cellStyle name="SAPBEXchaText 4 10 2" xfId="9832"/>
    <cellStyle name="SAPBEXchaText 4 11" xfId="9833"/>
    <cellStyle name="SAPBEXchaText 4 2" xfId="9834"/>
    <cellStyle name="SAPBEXchaText 4 2 2" xfId="9835"/>
    <cellStyle name="SAPBEXchaText 4 2 2 2" xfId="9836"/>
    <cellStyle name="SAPBEXchaText 4 2 3" xfId="9837"/>
    <cellStyle name="SAPBEXchaText 4 3" xfId="9838"/>
    <cellStyle name="SAPBEXchaText 4 3 2" xfId="9839"/>
    <cellStyle name="SAPBEXchaText 4 4" xfId="9840"/>
    <cellStyle name="SAPBEXchaText 4 4 2" xfId="9841"/>
    <cellStyle name="SAPBEXchaText 4 5" xfId="9842"/>
    <cellStyle name="SAPBEXchaText 4 5 2" xfId="9843"/>
    <cellStyle name="SAPBEXchaText 4 6" xfId="9844"/>
    <cellStyle name="SAPBEXchaText 4 6 2" xfId="9845"/>
    <cellStyle name="SAPBEXchaText 4 7" xfId="9846"/>
    <cellStyle name="SAPBEXchaText 4 7 2" xfId="9847"/>
    <cellStyle name="SAPBEXchaText 4 8" xfId="9848"/>
    <cellStyle name="SAPBEXchaText 4 8 2" xfId="9849"/>
    <cellStyle name="SAPBEXchaText 4 9" xfId="9850"/>
    <cellStyle name="SAPBEXchaText 4 9 2" xfId="9851"/>
    <cellStyle name="SAPBEXchaText 5" xfId="9852"/>
    <cellStyle name="SAPBEXchaText 5 2" xfId="9853"/>
    <cellStyle name="SAPBEXchaText 5 2 2" xfId="9854"/>
    <cellStyle name="SAPBEXchaText 5 3" xfId="9855"/>
    <cellStyle name="SAPBEXchaText 6" xfId="9856"/>
    <cellStyle name="SAPBEXchaText 6 2" xfId="9857"/>
    <cellStyle name="SAPBEXchaText 7" xfId="9858"/>
    <cellStyle name="SAPBEXchaText 7 2" xfId="9859"/>
    <cellStyle name="SAPBEXchaText 8" xfId="9860"/>
    <cellStyle name="SAPBEXchaText 9" xfId="9861"/>
    <cellStyle name="SAPBEXchaText_Copy of xSAPtemp5457" xfId="9862"/>
    <cellStyle name="SAPBEXexcBad7" xfId="9863"/>
    <cellStyle name="SAPBEXexcBad8" xfId="9864"/>
    <cellStyle name="SAPBEXexcBad9" xfId="9865"/>
    <cellStyle name="SAPBEXexcCritical4" xfId="9866"/>
    <cellStyle name="SAPBEXexcCritical5" xfId="9867"/>
    <cellStyle name="SAPBEXexcCritical6" xfId="9868"/>
    <cellStyle name="SAPBEXexcGood1" xfId="9869"/>
    <cellStyle name="SAPBEXexcGood2" xfId="9870"/>
    <cellStyle name="SAPBEXexcGood3" xfId="9871"/>
    <cellStyle name="SAPBEXfilterDrill" xfId="9872"/>
    <cellStyle name="SAPBEXfilterItem" xfId="9873"/>
    <cellStyle name="SAPBEXfilterItem 2" xfId="9874"/>
    <cellStyle name="SAPBEXfilterItem 3" xfId="9875"/>
    <cellStyle name="SAPBEXfilterItem 4" xfId="9876"/>
    <cellStyle name="SAPBEXfilterItem 5" xfId="9877"/>
    <cellStyle name="SAPBEXfilterItem 6" xfId="9878"/>
    <cellStyle name="SAPBEXfilterItem_Copy of xSAPtemp5457" xfId="9879"/>
    <cellStyle name="SAPBEXfilterText" xfId="9880"/>
    <cellStyle name="SAPBEXfilterText 2" xfId="9881"/>
    <cellStyle name="SAPBEXfilterText 3" xfId="9882"/>
    <cellStyle name="SAPBEXfilterText 4" xfId="9883"/>
    <cellStyle name="SAPBEXfilterText 5" xfId="9884"/>
    <cellStyle name="SAPBEXformats" xfId="9885"/>
    <cellStyle name="SAPBEXheaderItem" xfId="9886"/>
    <cellStyle name="SAPBEXheaderItem 2" xfId="9887"/>
    <cellStyle name="SAPBEXheaderItem 3" xfId="9888"/>
    <cellStyle name="SAPBEXheaderItem 4" xfId="9889"/>
    <cellStyle name="SAPBEXheaderItem 5" xfId="9890"/>
    <cellStyle name="SAPBEXheaderItem 6" xfId="9891"/>
    <cellStyle name="SAPBEXheaderItem 7" xfId="9892"/>
    <cellStyle name="SAPBEXheaderItem_Copy of xSAPtemp5457" xfId="9893"/>
    <cellStyle name="SAPBEXheaderText" xfId="9894"/>
    <cellStyle name="SAPBEXheaderText 2" xfId="9895"/>
    <cellStyle name="SAPBEXheaderText 3" xfId="9896"/>
    <cellStyle name="SAPBEXheaderText 4" xfId="9897"/>
    <cellStyle name="SAPBEXheaderText 5" xfId="9898"/>
    <cellStyle name="SAPBEXheaderText 6" xfId="9899"/>
    <cellStyle name="SAPBEXheaderText 7" xfId="9900"/>
    <cellStyle name="SAPBEXheaderText_Copy of xSAPtemp5457" xfId="9901"/>
    <cellStyle name="SAPBEXHLevel0" xfId="9902"/>
    <cellStyle name="SAPBEXHLevel0 2" xfId="9903"/>
    <cellStyle name="SAPBEXHLevel0 3" xfId="9904"/>
    <cellStyle name="SAPBEXHLevel0 4" xfId="9905"/>
    <cellStyle name="SAPBEXHLevel0 5" xfId="9906"/>
    <cellStyle name="SAPBEXHLevel0X" xfId="9907"/>
    <cellStyle name="SAPBEXHLevel0X 2" xfId="9908"/>
    <cellStyle name="SAPBEXHLevel0X 3" xfId="9909"/>
    <cellStyle name="SAPBEXHLevel0X 4" xfId="9910"/>
    <cellStyle name="SAPBEXHLevel0X 5" xfId="9911"/>
    <cellStyle name="SAPBEXHLevel1" xfId="9912"/>
    <cellStyle name="SAPBEXHLevel1 2" xfId="9913"/>
    <cellStyle name="SAPBEXHLevel1 3" xfId="9914"/>
    <cellStyle name="SAPBEXHLevel1 4" xfId="9915"/>
    <cellStyle name="SAPBEXHLevel1 5" xfId="9916"/>
    <cellStyle name="SAPBEXHLevel1X" xfId="9917"/>
    <cellStyle name="SAPBEXHLevel1X 2" xfId="9918"/>
    <cellStyle name="SAPBEXHLevel1X 3" xfId="9919"/>
    <cellStyle name="SAPBEXHLevel1X 4" xfId="9920"/>
    <cellStyle name="SAPBEXHLevel1X 5" xfId="9921"/>
    <cellStyle name="SAPBEXHLevel2" xfId="9922"/>
    <cellStyle name="SAPBEXHLevel2 2" xfId="9923"/>
    <cellStyle name="SAPBEXHLevel2 3" xfId="9924"/>
    <cellStyle name="SAPBEXHLevel2 4" xfId="9925"/>
    <cellStyle name="SAPBEXHLevel2 5" xfId="9926"/>
    <cellStyle name="SAPBEXHLevel2X" xfId="9927"/>
    <cellStyle name="SAPBEXHLevel2X 2" xfId="9928"/>
    <cellStyle name="SAPBEXHLevel2X 3" xfId="9929"/>
    <cellStyle name="SAPBEXHLevel2X 4" xfId="9930"/>
    <cellStyle name="SAPBEXHLevel2X 5" xfId="9931"/>
    <cellStyle name="SAPBEXHLevel3" xfId="9932"/>
    <cellStyle name="SAPBEXHLevel3 2" xfId="9933"/>
    <cellStyle name="SAPBEXHLevel3 3" xfId="9934"/>
    <cellStyle name="SAPBEXHLevel3 4" xfId="9935"/>
    <cellStyle name="SAPBEXHLevel3 5" xfId="9936"/>
    <cellStyle name="SAPBEXHLevel3X" xfId="9937"/>
    <cellStyle name="SAPBEXHLevel3X 2" xfId="9938"/>
    <cellStyle name="SAPBEXHLevel3X 3" xfId="9939"/>
    <cellStyle name="SAPBEXHLevel3X 4" xfId="9940"/>
    <cellStyle name="SAPBEXHLevel3X 5" xfId="9941"/>
    <cellStyle name="SAPBEXresData" xfId="9942"/>
    <cellStyle name="SAPBEXresDataEmph" xfId="9943"/>
    <cellStyle name="SAPBEXresItem" xfId="9944"/>
    <cellStyle name="SAPBEXresItemX" xfId="9945"/>
    <cellStyle name="SAPBEXstdData" xfId="695"/>
    <cellStyle name="SAPBEXstdData 10" xfId="9946"/>
    <cellStyle name="SAPBEXstdData 2" xfId="9947"/>
    <cellStyle name="SAPBEXstdData 2 10" xfId="9948"/>
    <cellStyle name="SAPBEXstdData 2 10 2" xfId="9949"/>
    <cellStyle name="SAPBEXstdData 2 11" xfId="9950"/>
    <cellStyle name="SAPBEXstdData 2 11 2" xfId="9951"/>
    <cellStyle name="SAPBEXstdData 2 12" xfId="9952"/>
    <cellStyle name="SAPBEXstdData 2 12 2" xfId="9953"/>
    <cellStyle name="SAPBEXstdData 2 13" xfId="9954"/>
    <cellStyle name="SAPBEXstdData 2 2" xfId="9955"/>
    <cellStyle name="SAPBEXstdData 2 2 2" xfId="9956"/>
    <cellStyle name="SAPBEXstdData 2 2 2 2" xfId="9957"/>
    <cellStyle name="SAPBEXstdData 2 2 2 2 2" xfId="9958"/>
    <cellStyle name="SAPBEXstdData 2 2 2 3" xfId="9959"/>
    <cellStyle name="SAPBEXstdData 2 2 3" xfId="9960"/>
    <cellStyle name="SAPBEXstdData 2 2 3 2" xfId="9961"/>
    <cellStyle name="SAPBEXstdData 2 2 3 2 2" xfId="9962"/>
    <cellStyle name="SAPBEXstdData 2 2 3 3" xfId="9963"/>
    <cellStyle name="SAPBEXstdData 2 2 4" xfId="9964"/>
    <cellStyle name="SAPBEXstdData 2 2 4 2" xfId="9965"/>
    <cellStyle name="SAPBEXstdData 2 2 5" xfId="9966"/>
    <cellStyle name="SAPBEXstdData 2 2 5 2" xfId="9967"/>
    <cellStyle name="SAPBEXstdData 2 2 6" xfId="9968"/>
    <cellStyle name="SAPBEXstdData 2 2 6 2" xfId="9969"/>
    <cellStyle name="SAPBEXstdData 2 2 7" xfId="9970"/>
    <cellStyle name="SAPBEXstdData 2 2 7 2" xfId="9971"/>
    <cellStyle name="SAPBEXstdData 2 2 8" xfId="9972"/>
    <cellStyle name="SAPBEXstdData 2 3" xfId="9973"/>
    <cellStyle name="SAPBEXstdData 2 3 10" xfId="9974"/>
    <cellStyle name="SAPBEXstdData 2 3 10 2" xfId="9975"/>
    <cellStyle name="SAPBEXstdData 2 3 11" xfId="9976"/>
    <cellStyle name="SAPBEXstdData 2 3 2" xfId="9977"/>
    <cellStyle name="SAPBEXstdData 2 3 2 2" xfId="9978"/>
    <cellStyle name="SAPBEXstdData 2 3 2 2 2" xfId="9979"/>
    <cellStyle name="SAPBEXstdData 2 3 2 3" xfId="9980"/>
    <cellStyle name="SAPBEXstdData 2 3 3" xfId="9981"/>
    <cellStyle name="SAPBEXstdData 2 3 3 2" xfId="9982"/>
    <cellStyle name="SAPBEXstdData 2 3 4" xfId="9983"/>
    <cellStyle name="SAPBEXstdData 2 3 4 2" xfId="9984"/>
    <cellStyle name="SAPBEXstdData 2 3 5" xfId="9985"/>
    <cellStyle name="SAPBEXstdData 2 3 5 2" xfId="9986"/>
    <cellStyle name="SAPBEXstdData 2 3 6" xfId="9987"/>
    <cellStyle name="SAPBEXstdData 2 3 6 2" xfId="9988"/>
    <cellStyle name="SAPBEXstdData 2 3 7" xfId="9989"/>
    <cellStyle name="SAPBEXstdData 2 3 7 2" xfId="9990"/>
    <cellStyle name="SAPBEXstdData 2 3 8" xfId="9991"/>
    <cellStyle name="SAPBEXstdData 2 3 8 2" xfId="9992"/>
    <cellStyle name="SAPBEXstdData 2 3 9" xfId="9993"/>
    <cellStyle name="SAPBEXstdData 2 3 9 2" xfId="9994"/>
    <cellStyle name="SAPBEXstdData 2 4" xfId="9995"/>
    <cellStyle name="SAPBEXstdData 2 4 10" xfId="9996"/>
    <cellStyle name="SAPBEXstdData 2 4 10 2" xfId="9997"/>
    <cellStyle name="SAPBEXstdData 2 4 11" xfId="9998"/>
    <cellStyle name="SAPBEXstdData 2 4 2" xfId="9999"/>
    <cellStyle name="SAPBEXstdData 2 4 2 2" xfId="10000"/>
    <cellStyle name="SAPBEXstdData 2 4 2 2 2" xfId="10001"/>
    <cellStyle name="SAPBEXstdData 2 4 2 3" xfId="10002"/>
    <cellStyle name="SAPBEXstdData 2 4 3" xfId="10003"/>
    <cellStyle name="SAPBEXstdData 2 4 3 2" xfId="10004"/>
    <cellStyle name="SAPBEXstdData 2 4 4" xfId="10005"/>
    <cellStyle name="SAPBEXstdData 2 4 4 2" xfId="10006"/>
    <cellStyle name="SAPBEXstdData 2 4 5" xfId="10007"/>
    <cellStyle name="SAPBEXstdData 2 4 5 2" xfId="10008"/>
    <cellStyle name="SAPBEXstdData 2 4 6" xfId="10009"/>
    <cellStyle name="SAPBEXstdData 2 4 6 2" xfId="10010"/>
    <cellStyle name="SAPBEXstdData 2 4 7" xfId="10011"/>
    <cellStyle name="SAPBEXstdData 2 4 7 2" xfId="10012"/>
    <cellStyle name="SAPBEXstdData 2 4 8" xfId="10013"/>
    <cellStyle name="SAPBEXstdData 2 4 8 2" xfId="10014"/>
    <cellStyle name="SAPBEXstdData 2 4 9" xfId="10015"/>
    <cellStyle name="SAPBEXstdData 2 4 9 2" xfId="10016"/>
    <cellStyle name="SAPBEXstdData 2 5" xfId="10017"/>
    <cellStyle name="SAPBEXstdData 2 5 10" xfId="10018"/>
    <cellStyle name="SAPBEXstdData 2 5 10 2" xfId="10019"/>
    <cellStyle name="SAPBEXstdData 2 5 11" xfId="10020"/>
    <cellStyle name="SAPBEXstdData 2 5 2" xfId="10021"/>
    <cellStyle name="SAPBEXstdData 2 5 2 2" xfId="10022"/>
    <cellStyle name="SAPBEXstdData 2 5 2 2 2" xfId="10023"/>
    <cellStyle name="SAPBEXstdData 2 5 2 3" xfId="10024"/>
    <cellStyle name="SAPBEXstdData 2 5 3" xfId="10025"/>
    <cellStyle name="SAPBEXstdData 2 5 3 2" xfId="10026"/>
    <cellStyle name="SAPBEXstdData 2 5 4" xfId="10027"/>
    <cellStyle name="SAPBEXstdData 2 5 4 2" xfId="10028"/>
    <cellStyle name="SAPBEXstdData 2 5 5" xfId="10029"/>
    <cellStyle name="SAPBEXstdData 2 5 5 2" xfId="10030"/>
    <cellStyle name="SAPBEXstdData 2 5 6" xfId="10031"/>
    <cellStyle name="SAPBEXstdData 2 5 6 2" xfId="10032"/>
    <cellStyle name="SAPBEXstdData 2 5 7" xfId="10033"/>
    <cellStyle name="SAPBEXstdData 2 5 7 2" xfId="10034"/>
    <cellStyle name="SAPBEXstdData 2 5 8" xfId="10035"/>
    <cellStyle name="SAPBEXstdData 2 5 8 2" xfId="10036"/>
    <cellStyle name="SAPBEXstdData 2 5 9" xfId="10037"/>
    <cellStyle name="SAPBEXstdData 2 5 9 2" xfId="10038"/>
    <cellStyle name="SAPBEXstdData 2 6" xfId="10039"/>
    <cellStyle name="SAPBEXstdData 2 6 10" xfId="10040"/>
    <cellStyle name="SAPBEXstdData 2 6 10 2" xfId="10041"/>
    <cellStyle name="SAPBEXstdData 2 6 11" xfId="10042"/>
    <cellStyle name="SAPBEXstdData 2 6 2" xfId="10043"/>
    <cellStyle name="SAPBEXstdData 2 6 2 2" xfId="10044"/>
    <cellStyle name="SAPBEXstdData 2 6 2 2 2" xfId="10045"/>
    <cellStyle name="SAPBEXstdData 2 6 2 3" xfId="10046"/>
    <cellStyle name="SAPBEXstdData 2 6 3" xfId="10047"/>
    <cellStyle name="SAPBEXstdData 2 6 3 2" xfId="10048"/>
    <cellStyle name="SAPBEXstdData 2 6 4" xfId="10049"/>
    <cellStyle name="SAPBEXstdData 2 6 4 2" xfId="10050"/>
    <cellStyle name="SAPBEXstdData 2 6 5" xfId="10051"/>
    <cellStyle name="SAPBEXstdData 2 6 5 2" xfId="10052"/>
    <cellStyle name="SAPBEXstdData 2 6 6" xfId="10053"/>
    <cellStyle name="SAPBEXstdData 2 6 6 2" xfId="10054"/>
    <cellStyle name="SAPBEXstdData 2 6 7" xfId="10055"/>
    <cellStyle name="SAPBEXstdData 2 6 7 2" xfId="10056"/>
    <cellStyle name="SAPBEXstdData 2 6 8" xfId="10057"/>
    <cellStyle name="SAPBEXstdData 2 6 8 2" xfId="10058"/>
    <cellStyle name="SAPBEXstdData 2 6 9" xfId="10059"/>
    <cellStyle name="SAPBEXstdData 2 6 9 2" xfId="10060"/>
    <cellStyle name="SAPBEXstdData 2 7" xfId="10061"/>
    <cellStyle name="SAPBEXstdData 2 7 2" xfId="10062"/>
    <cellStyle name="SAPBEXstdData 2 7 2 2" xfId="10063"/>
    <cellStyle name="SAPBEXstdData 2 7 3" xfId="10064"/>
    <cellStyle name="SAPBEXstdData 2 8" xfId="10065"/>
    <cellStyle name="SAPBEXstdData 2 8 2" xfId="10066"/>
    <cellStyle name="SAPBEXstdData 2 9" xfId="10067"/>
    <cellStyle name="SAPBEXstdData 2 9 2" xfId="10068"/>
    <cellStyle name="SAPBEXstdData 3" xfId="10069"/>
    <cellStyle name="SAPBEXstdData 3 10" xfId="10070"/>
    <cellStyle name="SAPBEXstdData 3 10 2" xfId="10071"/>
    <cellStyle name="SAPBEXstdData 3 11" xfId="10072"/>
    <cellStyle name="SAPBEXstdData 3 11 2" xfId="10073"/>
    <cellStyle name="SAPBEXstdData 3 12" xfId="10074"/>
    <cellStyle name="SAPBEXstdData 3 12 2" xfId="10075"/>
    <cellStyle name="SAPBEXstdData 3 13" xfId="10076"/>
    <cellStyle name="SAPBEXstdData 3 2" xfId="10077"/>
    <cellStyle name="SAPBEXstdData 3 2 2" xfId="10078"/>
    <cellStyle name="SAPBEXstdData 3 2 2 2" xfId="10079"/>
    <cellStyle name="SAPBEXstdData 3 2 2 2 2" xfId="10080"/>
    <cellStyle name="SAPBEXstdData 3 2 2 3" xfId="10081"/>
    <cellStyle name="SAPBEXstdData 3 2 3" xfId="10082"/>
    <cellStyle name="SAPBEXstdData 3 2 3 2" xfId="10083"/>
    <cellStyle name="SAPBEXstdData 3 2 3 2 2" xfId="10084"/>
    <cellStyle name="SAPBEXstdData 3 2 3 3" xfId="10085"/>
    <cellStyle name="SAPBEXstdData 3 2 4" xfId="10086"/>
    <cellStyle name="SAPBEXstdData 3 2 4 2" xfId="10087"/>
    <cellStyle name="SAPBEXstdData 3 2 5" xfId="10088"/>
    <cellStyle name="SAPBEXstdData 3 2 5 2" xfId="10089"/>
    <cellStyle name="SAPBEXstdData 3 2 6" xfId="10090"/>
    <cellStyle name="SAPBEXstdData 3 2 6 2" xfId="10091"/>
    <cellStyle name="SAPBEXstdData 3 2 7" xfId="10092"/>
    <cellStyle name="SAPBEXstdData 3 2 7 2" xfId="10093"/>
    <cellStyle name="SAPBEXstdData 3 2 8" xfId="10094"/>
    <cellStyle name="SAPBEXstdData 3 3" xfId="10095"/>
    <cellStyle name="SAPBEXstdData 3 3 10" xfId="10096"/>
    <cellStyle name="SAPBEXstdData 3 3 10 2" xfId="10097"/>
    <cellStyle name="SAPBEXstdData 3 3 11" xfId="10098"/>
    <cellStyle name="SAPBEXstdData 3 3 2" xfId="10099"/>
    <cellStyle name="SAPBEXstdData 3 3 2 2" xfId="10100"/>
    <cellStyle name="SAPBEXstdData 3 3 2 2 2" xfId="10101"/>
    <cellStyle name="SAPBEXstdData 3 3 2 3" xfId="10102"/>
    <cellStyle name="SAPBEXstdData 3 3 3" xfId="10103"/>
    <cellStyle name="SAPBEXstdData 3 3 3 2" xfId="10104"/>
    <cellStyle name="SAPBEXstdData 3 3 4" xfId="10105"/>
    <cellStyle name="SAPBEXstdData 3 3 4 2" xfId="10106"/>
    <cellStyle name="SAPBEXstdData 3 3 5" xfId="10107"/>
    <cellStyle name="SAPBEXstdData 3 3 5 2" xfId="10108"/>
    <cellStyle name="SAPBEXstdData 3 3 6" xfId="10109"/>
    <cellStyle name="SAPBEXstdData 3 3 6 2" xfId="10110"/>
    <cellStyle name="SAPBEXstdData 3 3 7" xfId="10111"/>
    <cellStyle name="SAPBEXstdData 3 3 7 2" xfId="10112"/>
    <cellStyle name="SAPBEXstdData 3 3 8" xfId="10113"/>
    <cellStyle name="SAPBEXstdData 3 3 8 2" xfId="10114"/>
    <cellStyle name="SAPBEXstdData 3 3 9" xfId="10115"/>
    <cellStyle name="SAPBEXstdData 3 3 9 2" xfId="10116"/>
    <cellStyle name="SAPBEXstdData 3 4" xfId="10117"/>
    <cellStyle name="SAPBEXstdData 3 4 10" xfId="10118"/>
    <cellStyle name="SAPBEXstdData 3 4 10 2" xfId="10119"/>
    <cellStyle name="SAPBEXstdData 3 4 11" xfId="10120"/>
    <cellStyle name="SAPBEXstdData 3 4 2" xfId="10121"/>
    <cellStyle name="SAPBEXstdData 3 4 2 2" xfId="10122"/>
    <cellStyle name="SAPBEXstdData 3 4 2 2 2" xfId="10123"/>
    <cellStyle name="SAPBEXstdData 3 4 2 3" xfId="10124"/>
    <cellStyle name="SAPBEXstdData 3 4 3" xfId="10125"/>
    <cellStyle name="SAPBEXstdData 3 4 3 2" xfId="10126"/>
    <cellStyle name="SAPBEXstdData 3 4 4" xfId="10127"/>
    <cellStyle name="SAPBEXstdData 3 4 4 2" xfId="10128"/>
    <cellStyle name="SAPBEXstdData 3 4 5" xfId="10129"/>
    <cellStyle name="SAPBEXstdData 3 4 5 2" xfId="10130"/>
    <cellStyle name="SAPBEXstdData 3 4 6" xfId="10131"/>
    <cellStyle name="SAPBEXstdData 3 4 6 2" xfId="10132"/>
    <cellStyle name="SAPBEXstdData 3 4 7" xfId="10133"/>
    <cellStyle name="SAPBEXstdData 3 4 7 2" xfId="10134"/>
    <cellStyle name="SAPBEXstdData 3 4 8" xfId="10135"/>
    <cellStyle name="SAPBEXstdData 3 4 8 2" xfId="10136"/>
    <cellStyle name="SAPBEXstdData 3 4 9" xfId="10137"/>
    <cellStyle name="SAPBEXstdData 3 4 9 2" xfId="10138"/>
    <cellStyle name="SAPBEXstdData 3 5" xfId="10139"/>
    <cellStyle name="SAPBEXstdData 3 5 10" xfId="10140"/>
    <cellStyle name="SAPBEXstdData 3 5 10 2" xfId="10141"/>
    <cellStyle name="SAPBEXstdData 3 5 11" xfId="10142"/>
    <cellStyle name="SAPBEXstdData 3 5 2" xfId="10143"/>
    <cellStyle name="SAPBEXstdData 3 5 2 2" xfId="10144"/>
    <cellStyle name="SAPBEXstdData 3 5 2 2 2" xfId="10145"/>
    <cellStyle name="SAPBEXstdData 3 5 2 3" xfId="10146"/>
    <cellStyle name="SAPBEXstdData 3 5 3" xfId="10147"/>
    <cellStyle name="SAPBEXstdData 3 5 3 2" xfId="10148"/>
    <cellStyle name="SAPBEXstdData 3 5 4" xfId="10149"/>
    <cellStyle name="SAPBEXstdData 3 5 4 2" xfId="10150"/>
    <cellStyle name="SAPBEXstdData 3 5 5" xfId="10151"/>
    <cellStyle name="SAPBEXstdData 3 5 5 2" xfId="10152"/>
    <cellStyle name="SAPBEXstdData 3 5 6" xfId="10153"/>
    <cellStyle name="SAPBEXstdData 3 5 6 2" xfId="10154"/>
    <cellStyle name="SAPBEXstdData 3 5 7" xfId="10155"/>
    <cellStyle name="SAPBEXstdData 3 5 7 2" xfId="10156"/>
    <cellStyle name="SAPBEXstdData 3 5 8" xfId="10157"/>
    <cellStyle name="SAPBEXstdData 3 5 8 2" xfId="10158"/>
    <cellStyle name="SAPBEXstdData 3 5 9" xfId="10159"/>
    <cellStyle name="SAPBEXstdData 3 5 9 2" xfId="10160"/>
    <cellStyle name="SAPBEXstdData 3 6" xfId="10161"/>
    <cellStyle name="SAPBEXstdData 3 6 10" xfId="10162"/>
    <cellStyle name="SAPBEXstdData 3 6 10 2" xfId="10163"/>
    <cellStyle name="SAPBEXstdData 3 6 11" xfId="10164"/>
    <cellStyle name="SAPBEXstdData 3 6 2" xfId="10165"/>
    <cellStyle name="SAPBEXstdData 3 6 2 2" xfId="10166"/>
    <cellStyle name="SAPBEXstdData 3 6 2 2 2" xfId="10167"/>
    <cellStyle name="SAPBEXstdData 3 6 2 3" xfId="10168"/>
    <cellStyle name="SAPBEXstdData 3 6 3" xfId="10169"/>
    <cellStyle name="SAPBEXstdData 3 6 3 2" xfId="10170"/>
    <cellStyle name="SAPBEXstdData 3 6 4" xfId="10171"/>
    <cellStyle name="SAPBEXstdData 3 6 4 2" xfId="10172"/>
    <cellStyle name="SAPBEXstdData 3 6 5" xfId="10173"/>
    <cellStyle name="SAPBEXstdData 3 6 5 2" xfId="10174"/>
    <cellStyle name="SAPBEXstdData 3 6 6" xfId="10175"/>
    <cellStyle name="SAPBEXstdData 3 6 6 2" xfId="10176"/>
    <cellStyle name="SAPBEXstdData 3 6 7" xfId="10177"/>
    <cellStyle name="SAPBEXstdData 3 6 7 2" xfId="10178"/>
    <cellStyle name="SAPBEXstdData 3 6 8" xfId="10179"/>
    <cellStyle name="SAPBEXstdData 3 6 8 2" xfId="10180"/>
    <cellStyle name="SAPBEXstdData 3 6 9" xfId="10181"/>
    <cellStyle name="SAPBEXstdData 3 6 9 2" xfId="10182"/>
    <cellStyle name="SAPBEXstdData 3 7" xfId="10183"/>
    <cellStyle name="SAPBEXstdData 3 7 2" xfId="10184"/>
    <cellStyle name="SAPBEXstdData 3 7 2 2" xfId="10185"/>
    <cellStyle name="SAPBEXstdData 3 7 3" xfId="10186"/>
    <cellStyle name="SAPBEXstdData 3 8" xfId="10187"/>
    <cellStyle name="SAPBEXstdData 3 8 2" xfId="10188"/>
    <cellStyle name="SAPBEXstdData 3 9" xfId="10189"/>
    <cellStyle name="SAPBEXstdData 3 9 2" xfId="10190"/>
    <cellStyle name="SAPBEXstdData 4" xfId="10191"/>
    <cellStyle name="SAPBEXstdData 4 10" xfId="10192"/>
    <cellStyle name="SAPBEXstdData 4 10 2" xfId="10193"/>
    <cellStyle name="SAPBEXstdData 4 11" xfId="10194"/>
    <cellStyle name="SAPBEXstdData 4 11 2" xfId="10195"/>
    <cellStyle name="SAPBEXstdData 4 12" xfId="10196"/>
    <cellStyle name="SAPBEXstdData 4 12 2" xfId="10197"/>
    <cellStyle name="SAPBEXstdData 4 13" xfId="10198"/>
    <cellStyle name="SAPBEXstdData 4 2" xfId="10199"/>
    <cellStyle name="SAPBEXstdData 4 2 2" xfId="10200"/>
    <cellStyle name="SAPBEXstdData 4 2 2 2" xfId="10201"/>
    <cellStyle name="SAPBEXstdData 4 2 2 2 2" xfId="10202"/>
    <cellStyle name="SAPBEXstdData 4 2 2 3" xfId="10203"/>
    <cellStyle name="SAPBEXstdData 4 2 3" xfId="10204"/>
    <cellStyle name="SAPBEXstdData 4 2 3 2" xfId="10205"/>
    <cellStyle name="SAPBEXstdData 4 2 3 2 2" xfId="10206"/>
    <cellStyle name="SAPBEXstdData 4 2 3 3" xfId="10207"/>
    <cellStyle name="SAPBEXstdData 4 2 4" xfId="10208"/>
    <cellStyle name="SAPBEXstdData 4 2 4 2" xfId="10209"/>
    <cellStyle name="SAPBEXstdData 4 2 5" xfId="10210"/>
    <cellStyle name="SAPBEXstdData 4 2 5 2" xfId="10211"/>
    <cellStyle name="SAPBEXstdData 4 2 6" xfId="10212"/>
    <cellStyle name="SAPBEXstdData 4 2 6 2" xfId="10213"/>
    <cellStyle name="SAPBEXstdData 4 2 7" xfId="10214"/>
    <cellStyle name="SAPBEXstdData 4 2 7 2" xfId="10215"/>
    <cellStyle name="SAPBEXstdData 4 2 8" xfId="10216"/>
    <cellStyle name="SAPBEXstdData 4 3" xfId="10217"/>
    <cellStyle name="SAPBEXstdData 4 3 10" xfId="10218"/>
    <cellStyle name="SAPBEXstdData 4 3 10 2" xfId="10219"/>
    <cellStyle name="SAPBEXstdData 4 3 11" xfId="10220"/>
    <cellStyle name="SAPBEXstdData 4 3 2" xfId="10221"/>
    <cellStyle name="SAPBEXstdData 4 3 2 2" xfId="10222"/>
    <cellStyle name="SAPBEXstdData 4 3 2 2 2" xfId="10223"/>
    <cellStyle name="SAPBEXstdData 4 3 2 3" xfId="10224"/>
    <cellStyle name="SAPBEXstdData 4 3 3" xfId="10225"/>
    <cellStyle name="SAPBEXstdData 4 3 3 2" xfId="10226"/>
    <cellStyle name="SAPBEXstdData 4 3 4" xfId="10227"/>
    <cellStyle name="SAPBEXstdData 4 3 4 2" xfId="10228"/>
    <cellStyle name="SAPBEXstdData 4 3 5" xfId="10229"/>
    <cellStyle name="SAPBEXstdData 4 3 5 2" xfId="10230"/>
    <cellStyle name="SAPBEXstdData 4 3 6" xfId="10231"/>
    <cellStyle name="SAPBEXstdData 4 3 6 2" xfId="10232"/>
    <cellStyle name="SAPBEXstdData 4 3 7" xfId="10233"/>
    <cellStyle name="SAPBEXstdData 4 3 7 2" xfId="10234"/>
    <cellStyle name="SAPBEXstdData 4 3 8" xfId="10235"/>
    <cellStyle name="SAPBEXstdData 4 3 8 2" xfId="10236"/>
    <cellStyle name="SAPBEXstdData 4 3 9" xfId="10237"/>
    <cellStyle name="SAPBEXstdData 4 3 9 2" xfId="10238"/>
    <cellStyle name="SAPBEXstdData 4 4" xfId="10239"/>
    <cellStyle name="SAPBEXstdData 4 4 10" xfId="10240"/>
    <cellStyle name="SAPBEXstdData 4 4 10 2" xfId="10241"/>
    <cellStyle name="SAPBEXstdData 4 4 11" xfId="10242"/>
    <cellStyle name="SAPBEXstdData 4 4 2" xfId="10243"/>
    <cellStyle name="SAPBEXstdData 4 4 2 2" xfId="10244"/>
    <cellStyle name="SAPBEXstdData 4 4 2 2 2" xfId="10245"/>
    <cellStyle name="SAPBEXstdData 4 4 2 3" xfId="10246"/>
    <cellStyle name="SAPBEXstdData 4 4 3" xfId="10247"/>
    <cellStyle name="SAPBEXstdData 4 4 3 2" xfId="10248"/>
    <cellStyle name="SAPBEXstdData 4 4 4" xfId="10249"/>
    <cellStyle name="SAPBEXstdData 4 4 4 2" xfId="10250"/>
    <cellStyle name="SAPBEXstdData 4 4 5" xfId="10251"/>
    <cellStyle name="SAPBEXstdData 4 4 5 2" xfId="10252"/>
    <cellStyle name="SAPBEXstdData 4 4 6" xfId="10253"/>
    <cellStyle name="SAPBEXstdData 4 4 6 2" xfId="10254"/>
    <cellStyle name="SAPBEXstdData 4 4 7" xfId="10255"/>
    <cellStyle name="SAPBEXstdData 4 4 7 2" xfId="10256"/>
    <cellStyle name="SAPBEXstdData 4 4 8" xfId="10257"/>
    <cellStyle name="SAPBEXstdData 4 4 8 2" xfId="10258"/>
    <cellStyle name="SAPBEXstdData 4 4 9" xfId="10259"/>
    <cellStyle name="SAPBEXstdData 4 4 9 2" xfId="10260"/>
    <cellStyle name="SAPBEXstdData 4 5" xfId="10261"/>
    <cellStyle name="SAPBEXstdData 4 5 10" xfId="10262"/>
    <cellStyle name="SAPBEXstdData 4 5 10 2" xfId="10263"/>
    <cellStyle name="SAPBEXstdData 4 5 11" xfId="10264"/>
    <cellStyle name="SAPBEXstdData 4 5 2" xfId="10265"/>
    <cellStyle name="SAPBEXstdData 4 5 2 2" xfId="10266"/>
    <cellStyle name="SAPBEXstdData 4 5 2 2 2" xfId="10267"/>
    <cellStyle name="SAPBEXstdData 4 5 2 3" xfId="10268"/>
    <cellStyle name="SAPBEXstdData 4 5 3" xfId="10269"/>
    <cellStyle name="SAPBEXstdData 4 5 3 2" xfId="10270"/>
    <cellStyle name="SAPBEXstdData 4 5 4" xfId="10271"/>
    <cellStyle name="SAPBEXstdData 4 5 4 2" xfId="10272"/>
    <cellStyle name="SAPBEXstdData 4 5 5" xfId="10273"/>
    <cellStyle name="SAPBEXstdData 4 5 5 2" xfId="10274"/>
    <cellStyle name="SAPBEXstdData 4 5 6" xfId="10275"/>
    <cellStyle name="SAPBEXstdData 4 5 6 2" xfId="10276"/>
    <cellStyle name="SAPBEXstdData 4 5 7" xfId="10277"/>
    <cellStyle name="SAPBEXstdData 4 5 7 2" xfId="10278"/>
    <cellStyle name="SAPBEXstdData 4 5 8" xfId="10279"/>
    <cellStyle name="SAPBEXstdData 4 5 8 2" xfId="10280"/>
    <cellStyle name="SAPBEXstdData 4 5 9" xfId="10281"/>
    <cellStyle name="SAPBEXstdData 4 5 9 2" xfId="10282"/>
    <cellStyle name="SAPBEXstdData 4 6" xfId="10283"/>
    <cellStyle name="SAPBEXstdData 4 6 10" xfId="10284"/>
    <cellStyle name="SAPBEXstdData 4 6 10 2" xfId="10285"/>
    <cellStyle name="SAPBEXstdData 4 6 11" xfId="10286"/>
    <cellStyle name="SAPBEXstdData 4 6 2" xfId="10287"/>
    <cellStyle name="SAPBEXstdData 4 6 2 2" xfId="10288"/>
    <cellStyle name="SAPBEXstdData 4 6 2 2 2" xfId="10289"/>
    <cellStyle name="SAPBEXstdData 4 6 2 3" xfId="10290"/>
    <cellStyle name="SAPBEXstdData 4 6 3" xfId="10291"/>
    <cellStyle name="SAPBEXstdData 4 6 3 2" xfId="10292"/>
    <cellStyle name="SAPBEXstdData 4 6 4" xfId="10293"/>
    <cellStyle name="SAPBEXstdData 4 6 4 2" xfId="10294"/>
    <cellStyle name="SAPBEXstdData 4 6 5" xfId="10295"/>
    <cellStyle name="SAPBEXstdData 4 6 5 2" xfId="10296"/>
    <cellStyle name="SAPBEXstdData 4 6 6" xfId="10297"/>
    <cellStyle name="SAPBEXstdData 4 6 6 2" xfId="10298"/>
    <cellStyle name="SAPBEXstdData 4 6 7" xfId="10299"/>
    <cellStyle name="SAPBEXstdData 4 6 7 2" xfId="10300"/>
    <cellStyle name="SAPBEXstdData 4 6 8" xfId="10301"/>
    <cellStyle name="SAPBEXstdData 4 6 8 2" xfId="10302"/>
    <cellStyle name="SAPBEXstdData 4 6 9" xfId="10303"/>
    <cellStyle name="SAPBEXstdData 4 6 9 2" xfId="10304"/>
    <cellStyle name="SAPBEXstdData 4 7" xfId="10305"/>
    <cellStyle name="SAPBEXstdData 4 7 2" xfId="10306"/>
    <cellStyle name="SAPBEXstdData 4 7 2 2" xfId="10307"/>
    <cellStyle name="SAPBEXstdData 4 7 3" xfId="10308"/>
    <cellStyle name="SAPBEXstdData 4 8" xfId="10309"/>
    <cellStyle name="SAPBEXstdData 4 8 2" xfId="10310"/>
    <cellStyle name="SAPBEXstdData 4 9" xfId="10311"/>
    <cellStyle name="SAPBEXstdData 4 9 2" xfId="10312"/>
    <cellStyle name="SAPBEXstdData 5" xfId="10313"/>
    <cellStyle name="SAPBEXstdData 5 10" xfId="10314"/>
    <cellStyle name="SAPBEXstdData 5 10 2" xfId="10315"/>
    <cellStyle name="SAPBEXstdData 5 11" xfId="10316"/>
    <cellStyle name="SAPBEXstdData 5 2" xfId="10317"/>
    <cellStyle name="SAPBEXstdData 5 2 2" xfId="10318"/>
    <cellStyle name="SAPBEXstdData 5 2 2 2" xfId="10319"/>
    <cellStyle name="SAPBEXstdData 5 2 3" xfId="10320"/>
    <cellStyle name="SAPBEXstdData 5 3" xfId="10321"/>
    <cellStyle name="SAPBEXstdData 5 3 2" xfId="10322"/>
    <cellStyle name="SAPBEXstdData 5 4" xfId="10323"/>
    <cellStyle name="SAPBEXstdData 5 4 2" xfId="10324"/>
    <cellStyle name="SAPBEXstdData 5 5" xfId="10325"/>
    <cellStyle name="SAPBEXstdData 5 5 2" xfId="10326"/>
    <cellStyle name="SAPBEXstdData 5 6" xfId="10327"/>
    <cellStyle name="SAPBEXstdData 5 6 2" xfId="10328"/>
    <cellStyle name="SAPBEXstdData 5 7" xfId="10329"/>
    <cellStyle name="SAPBEXstdData 5 7 2" xfId="10330"/>
    <cellStyle name="SAPBEXstdData 5 8" xfId="10331"/>
    <cellStyle name="SAPBEXstdData 5 8 2" xfId="10332"/>
    <cellStyle name="SAPBEXstdData 5 9" xfId="10333"/>
    <cellStyle name="SAPBEXstdData 5 9 2" xfId="10334"/>
    <cellStyle name="SAPBEXstdData 6" xfId="10335"/>
    <cellStyle name="SAPBEXstdData 6 2" xfId="10336"/>
    <cellStyle name="SAPBEXstdData 6 2 2" xfId="10337"/>
    <cellStyle name="SAPBEXstdData 6 3" xfId="10338"/>
    <cellStyle name="SAPBEXstdData 7" xfId="10339"/>
    <cellStyle name="SAPBEXstdData 7 2" xfId="10340"/>
    <cellStyle name="SAPBEXstdData 8" xfId="10341"/>
    <cellStyle name="SAPBEXstdData 8 2" xfId="10342"/>
    <cellStyle name="SAPBEXstdData 9" xfId="10343"/>
    <cellStyle name="SAPBEXstdData_Copy of xSAPtemp5457" xfId="10344"/>
    <cellStyle name="SAPBEXstdDataEmph" xfId="10345"/>
    <cellStyle name="SAPBEXstdItem" xfId="696"/>
    <cellStyle name="SAPBEXstdItem 10" xfId="10346"/>
    <cellStyle name="SAPBEXstdItem 11" xfId="10347"/>
    <cellStyle name="SAPBEXstdItem 2" xfId="10348"/>
    <cellStyle name="SAPBEXstdItem 2 10" xfId="10349"/>
    <cellStyle name="SAPBEXstdItem 2 10 2" xfId="10350"/>
    <cellStyle name="SAPBEXstdItem 2 11" xfId="10351"/>
    <cellStyle name="SAPBEXstdItem 2 11 2" xfId="10352"/>
    <cellStyle name="SAPBEXstdItem 2 12" xfId="10353"/>
    <cellStyle name="SAPBEXstdItem 2 12 2" xfId="10354"/>
    <cellStyle name="SAPBEXstdItem 2 13" xfId="10355"/>
    <cellStyle name="SAPBEXstdItem 2 2" xfId="10356"/>
    <cellStyle name="SAPBEXstdItem 2 2 2" xfId="10357"/>
    <cellStyle name="SAPBEXstdItem 2 2 2 2" xfId="10358"/>
    <cellStyle name="SAPBEXstdItem 2 2 2 2 2" xfId="10359"/>
    <cellStyle name="SAPBEXstdItem 2 2 2 3" xfId="10360"/>
    <cellStyle name="SAPBEXstdItem 2 2 3" xfId="10361"/>
    <cellStyle name="SAPBEXstdItem 2 2 3 2" xfId="10362"/>
    <cellStyle name="SAPBEXstdItem 2 2 3 2 2" xfId="10363"/>
    <cellStyle name="SAPBEXstdItem 2 2 3 3" xfId="10364"/>
    <cellStyle name="SAPBEXstdItem 2 2 4" xfId="10365"/>
    <cellStyle name="SAPBEXstdItem 2 2 4 2" xfId="10366"/>
    <cellStyle name="SAPBEXstdItem 2 2 5" xfId="10367"/>
    <cellStyle name="SAPBEXstdItem 2 2 5 2" xfId="10368"/>
    <cellStyle name="SAPBEXstdItem 2 2 6" xfId="10369"/>
    <cellStyle name="SAPBEXstdItem 2 2 6 2" xfId="10370"/>
    <cellStyle name="SAPBEXstdItem 2 2 7" xfId="10371"/>
    <cellStyle name="SAPBEXstdItem 2 2 7 2" xfId="10372"/>
    <cellStyle name="SAPBEXstdItem 2 2 8" xfId="10373"/>
    <cellStyle name="SAPBEXstdItem 2 3" xfId="10374"/>
    <cellStyle name="SAPBEXstdItem 2 3 10" xfId="10375"/>
    <cellStyle name="SAPBEXstdItem 2 3 10 2" xfId="10376"/>
    <cellStyle name="SAPBEXstdItem 2 3 11" xfId="10377"/>
    <cellStyle name="SAPBEXstdItem 2 3 2" xfId="10378"/>
    <cellStyle name="SAPBEXstdItem 2 3 2 2" xfId="10379"/>
    <cellStyle name="SAPBEXstdItem 2 3 2 2 2" xfId="10380"/>
    <cellStyle name="SAPBEXstdItem 2 3 2 3" xfId="10381"/>
    <cellStyle name="SAPBEXstdItem 2 3 3" xfId="10382"/>
    <cellStyle name="SAPBEXstdItem 2 3 3 2" xfId="10383"/>
    <cellStyle name="SAPBEXstdItem 2 3 4" xfId="10384"/>
    <cellStyle name="SAPBEXstdItem 2 3 4 2" xfId="10385"/>
    <cellStyle name="SAPBEXstdItem 2 3 5" xfId="10386"/>
    <cellStyle name="SAPBEXstdItem 2 3 5 2" xfId="10387"/>
    <cellStyle name="SAPBEXstdItem 2 3 6" xfId="10388"/>
    <cellStyle name="SAPBEXstdItem 2 3 6 2" xfId="10389"/>
    <cellStyle name="SAPBEXstdItem 2 3 7" xfId="10390"/>
    <cellStyle name="SAPBEXstdItem 2 3 7 2" xfId="10391"/>
    <cellStyle name="SAPBEXstdItem 2 3 8" xfId="10392"/>
    <cellStyle name="SAPBEXstdItem 2 3 8 2" xfId="10393"/>
    <cellStyle name="SAPBEXstdItem 2 3 9" xfId="10394"/>
    <cellStyle name="SAPBEXstdItem 2 3 9 2" xfId="10395"/>
    <cellStyle name="SAPBEXstdItem 2 4" xfId="10396"/>
    <cellStyle name="SAPBEXstdItem 2 4 10" xfId="10397"/>
    <cellStyle name="SAPBEXstdItem 2 4 10 2" xfId="10398"/>
    <cellStyle name="SAPBEXstdItem 2 4 11" xfId="10399"/>
    <cellStyle name="SAPBEXstdItem 2 4 2" xfId="10400"/>
    <cellStyle name="SAPBEXstdItem 2 4 2 2" xfId="10401"/>
    <cellStyle name="SAPBEXstdItem 2 4 2 2 2" xfId="10402"/>
    <cellStyle name="SAPBEXstdItem 2 4 2 3" xfId="10403"/>
    <cellStyle name="SAPBEXstdItem 2 4 3" xfId="10404"/>
    <cellStyle name="SAPBEXstdItem 2 4 3 2" xfId="10405"/>
    <cellStyle name="SAPBEXstdItem 2 4 4" xfId="10406"/>
    <cellStyle name="SAPBEXstdItem 2 4 4 2" xfId="10407"/>
    <cellStyle name="SAPBEXstdItem 2 4 5" xfId="10408"/>
    <cellStyle name="SAPBEXstdItem 2 4 5 2" xfId="10409"/>
    <cellStyle name="SAPBEXstdItem 2 4 6" xfId="10410"/>
    <cellStyle name="SAPBEXstdItem 2 4 6 2" xfId="10411"/>
    <cellStyle name="SAPBEXstdItem 2 4 7" xfId="10412"/>
    <cellStyle name="SAPBEXstdItem 2 4 7 2" xfId="10413"/>
    <cellStyle name="SAPBEXstdItem 2 4 8" xfId="10414"/>
    <cellStyle name="SAPBEXstdItem 2 4 8 2" xfId="10415"/>
    <cellStyle name="SAPBEXstdItem 2 4 9" xfId="10416"/>
    <cellStyle name="SAPBEXstdItem 2 4 9 2" xfId="10417"/>
    <cellStyle name="SAPBEXstdItem 2 5" xfId="10418"/>
    <cellStyle name="SAPBEXstdItem 2 5 10" xfId="10419"/>
    <cellStyle name="SAPBEXstdItem 2 5 10 2" xfId="10420"/>
    <cellStyle name="SAPBEXstdItem 2 5 11" xfId="10421"/>
    <cellStyle name="SAPBEXstdItem 2 5 2" xfId="10422"/>
    <cellStyle name="SAPBEXstdItem 2 5 2 2" xfId="10423"/>
    <cellStyle name="SAPBEXstdItem 2 5 2 2 2" xfId="10424"/>
    <cellStyle name="SAPBEXstdItem 2 5 2 3" xfId="10425"/>
    <cellStyle name="SAPBEXstdItem 2 5 3" xfId="10426"/>
    <cellStyle name="SAPBEXstdItem 2 5 3 2" xfId="10427"/>
    <cellStyle name="SAPBEXstdItem 2 5 4" xfId="10428"/>
    <cellStyle name="SAPBEXstdItem 2 5 4 2" xfId="10429"/>
    <cellStyle name="SAPBEXstdItem 2 5 5" xfId="10430"/>
    <cellStyle name="SAPBEXstdItem 2 5 5 2" xfId="10431"/>
    <cellStyle name="SAPBEXstdItem 2 5 6" xfId="10432"/>
    <cellStyle name="SAPBEXstdItem 2 5 6 2" xfId="10433"/>
    <cellStyle name="SAPBEXstdItem 2 5 7" xfId="10434"/>
    <cellStyle name="SAPBEXstdItem 2 5 7 2" xfId="10435"/>
    <cellStyle name="SAPBEXstdItem 2 5 8" xfId="10436"/>
    <cellStyle name="SAPBEXstdItem 2 5 8 2" xfId="10437"/>
    <cellStyle name="SAPBEXstdItem 2 5 9" xfId="10438"/>
    <cellStyle name="SAPBEXstdItem 2 5 9 2" xfId="10439"/>
    <cellStyle name="SAPBEXstdItem 2 6" xfId="10440"/>
    <cellStyle name="SAPBEXstdItem 2 6 10" xfId="10441"/>
    <cellStyle name="SAPBEXstdItem 2 6 10 2" xfId="10442"/>
    <cellStyle name="SAPBEXstdItem 2 6 11" xfId="10443"/>
    <cellStyle name="SAPBEXstdItem 2 6 2" xfId="10444"/>
    <cellStyle name="SAPBEXstdItem 2 6 2 2" xfId="10445"/>
    <cellStyle name="SAPBEXstdItem 2 6 2 2 2" xfId="10446"/>
    <cellStyle name="SAPBEXstdItem 2 6 2 3" xfId="10447"/>
    <cellStyle name="SAPBEXstdItem 2 6 3" xfId="10448"/>
    <cellStyle name="SAPBEXstdItem 2 6 3 2" xfId="10449"/>
    <cellStyle name="SAPBEXstdItem 2 6 4" xfId="10450"/>
    <cellStyle name="SAPBEXstdItem 2 6 4 2" xfId="10451"/>
    <cellStyle name="SAPBEXstdItem 2 6 5" xfId="10452"/>
    <cellStyle name="SAPBEXstdItem 2 6 5 2" xfId="10453"/>
    <cellStyle name="SAPBEXstdItem 2 6 6" xfId="10454"/>
    <cellStyle name="SAPBEXstdItem 2 6 6 2" xfId="10455"/>
    <cellStyle name="SAPBEXstdItem 2 6 7" xfId="10456"/>
    <cellStyle name="SAPBEXstdItem 2 6 7 2" xfId="10457"/>
    <cellStyle name="SAPBEXstdItem 2 6 8" xfId="10458"/>
    <cellStyle name="SAPBEXstdItem 2 6 8 2" xfId="10459"/>
    <cellStyle name="SAPBEXstdItem 2 6 9" xfId="10460"/>
    <cellStyle name="SAPBEXstdItem 2 6 9 2" xfId="10461"/>
    <cellStyle name="SAPBEXstdItem 2 7" xfId="10462"/>
    <cellStyle name="SAPBEXstdItem 2 7 2" xfId="10463"/>
    <cellStyle name="SAPBEXstdItem 2 7 2 2" xfId="10464"/>
    <cellStyle name="SAPBEXstdItem 2 7 3" xfId="10465"/>
    <cellStyle name="SAPBEXstdItem 2 8" xfId="10466"/>
    <cellStyle name="SAPBEXstdItem 2 8 2" xfId="10467"/>
    <cellStyle name="SAPBEXstdItem 2 9" xfId="10468"/>
    <cellStyle name="SAPBEXstdItem 2 9 2" xfId="10469"/>
    <cellStyle name="SAPBEXstdItem 3" xfId="10470"/>
    <cellStyle name="SAPBEXstdItem 3 10" xfId="10471"/>
    <cellStyle name="SAPBEXstdItem 3 10 2" xfId="10472"/>
    <cellStyle name="SAPBEXstdItem 3 11" xfId="10473"/>
    <cellStyle name="SAPBEXstdItem 3 11 2" xfId="10474"/>
    <cellStyle name="SAPBEXstdItem 3 12" xfId="10475"/>
    <cellStyle name="SAPBEXstdItem 3 12 2" xfId="10476"/>
    <cellStyle name="SAPBEXstdItem 3 13" xfId="10477"/>
    <cellStyle name="SAPBEXstdItem 3 2" xfId="10478"/>
    <cellStyle name="SAPBEXstdItem 3 2 2" xfId="10479"/>
    <cellStyle name="SAPBEXstdItem 3 2 2 2" xfId="10480"/>
    <cellStyle name="SAPBEXstdItem 3 2 2 2 2" xfId="10481"/>
    <cellStyle name="SAPBEXstdItem 3 2 2 3" xfId="10482"/>
    <cellStyle name="SAPBEXstdItem 3 2 3" xfId="10483"/>
    <cellStyle name="SAPBEXstdItem 3 2 3 2" xfId="10484"/>
    <cellStyle name="SAPBEXstdItem 3 2 3 2 2" xfId="10485"/>
    <cellStyle name="SAPBEXstdItem 3 2 3 3" xfId="10486"/>
    <cellStyle name="SAPBEXstdItem 3 2 4" xfId="10487"/>
    <cellStyle name="SAPBEXstdItem 3 2 4 2" xfId="10488"/>
    <cellStyle name="SAPBEXstdItem 3 2 5" xfId="10489"/>
    <cellStyle name="SAPBEXstdItem 3 2 5 2" xfId="10490"/>
    <cellStyle name="SAPBEXstdItem 3 2 6" xfId="10491"/>
    <cellStyle name="SAPBEXstdItem 3 2 6 2" xfId="10492"/>
    <cellStyle name="SAPBEXstdItem 3 2 7" xfId="10493"/>
    <cellStyle name="SAPBEXstdItem 3 2 7 2" xfId="10494"/>
    <cellStyle name="SAPBEXstdItem 3 2 8" xfId="10495"/>
    <cellStyle name="SAPBEXstdItem 3 3" xfId="10496"/>
    <cellStyle name="SAPBEXstdItem 3 3 10" xfId="10497"/>
    <cellStyle name="SAPBEXstdItem 3 3 10 2" xfId="10498"/>
    <cellStyle name="SAPBEXstdItem 3 3 11" xfId="10499"/>
    <cellStyle name="SAPBEXstdItem 3 3 2" xfId="10500"/>
    <cellStyle name="SAPBEXstdItem 3 3 2 2" xfId="10501"/>
    <cellStyle name="SAPBEXstdItem 3 3 2 2 2" xfId="10502"/>
    <cellStyle name="SAPBEXstdItem 3 3 2 3" xfId="10503"/>
    <cellStyle name="SAPBEXstdItem 3 3 3" xfId="10504"/>
    <cellStyle name="SAPBEXstdItem 3 3 3 2" xfId="10505"/>
    <cellStyle name="SAPBEXstdItem 3 3 4" xfId="10506"/>
    <cellStyle name="SAPBEXstdItem 3 3 4 2" xfId="10507"/>
    <cellStyle name="SAPBEXstdItem 3 3 5" xfId="10508"/>
    <cellStyle name="SAPBEXstdItem 3 3 5 2" xfId="10509"/>
    <cellStyle name="SAPBEXstdItem 3 3 6" xfId="10510"/>
    <cellStyle name="SAPBEXstdItem 3 3 6 2" xfId="10511"/>
    <cellStyle name="SAPBEXstdItem 3 3 7" xfId="10512"/>
    <cellStyle name="SAPBEXstdItem 3 3 7 2" xfId="10513"/>
    <cellStyle name="SAPBEXstdItem 3 3 8" xfId="10514"/>
    <cellStyle name="SAPBEXstdItem 3 3 8 2" xfId="10515"/>
    <cellStyle name="SAPBEXstdItem 3 3 9" xfId="10516"/>
    <cellStyle name="SAPBEXstdItem 3 3 9 2" xfId="10517"/>
    <cellStyle name="SAPBEXstdItem 3 4" xfId="10518"/>
    <cellStyle name="SAPBEXstdItem 3 4 10" xfId="10519"/>
    <cellStyle name="SAPBEXstdItem 3 4 10 2" xfId="10520"/>
    <cellStyle name="SAPBEXstdItem 3 4 11" xfId="10521"/>
    <cellStyle name="SAPBEXstdItem 3 4 2" xfId="10522"/>
    <cellStyle name="SAPBEXstdItem 3 4 2 2" xfId="10523"/>
    <cellStyle name="SAPBEXstdItem 3 4 2 2 2" xfId="10524"/>
    <cellStyle name="SAPBEXstdItem 3 4 2 3" xfId="10525"/>
    <cellStyle name="SAPBEXstdItem 3 4 3" xfId="10526"/>
    <cellStyle name="SAPBEXstdItem 3 4 3 2" xfId="10527"/>
    <cellStyle name="SAPBEXstdItem 3 4 4" xfId="10528"/>
    <cellStyle name="SAPBEXstdItem 3 4 4 2" xfId="10529"/>
    <cellStyle name="SAPBEXstdItem 3 4 5" xfId="10530"/>
    <cellStyle name="SAPBEXstdItem 3 4 5 2" xfId="10531"/>
    <cellStyle name="SAPBEXstdItem 3 4 6" xfId="10532"/>
    <cellStyle name="SAPBEXstdItem 3 4 6 2" xfId="10533"/>
    <cellStyle name="SAPBEXstdItem 3 4 7" xfId="10534"/>
    <cellStyle name="SAPBEXstdItem 3 4 7 2" xfId="10535"/>
    <cellStyle name="SAPBEXstdItem 3 4 8" xfId="10536"/>
    <cellStyle name="SAPBEXstdItem 3 4 8 2" xfId="10537"/>
    <cellStyle name="SAPBEXstdItem 3 4 9" xfId="10538"/>
    <cellStyle name="SAPBEXstdItem 3 4 9 2" xfId="10539"/>
    <cellStyle name="SAPBEXstdItem 3 5" xfId="10540"/>
    <cellStyle name="SAPBEXstdItem 3 5 10" xfId="10541"/>
    <cellStyle name="SAPBEXstdItem 3 5 10 2" xfId="10542"/>
    <cellStyle name="SAPBEXstdItem 3 5 11" xfId="10543"/>
    <cellStyle name="SAPBEXstdItem 3 5 2" xfId="10544"/>
    <cellStyle name="SAPBEXstdItem 3 5 2 2" xfId="10545"/>
    <cellStyle name="SAPBEXstdItem 3 5 2 2 2" xfId="10546"/>
    <cellStyle name="SAPBEXstdItem 3 5 2 3" xfId="10547"/>
    <cellStyle name="SAPBEXstdItem 3 5 3" xfId="10548"/>
    <cellStyle name="SAPBEXstdItem 3 5 3 2" xfId="10549"/>
    <cellStyle name="SAPBEXstdItem 3 5 4" xfId="10550"/>
    <cellStyle name="SAPBEXstdItem 3 5 4 2" xfId="10551"/>
    <cellStyle name="SAPBEXstdItem 3 5 5" xfId="10552"/>
    <cellStyle name="SAPBEXstdItem 3 5 5 2" xfId="10553"/>
    <cellStyle name="SAPBEXstdItem 3 5 6" xfId="10554"/>
    <cellStyle name="SAPBEXstdItem 3 5 6 2" xfId="10555"/>
    <cellStyle name="SAPBEXstdItem 3 5 7" xfId="10556"/>
    <cellStyle name="SAPBEXstdItem 3 5 7 2" xfId="10557"/>
    <cellStyle name="SAPBEXstdItem 3 5 8" xfId="10558"/>
    <cellStyle name="SAPBEXstdItem 3 5 8 2" xfId="10559"/>
    <cellStyle name="SAPBEXstdItem 3 5 9" xfId="10560"/>
    <cellStyle name="SAPBEXstdItem 3 5 9 2" xfId="10561"/>
    <cellStyle name="SAPBEXstdItem 3 6" xfId="10562"/>
    <cellStyle name="SAPBEXstdItem 3 6 10" xfId="10563"/>
    <cellStyle name="SAPBEXstdItem 3 6 10 2" xfId="10564"/>
    <cellStyle name="SAPBEXstdItem 3 6 11" xfId="10565"/>
    <cellStyle name="SAPBEXstdItem 3 6 2" xfId="10566"/>
    <cellStyle name="SAPBEXstdItem 3 6 2 2" xfId="10567"/>
    <cellStyle name="SAPBEXstdItem 3 6 2 2 2" xfId="10568"/>
    <cellStyle name="SAPBEXstdItem 3 6 2 3" xfId="10569"/>
    <cellStyle name="SAPBEXstdItem 3 6 3" xfId="10570"/>
    <cellStyle name="SAPBEXstdItem 3 6 3 2" xfId="10571"/>
    <cellStyle name="SAPBEXstdItem 3 6 4" xfId="10572"/>
    <cellStyle name="SAPBEXstdItem 3 6 4 2" xfId="10573"/>
    <cellStyle name="SAPBEXstdItem 3 6 5" xfId="10574"/>
    <cellStyle name="SAPBEXstdItem 3 6 5 2" xfId="10575"/>
    <cellStyle name="SAPBEXstdItem 3 6 6" xfId="10576"/>
    <cellStyle name="SAPBEXstdItem 3 6 6 2" xfId="10577"/>
    <cellStyle name="SAPBEXstdItem 3 6 7" xfId="10578"/>
    <cellStyle name="SAPBEXstdItem 3 6 7 2" xfId="10579"/>
    <cellStyle name="SAPBEXstdItem 3 6 8" xfId="10580"/>
    <cellStyle name="SAPBEXstdItem 3 6 8 2" xfId="10581"/>
    <cellStyle name="SAPBEXstdItem 3 6 9" xfId="10582"/>
    <cellStyle name="SAPBEXstdItem 3 6 9 2" xfId="10583"/>
    <cellStyle name="SAPBEXstdItem 3 7" xfId="10584"/>
    <cellStyle name="SAPBEXstdItem 3 7 2" xfId="10585"/>
    <cellStyle name="SAPBEXstdItem 3 7 2 2" xfId="10586"/>
    <cellStyle name="SAPBEXstdItem 3 7 3" xfId="10587"/>
    <cellStyle name="SAPBEXstdItem 3 8" xfId="10588"/>
    <cellStyle name="SAPBEXstdItem 3 8 2" xfId="10589"/>
    <cellStyle name="SAPBEXstdItem 3 9" xfId="10590"/>
    <cellStyle name="SAPBEXstdItem 3 9 2" xfId="10591"/>
    <cellStyle name="SAPBEXstdItem 4" xfId="10592"/>
    <cellStyle name="SAPBEXstdItem 4 10" xfId="10593"/>
    <cellStyle name="SAPBEXstdItem 4 10 2" xfId="10594"/>
    <cellStyle name="SAPBEXstdItem 4 11" xfId="10595"/>
    <cellStyle name="SAPBEXstdItem 4 11 2" xfId="10596"/>
    <cellStyle name="SAPBEXstdItem 4 12" xfId="10597"/>
    <cellStyle name="SAPBEXstdItem 4 12 2" xfId="10598"/>
    <cellStyle name="SAPBEXstdItem 4 13" xfId="10599"/>
    <cellStyle name="SAPBEXstdItem 4 2" xfId="10600"/>
    <cellStyle name="SAPBEXstdItem 4 2 2" xfId="10601"/>
    <cellStyle name="SAPBEXstdItem 4 2 2 2" xfId="10602"/>
    <cellStyle name="SAPBEXstdItem 4 2 2 2 2" xfId="10603"/>
    <cellStyle name="SAPBEXstdItem 4 2 2 3" xfId="10604"/>
    <cellStyle name="SAPBEXstdItem 4 2 3" xfId="10605"/>
    <cellStyle name="SAPBEXstdItem 4 2 3 2" xfId="10606"/>
    <cellStyle name="SAPBEXstdItem 4 2 3 2 2" xfId="10607"/>
    <cellStyle name="SAPBEXstdItem 4 2 3 3" xfId="10608"/>
    <cellStyle name="SAPBEXstdItem 4 2 4" xfId="10609"/>
    <cellStyle name="SAPBEXstdItem 4 2 4 2" xfId="10610"/>
    <cellStyle name="SAPBEXstdItem 4 2 5" xfId="10611"/>
    <cellStyle name="SAPBEXstdItem 4 2 5 2" xfId="10612"/>
    <cellStyle name="SAPBEXstdItem 4 2 6" xfId="10613"/>
    <cellStyle name="SAPBEXstdItem 4 2 6 2" xfId="10614"/>
    <cellStyle name="SAPBEXstdItem 4 2 7" xfId="10615"/>
    <cellStyle name="SAPBEXstdItem 4 2 7 2" xfId="10616"/>
    <cellStyle name="SAPBEXstdItem 4 2 8" xfId="10617"/>
    <cellStyle name="SAPBEXstdItem 4 3" xfId="10618"/>
    <cellStyle name="SAPBEXstdItem 4 3 10" xfId="10619"/>
    <cellStyle name="SAPBEXstdItem 4 3 10 2" xfId="10620"/>
    <cellStyle name="SAPBEXstdItem 4 3 11" xfId="10621"/>
    <cellStyle name="SAPBEXstdItem 4 3 2" xfId="10622"/>
    <cellStyle name="SAPBEXstdItem 4 3 2 2" xfId="10623"/>
    <cellStyle name="SAPBEXstdItem 4 3 2 2 2" xfId="10624"/>
    <cellStyle name="SAPBEXstdItem 4 3 2 3" xfId="10625"/>
    <cellStyle name="SAPBEXstdItem 4 3 3" xfId="10626"/>
    <cellStyle name="SAPBEXstdItem 4 3 3 2" xfId="10627"/>
    <cellStyle name="SAPBEXstdItem 4 3 4" xfId="10628"/>
    <cellStyle name="SAPBEXstdItem 4 3 4 2" xfId="10629"/>
    <cellStyle name="SAPBEXstdItem 4 3 5" xfId="10630"/>
    <cellStyle name="SAPBEXstdItem 4 3 5 2" xfId="10631"/>
    <cellStyle name="SAPBEXstdItem 4 3 6" xfId="10632"/>
    <cellStyle name="SAPBEXstdItem 4 3 6 2" xfId="10633"/>
    <cellStyle name="SAPBEXstdItem 4 3 7" xfId="10634"/>
    <cellStyle name="SAPBEXstdItem 4 3 7 2" xfId="10635"/>
    <cellStyle name="SAPBEXstdItem 4 3 8" xfId="10636"/>
    <cellStyle name="SAPBEXstdItem 4 3 8 2" xfId="10637"/>
    <cellStyle name="SAPBEXstdItem 4 3 9" xfId="10638"/>
    <cellStyle name="SAPBEXstdItem 4 3 9 2" xfId="10639"/>
    <cellStyle name="SAPBEXstdItem 4 4" xfId="10640"/>
    <cellStyle name="SAPBEXstdItem 4 4 10" xfId="10641"/>
    <cellStyle name="SAPBEXstdItem 4 4 10 2" xfId="10642"/>
    <cellStyle name="SAPBEXstdItem 4 4 11" xfId="10643"/>
    <cellStyle name="SAPBEXstdItem 4 4 2" xfId="10644"/>
    <cellStyle name="SAPBEXstdItem 4 4 2 2" xfId="10645"/>
    <cellStyle name="SAPBEXstdItem 4 4 2 2 2" xfId="10646"/>
    <cellStyle name="SAPBEXstdItem 4 4 2 3" xfId="10647"/>
    <cellStyle name="SAPBEXstdItem 4 4 3" xfId="10648"/>
    <cellStyle name="SAPBEXstdItem 4 4 3 2" xfId="10649"/>
    <cellStyle name="SAPBEXstdItem 4 4 4" xfId="10650"/>
    <cellStyle name="SAPBEXstdItem 4 4 4 2" xfId="10651"/>
    <cellStyle name="SAPBEXstdItem 4 4 5" xfId="10652"/>
    <cellStyle name="SAPBEXstdItem 4 4 5 2" xfId="10653"/>
    <cellStyle name="SAPBEXstdItem 4 4 6" xfId="10654"/>
    <cellStyle name="SAPBEXstdItem 4 4 6 2" xfId="10655"/>
    <cellStyle name="SAPBEXstdItem 4 4 7" xfId="10656"/>
    <cellStyle name="SAPBEXstdItem 4 4 7 2" xfId="10657"/>
    <cellStyle name="SAPBEXstdItem 4 4 8" xfId="10658"/>
    <cellStyle name="SAPBEXstdItem 4 4 8 2" xfId="10659"/>
    <cellStyle name="SAPBEXstdItem 4 4 9" xfId="10660"/>
    <cellStyle name="SAPBEXstdItem 4 4 9 2" xfId="10661"/>
    <cellStyle name="SAPBEXstdItem 4 5" xfId="10662"/>
    <cellStyle name="SAPBEXstdItem 4 5 10" xfId="10663"/>
    <cellStyle name="SAPBEXstdItem 4 5 10 2" xfId="10664"/>
    <cellStyle name="SAPBEXstdItem 4 5 11" xfId="10665"/>
    <cellStyle name="SAPBEXstdItem 4 5 2" xfId="10666"/>
    <cellStyle name="SAPBEXstdItem 4 5 2 2" xfId="10667"/>
    <cellStyle name="SAPBEXstdItem 4 5 2 2 2" xfId="10668"/>
    <cellStyle name="SAPBEXstdItem 4 5 2 3" xfId="10669"/>
    <cellStyle name="SAPBEXstdItem 4 5 3" xfId="10670"/>
    <cellStyle name="SAPBEXstdItem 4 5 3 2" xfId="10671"/>
    <cellStyle name="SAPBEXstdItem 4 5 4" xfId="10672"/>
    <cellStyle name="SAPBEXstdItem 4 5 4 2" xfId="10673"/>
    <cellStyle name="SAPBEXstdItem 4 5 5" xfId="10674"/>
    <cellStyle name="SAPBEXstdItem 4 5 5 2" xfId="10675"/>
    <cellStyle name="SAPBEXstdItem 4 5 6" xfId="10676"/>
    <cellStyle name="SAPBEXstdItem 4 5 6 2" xfId="10677"/>
    <cellStyle name="SAPBEXstdItem 4 5 7" xfId="10678"/>
    <cellStyle name="SAPBEXstdItem 4 5 7 2" xfId="10679"/>
    <cellStyle name="SAPBEXstdItem 4 5 8" xfId="10680"/>
    <cellStyle name="SAPBEXstdItem 4 5 8 2" xfId="10681"/>
    <cellStyle name="SAPBEXstdItem 4 5 9" xfId="10682"/>
    <cellStyle name="SAPBEXstdItem 4 5 9 2" xfId="10683"/>
    <cellStyle name="SAPBEXstdItem 4 6" xfId="10684"/>
    <cellStyle name="SAPBEXstdItem 4 6 10" xfId="10685"/>
    <cellStyle name="SAPBEXstdItem 4 6 10 2" xfId="10686"/>
    <cellStyle name="SAPBEXstdItem 4 6 11" xfId="10687"/>
    <cellStyle name="SAPBEXstdItem 4 6 2" xfId="10688"/>
    <cellStyle name="SAPBEXstdItem 4 6 2 2" xfId="10689"/>
    <cellStyle name="SAPBEXstdItem 4 6 2 2 2" xfId="10690"/>
    <cellStyle name="SAPBEXstdItem 4 6 2 3" xfId="10691"/>
    <cellStyle name="SAPBEXstdItem 4 6 3" xfId="10692"/>
    <cellStyle name="SAPBEXstdItem 4 6 3 2" xfId="10693"/>
    <cellStyle name="SAPBEXstdItem 4 6 4" xfId="10694"/>
    <cellStyle name="SAPBEXstdItem 4 6 4 2" xfId="10695"/>
    <cellStyle name="SAPBEXstdItem 4 6 5" xfId="10696"/>
    <cellStyle name="SAPBEXstdItem 4 6 5 2" xfId="10697"/>
    <cellStyle name="SAPBEXstdItem 4 6 6" xfId="10698"/>
    <cellStyle name="SAPBEXstdItem 4 6 6 2" xfId="10699"/>
    <cellStyle name="SAPBEXstdItem 4 6 7" xfId="10700"/>
    <cellStyle name="SAPBEXstdItem 4 6 7 2" xfId="10701"/>
    <cellStyle name="SAPBEXstdItem 4 6 8" xfId="10702"/>
    <cellStyle name="SAPBEXstdItem 4 6 8 2" xfId="10703"/>
    <cellStyle name="SAPBEXstdItem 4 6 9" xfId="10704"/>
    <cellStyle name="SAPBEXstdItem 4 6 9 2" xfId="10705"/>
    <cellStyle name="SAPBEXstdItem 4 7" xfId="10706"/>
    <cellStyle name="SAPBEXstdItem 4 7 2" xfId="10707"/>
    <cellStyle name="SAPBEXstdItem 4 7 2 2" xfId="10708"/>
    <cellStyle name="SAPBEXstdItem 4 7 3" xfId="10709"/>
    <cellStyle name="SAPBEXstdItem 4 8" xfId="10710"/>
    <cellStyle name="SAPBEXstdItem 4 8 2" xfId="10711"/>
    <cellStyle name="SAPBEXstdItem 4 9" xfId="10712"/>
    <cellStyle name="SAPBEXstdItem 4 9 2" xfId="10713"/>
    <cellStyle name="SAPBEXstdItem 5" xfId="10714"/>
    <cellStyle name="SAPBEXstdItem 5 10" xfId="10715"/>
    <cellStyle name="SAPBEXstdItem 5 10 2" xfId="10716"/>
    <cellStyle name="SAPBEXstdItem 5 11" xfId="10717"/>
    <cellStyle name="SAPBEXstdItem 5 11 2" xfId="10718"/>
    <cellStyle name="SAPBEXstdItem 5 12" xfId="10719"/>
    <cellStyle name="SAPBEXstdItem 5 12 2" xfId="10720"/>
    <cellStyle name="SAPBEXstdItem 5 13" xfId="10721"/>
    <cellStyle name="SAPBEXstdItem 5 2" xfId="10722"/>
    <cellStyle name="SAPBEXstdItem 5 2 2" xfId="10723"/>
    <cellStyle name="SAPBEXstdItem 5 2 2 2" xfId="10724"/>
    <cellStyle name="SAPBEXstdItem 5 2 2 2 2" xfId="10725"/>
    <cellStyle name="SAPBEXstdItem 5 2 2 3" xfId="10726"/>
    <cellStyle name="SAPBEXstdItem 5 2 3" xfId="10727"/>
    <cellStyle name="SAPBEXstdItem 5 2 3 2" xfId="10728"/>
    <cellStyle name="SAPBEXstdItem 5 2 3 2 2" xfId="10729"/>
    <cellStyle name="SAPBEXstdItem 5 2 3 3" xfId="10730"/>
    <cellStyle name="SAPBEXstdItem 5 2 4" xfId="10731"/>
    <cellStyle name="SAPBEXstdItem 5 2 4 2" xfId="10732"/>
    <cellStyle name="SAPBEXstdItem 5 2 5" xfId="10733"/>
    <cellStyle name="SAPBEXstdItem 5 2 5 2" xfId="10734"/>
    <cellStyle name="SAPBEXstdItem 5 2 6" xfId="10735"/>
    <cellStyle name="SAPBEXstdItem 5 2 6 2" xfId="10736"/>
    <cellStyle name="SAPBEXstdItem 5 2 7" xfId="10737"/>
    <cellStyle name="SAPBEXstdItem 5 2 7 2" xfId="10738"/>
    <cellStyle name="SAPBEXstdItem 5 2 8" xfId="10739"/>
    <cellStyle name="SAPBEXstdItem 5 3" xfId="10740"/>
    <cellStyle name="SAPBEXstdItem 5 3 2" xfId="10741"/>
    <cellStyle name="SAPBEXstdItem 5 3 2 2" xfId="10742"/>
    <cellStyle name="SAPBEXstdItem 5 3 2 2 2" xfId="10743"/>
    <cellStyle name="SAPBEXstdItem 5 3 2 3" xfId="10744"/>
    <cellStyle name="SAPBEXstdItem 5 3 3" xfId="10745"/>
    <cellStyle name="SAPBEXstdItem 5 3 3 2" xfId="10746"/>
    <cellStyle name="SAPBEXstdItem 5 3 3 2 2" xfId="10747"/>
    <cellStyle name="SAPBEXstdItem 5 3 3 3" xfId="10748"/>
    <cellStyle name="SAPBEXstdItem 5 3 4" xfId="10749"/>
    <cellStyle name="SAPBEXstdItem 5 3 4 2" xfId="10750"/>
    <cellStyle name="SAPBEXstdItem 5 3 5" xfId="10751"/>
    <cellStyle name="SAPBEXstdItem 5 3 5 2" xfId="10752"/>
    <cellStyle name="SAPBEXstdItem 5 3 6" xfId="10753"/>
    <cellStyle name="SAPBEXstdItem 5 3 6 2" xfId="10754"/>
    <cellStyle name="SAPBEXstdItem 5 3 7" xfId="10755"/>
    <cellStyle name="SAPBEXstdItem 5 3 7 2" xfId="10756"/>
    <cellStyle name="SAPBEXstdItem 5 3 8" xfId="10757"/>
    <cellStyle name="SAPBEXstdItem 5 4" xfId="10758"/>
    <cellStyle name="SAPBEXstdItem 5 4 2" xfId="10759"/>
    <cellStyle name="SAPBEXstdItem 5 4 2 2" xfId="10760"/>
    <cellStyle name="SAPBEXstdItem 5 4 2 2 2" xfId="10761"/>
    <cellStyle name="SAPBEXstdItem 5 4 2 3" xfId="10762"/>
    <cellStyle name="SAPBEXstdItem 5 4 3" xfId="10763"/>
    <cellStyle name="SAPBEXstdItem 5 4 3 2" xfId="10764"/>
    <cellStyle name="SAPBEXstdItem 5 4 3 2 2" xfId="10765"/>
    <cellStyle name="SAPBEXstdItem 5 4 3 3" xfId="10766"/>
    <cellStyle name="SAPBEXstdItem 5 4 4" xfId="10767"/>
    <cellStyle name="SAPBEXstdItem 5 4 4 2" xfId="10768"/>
    <cellStyle name="SAPBEXstdItem 5 4 5" xfId="10769"/>
    <cellStyle name="SAPBEXstdItem 5 4 5 2" xfId="10770"/>
    <cellStyle name="SAPBEXstdItem 5 4 6" xfId="10771"/>
    <cellStyle name="SAPBEXstdItem 5 4 6 2" xfId="10772"/>
    <cellStyle name="SAPBEXstdItem 5 4 7" xfId="10773"/>
    <cellStyle name="SAPBEXstdItem 5 4 7 2" xfId="10774"/>
    <cellStyle name="SAPBEXstdItem 5 4 8" xfId="10775"/>
    <cellStyle name="SAPBEXstdItem 5 5" xfId="10776"/>
    <cellStyle name="SAPBEXstdItem 5 5 2" xfId="10777"/>
    <cellStyle name="SAPBEXstdItem 5 5 2 2" xfId="10778"/>
    <cellStyle name="SAPBEXstdItem 5 5 2 2 2" xfId="10779"/>
    <cellStyle name="SAPBEXstdItem 5 5 2 3" xfId="10780"/>
    <cellStyle name="SAPBEXstdItem 5 5 3" xfId="10781"/>
    <cellStyle name="SAPBEXstdItem 5 5 3 2" xfId="10782"/>
    <cellStyle name="SAPBEXstdItem 5 5 3 2 2" xfId="10783"/>
    <cellStyle name="SAPBEXstdItem 5 5 3 3" xfId="10784"/>
    <cellStyle name="SAPBEXstdItem 5 5 4" xfId="10785"/>
    <cellStyle name="SAPBEXstdItem 5 5 4 2" xfId="10786"/>
    <cellStyle name="SAPBEXstdItem 5 5 5" xfId="10787"/>
    <cellStyle name="SAPBEXstdItem 5 5 5 2" xfId="10788"/>
    <cellStyle name="SAPBEXstdItem 5 5 6" xfId="10789"/>
    <cellStyle name="SAPBEXstdItem 5 5 6 2" xfId="10790"/>
    <cellStyle name="SAPBEXstdItem 5 5 7" xfId="10791"/>
    <cellStyle name="SAPBEXstdItem 5 5 7 2" xfId="10792"/>
    <cellStyle name="SAPBEXstdItem 5 5 8" xfId="10793"/>
    <cellStyle name="SAPBEXstdItem 5 6" xfId="10794"/>
    <cellStyle name="SAPBEXstdItem 5 6 2" xfId="10795"/>
    <cellStyle name="SAPBEXstdItem 5 6 2 2" xfId="10796"/>
    <cellStyle name="SAPBEXstdItem 5 6 2 2 2" xfId="10797"/>
    <cellStyle name="SAPBEXstdItem 5 6 2 3" xfId="10798"/>
    <cellStyle name="SAPBEXstdItem 5 6 3" xfId="10799"/>
    <cellStyle name="SAPBEXstdItem 5 6 3 2" xfId="10800"/>
    <cellStyle name="SAPBEXstdItem 5 6 3 2 2" xfId="10801"/>
    <cellStyle name="SAPBEXstdItem 5 6 3 3" xfId="10802"/>
    <cellStyle name="SAPBEXstdItem 5 6 4" xfId="10803"/>
    <cellStyle name="SAPBEXstdItem 5 6 4 2" xfId="10804"/>
    <cellStyle name="SAPBEXstdItem 5 6 5" xfId="10805"/>
    <cellStyle name="SAPBEXstdItem 5 6 5 2" xfId="10806"/>
    <cellStyle name="SAPBEXstdItem 5 6 6" xfId="10807"/>
    <cellStyle name="SAPBEXstdItem 5 6 6 2" xfId="10808"/>
    <cellStyle name="SAPBEXstdItem 5 6 7" xfId="10809"/>
    <cellStyle name="SAPBEXstdItem 5 6 7 2" xfId="10810"/>
    <cellStyle name="SAPBEXstdItem 5 6 8" xfId="10811"/>
    <cellStyle name="SAPBEXstdItem 5 7" xfId="10812"/>
    <cellStyle name="SAPBEXstdItem 5 7 2" xfId="10813"/>
    <cellStyle name="SAPBEXstdItem 5 7 2 2" xfId="10814"/>
    <cellStyle name="SAPBEXstdItem 5 7 3" xfId="10815"/>
    <cellStyle name="SAPBEXstdItem 5 8" xfId="10816"/>
    <cellStyle name="SAPBEXstdItem 5 8 2" xfId="10817"/>
    <cellStyle name="SAPBEXstdItem 5 9" xfId="10818"/>
    <cellStyle name="SAPBEXstdItem 5 9 2" xfId="10819"/>
    <cellStyle name="SAPBEXstdItem 6" xfId="10820"/>
    <cellStyle name="SAPBEXstdItem 6 10" xfId="10821"/>
    <cellStyle name="SAPBEXstdItem 6 10 2" xfId="10822"/>
    <cellStyle name="SAPBEXstdItem 6 11" xfId="10823"/>
    <cellStyle name="SAPBEXstdItem 6 2" xfId="10824"/>
    <cellStyle name="SAPBEXstdItem 6 2 2" xfId="10825"/>
    <cellStyle name="SAPBEXstdItem 6 2 2 2" xfId="10826"/>
    <cellStyle name="SAPBEXstdItem 6 2 3" xfId="10827"/>
    <cellStyle name="SAPBEXstdItem 6 3" xfId="10828"/>
    <cellStyle name="SAPBEXstdItem 6 3 2" xfId="10829"/>
    <cellStyle name="SAPBEXstdItem 6 4" xfId="10830"/>
    <cellStyle name="SAPBEXstdItem 6 4 2" xfId="10831"/>
    <cellStyle name="SAPBEXstdItem 6 5" xfId="10832"/>
    <cellStyle name="SAPBEXstdItem 6 5 2" xfId="10833"/>
    <cellStyle name="SAPBEXstdItem 6 6" xfId="10834"/>
    <cellStyle name="SAPBEXstdItem 6 6 2" xfId="10835"/>
    <cellStyle name="SAPBEXstdItem 6 7" xfId="10836"/>
    <cellStyle name="SAPBEXstdItem 6 7 2" xfId="10837"/>
    <cellStyle name="SAPBEXstdItem 6 8" xfId="10838"/>
    <cellStyle name="SAPBEXstdItem 6 8 2" xfId="10839"/>
    <cellStyle name="SAPBEXstdItem 6 9" xfId="10840"/>
    <cellStyle name="SAPBEXstdItem 6 9 2" xfId="10841"/>
    <cellStyle name="SAPBEXstdItem 7" xfId="10842"/>
    <cellStyle name="SAPBEXstdItem 7 2" xfId="10843"/>
    <cellStyle name="SAPBEXstdItem 7 2 2" xfId="10844"/>
    <cellStyle name="SAPBEXstdItem 7 3" xfId="10845"/>
    <cellStyle name="SAPBEXstdItem 8" xfId="10846"/>
    <cellStyle name="SAPBEXstdItem 8 2" xfId="10847"/>
    <cellStyle name="SAPBEXstdItem 9" xfId="10848"/>
    <cellStyle name="SAPBEXstdItem 9 2" xfId="10849"/>
    <cellStyle name="SAPBEXstdItem_Copy of xSAPtemp5457" xfId="10850"/>
    <cellStyle name="SAPBEXstdItemX" xfId="697"/>
    <cellStyle name="SAPBEXstdItemX 2" xfId="10851"/>
    <cellStyle name="SAPBEXstdItemX 2 10" xfId="10852"/>
    <cellStyle name="SAPBEXstdItemX 2 10 2" xfId="10853"/>
    <cellStyle name="SAPBEXstdItemX 2 11" xfId="10854"/>
    <cellStyle name="SAPBEXstdItemX 2 11 2" xfId="10855"/>
    <cellStyle name="SAPBEXstdItemX 2 12" xfId="10856"/>
    <cellStyle name="SAPBEXstdItemX 2 12 2" xfId="10857"/>
    <cellStyle name="SAPBEXstdItemX 2 13" xfId="10858"/>
    <cellStyle name="SAPBEXstdItemX 2 2" xfId="10859"/>
    <cellStyle name="SAPBEXstdItemX 2 2 2" xfId="10860"/>
    <cellStyle name="SAPBEXstdItemX 2 2 2 2" xfId="10861"/>
    <cellStyle name="SAPBEXstdItemX 2 2 2 2 2" xfId="10862"/>
    <cellStyle name="SAPBEXstdItemX 2 2 2 3" xfId="10863"/>
    <cellStyle name="SAPBEXstdItemX 2 2 3" xfId="10864"/>
    <cellStyle name="SAPBEXstdItemX 2 2 3 2" xfId="10865"/>
    <cellStyle name="SAPBEXstdItemX 2 2 3 2 2" xfId="10866"/>
    <cellStyle name="SAPBEXstdItemX 2 2 3 3" xfId="10867"/>
    <cellStyle name="SAPBEXstdItemX 2 2 4" xfId="10868"/>
    <cellStyle name="SAPBEXstdItemX 2 2 4 2" xfId="10869"/>
    <cellStyle name="SAPBEXstdItemX 2 2 5" xfId="10870"/>
    <cellStyle name="SAPBEXstdItemX 2 2 5 2" xfId="10871"/>
    <cellStyle name="SAPBEXstdItemX 2 2 6" xfId="10872"/>
    <cellStyle name="SAPBEXstdItemX 2 2 6 2" xfId="10873"/>
    <cellStyle name="SAPBEXstdItemX 2 2 7" xfId="10874"/>
    <cellStyle name="SAPBEXstdItemX 2 2 7 2" xfId="10875"/>
    <cellStyle name="SAPBEXstdItemX 2 2 8" xfId="10876"/>
    <cellStyle name="SAPBEXstdItemX 2 3" xfId="10877"/>
    <cellStyle name="SAPBEXstdItemX 2 3 10" xfId="10878"/>
    <cellStyle name="SAPBEXstdItemX 2 3 10 2" xfId="10879"/>
    <cellStyle name="SAPBEXstdItemX 2 3 11" xfId="10880"/>
    <cellStyle name="SAPBEXstdItemX 2 3 2" xfId="10881"/>
    <cellStyle name="SAPBEXstdItemX 2 3 2 2" xfId="10882"/>
    <cellStyle name="SAPBEXstdItemX 2 3 2 2 2" xfId="10883"/>
    <cellStyle name="SAPBEXstdItemX 2 3 2 3" xfId="10884"/>
    <cellStyle name="SAPBEXstdItemX 2 3 3" xfId="10885"/>
    <cellStyle name="SAPBEXstdItemX 2 3 3 2" xfId="10886"/>
    <cellStyle name="SAPBEXstdItemX 2 3 4" xfId="10887"/>
    <cellStyle name="SAPBEXstdItemX 2 3 4 2" xfId="10888"/>
    <cellStyle name="SAPBEXstdItemX 2 3 5" xfId="10889"/>
    <cellStyle name="SAPBEXstdItemX 2 3 5 2" xfId="10890"/>
    <cellStyle name="SAPBEXstdItemX 2 3 6" xfId="10891"/>
    <cellStyle name="SAPBEXstdItemX 2 3 6 2" xfId="10892"/>
    <cellStyle name="SAPBEXstdItemX 2 3 7" xfId="10893"/>
    <cellStyle name="SAPBEXstdItemX 2 3 7 2" xfId="10894"/>
    <cellStyle name="SAPBEXstdItemX 2 3 8" xfId="10895"/>
    <cellStyle name="SAPBEXstdItemX 2 3 8 2" xfId="10896"/>
    <cellStyle name="SAPBEXstdItemX 2 3 9" xfId="10897"/>
    <cellStyle name="SAPBEXstdItemX 2 3 9 2" xfId="10898"/>
    <cellStyle name="SAPBEXstdItemX 2 4" xfId="10899"/>
    <cellStyle name="SAPBEXstdItemX 2 4 10" xfId="10900"/>
    <cellStyle name="SAPBEXstdItemX 2 4 10 2" xfId="10901"/>
    <cellStyle name="SAPBEXstdItemX 2 4 11" xfId="10902"/>
    <cellStyle name="SAPBEXstdItemX 2 4 2" xfId="10903"/>
    <cellStyle name="SAPBEXstdItemX 2 4 2 2" xfId="10904"/>
    <cellStyle name="SAPBEXstdItemX 2 4 2 2 2" xfId="10905"/>
    <cellStyle name="SAPBEXstdItemX 2 4 2 3" xfId="10906"/>
    <cellStyle name="SAPBEXstdItemX 2 4 3" xfId="10907"/>
    <cellStyle name="SAPBEXstdItemX 2 4 3 2" xfId="10908"/>
    <cellStyle name="SAPBEXstdItemX 2 4 4" xfId="10909"/>
    <cellStyle name="SAPBEXstdItemX 2 4 4 2" xfId="10910"/>
    <cellStyle name="SAPBEXstdItemX 2 4 5" xfId="10911"/>
    <cellStyle name="SAPBEXstdItemX 2 4 5 2" xfId="10912"/>
    <cellStyle name="SAPBEXstdItemX 2 4 6" xfId="10913"/>
    <cellStyle name="SAPBEXstdItemX 2 4 6 2" xfId="10914"/>
    <cellStyle name="SAPBEXstdItemX 2 4 7" xfId="10915"/>
    <cellStyle name="SAPBEXstdItemX 2 4 7 2" xfId="10916"/>
    <cellStyle name="SAPBEXstdItemX 2 4 8" xfId="10917"/>
    <cellStyle name="SAPBEXstdItemX 2 4 8 2" xfId="10918"/>
    <cellStyle name="SAPBEXstdItemX 2 4 9" xfId="10919"/>
    <cellStyle name="SAPBEXstdItemX 2 4 9 2" xfId="10920"/>
    <cellStyle name="SAPBEXstdItemX 2 5" xfId="10921"/>
    <cellStyle name="SAPBEXstdItemX 2 5 10" xfId="10922"/>
    <cellStyle name="SAPBEXstdItemX 2 5 10 2" xfId="10923"/>
    <cellStyle name="SAPBEXstdItemX 2 5 11" xfId="10924"/>
    <cellStyle name="SAPBEXstdItemX 2 5 2" xfId="10925"/>
    <cellStyle name="SAPBEXstdItemX 2 5 2 2" xfId="10926"/>
    <cellStyle name="SAPBEXstdItemX 2 5 2 2 2" xfId="10927"/>
    <cellStyle name="SAPBEXstdItemX 2 5 2 3" xfId="10928"/>
    <cellStyle name="SAPBEXstdItemX 2 5 3" xfId="10929"/>
    <cellStyle name="SAPBEXstdItemX 2 5 3 2" xfId="10930"/>
    <cellStyle name="SAPBEXstdItemX 2 5 4" xfId="10931"/>
    <cellStyle name="SAPBEXstdItemX 2 5 4 2" xfId="10932"/>
    <cellStyle name="SAPBEXstdItemX 2 5 5" xfId="10933"/>
    <cellStyle name="SAPBEXstdItemX 2 5 5 2" xfId="10934"/>
    <cellStyle name="SAPBEXstdItemX 2 5 6" xfId="10935"/>
    <cellStyle name="SAPBEXstdItemX 2 5 6 2" xfId="10936"/>
    <cellStyle name="SAPBEXstdItemX 2 5 7" xfId="10937"/>
    <cellStyle name="SAPBEXstdItemX 2 5 7 2" xfId="10938"/>
    <cellStyle name="SAPBEXstdItemX 2 5 8" xfId="10939"/>
    <cellStyle name="SAPBEXstdItemX 2 5 8 2" xfId="10940"/>
    <cellStyle name="SAPBEXstdItemX 2 5 9" xfId="10941"/>
    <cellStyle name="SAPBEXstdItemX 2 5 9 2" xfId="10942"/>
    <cellStyle name="SAPBEXstdItemX 2 6" xfId="10943"/>
    <cellStyle name="SAPBEXstdItemX 2 6 10" xfId="10944"/>
    <cellStyle name="SAPBEXstdItemX 2 6 10 2" xfId="10945"/>
    <cellStyle name="SAPBEXstdItemX 2 6 11" xfId="10946"/>
    <cellStyle name="SAPBEXstdItemX 2 6 2" xfId="10947"/>
    <cellStyle name="SAPBEXstdItemX 2 6 2 2" xfId="10948"/>
    <cellStyle name="SAPBEXstdItemX 2 6 2 2 2" xfId="10949"/>
    <cellStyle name="SAPBEXstdItemX 2 6 2 3" xfId="10950"/>
    <cellStyle name="SAPBEXstdItemX 2 6 3" xfId="10951"/>
    <cellStyle name="SAPBEXstdItemX 2 6 3 2" xfId="10952"/>
    <cellStyle name="SAPBEXstdItemX 2 6 4" xfId="10953"/>
    <cellStyle name="SAPBEXstdItemX 2 6 4 2" xfId="10954"/>
    <cellStyle name="SAPBEXstdItemX 2 6 5" xfId="10955"/>
    <cellStyle name="SAPBEXstdItemX 2 6 5 2" xfId="10956"/>
    <cellStyle name="SAPBEXstdItemX 2 6 6" xfId="10957"/>
    <cellStyle name="SAPBEXstdItemX 2 6 6 2" xfId="10958"/>
    <cellStyle name="SAPBEXstdItemX 2 6 7" xfId="10959"/>
    <cellStyle name="SAPBEXstdItemX 2 6 7 2" xfId="10960"/>
    <cellStyle name="SAPBEXstdItemX 2 6 8" xfId="10961"/>
    <cellStyle name="SAPBEXstdItemX 2 6 8 2" xfId="10962"/>
    <cellStyle name="SAPBEXstdItemX 2 6 9" xfId="10963"/>
    <cellStyle name="SAPBEXstdItemX 2 6 9 2" xfId="10964"/>
    <cellStyle name="SAPBEXstdItemX 2 7" xfId="10965"/>
    <cellStyle name="SAPBEXstdItemX 2 7 2" xfId="10966"/>
    <cellStyle name="SAPBEXstdItemX 2 7 2 2" xfId="10967"/>
    <cellStyle name="SAPBEXstdItemX 2 7 3" xfId="10968"/>
    <cellStyle name="SAPBEXstdItemX 2 8" xfId="10969"/>
    <cellStyle name="SAPBEXstdItemX 2 8 2" xfId="10970"/>
    <cellStyle name="SAPBEXstdItemX 2 9" xfId="10971"/>
    <cellStyle name="SAPBEXstdItemX 2 9 2" xfId="10972"/>
    <cellStyle name="SAPBEXstdItemX 3" xfId="10973"/>
    <cellStyle name="SAPBEXstdItemX 3 10" xfId="10974"/>
    <cellStyle name="SAPBEXstdItemX 3 10 2" xfId="10975"/>
    <cellStyle name="SAPBEXstdItemX 3 11" xfId="10976"/>
    <cellStyle name="SAPBEXstdItemX 3 11 2" xfId="10977"/>
    <cellStyle name="SAPBEXstdItemX 3 12" xfId="10978"/>
    <cellStyle name="SAPBEXstdItemX 3 12 2" xfId="10979"/>
    <cellStyle name="SAPBEXstdItemX 3 13" xfId="10980"/>
    <cellStyle name="SAPBEXstdItemX 3 2" xfId="10981"/>
    <cellStyle name="SAPBEXstdItemX 3 2 2" xfId="10982"/>
    <cellStyle name="SAPBEXstdItemX 3 2 2 2" xfId="10983"/>
    <cellStyle name="SAPBEXstdItemX 3 2 2 2 2" xfId="10984"/>
    <cellStyle name="SAPBEXstdItemX 3 2 2 3" xfId="10985"/>
    <cellStyle name="SAPBEXstdItemX 3 2 3" xfId="10986"/>
    <cellStyle name="SAPBEXstdItemX 3 2 3 2" xfId="10987"/>
    <cellStyle name="SAPBEXstdItemX 3 2 3 2 2" xfId="10988"/>
    <cellStyle name="SAPBEXstdItemX 3 2 3 3" xfId="10989"/>
    <cellStyle name="SAPBEXstdItemX 3 2 4" xfId="10990"/>
    <cellStyle name="SAPBEXstdItemX 3 2 4 2" xfId="10991"/>
    <cellStyle name="SAPBEXstdItemX 3 2 5" xfId="10992"/>
    <cellStyle name="SAPBEXstdItemX 3 2 5 2" xfId="10993"/>
    <cellStyle name="SAPBEXstdItemX 3 2 6" xfId="10994"/>
    <cellStyle name="SAPBEXstdItemX 3 2 6 2" xfId="10995"/>
    <cellStyle name="SAPBEXstdItemX 3 2 7" xfId="10996"/>
    <cellStyle name="SAPBEXstdItemX 3 2 7 2" xfId="10997"/>
    <cellStyle name="SAPBEXstdItemX 3 2 8" xfId="10998"/>
    <cellStyle name="SAPBEXstdItemX 3 3" xfId="10999"/>
    <cellStyle name="SAPBEXstdItemX 3 3 10" xfId="11000"/>
    <cellStyle name="SAPBEXstdItemX 3 3 10 2" xfId="11001"/>
    <cellStyle name="SAPBEXstdItemX 3 3 11" xfId="11002"/>
    <cellStyle name="SAPBEXstdItemX 3 3 2" xfId="11003"/>
    <cellStyle name="SAPBEXstdItemX 3 3 2 2" xfId="11004"/>
    <cellStyle name="SAPBEXstdItemX 3 3 2 2 2" xfId="11005"/>
    <cellStyle name="SAPBEXstdItemX 3 3 2 3" xfId="11006"/>
    <cellStyle name="SAPBEXstdItemX 3 3 3" xfId="11007"/>
    <cellStyle name="SAPBEXstdItemX 3 3 3 2" xfId="11008"/>
    <cellStyle name="SAPBEXstdItemX 3 3 4" xfId="11009"/>
    <cellStyle name="SAPBEXstdItemX 3 3 4 2" xfId="11010"/>
    <cellStyle name="SAPBEXstdItemX 3 3 5" xfId="11011"/>
    <cellStyle name="SAPBEXstdItemX 3 3 5 2" xfId="11012"/>
    <cellStyle name="SAPBEXstdItemX 3 3 6" xfId="11013"/>
    <cellStyle name="SAPBEXstdItemX 3 3 6 2" xfId="11014"/>
    <cellStyle name="SAPBEXstdItemX 3 3 7" xfId="11015"/>
    <cellStyle name="SAPBEXstdItemX 3 3 7 2" xfId="11016"/>
    <cellStyle name="SAPBEXstdItemX 3 3 8" xfId="11017"/>
    <cellStyle name="SAPBEXstdItemX 3 3 8 2" xfId="11018"/>
    <cellStyle name="SAPBEXstdItemX 3 3 9" xfId="11019"/>
    <cellStyle name="SAPBEXstdItemX 3 3 9 2" xfId="11020"/>
    <cellStyle name="SAPBEXstdItemX 3 4" xfId="11021"/>
    <cellStyle name="SAPBEXstdItemX 3 4 10" xfId="11022"/>
    <cellStyle name="SAPBEXstdItemX 3 4 10 2" xfId="11023"/>
    <cellStyle name="SAPBEXstdItemX 3 4 11" xfId="11024"/>
    <cellStyle name="SAPBEXstdItemX 3 4 2" xfId="11025"/>
    <cellStyle name="SAPBEXstdItemX 3 4 2 2" xfId="11026"/>
    <cellStyle name="SAPBEXstdItemX 3 4 2 2 2" xfId="11027"/>
    <cellStyle name="SAPBEXstdItemX 3 4 2 3" xfId="11028"/>
    <cellStyle name="SAPBEXstdItemX 3 4 3" xfId="11029"/>
    <cellStyle name="SAPBEXstdItemX 3 4 3 2" xfId="11030"/>
    <cellStyle name="SAPBEXstdItemX 3 4 4" xfId="11031"/>
    <cellStyle name="SAPBEXstdItemX 3 4 4 2" xfId="11032"/>
    <cellStyle name="SAPBEXstdItemX 3 4 5" xfId="11033"/>
    <cellStyle name="SAPBEXstdItemX 3 4 5 2" xfId="11034"/>
    <cellStyle name="SAPBEXstdItemX 3 4 6" xfId="11035"/>
    <cellStyle name="SAPBEXstdItemX 3 4 6 2" xfId="11036"/>
    <cellStyle name="SAPBEXstdItemX 3 4 7" xfId="11037"/>
    <cellStyle name="SAPBEXstdItemX 3 4 7 2" xfId="11038"/>
    <cellStyle name="SAPBEXstdItemX 3 4 8" xfId="11039"/>
    <cellStyle name="SAPBEXstdItemX 3 4 8 2" xfId="11040"/>
    <cellStyle name="SAPBEXstdItemX 3 4 9" xfId="11041"/>
    <cellStyle name="SAPBEXstdItemX 3 4 9 2" xfId="11042"/>
    <cellStyle name="SAPBEXstdItemX 3 5" xfId="11043"/>
    <cellStyle name="SAPBEXstdItemX 3 5 10" xfId="11044"/>
    <cellStyle name="SAPBEXstdItemX 3 5 10 2" xfId="11045"/>
    <cellStyle name="SAPBEXstdItemX 3 5 11" xfId="11046"/>
    <cellStyle name="SAPBEXstdItemX 3 5 2" xfId="11047"/>
    <cellStyle name="SAPBEXstdItemX 3 5 2 2" xfId="11048"/>
    <cellStyle name="SAPBEXstdItemX 3 5 2 2 2" xfId="11049"/>
    <cellStyle name="SAPBEXstdItemX 3 5 2 3" xfId="11050"/>
    <cellStyle name="SAPBEXstdItemX 3 5 3" xfId="11051"/>
    <cellStyle name="SAPBEXstdItemX 3 5 3 2" xfId="11052"/>
    <cellStyle name="SAPBEXstdItemX 3 5 4" xfId="11053"/>
    <cellStyle name="SAPBEXstdItemX 3 5 4 2" xfId="11054"/>
    <cellStyle name="SAPBEXstdItemX 3 5 5" xfId="11055"/>
    <cellStyle name="SAPBEXstdItemX 3 5 5 2" xfId="11056"/>
    <cellStyle name="SAPBEXstdItemX 3 5 6" xfId="11057"/>
    <cellStyle name="SAPBEXstdItemX 3 5 6 2" xfId="11058"/>
    <cellStyle name="SAPBEXstdItemX 3 5 7" xfId="11059"/>
    <cellStyle name="SAPBEXstdItemX 3 5 7 2" xfId="11060"/>
    <cellStyle name="SAPBEXstdItemX 3 5 8" xfId="11061"/>
    <cellStyle name="SAPBEXstdItemX 3 5 8 2" xfId="11062"/>
    <cellStyle name="SAPBEXstdItemX 3 5 9" xfId="11063"/>
    <cellStyle name="SAPBEXstdItemX 3 5 9 2" xfId="11064"/>
    <cellStyle name="SAPBEXstdItemX 3 6" xfId="11065"/>
    <cellStyle name="SAPBEXstdItemX 3 6 10" xfId="11066"/>
    <cellStyle name="SAPBEXstdItemX 3 6 10 2" xfId="11067"/>
    <cellStyle name="SAPBEXstdItemX 3 6 11" xfId="11068"/>
    <cellStyle name="SAPBEXstdItemX 3 6 2" xfId="11069"/>
    <cellStyle name="SAPBEXstdItemX 3 6 2 2" xfId="11070"/>
    <cellStyle name="SAPBEXstdItemX 3 6 2 2 2" xfId="11071"/>
    <cellStyle name="SAPBEXstdItemX 3 6 2 3" xfId="11072"/>
    <cellStyle name="SAPBEXstdItemX 3 6 3" xfId="11073"/>
    <cellStyle name="SAPBEXstdItemX 3 6 3 2" xfId="11074"/>
    <cellStyle name="SAPBEXstdItemX 3 6 4" xfId="11075"/>
    <cellStyle name="SAPBEXstdItemX 3 6 4 2" xfId="11076"/>
    <cellStyle name="SAPBEXstdItemX 3 6 5" xfId="11077"/>
    <cellStyle name="SAPBEXstdItemX 3 6 5 2" xfId="11078"/>
    <cellStyle name="SAPBEXstdItemX 3 6 6" xfId="11079"/>
    <cellStyle name="SAPBEXstdItemX 3 6 6 2" xfId="11080"/>
    <cellStyle name="SAPBEXstdItemX 3 6 7" xfId="11081"/>
    <cellStyle name="SAPBEXstdItemX 3 6 7 2" xfId="11082"/>
    <cellStyle name="SAPBEXstdItemX 3 6 8" xfId="11083"/>
    <cellStyle name="SAPBEXstdItemX 3 6 8 2" xfId="11084"/>
    <cellStyle name="SAPBEXstdItemX 3 6 9" xfId="11085"/>
    <cellStyle name="SAPBEXstdItemX 3 6 9 2" xfId="11086"/>
    <cellStyle name="SAPBEXstdItemX 3 7" xfId="11087"/>
    <cellStyle name="SAPBEXstdItemX 3 7 2" xfId="11088"/>
    <cellStyle name="SAPBEXstdItemX 3 7 2 2" xfId="11089"/>
    <cellStyle name="SAPBEXstdItemX 3 7 3" xfId="11090"/>
    <cellStyle name="SAPBEXstdItemX 3 8" xfId="11091"/>
    <cellStyle name="SAPBEXstdItemX 3 8 2" xfId="11092"/>
    <cellStyle name="SAPBEXstdItemX 3 9" xfId="11093"/>
    <cellStyle name="SAPBEXstdItemX 3 9 2" xfId="11094"/>
    <cellStyle name="SAPBEXstdItemX 4" xfId="11095"/>
    <cellStyle name="SAPBEXstdItemX 4 10" xfId="11096"/>
    <cellStyle name="SAPBEXstdItemX 4 10 2" xfId="11097"/>
    <cellStyle name="SAPBEXstdItemX 4 11" xfId="11098"/>
    <cellStyle name="SAPBEXstdItemX 4 2" xfId="11099"/>
    <cellStyle name="SAPBEXstdItemX 4 2 2" xfId="11100"/>
    <cellStyle name="SAPBEXstdItemX 4 2 2 2" xfId="11101"/>
    <cellStyle name="SAPBEXstdItemX 4 2 3" xfId="11102"/>
    <cellStyle name="SAPBEXstdItemX 4 3" xfId="11103"/>
    <cellStyle name="SAPBEXstdItemX 4 3 2" xfId="11104"/>
    <cellStyle name="SAPBEXstdItemX 4 4" xfId="11105"/>
    <cellStyle name="SAPBEXstdItemX 4 4 2" xfId="11106"/>
    <cellStyle name="SAPBEXstdItemX 4 5" xfId="11107"/>
    <cellStyle name="SAPBEXstdItemX 4 5 2" xfId="11108"/>
    <cellStyle name="SAPBEXstdItemX 4 6" xfId="11109"/>
    <cellStyle name="SAPBEXstdItemX 4 6 2" xfId="11110"/>
    <cellStyle name="SAPBEXstdItemX 4 7" xfId="11111"/>
    <cellStyle name="SAPBEXstdItemX 4 7 2" xfId="11112"/>
    <cellStyle name="SAPBEXstdItemX 4 8" xfId="11113"/>
    <cellStyle name="SAPBEXstdItemX 4 8 2" xfId="11114"/>
    <cellStyle name="SAPBEXstdItemX 4 9" xfId="11115"/>
    <cellStyle name="SAPBEXstdItemX 4 9 2" xfId="11116"/>
    <cellStyle name="SAPBEXstdItemX 5" xfId="11117"/>
    <cellStyle name="SAPBEXstdItemX 5 2" xfId="11118"/>
    <cellStyle name="SAPBEXstdItemX 5 2 2" xfId="11119"/>
    <cellStyle name="SAPBEXstdItemX 5 3" xfId="11120"/>
    <cellStyle name="SAPBEXstdItemX 6" xfId="11121"/>
    <cellStyle name="SAPBEXstdItemX 6 2" xfId="11122"/>
    <cellStyle name="SAPBEXstdItemX 7" xfId="11123"/>
    <cellStyle name="SAPBEXstdItemX 7 2" xfId="11124"/>
    <cellStyle name="SAPBEXstdItemX 8" xfId="11125"/>
    <cellStyle name="SAPBEXstdItemX 9" xfId="11126"/>
    <cellStyle name="SAPBEXstdItemX_Copy of xSAPtemp5457" xfId="11127"/>
    <cellStyle name="SAPBEXtitle" xfId="11128"/>
    <cellStyle name="SAPBEXtitle 2" xfId="11129"/>
    <cellStyle name="SAPBEXtitle 3" xfId="11130"/>
    <cellStyle name="SAPBEXtitle 4" xfId="11131"/>
    <cellStyle name="SAPBEXtitle 5" xfId="11132"/>
    <cellStyle name="SAPBEXtitle 6" xfId="11133"/>
    <cellStyle name="SAPBEXtitle 7" xfId="11134"/>
    <cellStyle name="SAPBEXtitle_Copy of xSAPtemp5457" xfId="11135"/>
    <cellStyle name="SAPBEXundefined" xfId="11136"/>
    <cellStyle name="SECTION" xfId="698"/>
    <cellStyle name="Style 1" xfId="699"/>
    <cellStyle name="Style 1 10" xfId="700"/>
    <cellStyle name="Style 1 10 2" xfId="701"/>
    <cellStyle name="Style 1 10 2 2" xfId="702"/>
    <cellStyle name="Style 1 10 3" xfId="703"/>
    <cellStyle name="Style 1 11" xfId="704"/>
    <cellStyle name="Style 1 11 2" xfId="705"/>
    <cellStyle name="Style 1 11 2 2" xfId="706"/>
    <cellStyle name="Style 1 11 3" xfId="707"/>
    <cellStyle name="Style 1 12" xfId="708"/>
    <cellStyle name="Style 1 12 2" xfId="709"/>
    <cellStyle name="Style 1 12 2 2" xfId="710"/>
    <cellStyle name="Style 1 12 3" xfId="711"/>
    <cellStyle name="Style 1 13" xfId="712"/>
    <cellStyle name="Style 1 13 2" xfId="713"/>
    <cellStyle name="Style 1 2" xfId="714"/>
    <cellStyle name="Style 1 2 2" xfId="715"/>
    <cellStyle name="Style 1 2 2 2" xfId="716"/>
    <cellStyle name="Style 1 2 3" xfId="717"/>
    <cellStyle name="Style 1 3" xfId="718"/>
    <cellStyle name="Style 1 3 2" xfId="719"/>
    <cellStyle name="Style 1 3 2 2" xfId="720"/>
    <cellStyle name="Style 1 3 3" xfId="721"/>
    <cellStyle name="Style 1 4" xfId="722"/>
    <cellStyle name="Style 1 4 2" xfId="723"/>
    <cellStyle name="Style 1 4 2 2" xfId="724"/>
    <cellStyle name="Style 1 4 3" xfId="725"/>
    <cellStyle name="Style 1 5" xfId="726"/>
    <cellStyle name="Style 1 5 2" xfId="727"/>
    <cellStyle name="Style 1 5 2 2" xfId="728"/>
    <cellStyle name="Style 1 5 3" xfId="729"/>
    <cellStyle name="Style 1 6" xfId="730"/>
    <cellStyle name="Style 1 6 2" xfId="731"/>
    <cellStyle name="Style 1 6 2 2" xfId="732"/>
    <cellStyle name="Style 1 6 3" xfId="733"/>
    <cellStyle name="Style 1 7" xfId="734"/>
    <cellStyle name="Style 1 7 2" xfId="735"/>
    <cellStyle name="Style 1 7 2 2" xfId="736"/>
    <cellStyle name="Style 1 7 3" xfId="737"/>
    <cellStyle name="Style 1 8" xfId="738"/>
    <cellStyle name="Style 1 8 2" xfId="739"/>
    <cellStyle name="Style 1 8 2 2" xfId="740"/>
    <cellStyle name="Style 1 8 3" xfId="741"/>
    <cellStyle name="Style 1 9" xfId="742"/>
    <cellStyle name="Style 1 9 2" xfId="743"/>
    <cellStyle name="Style 1 9 2 2" xfId="744"/>
    <cellStyle name="Style 1 9 3" xfId="745"/>
    <cellStyle name="Style 1_FERC General Taxes" xfId="746"/>
    <cellStyle name="Style 27" xfId="11137"/>
    <cellStyle name="Style 35" xfId="11138"/>
    <cellStyle name="Style 36" xfId="11139"/>
    <cellStyle name="System Defined" xfId="747"/>
    <cellStyle name="Tickmark" xfId="748"/>
    <cellStyle name="Times New Roman" xfId="749"/>
    <cellStyle name="Title 2" xfId="750"/>
    <cellStyle name="Titles" xfId="11140"/>
    <cellStyle name="Total 2" xfId="751"/>
    <cellStyle name="Total 2 10" xfId="11141"/>
    <cellStyle name="Total 2 10 2" xfId="11142"/>
    <cellStyle name="Total 2 11" xfId="11143"/>
    <cellStyle name="Total 2 11 2" xfId="11144"/>
    <cellStyle name="Total 2 12" xfId="11145"/>
    <cellStyle name="Total 2 12 2" xfId="11146"/>
    <cellStyle name="Total 2 13" xfId="11147"/>
    <cellStyle name="Total 2 2" xfId="11148"/>
    <cellStyle name="Total 2 2 2" xfId="11149"/>
    <cellStyle name="Total 2 2 2 2" xfId="11150"/>
    <cellStyle name="Total 2 2 2 2 2" xfId="11151"/>
    <cellStyle name="Total 2 2 2 3" xfId="11152"/>
    <cellStyle name="Total 2 2 3" xfId="11153"/>
    <cellStyle name="Total 2 2 3 2" xfId="11154"/>
    <cellStyle name="Total 2 2 3 2 2" xfId="11155"/>
    <cellStyle name="Total 2 2 3 3" xfId="11156"/>
    <cellStyle name="Total 2 2 4" xfId="11157"/>
    <cellStyle name="Total 2 2 4 2" xfId="11158"/>
    <cellStyle name="Total 2 2 5" xfId="11159"/>
    <cellStyle name="Total 2 2 5 2" xfId="11160"/>
    <cellStyle name="Total 2 2 6" xfId="11161"/>
    <cellStyle name="Total 2 2 6 2" xfId="11162"/>
    <cellStyle name="Total 2 2 7" xfId="11163"/>
    <cellStyle name="Total 2 2 7 2" xfId="11164"/>
    <cellStyle name="Total 2 2 8" xfId="11165"/>
    <cellStyle name="Total 2 3" xfId="11166"/>
    <cellStyle name="Total 2 3 10" xfId="11167"/>
    <cellStyle name="Total 2 3 10 2" xfId="11168"/>
    <cellStyle name="Total 2 3 11" xfId="11169"/>
    <cellStyle name="Total 2 3 2" xfId="11170"/>
    <cellStyle name="Total 2 3 2 2" xfId="11171"/>
    <cellStyle name="Total 2 3 2 2 2" xfId="11172"/>
    <cellStyle name="Total 2 3 2 3" xfId="11173"/>
    <cellStyle name="Total 2 3 3" xfId="11174"/>
    <cellStyle name="Total 2 3 3 2" xfId="11175"/>
    <cellStyle name="Total 2 3 4" xfId="11176"/>
    <cellStyle name="Total 2 3 4 2" xfId="11177"/>
    <cellStyle name="Total 2 3 5" xfId="11178"/>
    <cellStyle name="Total 2 3 5 2" xfId="11179"/>
    <cellStyle name="Total 2 3 6" xfId="11180"/>
    <cellStyle name="Total 2 3 6 2" xfId="11181"/>
    <cellStyle name="Total 2 3 7" xfId="11182"/>
    <cellStyle name="Total 2 3 7 2" xfId="11183"/>
    <cellStyle name="Total 2 3 8" xfId="11184"/>
    <cellStyle name="Total 2 3 8 2" xfId="11185"/>
    <cellStyle name="Total 2 3 9" xfId="11186"/>
    <cellStyle name="Total 2 3 9 2" xfId="11187"/>
    <cellStyle name="Total 2 4" xfId="11188"/>
    <cellStyle name="Total 2 4 10" xfId="11189"/>
    <cellStyle name="Total 2 4 10 2" xfId="11190"/>
    <cellStyle name="Total 2 4 11" xfId="11191"/>
    <cellStyle name="Total 2 4 2" xfId="11192"/>
    <cellStyle name="Total 2 4 2 2" xfId="11193"/>
    <cellStyle name="Total 2 4 2 2 2" xfId="11194"/>
    <cellStyle name="Total 2 4 2 3" xfId="11195"/>
    <cellStyle name="Total 2 4 3" xfId="11196"/>
    <cellStyle name="Total 2 4 3 2" xfId="11197"/>
    <cellStyle name="Total 2 4 4" xfId="11198"/>
    <cellStyle name="Total 2 4 4 2" xfId="11199"/>
    <cellStyle name="Total 2 4 5" xfId="11200"/>
    <cellStyle name="Total 2 4 5 2" xfId="11201"/>
    <cellStyle name="Total 2 4 6" xfId="11202"/>
    <cellStyle name="Total 2 4 6 2" xfId="11203"/>
    <cellStyle name="Total 2 4 7" xfId="11204"/>
    <cellStyle name="Total 2 4 7 2" xfId="11205"/>
    <cellStyle name="Total 2 4 8" xfId="11206"/>
    <cellStyle name="Total 2 4 8 2" xfId="11207"/>
    <cellStyle name="Total 2 4 9" xfId="11208"/>
    <cellStyle name="Total 2 4 9 2" xfId="11209"/>
    <cellStyle name="Total 2 5" xfId="11210"/>
    <cellStyle name="Total 2 5 10" xfId="11211"/>
    <cellStyle name="Total 2 5 10 2" xfId="11212"/>
    <cellStyle name="Total 2 5 11" xfId="11213"/>
    <cellStyle name="Total 2 5 2" xfId="11214"/>
    <cellStyle name="Total 2 5 2 2" xfId="11215"/>
    <cellStyle name="Total 2 5 2 2 2" xfId="11216"/>
    <cellStyle name="Total 2 5 2 3" xfId="11217"/>
    <cellStyle name="Total 2 5 3" xfId="11218"/>
    <cellStyle name="Total 2 5 3 2" xfId="11219"/>
    <cellStyle name="Total 2 5 4" xfId="11220"/>
    <cellStyle name="Total 2 5 4 2" xfId="11221"/>
    <cellStyle name="Total 2 5 5" xfId="11222"/>
    <cellStyle name="Total 2 5 5 2" xfId="11223"/>
    <cellStyle name="Total 2 5 6" xfId="11224"/>
    <cellStyle name="Total 2 5 6 2" xfId="11225"/>
    <cellStyle name="Total 2 5 7" xfId="11226"/>
    <cellStyle name="Total 2 5 7 2" xfId="11227"/>
    <cellStyle name="Total 2 5 8" xfId="11228"/>
    <cellStyle name="Total 2 5 8 2" xfId="11229"/>
    <cellStyle name="Total 2 5 9" xfId="11230"/>
    <cellStyle name="Total 2 5 9 2" xfId="11231"/>
    <cellStyle name="Total 2 6" xfId="11232"/>
    <cellStyle name="Total 2 6 10" xfId="11233"/>
    <cellStyle name="Total 2 6 10 2" xfId="11234"/>
    <cellStyle name="Total 2 6 11" xfId="11235"/>
    <cellStyle name="Total 2 6 2" xfId="11236"/>
    <cellStyle name="Total 2 6 2 2" xfId="11237"/>
    <cellStyle name="Total 2 6 2 2 2" xfId="11238"/>
    <cellStyle name="Total 2 6 2 3" xfId="11239"/>
    <cellStyle name="Total 2 6 3" xfId="11240"/>
    <cellStyle name="Total 2 6 3 2" xfId="11241"/>
    <cellStyle name="Total 2 6 4" xfId="11242"/>
    <cellStyle name="Total 2 6 4 2" xfId="11243"/>
    <cellStyle name="Total 2 6 5" xfId="11244"/>
    <cellStyle name="Total 2 6 5 2" xfId="11245"/>
    <cellStyle name="Total 2 6 6" xfId="11246"/>
    <cellStyle name="Total 2 6 6 2" xfId="11247"/>
    <cellStyle name="Total 2 6 7" xfId="11248"/>
    <cellStyle name="Total 2 6 7 2" xfId="11249"/>
    <cellStyle name="Total 2 6 8" xfId="11250"/>
    <cellStyle name="Total 2 6 8 2" xfId="11251"/>
    <cellStyle name="Total 2 6 9" xfId="11252"/>
    <cellStyle name="Total 2 6 9 2" xfId="11253"/>
    <cellStyle name="Total 2 7" xfId="11254"/>
    <cellStyle name="Total 2 7 2" xfId="11255"/>
    <cellStyle name="Total 2 7 2 2" xfId="11256"/>
    <cellStyle name="Total 2 7 3" xfId="11257"/>
    <cellStyle name="Total 2 8" xfId="11258"/>
    <cellStyle name="Total 2 8 2" xfId="11259"/>
    <cellStyle name="Total 2 9" xfId="11260"/>
    <cellStyle name="Total 2 9 2" xfId="11261"/>
    <cellStyle name="Unprot" xfId="11262"/>
    <cellStyle name="Unprot$" xfId="11263"/>
    <cellStyle name="Unprotect" xfId="11264"/>
    <cellStyle name="Warning Text 2" xfId="75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808000"/>
      <rgbColor rgb="00FF00FF"/>
      <rgbColor rgb="0000FFFF"/>
      <rgbColor rgb="00800000"/>
      <rgbColor rgb="00008000"/>
      <rgbColor rgb="00000080"/>
      <rgbColor rgb="00FFFF86"/>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FFF"/>
      <rgbColor rgb="0069FFFF"/>
      <rgbColor rgb="00E0FFE0"/>
      <rgbColor rgb="00FFFF80"/>
      <rgbColor rgb="00A6CAF0"/>
      <rgbColor rgb="00DD9CB3"/>
      <rgbColor rgb="00B38FEE"/>
      <rgbColor rgb="00E3E3E3"/>
      <rgbColor rgb="002A6FF9"/>
      <rgbColor rgb="003FB8CD"/>
      <rgbColor rgb="00488436"/>
      <rgbColor rgb="00958C41"/>
      <rgbColor rgb="008E5E42"/>
      <rgbColor rgb="00A0627A"/>
      <rgbColor rgb="00624FAC"/>
      <rgbColor rgb="00969696"/>
      <rgbColor rgb="001D2FBE"/>
      <rgbColor rgb="00286676"/>
      <rgbColor rgb="00004500"/>
      <rgbColor rgb="00453E01"/>
      <rgbColor rgb="006A2813"/>
      <rgbColor rgb="0085396A"/>
      <rgbColor rgb="004A3285"/>
      <rgbColor rgb="00424242"/>
    </indexedColors>
    <mruColors>
      <color rgb="FFFFFFCC"/>
      <color rgb="FFFFFF99"/>
      <color rgb="FFFFFF66"/>
      <color rgb="FF66FFFF"/>
      <color rgb="FFFFCCFF"/>
      <color rgb="FFFF99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s>
</file>

<file path=xl/drawings/drawing1.xml><?xml version="1.0" encoding="utf-8"?>
<xdr:wsDr xmlns:xdr="http://schemas.openxmlformats.org/drawingml/2006/spreadsheetDrawing" xmlns:a="http://schemas.openxmlformats.org/drawingml/2006/main">
  <xdr:oneCellAnchor>
    <xdr:from>
      <xdr:col>6</xdr:col>
      <xdr:colOff>0</xdr:colOff>
      <xdr:row>70</xdr:row>
      <xdr:rowOff>0</xdr:rowOff>
    </xdr:from>
    <xdr:ext cx="184731" cy="264560"/>
    <xdr:sp macro="" textlink="">
      <xdr:nvSpPr>
        <xdr:cNvPr id="2" name="TextBox 1"/>
        <xdr:cNvSpPr txBox="1"/>
      </xdr:nvSpPr>
      <xdr:spPr>
        <a:xfrm>
          <a:off x="3657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139700</xdr:rowOff>
    </xdr:from>
    <xdr:ext cx="184731" cy="264560"/>
    <xdr:sp macro="" textlink="">
      <xdr:nvSpPr>
        <xdr:cNvPr id="3" name="TextBox 2"/>
        <xdr:cNvSpPr txBox="1"/>
      </xdr:nvSpPr>
      <xdr:spPr>
        <a:xfrm>
          <a:off x="0" y="9192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38100</xdr:colOff>
      <xdr:row>61</xdr:row>
      <xdr:rowOff>139700</xdr:rowOff>
    </xdr:from>
    <xdr:ext cx="184731" cy="264560"/>
    <xdr:sp macro="" textlink="">
      <xdr:nvSpPr>
        <xdr:cNvPr id="4" name="TextBox 3"/>
        <xdr:cNvSpPr txBox="1"/>
      </xdr:nvSpPr>
      <xdr:spPr>
        <a:xfrm>
          <a:off x="4305300" y="103657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0</xdr:colOff>
      <xdr:row>71</xdr:row>
      <xdr:rowOff>0</xdr:rowOff>
    </xdr:from>
    <xdr:ext cx="184731" cy="264560"/>
    <xdr:sp macro="" textlink="">
      <xdr:nvSpPr>
        <xdr:cNvPr id="5" name="TextBox 4"/>
        <xdr:cNvSpPr txBox="1"/>
      </xdr:nvSpPr>
      <xdr:spPr>
        <a:xfrm>
          <a:off x="3657600" y="11902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54</xdr:row>
      <xdr:rowOff>139700</xdr:rowOff>
    </xdr:from>
    <xdr:ext cx="184731" cy="264560"/>
    <xdr:sp macro="" textlink="">
      <xdr:nvSpPr>
        <xdr:cNvPr id="6" name="TextBox 5"/>
        <xdr:cNvSpPr txBox="1"/>
      </xdr:nvSpPr>
      <xdr:spPr>
        <a:xfrm>
          <a:off x="0" y="9192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8</xdr:col>
      <xdr:colOff>38100</xdr:colOff>
      <xdr:row>61</xdr:row>
      <xdr:rowOff>139700</xdr:rowOff>
    </xdr:from>
    <xdr:ext cx="184731" cy="264560"/>
    <xdr:sp macro="" textlink="">
      <xdr:nvSpPr>
        <xdr:cNvPr id="7" name="TextBox 6"/>
        <xdr:cNvSpPr txBox="1"/>
      </xdr:nvSpPr>
      <xdr:spPr>
        <a:xfrm>
          <a:off x="4914900" y="103657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3</xdr:col>
      <xdr:colOff>38100</xdr:colOff>
      <xdr:row>61</xdr:row>
      <xdr:rowOff>139700</xdr:rowOff>
    </xdr:from>
    <xdr:ext cx="184731" cy="264560"/>
    <xdr:sp macro="" textlink="">
      <xdr:nvSpPr>
        <xdr:cNvPr id="8" name="TextBox 7"/>
        <xdr:cNvSpPr txBox="1"/>
      </xdr:nvSpPr>
      <xdr:spPr>
        <a:xfrm>
          <a:off x="1866900" y="103657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38100</xdr:colOff>
      <xdr:row>61</xdr:row>
      <xdr:rowOff>139700</xdr:rowOff>
    </xdr:from>
    <xdr:ext cx="184731" cy="264560"/>
    <xdr:sp macro="" textlink="">
      <xdr:nvSpPr>
        <xdr:cNvPr id="9" name="TextBox 8"/>
        <xdr:cNvSpPr txBox="1"/>
      </xdr:nvSpPr>
      <xdr:spPr>
        <a:xfrm>
          <a:off x="3086100" y="103657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68</xdr:row>
      <xdr:rowOff>0</xdr:rowOff>
    </xdr:from>
    <xdr:ext cx="184731" cy="264560"/>
    <xdr:sp macro="" textlink="">
      <xdr:nvSpPr>
        <xdr:cNvPr id="2" name="TextBox 1"/>
        <xdr:cNvSpPr txBox="1"/>
      </xdr:nvSpPr>
      <xdr:spPr>
        <a:xfrm>
          <a:off x="4396740" y="1240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68</xdr:row>
      <xdr:rowOff>0</xdr:rowOff>
    </xdr:from>
    <xdr:ext cx="184731" cy="264560"/>
    <xdr:sp macro="" textlink="">
      <xdr:nvSpPr>
        <xdr:cNvPr id="3" name="TextBox 2"/>
        <xdr:cNvSpPr txBox="1"/>
      </xdr:nvSpPr>
      <xdr:spPr>
        <a:xfrm>
          <a:off x="0" y="87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38100</xdr:colOff>
      <xdr:row>59</xdr:row>
      <xdr:rowOff>139700</xdr:rowOff>
    </xdr:from>
    <xdr:ext cx="184731" cy="264560"/>
    <xdr:sp macro="" textlink="">
      <xdr:nvSpPr>
        <xdr:cNvPr id="4" name="TextBox 3"/>
        <xdr:cNvSpPr txBox="1"/>
      </xdr:nvSpPr>
      <xdr:spPr>
        <a:xfrm>
          <a:off x="6469380" y="10723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68</xdr:row>
      <xdr:rowOff>0</xdr:rowOff>
    </xdr:from>
    <xdr:ext cx="184731" cy="264560"/>
    <xdr:sp macro="" textlink="">
      <xdr:nvSpPr>
        <xdr:cNvPr id="5" name="TextBox 4"/>
        <xdr:cNvSpPr txBox="1"/>
      </xdr:nvSpPr>
      <xdr:spPr>
        <a:xfrm>
          <a:off x="6393873" y="121712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38100</xdr:colOff>
      <xdr:row>59</xdr:row>
      <xdr:rowOff>139700</xdr:rowOff>
    </xdr:from>
    <xdr:ext cx="184731" cy="264560"/>
    <xdr:sp macro="" textlink="">
      <xdr:nvSpPr>
        <xdr:cNvPr id="6" name="TextBox 5"/>
        <xdr:cNvSpPr txBox="1"/>
      </xdr:nvSpPr>
      <xdr:spPr>
        <a:xfrm>
          <a:off x="6431973" y="8029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3</xdr:col>
      <xdr:colOff>0</xdr:colOff>
      <xdr:row>68</xdr:row>
      <xdr:rowOff>0</xdr:rowOff>
    </xdr:from>
    <xdr:ext cx="184731" cy="264560"/>
    <xdr:sp macro="" textlink="">
      <xdr:nvSpPr>
        <xdr:cNvPr id="7" name="TextBox 6"/>
        <xdr:cNvSpPr txBox="1"/>
      </xdr:nvSpPr>
      <xdr:spPr>
        <a:xfrm>
          <a:off x="6393873" y="121712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3</xdr:col>
      <xdr:colOff>38100</xdr:colOff>
      <xdr:row>59</xdr:row>
      <xdr:rowOff>139700</xdr:rowOff>
    </xdr:from>
    <xdr:ext cx="184731" cy="264560"/>
    <xdr:sp macro="" textlink="">
      <xdr:nvSpPr>
        <xdr:cNvPr id="8" name="TextBox 7"/>
        <xdr:cNvSpPr txBox="1"/>
      </xdr:nvSpPr>
      <xdr:spPr>
        <a:xfrm>
          <a:off x="6431973" y="8029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38100</xdr:colOff>
      <xdr:row>59</xdr:row>
      <xdr:rowOff>139700</xdr:rowOff>
    </xdr:from>
    <xdr:ext cx="184731" cy="264560"/>
    <xdr:sp macro="" textlink="">
      <xdr:nvSpPr>
        <xdr:cNvPr id="9" name="TextBox 8"/>
        <xdr:cNvSpPr txBox="1"/>
      </xdr:nvSpPr>
      <xdr:spPr>
        <a:xfrm>
          <a:off x="6400800" y="9306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38100</xdr:colOff>
      <xdr:row>75</xdr:row>
      <xdr:rowOff>139700</xdr:rowOff>
    </xdr:from>
    <xdr:ext cx="184731" cy="264560"/>
    <xdr:sp macro="" textlink="">
      <xdr:nvSpPr>
        <xdr:cNvPr id="3" name="TextBox 2"/>
        <xdr:cNvSpPr txBox="1"/>
      </xdr:nvSpPr>
      <xdr:spPr>
        <a:xfrm>
          <a:off x="5248275" y="1121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74</xdr:row>
      <xdr:rowOff>0</xdr:rowOff>
    </xdr:from>
    <xdr:ext cx="184731" cy="264560"/>
    <xdr:sp macro="" textlink="">
      <xdr:nvSpPr>
        <xdr:cNvPr id="2" name="TextBox 1"/>
        <xdr:cNvSpPr txBox="1"/>
      </xdr:nvSpPr>
      <xdr:spPr>
        <a:xfrm>
          <a:off x="4076700" y="102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56</xdr:row>
      <xdr:rowOff>139700</xdr:rowOff>
    </xdr:from>
    <xdr:ext cx="184731" cy="264560"/>
    <xdr:sp macro="" textlink="">
      <xdr:nvSpPr>
        <xdr:cNvPr id="3" name="TextBox 2"/>
        <xdr:cNvSpPr txBox="1"/>
      </xdr:nvSpPr>
      <xdr:spPr>
        <a:xfrm>
          <a:off x="4389120" y="9641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38100</xdr:colOff>
      <xdr:row>63</xdr:row>
      <xdr:rowOff>139700</xdr:rowOff>
    </xdr:from>
    <xdr:ext cx="184731" cy="264560"/>
    <xdr:sp macro="" textlink="">
      <xdr:nvSpPr>
        <xdr:cNvPr id="5" name="TextBox 4"/>
        <xdr:cNvSpPr txBox="1"/>
      </xdr:nvSpPr>
      <xdr:spPr>
        <a:xfrm>
          <a:off x="4385982" y="981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38100</xdr:colOff>
      <xdr:row>54</xdr:row>
      <xdr:rowOff>139700</xdr:rowOff>
    </xdr:from>
    <xdr:ext cx="184731" cy="264560"/>
    <xdr:sp macro="" textlink="">
      <xdr:nvSpPr>
        <xdr:cNvPr id="2" name="TextBox 1"/>
        <xdr:cNvSpPr txBox="1"/>
      </xdr:nvSpPr>
      <xdr:spPr>
        <a:xfrm>
          <a:off x="13853160" y="1122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xdr:col>
      <xdr:colOff>0</xdr:colOff>
      <xdr:row>74</xdr:row>
      <xdr:rowOff>0</xdr:rowOff>
    </xdr:from>
    <xdr:ext cx="184731" cy="264560"/>
    <xdr:sp macro="" textlink="">
      <xdr:nvSpPr>
        <xdr:cNvPr id="5" name="TextBox 4"/>
        <xdr:cNvSpPr txBox="1"/>
      </xdr:nvSpPr>
      <xdr:spPr>
        <a:xfrm>
          <a:off x="4351020" y="125044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57</xdr:row>
      <xdr:rowOff>139700</xdr:rowOff>
    </xdr:from>
    <xdr:ext cx="184731" cy="264560"/>
    <xdr:sp macro="" textlink="">
      <xdr:nvSpPr>
        <xdr:cNvPr id="6" name="TextBox 5"/>
        <xdr:cNvSpPr txBox="1"/>
      </xdr:nvSpPr>
      <xdr:spPr>
        <a:xfrm>
          <a:off x="0" y="9611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38100</xdr:colOff>
      <xdr:row>64</xdr:row>
      <xdr:rowOff>139700</xdr:rowOff>
    </xdr:from>
    <xdr:ext cx="184731" cy="264560"/>
    <xdr:sp macro="" textlink="">
      <xdr:nvSpPr>
        <xdr:cNvPr id="7" name="TextBox 6"/>
        <xdr:cNvSpPr txBox="1"/>
      </xdr:nvSpPr>
      <xdr:spPr>
        <a:xfrm>
          <a:off x="6393180" y="10792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65</xdr:row>
      <xdr:rowOff>0</xdr:rowOff>
    </xdr:from>
    <xdr:ext cx="184731" cy="264560"/>
    <xdr:sp macro="" textlink="">
      <xdr:nvSpPr>
        <xdr:cNvPr id="8" name="TextBox 7"/>
        <xdr:cNvSpPr txBox="1"/>
      </xdr:nvSpPr>
      <xdr:spPr>
        <a:xfrm>
          <a:off x="4351020" y="10828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139700</xdr:rowOff>
    </xdr:from>
    <xdr:ext cx="184731" cy="264560"/>
    <xdr:sp macro="" textlink="">
      <xdr:nvSpPr>
        <xdr:cNvPr id="9" name="TextBox 8"/>
        <xdr:cNvSpPr txBox="1"/>
      </xdr:nvSpPr>
      <xdr:spPr>
        <a:xfrm>
          <a:off x="0" y="87731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38100</xdr:colOff>
      <xdr:row>59</xdr:row>
      <xdr:rowOff>139700</xdr:rowOff>
    </xdr:from>
    <xdr:ext cx="184731" cy="264560"/>
    <xdr:sp macro="" textlink="">
      <xdr:nvSpPr>
        <xdr:cNvPr id="10" name="TextBox 9"/>
        <xdr:cNvSpPr txBox="1"/>
      </xdr:nvSpPr>
      <xdr:spPr>
        <a:xfrm>
          <a:off x="6393180" y="9954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65</xdr:row>
      <xdr:rowOff>0</xdr:rowOff>
    </xdr:from>
    <xdr:ext cx="184731" cy="264560"/>
    <xdr:sp macro="" textlink="">
      <xdr:nvSpPr>
        <xdr:cNvPr id="11" name="TextBox 10"/>
        <xdr:cNvSpPr txBox="1"/>
      </xdr:nvSpPr>
      <xdr:spPr>
        <a:xfrm>
          <a:off x="3962400" y="1048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139700</xdr:rowOff>
    </xdr:from>
    <xdr:ext cx="184731" cy="264560"/>
    <xdr:sp macro="" textlink="">
      <xdr:nvSpPr>
        <xdr:cNvPr id="12" name="TextBox 11"/>
        <xdr:cNvSpPr txBox="1"/>
      </xdr:nvSpPr>
      <xdr:spPr>
        <a:xfrm>
          <a:off x="0" y="850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38100</xdr:colOff>
      <xdr:row>59</xdr:row>
      <xdr:rowOff>139700</xdr:rowOff>
    </xdr:from>
    <xdr:ext cx="184731" cy="264560"/>
    <xdr:sp macro="" textlink="">
      <xdr:nvSpPr>
        <xdr:cNvPr id="13" name="TextBox 12"/>
        <xdr:cNvSpPr txBox="1"/>
      </xdr:nvSpPr>
      <xdr:spPr>
        <a:xfrm>
          <a:off x="5953125" y="964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139700</xdr:rowOff>
    </xdr:from>
    <xdr:ext cx="184731" cy="264560"/>
    <xdr:sp macro="" textlink="">
      <xdr:nvSpPr>
        <xdr:cNvPr id="14" name="TextBox 13"/>
        <xdr:cNvSpPr txBox="1"/>
      </xdr:nvSpPr>
      <xdr:spPr>
        <a:xfrm>
          <a:off x="0" y="850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38100</xdr:colOff>
      <xdr:row>59</xdr:row>
      <xdr:rowOff>139700</xdr:rowOff>
    </xdr:from>
    <xdr:ext cx="184731" cy="264560"/>
    <xdr:sp macro="" textlink="">
      <xdr:nvSpPr>
        <xdr:cNvPr id="15" name="TextBox 14"/>
        <xdr:cNvSpPr txBox="1"/>
      </xdr:nvSpPr>
      <xdr:spPr>
        <a:xfrm>
          <a:off x="5953125" y="964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56</xdr:row>
      <xdr:rowOff>0</xdr:rowOff>
    </xdr:from>
    <xdr:ext cx="184731" cy="264560"/>
    <xdr:sp macro="" textlink="">
      <xdr:nvSpPr>
        <xdr:cNvPr id="2" name="TextBox 1"/>
        <xdr:cNvSpPr txBox="1"/>
      </xdr:nvSpPr>
      <xdr:spPr>
        <a:xfrm>
          <a:off x="3429000" y="98450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52</xdr:row>
      <xdr:rowOff>0</xdr:rowOff>
    </xdr:from>
    <xdr:ext cx="184731" cy="264560"/>
    <xdr:sp macro="" textlink="">
      <xdr:nvSpPr>
        <xdr:cNvPr id="3" name="TextBox 2"/>
        <xdr:cNvSpPr txBox="1"/>
      </xdr:nvSpPr>
      <xdr:spPr>
        <a:xfrm>
          <a:off x="0" y="91668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38100</xdr:colOff>
      <xdr:row>52</xdr:row>
      <xdr:rowOff>0</xdr:rowOff>
    </xdr:from>
    <xdr:ext cx="184731" cy="264560"/>
    <xdr:sp macro="" textlink="">
      <xdr:nvSpPr>
        <xdr:cNvPr id="4" name="TextBox 3"/>
        <xdr:cNvSpPr txBox="1"/>
      </xdr:nvSpPr>
      <xdr:spPr>
        <a:xfrm>
          <a:off x="5471160" y="91668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38100</xdr:colOff>
      <xdr:row>52</xdr:row>
      <xdr:rowOff>0</xdr:rowOff>
    </xdr:from>
    <xdr:ext cx="184731" cy="264560"/>
    <xdr:sp macro="" textlink="">
      <xdr:nvSpPr>
        <xdr:cNvPr id="5" name="TextBox 4"/>
        <xdr:cNvSpPr txBox="1"/>
      </xdr:nvSpPr>
      <xdr:spPr>
        <a:xfrm>
          <a:off x="5471160" y="91668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xdr:col>
      <xdr:colOff>0</xdr:colOff>
      <xdr:row>61</xdr:row>
      <xdr:rowOff>0</xdr:rowOff>
    </xdr:from>
    <xdr:ext cx="184731" cy="264560"/>
    <xdr:sp macro="" textlink="">
      <xdr:nvSpPr>
        <xdr:cNvPr id="2" name="TextBox 1"/>
        <xdr:cNvSpPr txBox="1"/>
      </xdr:nvSpPr>
      <xdr:spPr>
        <a:xfrm>
          <a:off x="3055620"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45</xdr:row>
      <xdr:rowOff>139700</xdr:rowOff>
    </xdr:from>
    <xdr:ext cx="184731" cy="264560"/>
    <xdr:sp macro="" textlink="">
      <xdr:nvSpPr>
        <xdr:cNvPr id="3" name="TextBox 2"/>
        <xdr:cNvSpPr txBox="1"/>
      </xdr:nvSpPr>
      <xdr:spPr>
        <a:xfrm>
          <a:off x="0" y="845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0</xdr:colOff>
      <xdr:row>52</xdr:row>
      <xdr:rowOff>0</xdr:rowOff>
    </xdr:from>
    <xdr:ext cx="184731" cy="264560"/>
    <xdr:sp macro="" textlink="">
      <xdr:nvSpPr>
        <xdr:cNvPr id="4" name="TextBox 3"/>
        <xdr:cNvSpPr txBox="1"/>
      </xdr:nvSpPr>
      <xdr:spPr>
        <a:xfrm>
          <a:off x="5021580" y="9654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52</xdr:row>
      <xdr:rowOff>0</xdr:rowOff>
    </xdr:from>
    <xdr:ext cx="184731" cy="264560"/>
    <xdr:sp macro="" textlink="">
      <xdr:nvSpPr>
        <xdr:cNvPr id="5" name="TextBox 4"/>
        <xdr:cNvSpPr txBox="1"/>
      </xdr:nvSpPr>
      <xdr:spPr>
        <a:xfrm>
          <a:off x="1950720" y="9654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40</xdr:row>
      <xdr:rowOff>139700</xdr:rowOff>
    </xdr:from>
    <xdr:ext cx="184731" cy="264560"/>
    <xdr:sp macro="" textlink="">
      <xdr:nvSpPr>
        <xdr:cNvPr id="6" name="TextBox 5"/>
        <xdr:cNvSpPr txBox="1"/>
      </xdr:nvSpPr>
      <xdr:spPr>
        <a:xfrm>
          <a:off x="0" y="7614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38100</xdr:colOff>
      <xdr:row>47</xdr:row>
      <xdr:rowOff>139700</xdr:rowOff>
    </xdr:from>
    <xdr:ext cx="184731" cy="264560"/>
    <xdr:sp macro="" textlink="">
      <xdr:nvSpPr>
        <xdr:cNvPr id="7" name="TextBox 6"/>
        <xdr:cNvSpPr txBox="1"/>
      </xdr:nvSpPr>
      <xdr:spPr>
        <a:xfrm>
          <a:off x="3992880" y="878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3</xdr:col>
      <xdr:colOff>0</xdr:colOff>
      <xdr:row>37</xdr:row>
      <xdr:rowOff>0</xdr:rowOff>
    </xdr:from>
    <xdr:ext cx="184731" cy="264560"/>
    <xdr:sp macro="" textlink="">
      <xdr:nvSpPr>
        <xdr:cNvPr id="8" name="TextBox 7"/>
        <xdr:cNvSpPr txBox="1"/>
      </xdr:nvSpPr>
      <xdr:spPr>
        <a:xfrm>
          <a:off x="3055620" y="697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25</xdr:row>
      <xdr:rowOff>0</xdr:rowOff>
    </xdr:from>
    <xdr:ext cx="184731" cy="264560"/>
    <xdr:sp macro="" textlink="">
      <xdr:nvSpPr>
        <xdr:cNvPr id="9" name="TextBox 8"/>
        <xdr:cNvSpPr txBox="1"/>
      </xdr:nvSpPr>
      <xdr:spPr>
        <a:xfrm>
          <a:off x="0" y="4236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0</xdr:colOff>
      <xdr:row>28</xdr:row>
      <xdr:rowOff>0</xdr:rowOff>
    </xdr:from>
    <xdr:ext cx="184731" cy="264560"/>
    <xdr:sp macro="" textlink="">
      <xdr:nvSpPr>
        <xdr:cNvPr id="10" name="TextBox 9"/>
        <xdr:cNvSpPr txBox="1"/>
      </xdr:nvSpPr>
      <xdr:spPr>
        <a:xfrm>
          <a:off x="5021580" y="529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28</xdr:row>
      <xdr:rowOff>0</xdr:rowOff>
    </xdr:from>
    <xdr:ext cx="184731" cy="264560"/>
    <xdr:sp macro="" textlink="">
      <xdr:nvSpPr>
        <xdr:cNvPr id="11" name="TextBox 10"/>
        <xdr:cNvSpPr txBox="1"/>
      </xdr:nvSpPr>
      <xdr:spPr>
        <a:xfrm>
          <a:off x="1950720" y="529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0</xdr:colOff>
      <xdr:row>25</xdr:row>
      <xdr:rowOff>0</xdr:rowOff>
    </xdr:from>
    <xdr:ext cx="184731" cy="264560"/>
    <xdr:sp macro="" textlink="">
      <xdr:nvSpPr>
        <xdr:cNvPr id="12" name="TextBox 11"/>
        <xdr:cNvSpPr txBox="1"/>
      </xdr:nvSpPr>
      <xdr:spPr>
        <a:xfrm>
          <a:off x="0" y="4236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38100</xdr:colOff>
      <xdr:row>25</xdr:row>
      <xdr:rowOff>0</xdr:rowOff>
    </xdr:from>
    <xdr:ext cx="184731" cy="264560"/>
    <xdr:sp macro="" textlink="">
      <xdr:nvSpPr>
        <xdr:cNvPr id="13" name="TextBox 12"/>
        <xdr:cNvSpPr txBox="1"/>
      </xdr:nvSpPr>
      <xdr:spPr>
        <a:xfrm>
          <a:off x="3992880" y="4236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0</xdr:colOff>
      <xdr:row>28</xdr:row>
      <xdr:rowOff>0</xdr:rowOff>
    </xdr:from>
    <xdr:ext cx="184731" cy="264560"/>
    <xdr:sp macro="" textlink="">
      <xdr:nvSpPr>
        <xdr:cNvPr id="14" name="TextBox 13"/>
        <xdr:cNvSpPr txBox="1"/>
      </xdr:nvSpPr>
      <xdr:spPr>
        <a:xfrm>
          <a:off x="5021580" y="529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28</xdr:row>
      <xdr:rowOff>0</xdr:rowOff>
    </xdr:from>
    <xdr:ext cx="184731" cy="264560"/>
    <xdr:sp macro="" textlink="">
      <xdr:nvSpPr>
        <xdr:cNvPr id="15" name="TextBox 14"/>
        <xdr:cNvSpPr txBox="1"/>
      </xdr:nvSpPr>
      <xdr:spPr>
        <a:xfrm>
          <a:off x="1950720" y="529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0</xdr:colOff>
      <xdr:row>29</xdr:row>
      <xdr:rowOff>0</xdr:rowOff>
    </xdr:from>
    <xdr:ext cx="184731" cy="264560"/>
    <xdr:sp macro="" textlink="">
      <xdr:nvSpPr>
        <xdr:cNvPr id="16" name="TextBox 15"/>
        <xdr:cNvSpPr txBox="1"/>
      </xdr:nvSpPr>
      <xdr:spPr>
        <a:xfrm>
          <a:off x="5021580" y="5463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29</xdr:row>
      <xdr:rowOff>0</xdr:rowOff>
    </xdr:from>
    <xdr:ext cx="184731" cy="264560"/>
    <xdr:sp macro="" textlink="">
      <xdr:nvSpPr>
        <xdr:cNvPr id="17" name="TextBox 16"/>
        <xdr:cNvSpPr txBox="1"/>
      </xdr:nvSpPr>
      <xdr:spPr>
        <a:xfrm>
          <a:off x="1950720" y="5463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Kraft/Special%20Projects/OATT/2001/2001%20OATT%20Rates%20TD%20OMadj.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Kraft\Special%20Projects\OATT\2001\2001%20OATT%20Rates%20TD%20OMadj.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jbailey/Local%20Settings/Temporary%20Internet%20Files/OLKA/JE%20130111%20August%20200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ERC/MISO/RS1081%20Rate%20Filings/Att%20O%20Sch%207,%208,%20&amp;%209/Att%20O%20(2017TY)/WP's/WP14%20-%20COC/Support/WP%2014%20-%20COC%20-%20Ready%20to%20check%20EL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GSUPP/FERC/MISO/MISO%20OATT%20Tariff/OpCos%20Attmnt%20O%2010-25-2012%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SUPP\FERC\MISO\MISO%20OATT%20Tariff\OpCos%20Attmnt%20O%2010-25-201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ERC/MISO/RS1081%20Rate%20Filings/Att%20O%20Sch%207,%208,%20&amp;%209/Att%20O%20(2016TY)/Provided%20to%20MISO/2018-03-15%20ER18-1123%20Informational%20Update/2018-04-17%20Correction/ELA%20Att%20O%202016TY%20Info%20Update%202018-04-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EAI%20Att%20O%20v18.03.xx%20Example4%20No%20Lin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9%20transmission%20rate%20case/Last%20File%20Schedules%20(version%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09%20transmission%20rate%20case\Last%20File%20Schedules%20(version%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SUPP\FERC\FERC%20-%20OATT\RS1081%20Rate%20Filings\2013%20(2012%20TY)%20ER13-1623\Model%20&amp;%20Filing\Model%20RevReq%202013%20OATT%20-%20Final%20As%20Fil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20(D)/1-Projects/1-%20Projects-Pending/PacifiCorp/Post%20settlement%20Formula%20runs/Issued%20Copy%20of%202013_Projection__Variance_Analysi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20(D)\1-Projects\1-%20Projects-Pending\PacifiCorp\Post%20settlement%20Formula%20runs\Issued%20Copy%20of%202013_Projection__Variance_Analysi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GSUPP/FERC/FERC%20-%20OATT/RS1081%20Rate%20Filings/2013%20(2012%20TY)%20ER13-1623/Model%20&amp;%20Filing/Model%20RevReq%202013%20OATT%20-%20Final%20As%20Fil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14 COC (2)"/>
      <sheetName val="WP 14 - COC - Ready to check EL"/>
    </sheetNames>
    <definedNames>
      <definedName name="gIsRef" refersTo="#REF!"/>
    </defined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ory Stmnts"/>
      <sheetName val="Changes"/>
      <sheetName val="Variance"/>
      <sheetName val="MISO Cover"/>
      <sheetName val="Appendix A"/>
      <sheetName val="App A Support"/>
      <sheetName val="WP01 True-Up"/>
      <sheetName val="WP01 TU Support"/>
      <sheetName val="2015TY App A Corrected"/>
      <sheetName val="WP02 Support"/>
      <sheetName val="Support to WP02"/>
      <sheetName val="WP03 W&amp;S"/>
      <sheetName val="WP04 PIS"/>
      <sheetName val="WP04 Support"/>
      <sheetName val="WP04 Support 2"/>
      <sheetName val="WP05 CapAds"/>
      <sheetName val="WP06 ADIT"/>
      <sheetName val="WP06 ADIT Support"/>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 18 Depr Support "/>
      <sheetName val="WP19 Load"/>
      <sheetName val="WP20 Reserves"/>
      <sheetName val="WP21 Pension"/>
      <sheetName val="WP22 IT Adj"/>
      <sheetName val="WP22 Support"/>
      <sheetName val="WP AJ1 MISO"/>
      <sheetName val="WP AJ2 ITC"/>
      <sheetName val="WP AJ3 HCM"/>
      <sheetName val="WP AJ4 LA Merger"/>
      <sheetName val="WP AJ5 Acadia PB2"/>
      <sheetName val="WP AJ6 GPRD"/>
    </sheetNames>
    <sheetDataSet>
      <sheetData sheetId="0"/>
      <sheetData sheetId="1"/>
      <sheetData sheetId="2"/>
      <sheetData sheetId="3">
        <row r="193">
          <cell r="I193">
            <v>0.87895468591945181</v>
          </cell>
        </row>
        <row r="201">
          <cell r="I201">
            <v>6.2934239269379619E-2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ory Stmts"/>
      <sheetName val="Variance"/>
      <sheetName val="Changes"/>
      <sheetName val="MISO Cover"/>
      <sheetName val="Appendix A"/>
      <sheetName val="App A Support"/>
      <sheetName val="WP01 True-Up"/>
      <sheetName val="WP02 Support"/>
      <sheetName val="WP03 W&amp;S"/>
      <sheetName val="WP04 PIS"/>
      <sheetName val="WP04 Support"/>
      <sheetName val="WP05 CapAds"/>
      <sheetName val="WP06 Support 1"/>
      <sheetName val="WP06 ADIT"/>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8 Deprec"/>
      <sheetName val="WP19 Load"/>
      <sheetName val="WP20 Reserves"/>
      <sheetName val="WP21 Pension"/>
      <sheetName val="WP22 IT Adj"/>
      <sheetName val="WP22 Support "/>
      <sheetName val="WP AJ1 MISO"/>
      <sheetName val="WP AJ2 ITC"/>
      <sheetName val="WP AJ3 HCM"/>
      <sheetName val="WP AJ4 Ouachita"/>
      <sheetName val="WP AJ5 GPRD"/>
    </sheetNames>
    <sheetDataSet>
      <sheetData sheetId="0" refreshError="1"/>
      <sheetData sheetId="1" refreshError="1"/>
      <sheetData sheetId="2" refreshError="1"/>
      <sheetData sheetId="3">
        <row r="194">
          <cell r="I194">
            <v>0</v>
          </cell>
        </row>
        <row r="202">
          <cell r="I20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3">
          <cell r="G13" t="e">
            <v>#VALUE!</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2">
          <cell r="F72">
            <v>0.35</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75">
          <cell r="P75">
            <v>0.17199999999999999</v>
          </cell>
        </row>
        <row r="91">
          <cell r="P91">
            <v>8.9499999999999996E-2</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2">
          <cell r="F72">
            <v>0.35</v>
          </cell>
        </row>
        <row r="76">
          <cell r="F76">
            <v>4.6199999999999998E-2</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10" Type="http://schemas.openxmlformats.org/officeDocument/2006/relationships/printerSettings" Target="../printerSettings/printerSettings22.bin"/><Relationship Id="rId4" Type="http://schemas.openxmlformats.org/officeDocument/2006/relationships/printerSettings" Target="../printerSettings/printerSettings16.bin"/><Relationship Id="rId9"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239"/>
  <sheetViews>
    <sheetView view="pageBreakPreview" zoomScale="90" zoomScaleNormal="90" zoomScaleSheetLayoutView="90" workbookViewId="0"/>
  </sheetViews>
  <sheetFormatPr defaultColWidth="9.109375" defaultRowHeight="13.2"/>
  <cols>
    <col min="1" max="1" width="6.33203125" style="284" bestFit="1" customWidth="1"/>
    <col min="2" max="2" width="79.44140625" style="284" bestFit="1" customWidth="1"/>
    <col min="3" max="3" width="50.44140625" style="284" customWidth="1"/>
    <col min="4" max="4" width="14.6640625" style="284" bestFit="1" customWidth="1"/>
    <col min="5" max="5" width="1.44140625" style="284" customWidth="1"/>
    <col min="6" max="6" width="7.6640625" style="284" customWidth="1"/>
    <col min="7" max="7" width="11.44140625" style="284" customWidth="1"/>
    <col min="8" max="8" width="6.33203125" style="284" hidden="1" customWidth="1"/>
    <col min="9" max="9" width="15.33203125" style="284" customWidth="1"/>
    <col min="10" max="10" width="3.44140625" style="284" customWidth="1"/>
    <col min="11" max="11" width="7" style="284" customWidth="1"/>
    <col min="12" max="12" width="14" style="285" customWidth="1"/>
    <col min="13" max="14" width="14.33203125" style="285" customWidth="1"/>
    <col min="15" max="15" width="13.109375" style="284" customWidth="1"/>
    <col min="16" max="16" width="15.88671875" style="285" bestFit="1" customWidth="1"/>
    <col min="17" max="17" width="25.6640625" style="285" customWidth="1"/>
    <col min="18" max="18" width="14.88671875" style="284" bestFit="1" customWidth="1"/>
    <col min="19" max="16384" width="9.109375" style="284"/>
  </cols>
  <sheetData>
    <row r="1" spans="1:15" s="284" customFormat="1">
      <c r="I1" s="1608"/>
      <c r="J1" s="1608"/>
      <c r="K1" s="1609" t="s">
        <v>959</v>
      </c>
      <c r="L1" s="285"/>
    </row>
    <row r="2" spans="1:15" s="284" customFormat="1">
      <c r="A2" s="286"/>
      <c r="B2" s="286"/>
      <c r="C2" s="286"/>
      <c r="E2" s="286"/>
      <c r="F2" s="286"/>
      <c r="G2" s="286"/>
      <c r="H2" s="286"/>
      <c r="I2" s="286"/>
      <c r="J2" s="286"/>
      <c r="K2" s="287" t="s">
        <v>315</v>
      </c>
      <c r="L2" s="285"/>
    </row>
    <row r="3" spans="1:15" s="284" customFormat="1">
      <c r="A3" s="286"/>
      <c r="B3" s="286"/>
      <c r="C3" s="1352" t="s">
        <v>1065</v>
      </c>
      <c r="D3" s="286"/>
      <c r="E3" s="286"/>
      <c r="F3" s="286"/>
      <c r="G3" s="286"/>
      <c r="H3" s="286"/>
      <c r="I3" s="286"/>
      <c r="J3" s="286"/>
      <c r="K3" s="286"/>
      <c r="L3" s="285"/>
    </row>
    <row r="4" spans="1:15" s="284" customFormat="1" ht="13.2" customHeight="1">
      <c r="A4" s="288"/>
      <c r="B4" s="289" t="s">
        <v>316</v>
      </c>
      <c r="C4" s="290" t="s">
        <v>317</v>
      </c>
      <c r="E4" s="289"/>
      <c r="F4" s="289"/>
      <c r="G4" s="291"/>
      <c r="H4" s="292"/>
      <c r="I4" s="1605"/>
      <c r="J4" s="1606"/>
      <c r="K4" s="1607" t="s">
        <v>2043</v>
      </c>
      <c r="L4" s="2279" t="s">
        <v>1066</v>
      </c>
      <c r="M4" s="2279"/>
      <c r="N4" s="2279"/>
      <c r="O4" s="2279"/>
    </row>
    <row r="5" spans="1:15" s="284" customFormat="1" ht="13.8" thickBot="1">
      <c r="A5" s="288"/>
      <c r="C5" s="293" t="s">
        <v>318</v>
      </c>
      <c r="E5" s="294"/>
      <c r="F5" s="294"/>
      <c r="G5" s="294"/>
      <c r="H5" s="295"/>
      <c r="I5" s="295"/>
      <c r="J5" s="296"/>
      <c r="K5" s="296"/>
      <c r="L5" s="2279"/>
      <c r="M5" s="2279"/>
      <c r="N5" s="2279"/>
      <c r="O5" s="2279"/>
    </row>
    <row r="6" spans="1:15" s="284" customFormat="1" ht="13.8" thickBot="1">
      <c r="A6" s="288"/>
      <c r="B6" s="1699"/>
      <c r="C6" s="1772" t="s">
        <v>958</v>
      </c>
      <c r="E6" s="296"/>
      <c r="F6" s="296"/>
      <c r="G6" s="296"/>
      <c r="H6" s="296"/>
      <c r="J6" s="297"/>
      <c r="K6" s="297"/>
      <c r="L6" s="1110" t="s">
        <v>1067</v>
      </c>
    </row>
    <row r="7" spans="1:15" s="284" customFormat="1">
      <c r="B7" s="1699"/>
      <c r="C7" s="928" t="str">
        <f>+L6&amp;" Rate"</f>
        <v>True-up Rate</v>
      </c>
      <c r="J7" s="298"/>
      <c r="K7" s="298"/>
    </row>
    <row r="8" spans="1:15" s="284" customFormat="1">
      <c r="A8" s="290"/>
      <c r="C8" s="296"/>
      <c r="D8" s="299"/>
      <c r="E8" s="296"/>
      <c r="F8" s="296"/>
      <c r="G8" s="296"/>
      <c r="H8" s="296"/>
      <c r="I8" s="296"/>
      <c r="J8" s="296"/>
      <c r="K8" s="296"/>
      <c r="L8" s="285" t="s">
        <v>319</v>
      </c>
    </row>
    <row r="9" spans="1:15" s="284" customFormat="1">
      <c r="A9" s="290"/>
      <c r="B9" s="301" t="s">
        <v>167</v>
      </c>
      <c r="C9" s="301" t="s">
        <v>320</v>
      </c>
      <c r="D9" s="301" t="s">
        <v>321</v>
      </c>
      <c r="E9" s="294" t="s">
        <v>65</v>
      </c>
      <c r="F9" s="294"/>
      <c r="G9" s="299" t="s">
        <v>322</v>
      </c>
      <c r="H9" s="294"/>
      <c r="I9" s="299" t="s">
        <v>323</v>
      </c>
      <c r="J9" s="296"/>
      <c r="K9" s="296"/>
      <c r="L9" s="285" t="s">
        <v>1067</v>
      </c>
    </row>
    <row r="10" spans="1:15" s="284" customFormat="1">
      <c r="A10" s="290" t="s">
        <v>324</v>
      </c>
      <c r="B10" s="296"/>
      <c r="C10" s="296"/>
      <c r="D10" s="302"/>
      <c r="E10" s="296"/>
      <c r="F10" s="296"/>
      <c r="G10" s="296"/>
      <c r="H10" s="296"/>
      <c r="I10" s="290" t="s">
        <v>325</v>
      </c>
      <c r="J10" s="296"/>
      <c r="K10" s="296"/>
      <c r="L10" s="300">
        <f>IF(L6=L8,0,1)</f>
        <v>1</v>
      </c>
    </row>
    <row r="11" spans="1:15" s="284" customFormat="1" ht="13.8" thickBot="1">
      <c r="A11" s="303" t="s">
        <v>326</v>
      </c>
      <c r="B11" s="296"/>
      <c r="C11" s="296"/>
      <c r="D11" s="296"/>
      <c r="E11" s="296"/>
      <c r="F11" s="296"/>
      <c r="G11" s="296"/>
      <c r="H11" s="296"/>
      <c r="I11" s="303" t="s">
        <v>146</v>
      </c>
      <c r="J11" s="296"/>
      <c r="K11" s="296"/>
      <c r="L11" s="285"/>
    </row>
    <row r="12" spans="1:15" s="284" customFormat="1">
      <c r="A12" s="360">
        <v>1</v>
      </c>
      <c r="B12" s="296" t="s">
        <v>327</v>
      </c>
      <c r="C12" s="307" t="str">
        <f>+"Page 3, Line "&amp;A174</f>
        <v>Page 3, Line 31</v>
      </c>
      <c r="D12" s="304"/>
      <c r="E12" s="296"/>
      <c r="F12" s="296"/>
      <c r="G12" s="296"/>
      <c r="H12" s="296"/>
      <c r="I12" s="305">
        <f>+I174</f>
        <v>322989724.84409076</v>
      </c>
      <c r="J12" s="296"/>
      <c r="K12" s="297"/>
      <c r="L12" s="285"/>
    </row>
    <row r="13" spans="1:15" s="284" customFormat="1">
      <c r="A13" s="360"/>
      <c r="B13" s="296"/>
      <c r="C13" s="296"/>
      <c r="D13" s="296"/>
      <c r="E13" s="296"/>
      <c r="F13" s="296"/>
      <c r="G13" s="296"/>
      <c r="H13" s="296"/>
      <c r="I13" s="304"/>
      <c r="J13" s="296"/>
      <c r="K13" s="296"/>
      <c r="L13" s="285"/>
    </row>
    <row r="14" spans="1:15" s="284" customFormat="1" ht="13.8" thickBot="1">
      <c r="A14" s="360" t="s">
        <v>65</v>
      </c>
      <c r="B14" s="306" t="s">
        <v>328</v>
      </c>
      <c r="C14" s="307"/>
      <c r="D14" s="308" t="s">
        <v>113</v>
      </c>
      <c r="E14" s="307"/>
      <c r="F14" s="309" t="s">
        <v>329</v>
      </c>
      <c r="G14" s="309"/>
      <c r="H14" s="297"/>
      <c r="I14" s="310"/>
      <c r="J14" s="297"/>
      <c r="K14" s="296"/>
      <c r="L14" s="285"/>
    </row>
    <row r="15" spans="1:15" s="284" customFormat="1">
      <c r="A15" s="360">
        <f>+A12+1</f>
        <v>2</v>
      </c>
      <c r="B15" s="707" t="str">
        <f>+B223</f>
        <v xml:space="preserve">Account 454 (Rent From Electric Property: General Plant Only) </v>
      </c>
      <c r="C15" s="307" t="str">
        <f>+"Page 4, Line "&amp;A223</f>
        <v>Page 4, Line 34</v>
      </c>
      <c r="D15" s="305">
        <f>+I223</f>
        <v>1022143.9987553379</v>
      </c>
      <c r="E15" s="307"/>
      <c r="F15" s="307" t="s">
        <v>330</v>
      </c>
      <c r="G15" s="311">
        <v>1</v>
      </c>
      <c r="H15" s="312"/>
      <c r="I15" s="305">
        <f>+G15*D15</f>
        <v>1022143.9987553379</v>
      </c>
      <c r="J15" s="297"/>
      <c r="K15" s="296"/>
      <c r="L15" s="285"/>
    </row>
    <row r="16" spans="1:15" s="284" customFormat="1">
      <c r="A16" s="360">
        <f>+A15+1</f>
        <v>3</v>
      </c>
      <c r="B16" s="707" t="str">
        <f>+B226</f>
        <v>Account 456.1 Transmission Service Revenue Credits</v>
      </c>
      <c r="C16" s="307" t="str">
        <f>+"Page 4, Line "&amp;A230</f>
        <v>Page 4, Line 37</v>
      </c>
      <c r="D16" s="305">
        <f>+I230</f>
        <v>380623.41182683408</v>
      </c>
      <c r="E16" s="307"/>
      <c r="F16" s="307" t="s">
        <v>330</v>
      </c>
      <c r="G16" s="311">
        <v>1</v>
      </c>
      <c r="H16" s="312"/>
      <c r="I16" s="305">
        <f>+G16*D16</f>
        <v>380623.41182683408</v>
      </c>
      <c r="J16" s="297"/>
      <c r="K16" s="296"/>
      <c r="L16" s="285"/>
    </row>
    <row r="17" spans="1:17">
      <c r="A17" s="360">
        <f>+A16+1</f>
        <v>4</v>
      </c>
      <c r="B17" s="707" t="s">
        <v>842</v>
      </c>
      <c r="C17" s="314"/>
      <c r="D17" s="313"/>
      <c r="E17" s="307"/>
      <c r="F17" s="307" t="s">
        <v>331</v>
      </c>
      <c r="G17" s="311" t="s">
        <v>332</v>
      </c>
      <c r="H17" s="312"/>
      <c r="I17" s="313"/>
      <c r="J17" s="297"/>
      <c r="K17" s="296"/>
      <c r="N17" s="284"/>
      <c r="P17" s="284"/>
      <c r="Q17" s="284"/>
    </row>
    <row r="18" spans="1:17" ht="14.4" thickBot="1">
      <c r="A18" s="360">
        <f>+A17+1</f>
        <v>5</v>
      </c>
      <c r="B18" s="707" t="s">
        <v>842</v>
      </c>
      <c r="C18" s="314"/>
      <c r="D18" s="313"/>
      <c r="E18" s="307"/>
      <c r="F18" s="307" t="s">
        <v>331</v>
      </c>
      <c r="G18" s="311" t="s">
        <v>332</v>
      </c>
      <c r="H18" s="312"/>
      <c r="I18" s="315"/>
      <c r="J18" s="297"/>
      <c r="K18" s="296"/>
      <c r="L18" s="1369" t="s">
        <v>1109</v>
      </c>
      <c r="N18" s="284"/>
      <c r="P18" s="284"/>
      <c r="Q18" s="284"/>
    </row>
    <row r="19" spans="1:17">
      <c r="A19" s="360">
        <f>+A18+1</f>
        <v>6</v>
      </c>
      <c r="B19" s="306" t="s">
        <v>333</v>
      </c>
      <c r="C19" s="297" t="str">
        <f>+"(Sum of Line "&amp;A15&amp;" to Line "&amp;A18&amp;")"</f>
        <v>(Sum of Line 2 to Line 5)</v>
      </c>
      <c r="D19" s="316" t="s">
        <v>65</v>
      </c>
      <c r="E19" s="307"/>
      <c r="F19" s="307"/>
      <c r="G19" s="317"/>
      <c r="H19" s="312"/>
      <c r="I19" s="305">
        <f>SUM(I15:I18)</f>
        <v>1402767.410582172</v>
      </c>
      <c r="J19" s="297"/>
      <c r="K19" s="296"/>
      <c r="L19" s="1267"/>
      <c r="M19" s="1267"/>
      <c r="N19" s="1268"/>
      <c r="O19" s="1268"/>
      <c r="P19" s="1268"/>
      <c r="Q19" s="284"/>
    </row>
    <row r="20" spans="1:17">
      <c r="A20" s="360"/>
      <c r="B20" s="318"/>
      <c r="C20" s="297"/>
      <c r="D20" s="307" t="s">
        <v>65</v>
      </c>
      <c r="E20" s="297"/>
      <c r="F20" s="297"/>
      <c r="G20" s="319"/>
      <c r="H20" s="297"/>
      <c r="I20" s="318"/>
      <c r="J20" s="297"/>
      <c r="K20" s="296"/>
      <c r="L20" s="1267"/>
      <c r="M20" s="1267"/>
      <c r="N20" s="1268"/>
      <c r="O20" s="1268"/>
      <c r="P20" s="1268"/>
      <c r="Q20" s="284"/>
    </row>
    <row r="21" spans="1:17">
      <c r="A21" s="360" t="str">
        <f>+A19&amp;"a"</f>
        <v>6a</v>
      </c>
      <c r="B21" s="320" t="s">
        <v>335</v>
      </c>
      <c r="C21" s="307" t="str">
        <f>+"Appendix A Line"&amp;'Appendix A'!A293&amp;" "&amp;$L$6&amp;" Column"</f>
        <v>Appendix A Line193 True-up Column</v>
      </c>
      <c r="D21" s="305">
        <f>IF($L$10=0,'Appendix A'!H293,'Appendix A'!G293)</f>
        <v>0</v>
      </c>
      <c r="E21" s="321"/>
      <c r="F21" s="322" t="s">
        <v>330</v>
      </c>
      <c r="G21" s="323">
        <v>1</v>
      </c>
      <c r="H21" s="321"/>
      <c r="I21" s="305">
        <f>+G21*D21</f>
        <v>0</v>
      </c>
      <c r="J21" s="297"/>
      <c r="K21" s="296"/>
      <c r="L21" s="1267"/>
      <c r="M21" s="1267">
        <f>IF($L$10=0,'Appendix A'!H293,'Appendix A'!G293)</f>
        <v>0</v>
      </c>
      <c r="N21" s="1269">
        <f>+I21-M21</f>
        <v>0</v>
      </c>
      <c r="O21" s="1268"/>
      <c r="P21" s="1268"/>
      <c r="Q21" s="284"/>
    </row>
    <row r="22" spans="1:17">
      <c r="A22" s="360"/>
      <c r="B22" s="318"/>
      <c r="C22" s="297"/>
      <c r="D22" s="307"/>
      <c r="E22" s="297"/>
      <c r="F22" s="297"/>
      <c r="G22" s="319"/>
      <c r="H22" s="297"/>
      <c r="I22" s="318"/>
      <c r="J22" s="297"/>
      <c r="K22" s="296"/>
      <c r="L22" s="1267"/>
      <c r="M22" s="1267"/>
      <c r="N22" s="1268"/>
      <c r="O22" s="1268"/>
      <c r="P22" s="1268"/>
      <c r="Q22" s="284"/>
    </row>
    <row r="23" spans="1:17">
      <c r="A23" s="360" t="s">
        <v>649</v>
      </c>
      <c r="B23" s="320" t="s">
        <v>334</v>
      </c>
      <c r="C23" s="284" t="str">
        <f>+"(Line "&amp;A12&amp;" - Line "&amp;A19&amp;" + Line "&amp;A21&amp;")"</f>
        <v>(Line 1 - Line 6 + Line 6a)</v>
      </c>
      <c r="I23" s="932">
        <f>+I12-I19+I21</f>
        <v>321586957.43350857</v>
      </c>
      <c r="J23" s="297"/>
      <c r="K23" s="296"/>
      <c r="L23" s="1267"/>
      <c r="M23" s="1267">
        <f>IF($L$10=0,'Appendix A'!H295,'Appendix A'!G290)</f>
        <v>0</v>
      </c>
      <c r="N23" s="1269">
        <f>+I23-M23</f>
        <v>321586957.43350857</v>
      </c>
      <c r="O23" s="1268"/>
      <c r="P23" s="1268"/>
      <c r="Q23" s="284"/>
    </row>
    <row r="24" spans="1:17">
      <c r="A24" s="360"/>
      <c r="B24" s="320"/>
      <c r="C24" s="324"/>
      <c r="D24" s="324"/>
      <c r="E24" s="324"/>
      <c r="F24" s="324"/>
      <c r="G24" s="324"/>
      <c r="H24" s="324"/>
      <c r="I24" s="324"/>
      <c r="J24" s="297"/>
      <c r="K24" s="296"/>
      <c r="L24" s="1267"/>
      <c r="M24" s="1267"/>
      <c r="N24" s="1268"/>
      <c r="O24" s="1268"/>
      <c r="P24" s="1268"/>
      <c r="Q24" s="284"/>
    </row>
    <row r="25" spans="1:17">
      <c r="A25" s="360" t="s">
        <v>648</v>
      </c>
      <c r="B25" s="306" t="s">
        <v>814</v>
      </c>
      <c r="C25" s="307" t="str">
        <f>+"Appendix A Line "&amp;'Appendix A'!A298&amp;" "&amp;$L$6&amp;" Column"</f>
        <v>Appendix A Line 196 True-up Column</v>
      </c>
      <c r="D25" s="313"/>
      <c r="E25" s="297"/>
      <c r="F25" s="297"/>
      <c r="G25" s="319"/>
      <c r="H25" s="297"/>
      <c r="I25" s="305">
        <f>IF($L$10=0,'Appendix A'!H298,'Appendix A'!G298)</f>
        <v>0</v>
      </c>
      <c r="J25" s="297"/>
      <c r="K25" s="296"/>
      <c r="L25" s="1267"/>
      <c r="M25" s="1267"/>
      <c r="N25" s="1268"/>
      <c r="O25" s="1268"/>
      <c r="P25" s="1268"/>
      <c r="Q25" s="284"/>
    </row>
    <row r="26" spans="1:17">
      <c r="A26" s="360" t="s">
        <v>650</v>
      </c>
      <c r="B26" s="306" t="s">
        <v>814</v>
      </c>
      <c r="C26" s="307" t="str">
        <f>+"Appendix A Line "&amp;'Appendix A'!A299&amp;" "&amp;$L$6&amp;" Column"</f>
        <v>Appendix A Line 197 True-up Column</v>
      </c>
      <c r="D26" s="307"/>
      <c r="E26" s="297"/>
      <c r="F26" s="297"/>
      <c r="G26" s="319"/>
      <c r="H26" s="297"/>
      <c r="I26" s="305">
        <f>IF($L$10=0,'Appendix A'!H299,'Appendix A'!G299)</f>
        <v>0</v>
      </c>
      <c r="J26" s="297"/>
      <c r="K26" s="296"/>
      <c r="L26" s="1268"/>
      <c r="M26" s="1268"/>
      <c r="N26" s="1268"/>
      <c r="O26" s="1268"/>
      <c r="P26" s="1268"/>
      <c r="Q26" s="284"/>
    </row>
    <row r="27" spans="1:17">
      <c r="A27" s="390"/>
      <c r="B27" s="320"/>
      <c r="C27" s="321"/>
      <c r="D27" s="326"/>
      <c r="E27" s="326"/>
      <c r="F27" s="326"/>
      <c r="G27" s="326"/>
      <c r="H27" s="326"/>
      <c r="I27" s="327"/>
      <c r="J27" s="324"/>
      <c r="K27" s="325"/>
      <c r="L27" s="1268"/>
      <c r="M27" s="1267"/>
      <c r="N27" s="1269"/>
      <c r="O27" s="1268"/>
      <c r="P27" s="1268"/>
      <c r="Q27" s="284"/>
    </row>
    <row r="28" spans="1:17" ht="13.8" thickBot="1">
      <c r="A28" s="390">
        <v>7</v>
      </c>
      <c r="B28" s="320" t="s">
        <v>334</v>
      </c>
      <c r="C28" s="321" t="str">
        <f>+"(Sum of Line "&amp;A23&amp;" to Line "&amp;A26&amp;")"</f>
        <v>(Sum of Line 7a to Line 7c)</v>
      </c>
      <c r="D28" s="326"/>
      <c r="E28" s="327"/>
      <c r="F28" s="327"/>
      <c r="G28" s="327"/>
      <c r="H28" s="327"/>
      <c r="I28" s="1188">
        <f>+SUM(I23:I26)</f>
        <v>321586957.43350857</v>
      </c>
      <c r="J28" s="324"/>
      <c r="K28" s="325"/>
      <c r="L28" s="1268"/>
      <c r="M28" s="1267">
        <f>IF($L$10=0,'Appendix A'!H295,'Appendix A'!G295)</f>
        <v>0</v>
      </c>
      <c r="N28" s="1269">
        <f>+I28-M28</f>
        <v>321586957.43350857</v>
      </c>
      <c r="O28" s="1268"/>
      <c r="P28" s="1268"/>
      <c r="Q28" s="284"/>
    </row>
    <row r="29" spans="1:17" ht="13.8" thickTop="1">
      <c r="A29" s="328"/>
      <c r="B29" s="329"/>
      <c r="C29" s="325"/>
      <c r="D29" s="325"/>
      <c r="E29" s="325"/>
      <c r="F29" s="330"/>
      <c r="G29" s="331"/>
      <c r="H29" s="325"/>
      <c r="I29" s="329"/>
      <c r="J29" s="325"/>
      <c r="K29" s="325"/>
      <c r="L29" s="1267"/>
      <c r="M29" s="1267"/>
      <c r="N29" s="1268"/>
      <c r="O29" s="1268"/>
      <c r="P29" s="1268"/>
      <c r="Q29" s="284"/>
    </row>
    <row r="30" spans="1:17">
      <c r="A30" s="328"/>
      <c r="B30" s="332"/>
      <c r="C30" s="325"/>
      <c r="D30" s="325"/>
      <c r="E30" s="325"/>
      <c r="F30" s="330"/>
      <c r="G30" s="331"/>
      <c r="H30" s="325"/>
      <c r="I30" s="329"/>
      <c r="J30" s="325"/>
      <c r="K30" s="325"/>
      <c r="L30" s="1267"/>
      <c r="M30" s="1267"/>
      <c r="N30" s="1268"/>
      <c r="O30" s="1268"/>
      <c r="P30" s="1268"/>
      <c r="Q30" s="284"/>
    </row>
    <row r="31" spans="1:17" ht="15.6">
      <c r="A31" s="348"/>
      <c r="B31" s="333" t="s">
        <v>336</v>
      </c>
      <c r="C31" s="334"/>
      <c r="D31" s="335"/>
      <c r="E31" s="334"/>
      <c r="F31" s="334"/>
      <c r="G31" s="334"/>
      <c r="H31" s="334"/>
      <c r="I31" s="336"/>
      <c r="J31" s="334"/>
      <c r="L31" s="1270"/>
      <c r="M31" s="1267"/>
      <c r="N31" s="1268"/>
      <c r="O31" s="1268"/>
      <c r="P31" s="1268"/>
      <c r="Q31" s="284"/>
    </row>
    <row r="32" spans="1:17" ht="15.6">
      <c r="A32" s="348">
        <f>+A28+1</f>
        <v>8</v>
      </c>
      <c r="B32" s="710" t="s">
        <v>620</v>
      </c>
      <c r="C32" s="307" t="str">
        <f>+"Appendix A Line "&amp;'Appendix A'!A303&amp;" "&amp;$L$6&amp;" Column"</f>
        <v>Appendix A Line 199 True-up Column</v>
      </c>
      <c r="D32" s="335"/>
      <c r="E32" s="334"/>
      <c r="F32" s="334"/>
      <c r="G32" s="337"/>
      <c r="H32" s="334"/>
      <c r="I32" s="305">
        <f>IF($L$10=0,'Appendix A'!$H$303,'Appendix A'!$G$303)</f>
        <v>0</v>
      </c>
      <c r="J32" s="334"/>
      <c r="L32" s="1270"/>
      <c r="M32" s="1267"/>
      <c r="N32" s="1268"/>
      <c r="O32" s="1268"/>
      <c r="P32" s="1268"/>
      <c r="Q32" s="284"/>
    </row>
    <row r="33" spans="1:17" ht="15.6">
      <c r="A33" s="348">
        <f t="shared" ref="A33:A39" si="0">+A32+1</f>
        <v>9</v>
      </c>
      <c r="B33" s="707" t="s">
        <v>842</v>
      </c>
      <c r="C33" s="334"/>
      <c r="D33" s="334"/>
      <c r="E33" s="334"/>
      <c r="F33" s="334"/>
      <c r="G33" s="337"/>
      <c r="H33" s="334"/>
      <c r="I33" s="340">
        <v>0</v>
      </c>
      <c r="J33" s="334"/>
      <c r="L33" s="1270"/>
      <c r="M33" s="1268"/>
      <c r="N33" s="1268"/>
      <c r="O33" s="1268"/>
      <c r="P33" s="1268"/>
      <c r="Q33" s="284"/>
    </row>
    <row r="34" spans="1:17" ht="15.6">
      <c r="A34" s="348">
        <f t="shared" si="0"/>
        <v>10</v>
      </c>
      <c r="B34" s="707" t="s">
        <v>842</v>
      </c>
      <c r="C34" s="334"/>
      <c r="D34" s="334"/>
      <c r="E34" s="334"/>
      <c r="F34" s="334"/>
      <c r="G34" s="337"/>
      <c r="H34" s="334"/>
      <c r="I34" s="340">
        <v>0</v>
      </c>
      <c r="J34" s="334"/>
      <c r="L34" s="1270"/>
      <c r="M34" s="1268"/>
      <c r="N34" s="1268"/>
      <c r="O34" s="1268"/>
      <c r="P34" s="1268"/>
      <c r="Q34" s="284"/>
    </row>
    <row r="35" spans="1:17" ht="15.6">
      <c r="A35" s="348">
        <f t="shared" si="0"/>
        <v>11</v>
      </c>
      <c r="B35" s="707" t="s">
        <v>842</v>
      </c>
      <c r="C35" s="334"/>
      <c r="D35" s="334"/>
      <c r="E35" s="334"/>
      <c r="F35" s="334"/>
      <c r="G35" s="337"/>
      <c r="H35" s="334"/>
      <c r="I35" s="340">
        <v>0</v>
      </c>
      <c r="J35" s="334"/>
      <c r="L35" s="1270"/>
      <c r="M35" s="1268"/>
      <c r="N35" s="1268"/>
      <c r="O35" s="1268"/>
      <c r="P35" s="1268"/>
      <c r="Q35" s="284"/>
    </row>
    <row r="36" spans="1:17" ht="15.6">
      <c r="A36" s="348">
        <f t="shared" si="0"/>
        <v>12</v>
      </c>
      <c r="B36" s="707" t="s">
        <v>842</v>
      </c>
      <c r="C36" s="334"/>
      <c r="D36" s="334"/>
      <c r="E36" s="334"/>
      <c r="F36" s="334"/>
      <c r="G36" s="337"/>
      <c r="H36" s="334"/>
      <c r="I36" s="340">
        <v>0</v>
      </c>
      <c r="J36" s="334"/>
      <c r="L36" s="1270"/>
      <c r="M36" s="1268"/>
      <c r="N36" s="1268"/>
      <c r="O36" s="1268"/>
      <c r="P36" s="1268"/>
      <c r="Q36" s="284"/>
    </row>
    <row r="37" spans="1:17" ht="15.6">
      <c r="A37" s="348">
        <f t="shared" si="0"/>
        <v>13</v>
      </c>
      <c r="B37" s="707" t="s">
        <v>842</v>
      </c>
      <c r="C37" s="334"/>
      <c r="D37" s="334"/>
      <c r="E37" s="334"/>
      <c r="F37" s="334"/>
      <c r="G37" s="337"/>
      <c r="H37" s="334"/>
      <c r="I37" s="340">
        <v>0</v>
      </c>
      <c r="J37" s="334"/>
      <c r="L37" s="1270"/>
      <c r="M37" s="1268"/>
      <c r="N37" s="1268"/>
      <c r="O37" s="1268"/>
      <c r="P37" s="1268"/>
      <c r="Q37" s="284"/>
    </row>
    <row r="38" spans="1:17" ht="16.2" thickBot="1">
      <c r="A38" s="348">
        <f t="shared" si="0"/>
        <v>14</v>
      </c>
      <c r="B38" s="707" t="s">
        <v>842</v>
      </c>
      <c r="C38" s="334"/>
      <c r="D38" s="334"/>
      <c r="E38" s="334"/>
      <c r="F38" s="334"/>
      <c r="G38" s="337"/>
      <c r="H38" s="334"/>
      <c r="I38" s="341">
        <v>0</v>
      </c>
      <c r="J38" s="334"/>
      <c r="L38" s="1270"/>
      <c r="M38" s="1268"/>
      <c r="N38" s="1268"/>
      <c r="O38" s="1268"/>
      <c r="P38" s="1268"/>
      <c r="Q38" s="284"/>
    </row>
    <row r="39" spans="1:17" ht="15.6">
      <c r="A39" s="348">
        <f t="shared" si="0"/>
        <v>15</v>
      </c>
      <c r="B39" s="342" t="str">
        <f>+B31</f>
        <v xml:space="preserve">DIVISOR </v>
      </c>
      <c r="C39" s="334" t="str">
        <f>+"(Sum of Line "&amp;A32&amp;" to Line "&amp;A38&amp;")"</f>
        <v>(Sum of Line 8 to Line 14)</v>
      </c>
      <c r="D39" s="334"/>
      <c r="E39" s="334"/>
      <c r="F39" s="334"/>
      <c r="G39" s="334"/>
      <c r="H39" s="334"/>
      <c r="I39" s="338">
        <f>SUM(I32:I38)</f>
        <v>0</v>
      </c>
      <c r="J39" s="334"/>
      <c r="L39" s="1270"/>
      <c r="M39" s="1268"/>
      <c r="N39" s="1268"/>
      <c r="O39" s="1268"/>
      <c r="P39" s="1268"/>
      <c r="Q39" s="284"/>
    </row>
    <row r="40" spans="1:17" ht="15.6">
      <c r="A40" s="348"/>
      <c r="B40" s="333"/>
      <c r="C40" s="334"/>
      <c r="D40" s="334"/>
      <c r="E40" s="334"/>
      <c r="F40" s="334"/>
      <c r="G40" s="334"/>
      <c r="H40" s="334"/>
      <c r="I40" s="336"/>
      <c r="J40" s="334"/>
      <c r="L40" s="1270"/>
      <c r="M40" s="1268"/>
      <c r="N40" s="1268"/>
      <c r="O40" s="1268"/>
      <c r="P40" s="1268"/>
      <c r="Q40" s="284"/>
    </row>
    <row r="41" spans="1:17" ht="15.6">
      <c r="A41" s="348">
        <f>+A39+1</f>
        <v>16</v>
      </c>
      <c r="B41" s="333" t="s">
        <v>337</v>
      </c>
      <c r="C41" s="334" t="str">
        <f>+"(Line "&amp;A28&amp;" / Line "&amp;A39&amp;")"</f>
        <v>(Line 7 / Line 15)</v>
      </c>
      <c r="D41" s="336">
        <f>IF(I39&gt;0,I28/I39,0)</f>
        <v>0</v>
      </c>
      <c r="E41" s="336"/>
      <c r="F41" s="336"/>
      <c r="G41" s="336"/>
      <c r="H41" s="336"/>
      <c r="I41" s="313"/>
      <c r="J41" s="334"/>
      <c r="L41" s="1270"/>
      <c r="M41" s="1268"/>
      <c r="N41" s="1268"/>
      <c r="O41" s="1268"/>
      <c r="P41" s="1268"/>
      <c r="Q41" s="284"/>
    </row>
    <row r="42" spans="1:17" ht="15.6">
      <c r="A42" s="348">
        <f>+A41+1</f>
        <v>17</v>
      </c>
      <c r="B42" s="333" t="s">
        <v>338</v>
      </c>
      <c r="C42" s="334" t="str">
        <f>+"(Line "&amp;A41&amp;" / 12)"</f>
        <v>(Line 16 / 12)</v>
      </c>
      <c r="D42" s="336">
        <f>+D41/12</f>
        <v>0</v>
      </c>
      <c r="E42" s="336"/>
      <c r="F42" s="336"/>
      <c r="G42" s="336"/>
      <c r="H42" s="336"/>
      <c r="I42" s="313"/>
      <c r="J42" s="334"/>
      <c r="L42" s="1270"/>
      <c r="M42" s="1268"/>
      <c r="N42" s="1268"/>
      <c r="O42" s="1268"/>
      <c r="P42" s="1268"/>
      <c r="Q42" s="284"/>
    </row>
    <row r="43" spans="1:17" ht="15.6">
      <c r="A43" s="348"/>
      <c r="B43" s="333"/>
      <c r="C43" s="334"/>
      <c r="D43" s="336"/>
      <c r="E43" s="336"/>
      <c r="F43" s="336"/>
      <c r="G43" s="336"/>
      <c r="H43" s="336"/>
      <c r="I43" s="313"/>
      <c r="J43" s="334"/>
      <c r="L43" s="1270"/>
      <c r="M43" s="1268"/>
      <c r="N43" s="1268"/>
      <c r="O43" s="1268"/>
      <c r="P43" s="1268"/>
      <c r="Q43" s="284"/>
    </row>
    <row r="44" spans="1:17" ht="15.6">
      <c r="A44" s="348"/>
      <c r="B44" s="333"/>
      <c r="C44" s="334"/>
      <c r="D44" s="343" t="s">
        <v>339</v>
      </c>
      <c r="E44" s="336"/>
      <c r="F44" s="336"/>
      <c r="G44" s="336"/>
      <c r="H44" s="336"/>
      <c r="I44" s="343" t="s">
        <v>340</v>
      </c>
      <c r="J44" s="334"/>
      <c r="L44" s="1270"/>
      <c r="M44" s="1268"/>
      <c r="N44" s="1268"/>
      <c r="O44" s="1268"/>
      <c r="P44" s="1268"/>
      <c r="Q44" s="284"/>
    </row>
    <row r="45" spans="1:17" ht="15.6">
      <c r="A45" s="348"/>
      <c r="B45" s="333"/>
      <c r="C45" s="334"/>
      <c r="D45" s="336"/>
      <c r="E45" s="336"/>
      <c r="F45" s="336"/>
      <c r="G45" s="336"/>
      <c r="H45" s="336"/>
      <c r="I45" s="313"/>
      <c r="J45" s="334"/>
      <c r="L45" s="1270"/>
      <c r="M45" s="1268"/>
      <c r="N45" s="1268"/>
      <c r="O45" s="1268"/>
      <c r="P45" s="1268"/>
      <c r="Q45" s="284"/>
    </row>
    <row r="46" spans="1:17" ht="15.6">
      <c r="A46" s="348">
        <f>+A42+1</f>
        <v>18</v>
      </c>
      <c r="B46" s="333" t="s">
        <v>341</v>
      </c>
      <c r="C46" s="344" t="str">
        <f>+"(Line "&amp;A$41&amp;" / 52; Line "&amp;A$41&amp;" / 52)"</f>
        <v>(Line 16 / 52; Line 16 / 52)</v>
      </c>
      <c r="D46" s="336">
        <f>+D41/52</f>
        <v>0</v>
      </c>
      <c r="E46" s="336"/>
      <c r="F46" s="336"/>
      <c r="G46" s="336"/>
      <c r="H46" s="336"/>
      <c r="I46" s="313">
        <f>+D41/52</f>
        <v>0</v>
      </c>
      <c r="J46" s="334"/>
      <c r="L46" s="1270"/>
      <c r="M46" s="1268"/>
      <c r="N46" s="1268"/>
      <c r="O46" s="1268"/>
      <c r="P46" s="1268"/>
      <c r="Q46" s="284"/>
    </row>
    <row r="47" spans="1:17" ht="15.6">
      <c r="A47" s="348">
        <f>+A46+1</f>
        <v>19</v>
      </c>
      <c r="B47" s="333" t="s">
        <v>342</v>
      </c>
      <c r="C47" s="344" t="str">
        <f>+"(Line "&amp;A$41&amp;" / 260; Line "&amp;A$41&amp;" / 365)"</f>
        <v>(Line 16 / 260; Line 16 / 365)</v>
      </c>
      <c r="D47" s="336">
        <f>+D41/260</f>
        <v>0</v>
      </c>
      <c r="F47" s="336" t="s">
        <v>343</v>
      </c>
      <c r="G47" s="336"/>
      <c r="H47" s="336"/>
      <c r="I47" s="313">
        <f>+D41/365</f>
        <v>0</v>
      </c>
      <c r="J47" s="334"/>
      <c r="L47" s="1270"/>
      <c r="M47" s="1268"/>
      <c r="N47" s="1268"/>
      <c r="O47" s="1268"/>
      <c r="P47" s="1268"/>
      <c r="Q47" s="284"/>
    </row>
    <row r="48" spans="1:17" ht="15.6">
      <c r="A48" s="348">
        <f>+A47+1</f>
        <v>20</v>
      </c>
      <c r="B48" s="333" t="s">
        <v>344</v>
      </c>
      <c r="C48" s="344" t="str">
        <f>+"(Line "&amp;A$41&amp;" / 4160; Line "&amp;A$41&amp;" / 8760) x 1000"</f>
        <v>(Line 16 / 4160; Line 16 / 8760) x 1000</v>
      </c>
      <c r="D48" s="336">
        <f>+D41 / 4160 * 1000</f>
        <v>0</v>
      </c>
      <c r="F48" s="336" t="s">
        <v>345</v>
      </c>
      <c r="G48" s="336"/>
      <c r="H48" s="336"/>
      <c r="I48" s="313">
        <f>+D41 / 8760 * 1000</f>
        <v>0</v>
      </c>
      <c r="J48" s="334"/>
      <c r="L48" s="1270"/>
      <c r="M48" s="1268"/>
      <c r="N48" s="1268"/>
      <c r="O48" s="1268"/>
      <c r="P48" s="1268"/>
      <c r="Q48" s="284"/>
    </row>
    <row r="49" spans="1:17" ht="15.6">
      <c r="A49" s="348"/>
      <c r="B49" s="333"/>
      <c r="C49" s="334"/>
      <c r="D49" s="336"/>
      <c r="F49" s="336" t="s">
        <v>346</v>
      </c>
      <c r="G49" s="336"/>
      <c r="H49" s="336"/>
      <c r="I49" s="313"/>
      <c r="J49" s="334"/>
      <c r="L49" s="1270" t="s">
        <v>65</v>
      </c>
      <c r="M49" s="1268"/>
      <c r="N49" s="1268"/>
      <c r="O49" s="1268"/>
      <c r="P49" s="1268"/>
      <c r="Q49" s="284"/>
    </row>
    <row r="50" spans="1:17" ht="15.6">
      <c r="A50" s="348"/>
      <c r="B50" s="333"/>
      <c r="C50" s="334"/>
      <c r="D50" s="336"/>
      <c r="F50" s="336"/>
      <c r="G50" s="336"/>
      <c r="H50" s="336"/>
      <c r="I50" s="313"/>
      <c r="J50" s="334"/>
      <c r="L50" s="1270" t="s">
        <v>65</v>
      </c>
      <c r="M50" s="1268"/>
      <c r="N50" s="1268"/>
      <c r="O50" s="1268"/>
      <c r="P50" s="1268"/>
      <c r="Q50" s="284"/>
    </row>
    <row r="51" spans="1:17" ht="15.6">
      <c r="A51" s="348">
        <f>+A48+1</f>
        <v>21</v>
      </c>
      <c r="B51" s="345" t="s">
        <v>347</v>
      </c>
      <c r="C51" s="334" t="s">
        <v>348</v>
      </c>
      <c r="D51" s="1247">
        <v>0</v>
      </c>
      <c r="F51" s="346" t="s">
        <v>349</v>
      </c>
      <c r="G51" s="346"/>
      <c r="H51" s="346"/>
      <c r="I51" s="346">
        <f>D51</f>
        <v>0</v>
      </c>
      <c r="J51" s="347" t="s">
        <v>349</v>
      </c>
      <c r="L51" s="1270"/>
      <c r="M51" s="1268"/>
      <c r="N51" s="1268"/>
      <c r="O51" s="1268"/>
      <c r="P51" s="1268"/>
      <c r="Q51" s="284"/>
    </row>
    <row r="52" spans="1:17" ht="15.6">
      <c r="A52" s="348">
        <f>+A51+1</f>
        <v>22</v>
      </c>
      <c r="B52" s="345" t="s">
        <v>347</v>
      </c>
      <c r="C52" s="334"/>
      <c r="D52" s="1247">
        <v>0</v>
      </c>
      <c r="F52" s="346" t="s">
        <v>350</v>
      </c>
      <c r="G52" s="346"/>
      <c r="H52" s="346"/>
      <c r="I52" s="346">
        <f>D52</f>
        <v>0</v>
      </c>
      <c r="J52" s="347" t="s">
        <v>350</v>
      </c>
      <c r="L52" s="1270"/>
      <c r="M52" s="1268"/>
      <c r="N52" s="1268"/>
      <c r="O52" s="1268"/>
      <c r="P52" s="1268"/>
      <c r="Q52" s="284"/>
    </row>
    <row r="53" spans="1:17" ht="15.6">
      <c r="A53" s="348"/>
      <c r="B53" s="324"/>
      <c r="C53" s="333"/>
      <c r="D53" s="334"/>
      <c r="E53" s="349"/>
      <c r="F53" s="349"/>
      <c r="G53" s="349"/>
      <c r="H53" s="349"/>
      <c r="I53" s="349"/>
      <c r="J53" s="349"/>
      <c r="K53" s="349"/>
      <c r="L53" s="1270"/>
      <c r="M53" s="1268"/>
      <c r="N53" s="1268"/>
      <c r="O53" s="1268"/>
      <c r="P53" s="1268"/>
      <c r="Q53" s="284"/>
    </row>
    <row r="54" spans="1:17">
      <c r="A54" s="290"/>
      <c r="B54" s="350"/>
      <c r="C54" s="297"/>
      <c r="D54" s="351"/>
      <c r="E54" s="352"/>
      <c r="F54" s="352"/>
      <c r="G54" s="352"/>
      <c r="H54" s="352"/>
      <c r="I54" s="352"/>
      <c r="J54" s="352"/>
      <c r="K54" s="353" t="str">
        <f>+K1</f>
        <v>Attachment O-ELL</v>
      </c>
      <c r="L54" s="1267"/>
      <c r="M54" s="1268"/>
      <c r="N54" s="1268"/>
      <c r="O54" s="1268"/>
      <c r="P54" s="1268"/>
      <c r="Q54" s="284"/>
    </row>
    <row r="55" spans="1:17">
      <c r="A55" s="288"/>
      <c r="B55" s="350"/>
      <c r="C55" s="297"/>
      <c r="D55" s="296"/>
      <c r="E55" s="296"/>
      <c r="F55" s="296"/>
      <c r="G55" s="296"/>
      <c r="H55" s="296"/>
      <c r="I55" s="354"/>
      <c r="J55" s="296"/>
      <c r="K55" s="355" t="s">
        <v>351</v>
      </c>
      <c r="L55" s="1267"/>
      <c r="M55" s="1268"/>
      <c r="N55" s="1268"/>
      <c r="O55" s="1268"/>
      <c r="P55" s="1268"/>
      <c r="Q55" s="284"/>
    </row>
    <row r="56" spans="1:17">
      <c r="A56" s="288"/>
      <c r="B56" s="296"/>
      <c r="C56" s="382" t="str">
        <f>+C$3</f>
        <v>MISO Cover</v>
      </c>
      <c r="D56" s="296"/>
      <c r="E56" s="296"/>
      <c r="F56" s="296"/>
      <c r="G56" s="296"/>
      <c r="H56" s="296"/>
      <c r="I56" s="296"/>
      <c r="J56" s="296"/>
      <c r="K56" s="296"/>
      <c r="L56" s="1267"/>
      <c r="M56" s="1268"/>
      <c r="N56" s="1268"/>
      <c r="O56" s="1268"/>
      <c r="P56" s="1268"/>
      <c r="Q56" s="284"/>
    </row>
    <row r="57" spans="1:17">
      <c r="A57" s="288"/>
      <c r="B57" s="350" t="s">
        <v>316</v>
      </c>
      <c r="C57" s="382" t="s">
        <v>317</v>
      </c>
      <c r="E57" s="350"/>
      <c r="F57" s="350"/>
      <c r="G57" s="350"/>
      <c r="H57" s="350"/>
      <c r="I57" s="286"/>
      <c r="J57" s="350"/>
      <c r="K57" s="355" t="str">
        <f>K4</f>
        <v>For  the 12 Months Ended 12/31/2017</v>
      </c>
      <c r="L57" s="1267"/>
      <c r="M57" s="1268"/>
      <c r="N57" s="1268"/>
      <c r="O57" s="1268"/>
      <c r="P57" s="1268"/>
      <c r="Q57" s="284"/>
    </row>
    <row r="58" spans="1:17">
      <c r="A58" s="288"/>
      <c r="B58" s="356"/>
      <c r="C58" s="380" t="s">
        <v>318</v>
      </c>
      <c r="E58" s="294"/>
      <c r="F58" s="294"/>
      <c r="G58" s="294"/>
      <c r="H58" s="294"/>
      <c r="I58" s="294"/>
      <c r="J58" s="294"/>
      <c r="K58" s="294"/>
      <c r="L58" s="1267"/>
      <c r="M58" s="1268"/>
      <c r="N58" s="1268"/>
      <c r="O58" s="1268"/>
      <c r="P58" s="1268"/>
      <c r="Q58" s="284"/>
    </row>
    <row r="59" spans="1:17">
      <c r="A59" s="288"/>
      <c r="B59" s="350"/>
      <c r="C59" s="380" t="str">
        <f>+C6</f>
        <v>Entergy Louisiana, LLC</v>
      </c>
      <c r="E59" s="294"/>
      <c r="F59" s="294"/>
      <c r="G59" s="294" t="s">
        <v>65</v>
      </c>
      <c r="H59" s="294"/>
      <c r="I59" s="294"/>
      <c r="J59" s="294"/>
      <c r="K59" s="294"/>
      <c r="L59" s="1267"/>
      <c r="M59" s="1268"/>
      <c r="N59" s="1268"/>
      <c r="O59" s="1268"/>
      <c r="P59" s="1268"/>
      <c r="Q59" s="284"/>
    </row>
    <row r="60" spans="1:17">
      <c r="A60" s="288"/>
      <c r="B60" s="288"/>
      <c r="C60" s="380" t="str">
        <f>+C7</f>
        <v>True-up Rate</v>
      </c>
      <c r="D60" s="288"/>
      <c r="E60" s="288"/>
      <c r="F60" s="288"/>
      <c r="G60" s="288"/>
      <c r="H60" s="288"/>
      <c r="I60" s="288"/>
      <c r="J60" s="288"/>
      <c r="K60" s="288"/>
      <c r="L60" s="1267"/>
      <c r="M60" s="1268"/>
      <c r="N60" s="1268"/>
      <c r="O60" s="1268"/>
      <c r="P60" s="1268"/>
      <c r="Q60" s="284"/>
    </row>
    <row r="61" spans="1:17">
      <c r="A61" s="288"/>
      <c r="B61" s="301" t="s">
        <v>167</v>
      </c>
      <c r="C61" s="382" t="s">
        <v>320</v>
      </c>
      <c r="D61" s="301" t="s">
        <v>321</v>
      </c>
      <c r="E61" s="294" t="s">
        <v>65</v>
      </c>
      <c r="F61" s="294"/>
      <c r="G61" s="299" t="s">
        <v>322</v>
      </c>
      <c r="H61" s="294"/>
      <c r="I61" s="299" t="s">
        <v>323</v>
      </c>
      <c r="J61" s="294"/>
      <c r="K61" s="301"/>
      <c r="L61" s="1267"/>
      <c r="M61" s="1268"/>
      <c r="N61" s="1268"/>
      <c r="O61" s="1268"/>
      <c r="P61" s="1268"/>
      <c r="Q61" s="284"/>
    </row>
    <row r="62" spans="1:17">
      <c r="A62" s="288"/>
      <c r="B62" s="350"/>
      <c r="C62" s="384"/>
      <c r="D62" s="294"/>
      <c r="E62" s="294"/>
      <c r="F62" s="307"/>
      <c r="G62" s="360"/>
      <c r="H62" s="307"/>
      <c r="I62" s="385" t="s">
        <v>921</v>
      </c>
      <c r="J62" s="294"/>
      <c r="K62" s="301"/>
      <c r="L62" s="1267"/>
      <c r="M62" s="1268"/>
      <c r="N62" s="1268"/>
      <c r="O62" s="1268"/>
      <c r="P62" s="1268"/>
      <c r="Q62" s="284"/>
    </row>
    <row r="63" spans="1:17">
      <c r="A63" s="290" t="s">
        <v>324</v>
      </c>
      <c r="B63" s="350"/>
      <c r="C63" s="386" t="s">
        <v>156</v>
      </c>
      <c r="D63" s="357" t="s">
        <v>352</v>
      </c>
      <c r="E63" s="358"/>
      <c r="F63" s="2280" t="s">
        <v>651</v>
      </c>
      <c r="G63" s="2280"/>
      <c r="H63" s="387"/>
      <c r="I63" s="360" t="s">
        <v>354</v>
      </c>
      <c r="J63" s="294"/>
      <c r="K63" s="301"/>
      <c r="L63" s="1267"/>
      <c r="M63" s="1268"/>
      <c r="N63" s="1268"/>
      <c r="O63" s="1268"/>
      <c r="P63" s="1268"/>
      <c r="Q63" s="284"/>
    </row>
    <row r="64" spans="1:17" ht="13.8" thickBot="1">
      <c r="A64" s="303" t="s">
        <v>326</v>
      </c>
      <c r="B64" s="359" t="s">
        <v>355</v>
      </c>
      <c r="C64" s="307"/>
      <c r="D64" s="294"/>
      <c r="E64" s="294"/>
      <c r="F64" s="307"/>
      <c r="G64" s="307"/>
      <c r="H64" s="307"/>
      <c r="I64" s="307"/>
      <c r="J64" s="294"/>
      <c r="K64" s="294"/>
      <c r="L64" s="1267"/>
      <c r="M64" s="1268"/>
      <c r="N64" s="1268"/>
      <c r="O64" s="1268"/>
      <c r="P64" s="1268"/>
      <c r="Q64" s="284"/>
    </row>
    <row r="65" spans="1:17">
      <c r="A65" s="360"/>
      <c r="B65" s="306" t="s">
        <v>356</v>
      </c>
      <c r="C65" s="307"/>
      <c r="D65" s="307"/>
      <c r="E65" s="307"/>
      <c r="F65" s="307"/>
      <c r="G65" s="307"/>
      <c r="H65" s="307"/>
      <c r="I65" s="307"/>
      <c r="J65" s="307"/>
      <c r="K65" s="307"/>
      <c r="L65" s="1267"/>
      <c r="M65" s="1268"/>
      <c r="N65" s="1268"/>
      <c r="O65" s="1268"/>
      <c r="P65" s="1268"/>
      <c r="Q65" s="284"/>
    </row>
    <row r="66" spans="1:17">
      <c r="A66" s="360">
        <v>1</v>
      </c>
      <c r="B66" s="707" t="s">
        <v>609</v>
      </c>
      <c r="C66" s="307" t="str">
        <f>+"WP04 PIS Line "&amp;IF($L$10=0,'WP04 PIS'!A$21,'WP04 PIS'!A$23)&amp;" Column "&amp;'WP04 PIS'!D$5</f>
        <v>WP04 PIS Line 18 Column C</v>
      </c>
      <c r="D66" s="305">
        <f>IF($L$10=0,'WP04 PIS'!D$21,'WP04 PIS'!D$23)</f>
        <v>10972977536.073076</v>
      </c>
      <c r="E66" s="307"/>
      <c r="F66" s="307" t="s">
        <v>331</v>
      </c>
      <c r="G66" s="361" t="s">
        <v>65</v>
      </c>
      <c r="H66" s="307"/>
      <c r="I66" s="305"/>
      <c r="J66" s="307"/>
      <c r="K66" s="324"/>
      <c r="L66" s="1271"/>
      <c r="M66" s="1267"/>
      <c r="N66" s="1267"/>
      <c r="O66" s="1267"/>
      <c r="P66" s="1268"/>
      <c r="Q66" s="284"/>
    </row>
    <row r="67" spans="1:17">
      <c r="A67" s="360">
        <f>+A66+1</f>
        <v>2</v>
      </c>
      <c r="B67" s="707" t="s">
        <v>135</v>
      </c>
      <c r="C67" s="307" t="str">
        <f>+"WP04 PIS Line "&amp;IF($L$10=0,'WP04 PIS'!A$21,'WP04 PIS'!A$23)&amp;" Column "&amp;'WP04 PIS'!G$5</f>
        <v>WP04 PIS Line 18 Column F</v>
      </c>
      <c r="D67" s="305">
        <f>IF($L$10=0,'WP04 PIS'!G$21,'WP04 PIS'!G$23)</f>
        <v>3023228750.2992315</v>
      </c>
      <c r="E67" s="307"/>
      <c r="F67" s="307" t="s">
        <v>357</v>
      </c>
      <c r="G67" s="311">
        <f>TP</f>
        <v>0.88170472529805632</v>
      </c>
      <c r="H67" s="312"/>
      <c r="I67" s="305">
        <f>+G67*D67</f>
        <v>2665595074.7957702</v>
      </c>
      <c r="J67" s="307"/>
      <c r="K67" s="324"/>
      <c r="L67" s="1268"/>
      <c r="M67" s="1267">
        <f>+D67</f>
        <v>3023228750.2992315</v>
      </c>
      <c r="N67" s="1267">
        <f>+D67-M67</f>
        <v>0</v>
      </c>
      <c r="O67" s="1267"/>
      <c r="P67" s="1267"/>
      <c r="Q67" s="284"/>
    </row>
    <row r="68" spans="1:17">
      <c r="A68" s="360" t="str">
        <f>+A67&amp;"a"</f>
        <v>2a</v>
      </c>
      <c r="B68" s="707" t="s">
        <v>735</v>
      </c>
      <c r="C68" s="307" t="str">
        <f>+"Appendix A Line "&amp;'Appendix A'!A41&amp;" "&amp;$L$6&amp;" Column"</f>
        <v>Appendix A Line 20 True-up Column</v>
      </c>
      <c r="D68" s="305">
        <f>IF($L$10=0,'Appendix A'!H41,'Appendix A'!G41)</f>
        <v>0</v>
      </c>
      <c r="E68" s="307"/>
      <c r="F68" s="307" t="s">
        <v>357</v>
      </c>
      <c r="G68" s="311">
        <f>TP</f>
        <v>0.88170472529805632</v>
      </c>
      <c r="H68" s="312"/>
      <c r="I68" s="305">
        <f>+G68*D68</f>
        <v>0</v>
      </c>
      <c r="J68" s="307"/>
      <c r="K68" s="324"/>
      <c r="L68" s="1272"/>
      <c r="M68" s="1267">
        <f>+D68</f>
        <v>0</v>
      </c>
      <c r="N68" s="1267"/>
      <c r="O68" s="1267"/>
      <c r="P68" s="1267"/>
      <c r="Q68" s="284"/>
    </row>
    <row r="69" spans="1:17">
      <c r="A69" s="360">
        <f>+A67+1</f>
        <v>3</v>
      </c>
      <c r="B69" s="707" t="s">
        <v>610</v>
      </c>
      <c r="C69" s="307" t="str">
        <f>+"WP04 PIS Line "&amp;IF($L$10=0,'WP04 PIS'!A$21,'WP04 PIS'!A$23)&amp;" Column "&amp;'WP04 PIS'!J$5</f>
        <v>WP04 PIS Line 18 Column I</v>
      </c>
      <c r="D69" s="305">
        <f>IF($L$10=0,'WP04 PIS'!J$21,'WP04 PIS'!J$23)</f>
        <v>4037481156.5523081</v>
      </c>
      <c r="E69" s="307"/>
      <c r="F69" s="307" t="s">
        <v>331</v>
      </c>
      <c r="G69" s="311" t="s">
        <v>65</v>
      </c>
      <c r="H69" s="312"/>
      <c r="I69" s="305"/>
      <c r="J69" s="307"/>
      <c r="K69" s="324"/>
      <c r="L69" s="1271"/>
      <c r="M69" s="1267"/>
      <c r="N69" s="1267"/>
      <c r="O69" s="1267"/>
      <c r="P69" s="1267"/>
      <c r="Q69" s="284"/>
    </row>
    <row r="70" spans="1:17">
      <c r="A70" s="360">
        <f t="shared" ref="A70:A110" si="1">+A69+1</f>
        <v>4</v>
      </c>
      <c r="B70" s="707" t="s">
        <v>602</v>
      </c>
      <c r="C70" s="307" t="str">
        <f>+"WP04 PIS Line "&amp;IF($L$10=0,'WP04 PIS'!A$21,'WP04 PIS'!A$23)&amp;" Column "&amp;'WP04 PIS'!C$5&amp;" &amp; "&amp;'WP04 PIS'!K5</f>
        <v>WP04 PIS Line 18 Column B &amp; J</v>
      </c>
      <c r="D70" s="305">
        <f>IF($L$10=0,('WP04 PIS'!C$21+'WP04 PIS'!K$21),('WP04 PIS'!C$23+'WP04 PIS'!K$23))</f>
        <v>849128401.17846107</v>
      </c>
      <c r="E70" s="307"/>
      <c r="F70" s="307" t="s">
        <v>358</v>
      </c>
      <c r="G70" s="311">
        <f>WS</f>
        <v>6.6741858911247634E-2</v>
      </c>
      <c r="H70" s="312"/>
      <c r="I70" s="305">
        <f>+G70*D70</f>
        <v>56672407.948986128</v>
      </c>
      <c r="J70" s="307"/>
      <c r="K70" s="324"/>
      <c r="L70" s="1273">
        <f>(D197+D198)/D201</f>
        <v>7.5696383376743087E-2</v>
      </c>
      <c r="M70" s="1267">
        <f>+D70*L70</f>
        <v>64275948.991685696</v>
      </c>
      <c r="N70" s="1267"/>
      <c r="O70" s="1267"/>
      <c r="P70" s="1267"/>
      <c r="Q70" s="284"/>
    </row>
    <row r="71" spans="1:17" ht="13.8" thickBot="1">
      <c r="A71" s="360">
        <f t="shared" si="1"/>
        <v>5</v>
      </c>
      <c r="B71" s="707" t="s">
        <v>842</v>
      </c>
      <c r="C71" s="307"/>
      <c r="D71" s="363"/>
      <c r="E71" s="307"/>
      <c r="F71" s="307"/>
      <c r="G71" s="311"/>
      <c r="H71" s="312"/>
      <c r="I71" s="363"/>
      <c r="J71" s="307"/>
      <c r="K71" s="324"/>
      <c r="L71" s="1274"/>
      <c r="M71" s="1267"/>
      <c r="N71" s="1267"/>
      <c r="O71" s="1267"/>
      <c r="P71" s="1267"/>
      <c r="Q71" s="284"/>
    </row>
    <row r="72" spans="1:17">
      <c r="A72" s="360">
        <f t="shared" si="1"/>
        <v>6</v>
      </c>
      <c r="B72" s="291" t="s">
        <v>359</v>
      </c>
      <c r="C72" s="297" t="str">
        <f>+"(Sum of Line "&amp;A66&amp;" to Line "&amp;A71&amp;")"</f>
        <v>(Sum of Line 1 to Line 5)</v>
      </c>
      <c r="D72" s="305">
        <f>SUM(D66:D71)</f>
        <v>18882815844.103073</v>
      </c>
      <c r="E72" s="307"/>
      <c r="F72" s="307"/>
      <c r="G72" s="364"/>
      <c r="H72" s="312"/>
      <c r="I72" s="305">
        <f>SUM(I66:I71)</f>
        <v>2722267482.7447562</v>
      </c>
      <c r="J72" s="307"/>
      <c r="K72" s="324"/>
      <c r="L72" s="1275"/>
      <c r="M72" s="1267">
        <f>+M67+M68+M70</f>
        <v>3087504699.2909174</v>
      </c>
      <c r="N72" s="1267"/>
      <c r="O72" s="1267"/>
      <c r="P72" s="1267"/>
      <c r="Q72" s="284"/>
    </row>
    <row r="73" spans="1:17">
      <c r="A73" s="360"/>
      <c r="B73" s="306"/>
      <c r="C73" s="307"/>
      <c r="D73" s="305"/>
      <c r="E73" s="307"/>
      <c r="F73" s="307"/>
      <c r="G73" s="365"/>
      <c r="H73" s="307"/>
      <c r="I73" s="305"/>
      <c r="J73" s="307"/>
      <c r="K73" s="324"/>
      <c r="L73" s="1272"/>
      <c r="M73" s="1267"/>
      <c r="N73" s="1267"/>
      <c r="O73" s="1267"/>
      <c r="P73" s="1267"/>
      <c r="Q73" s="284"/>
    </row>
    <row r="74" spans="1:17">
      <c r="A74" s="360"/>
      <c r="B74" s="306" t="s">
        <v>360</v>
      </c>
      <c r="C74" s="307"/>
      <c r="D74" s="305"/>
      <c r="E74" s="307"/>
      <c r="F74" s="307"/>
      <c r="G74" s="366"/>
      <c r="H74" s="307"/>
      <c r="I74" s="305"/>
      <c r="J74" s="307"/>
      <c r="K74" s="324"/>
      <c r="L74" s="1271"/>
      <c r="M74" s="1267"/>
      <c r="N74" s="1267"/>
      <c r="O74" s="1267"/>
      <c r="P74" s="1267"/>
      <c r="Q74" s="284"/>
    </row>
    <row r="75" spans="1:17">
      <c r="A75" s="360">
        <f>+A72+1</f>
        <v>7</v>
      </c>
      <c r="B75" s="707" t="s">
        <v>609</v>
      </c>
      <c r="C75" s="307" t="str">
        <f>+"WP04 PIS Line "&amp;IF($L$10=0,'WP04 PIS'!A$40,'WP04 PIS'!A$42)&amp;" Column "&amp;'WP04 PIS'!D$5</f>
        <v>WP04 PIS Line 37 Column C</v>
      </c>
      <c r="D75" s="305">
        <f>IF($L$10=0,'WP04 PIS'!D$40,'WP04 PIS'!D$42)</f>
        <v>5694731864.6238451</v>
      </c>
      <c r="E75" s="307"/>
      <c r="F75" s="307" t="s">
        <v>331</v>
      </c>
      <c r="G75" s="366" t="s">
        <v>65</v>
      </c>
      <c r="H75" s="307"/>
      <c r="I75" s="305"/>
      <c r="J75" s="307"/>
      <c r="K75" s="324"/>
      <c r="L75" s="1276"/>
      <c r="M75" s="1267"/>
      <c r="N75" s="1267"/>
      <c r="O75" s="1267"/>
      <c r="P75" s="1267"/>
      <c r="Q75" s="284"/>
    </row>
    <row r="76" spans="1:17">
      <c r="A76" s="360">
        <f t="shared" si="1"/>
        <v>8</v>
      </c>
      <c r="B76" s="707" t="s">
        <v>135</v>
      </c>
      <c r="C76" s="307" t="str">
        <f>+"WP04 PIS Line "&amp;IF($L$10=0,'WP04 PIS'!A$40,'WP04 PIS'!A$42)&amp;" Column "&amp;'WP04 PIS'!G$5</f>
        <v>WP04 PIS Line 37 Column F</v>
      </c>
      <c r="D76" s="305">
        <f>IF($L$10=0,'WP04 PIS'!G$40,'WP04 PIS'!G$42)</f>
        <v>1060981298.2200001</v>
      </c>
      <c r="E76" s="307"/>
      <c r="F76" s="307" t="s">
        <v>357</v>
      </c>
      <c r="G76" s="311">
        <f>TP</f>
        <v>0.88170472529805632</v>
      </c>
      <c r="H76" s="312"/>
      <c r="I76" s="305">
        <f>+G76*D76</f>
        <v>935472224.09344041</v>
      </c>
      <c r="J76" s="307"/>
      <c r="K76" s="324"/>
      <c r="L76" s="1271"/>
      <c r="M76" s="1267">
        <f>+D76</f>
        <v>1060981298.2200001</v>
      </c>
      <c r="N76" s="1267">
        <f>+D76-M76</f>
        <v>0</v>
      </c>
      <c r="O76" s="1267"/>
      <c r="P76" s="1267"/>
      <c r="Q76" s="284"/>
    </row>
    <row r="77" spans="1:17">
      <c r="A77" s="360" t="str">
        <f>+A76&amp;"a"</f>
        <v>8a</v>
      </c>
      <c r="B77" s="707" t="s">
        <v>735</v>
      </c>
      <c r="C77" s="307"/>
      <c r="D77" s="305"/>
      <c r="E77" s="307"/>
      <c r="F77" s="307"/>
      <c r="G77" s="311"/>
      <c r="H77" s="312"/>
      <c r="I77" s="305"/>
      <c r="J77" s="307"/>
      <c r="K77" s="324"/>
      <c r="L77" s="1271"/>
      <c r="M77" s="1267"/>
      <c r="N77" s="1267"/>
      <c r="O77" s="1267"/>
      <c r="P77" s="1267"/>
      <c r="Q77" s="284"/>
    </row>
    <row r="78" spans="1:17">
      <c r="A78" s="360">
        <f>+A76+1</f>
        <v>9</v>
      </c>
      <c r="B78" s="707" t="s">
        <v>610</v>
      </c>
      <c r="C78" s="307" t="str">
        <f>+"WP04 PIS Line "&amp;IF($L$10=0,'WP04 PIS'!A$40,'WP04 PIS'!A$42)&amp;" Column "&amp;'WP04 PIS'!J$5</f>
        <v>WP04 PIS Line 37 Column I</v>
      </c>
      <c r="D78" s="305">
        <f>IF($L$10=0,'WP04 PIS'!J$40,'WP04 PIS'!J$42)</f>
        <v>1368463273.0084612</v>
      </c>
      <c r="E78" s="307"/>
      <c r="F78" s="307" t="s">
        <v>331</v>
      </c>
      <c r="G78" s="311" t="str">
        <f>+G69</f>
        <v xml:space="preserve"> </v>
      </c>
      <c r="H78" s="312"/>
      <c r="I78" s="305" t="s">
        <v>65</v>
      </c>
      <c r="J78" s="307"/>
      <c r="K78" s="324"/>
      <c r="L78" s="1271"/>
      <c r="M78" s="1267"/>
      <c r="N78" s="1267"/>
      <c r="O78" s="1267"/>
      <c r="P78" s="1267"/>
      <c r="Q78" s="284"/>
    </row>
    <row r="79" spans="1:17">
      <c r="A79" s="360">
        <f t="shared" si="1"/>
        <v>10</v>
      </c>
      <c r="B79" s="707" t="s">
        <v>602</v>
      </c>
      <c r="C79" s="307" t="str">
        <f>+"WP04 PIS Line "&amp;IF($L$10=0,'WP04 PIS'!A$40,'WP04 PIS'!A$42)&amp;" Column "&amp;'WP04 PIS'!C$5&amp;" &amp; "&amp;'WP04 PIS'!K5</f>
        <v>WP04 PIS Line 37 Column B &amp; J</v>
      </c>
      <c r="D79" s="305">
        <f>IF($L$10=0,('WP04 PIS'!C$40+'WP04 PIS'!K$40),('WP04 PIS'!C$42+'WP04 PIS'!K$42))</f>
        <v>550379053.49230778</v>
      </c>
      <c r="E79" s="307"/>
      <c r="F79" s="307" t="s">
        <v>358</v>
      </c>
      <c r="G79" s="311">
        <f>WS</f>
        <v>6.6741858911247634E-2</v>
      </c>
      <c r="H79" s="312"/>
      <c r="I79" s="305">
        <f>+G79*D79</f>
        <v>36733321.13588962</v>
      </c>
      <c r="J79" s="307"/>
      <c r="K79" s="324"/>
      <c r="L79" s="1273">
        <f>+L70</f>
        <v>7.5696383376743087E-2</v>
      </c>
      <c r="M79" s="1267">
        <f>+D79*L79</f>
        <v>41661703.83568272</v>
      </c>
      <c r="N79" s="1267"/>
      <c r="O79" s="1267"/>
      <c r="P79" s="1267"/>
      <c r="Q79" s="284"/>
    </row>
    <row r="80" spans="1:17" ht="13.8" thickBot="1">
      <c r="A80" s="360">
        <f t="shared" si="1"/>
        <v>11</v>
      </c>
      <c r="B80" s="707" t="s">
        <v>842</v>
      </c>
      <c r="C80" s="307"/>
      <c r="D80" s="363"/>
      <c r="E80" s="307"/>
      <c r="F80" s="313"/>
      <c r="G80" s="311"/>
      <c r="H80" s="312"/>
      <c r="I80" s="363"/>
      <c r="J80" s="307"/>
      <c r="K80" s="324"/>
      <c r="L80" s="1271"/>
      <c r="M80" s="1267"/>
      <c r="N80" s="1267"/>
      <c r="O80" s="1267"/>
      <c r="P80" s="1267"/>
      <c r="Q80" s="284"/>
    </row>
    <row r="81" spans="1:17">
      <c r="A81" s="360">
        <f t="shared" si="1"/>
        <v>12</v>
      </c>
      <c r="B81" s="306" t="s">
        <v>361</v>
      </c>
      <c r="C81" s="297" t="str">
        <f>+"(Sum of Line "&amp;A75&amp;" to Line "&amp;A80&amp;")"</f>
        <v>(Sum of Line 7 to Line 11)</v>
      </c>
      <c r="D81" s="305">
        <f>SUM(D75:D80)</f>
        <v>8674555489.344614</v>
      </c>
      <c r="E81" s="307"/>
      <c r="F81" s="307"/>
      <c r="G81" s="313"/>
      <c r="H81" s="312"/>
      <c r="I81" s="305">
        <f>SUM(I75:I80)</f>
        <v>972205545.22933006</v>
      </c>
      <c r="J81" s="307"/>
      <c r="K81" s="324"/>
      <c r="L81" s="1271"/>
      <c r="M81" s="1267">
        <f>+M76+M79</f>
        <v>1102643002.0556829</v>
      </c>
      <c r="N81" s="1267"/>
      <c r="O81" s="1267"/>
      <c r="P81" s="1267"/>
      <c r="Q81" s="284"/>
    </row>
    <row r="82" spans="1:17">
      <c r="A82" s="360"/>
      <c r="B82" s="318"/>
      <c r="C82" s="307" t="s">
        <v>65</v>
      </c>
      <c r="D82" s="305"/>
      <c r="E82" s="307"/>
      <c r="F82" s="307"/>
      <c r="G82" s="343"/>
      <c r="H82" s="307"/>
      <c r="I82" s="305"/>
      <c r="J82" s="307"/>
      <c r="K82" s="324"/>
      <c r="L82" s="1272"/>
      <c r="M82" s="1267"/>
      <c r="N82" s="1267"/>
      <c r="O82" s="1267"/>
      <c r="P82" s="1267"/>
      <c r="Q82" s="284"/>
    </row>
    <row r="83" spans="1:17">
      <c r="A83" s="360"/>
      <c r="B83" s="306" t="s">
        <v>362</v>
      </c>
      <c r="C83" s="307"/>
      <c r="D83" s="305"/>
      <c r="E83" s="307"/>
      <c r="F83" s="307"/>
      <c r="G83" s="313"/>
      <c r="H83" s="307"/>
      <c r="I83" s="305"/>
      <c r="J83" s="307"/>
      <c r="K83" s="324"/>
      <c r="L83" s="1271"/>
      <c r="M83" s="1267"/>
      <c r="N83" s="1267"/>
      <c r="O83" s="1267"/>
      <c r="P83" s="1267"/>
      <c r="Q83" s="284"/>
    </row>
    <row r="84" spans="1:17">
      <c r="A84" s="360">
        <f>+A81+1</f>
        <v>13</v>
      </c>
      <c r="B84" s="707" t="s">
        <v>609</v>
      </c>
      <c r="C84" s="307" t="str">
        <f>"(Line "&amp;A66&amp;" - Line "&amp;A75&amp;")"</f>
        <v>(Line 1 - Line 7)</v>
      </c>
      <c r="D84" s="305">
        <f t="shared" ref="D84:D88" si="2">D66-D75</f>
        <v>5278245671.4492311</v>
      </c>
      <c r="E84" s="312"/>
      <c r="F84" s="312"/>
      <c r="G84" s="343"/>
      <c r="H84" s="312"/>
      <c r="I84" s="305" t="s">
        <v>65</v>
      </c>
      <c r="J84" s="307"/>
      <c r="K84" s="324"/>
      <c r="L84" s="1272"/>
      <c r="M84" s="1267"/>
      <c r="N84" s="1267"/>
      <c r="O84" s="1267"/>
      <c r="P84" s="1267"/>
      <c r="Q84" s="284"/>
    </row>
    <row r="85" spans="1:17">
      <c r="A85" s="360">
        <f t="shared" si="1"/>
        <v>14</v>
      </c>
      <c r="B85" s="707" t="s">
        <v>135</v>
      </c>
      <c r="C85" s="307" t="str">
        <f>"(Line "&amp;A67&amp;" - Line "&amp;A76&amp;")"</f>
        <v>(Line 2 - Line 8)</v>
      </c>
      <c r="D85" s="305">
        <f t="shared" si="2"/>
        <v>1962247452.0792313</v>
      </c>
      <c r="E85" s="312"/>
      <c r="F85" s="312"/>
      <c r="G85" s="313"/>
      <c r="H85" s="312"/>
      <c r="I85" s="305">
        <f>I67-I76</f>
        <v>1730122850.7023296</v>
      </c>
      <c r="J85" s="307"/>
      <c r="K85" s="324"/>
      <c r="L85" s="1272"/>
      <c r="M85" s="1267">
        <f t="shared" ref="M85:M86" si="3">M67-M76</f>
        <v>1962247452.0792313</v>
      </c>
      <c r="N85" s="1267">
        <f>+D85-M85</f>
        <v>0</v>
      </c>
      <c r="O85" s="1267"/>
      <c r="P85" s="1267"/>
      <c r="Q85" s="284"/>
    </row>
    <row r="86" spans="1:17">
      <c r="A86" s="360" t="str">
        <f>+A85&amp;"a"</f>
        <v>14a</v>
      </c>
      <c r="B86" s="707" t="s">
        <v>735</v>
      </c>
      <c r="C86" s="307" t="str">
        <f>"(Line "&amp;A68&amp;" - Line "&amp;A77&amp;")"</f>
        <v>(Line 2a - Line 8a)</v>
      </c>
      <c r="D86" s="305">
        <f t="shared" si="2"/>
        <v>0</v>
      </c>
      <c r="E86" s="312"/>
      <c r="F86" s="312"/>
      <c r="G86" s="313"/>
      <c r="H86" s="312"/>
      <c r="I86" s="305">
        <f>I68-I77</f>
        <v>0</v>
      </c>
      <c r="J86" s="307"/>
      <c r="K86" s="324"/>
      <c r="L86" s="1272"/>
      <c r="M86" s="1267">
        <f t="shared" si="3"/>
        <v>0</v>
      </c>
      <c r="N86" s="1267"/>
      <c r="O86" s="1267"/>
      <c r="P86" s="1267"/>
      <c r="Q86" s="284"/>
    </row>
    <row r="87" spans="1:17">
      <c r="A87" s="360">
        <f>+A85+1</f>
        <v>15</v>
      </c>
      <c r="B87" s="707" t="s">
        <v>610</v>
      </c>
      <c r="C87" s="307" t="str">
        <f>"(Line "&amp;A69&amp;" - Line "&amp;A78&amp;")"</f>
        <v>(Line 3 - Line 9)</v>
      </c>
      <c r="D87" s="305">
        <f t="shared" si="2"/>
        <v>2669017883.5438471</v>
      </c>
      <c r="E87" s="312"/>
      <c r="F87" s="312"/>
      <c r="G87" s="343"/>
      <c r="H87" s="312"/>
      <c r="I87" s="305" t="s">
        <v>65</v>
      </c>
      <c r="J87" s="307"/>
      <c r="K87" s="324"/>
      <c r="L87" s="1272"/>
      <c r="M87" s="1267"/>
      <c r="N87" s="1267"/>
      <c r="O87" s="1267"/>
      <c r="P87" s="1267"/>
      <c r="Q87" s="284"/>
    </row>
    <row r="88" spans="1:17">
      <c r="A88" s="360">
        <f t="shared" si="1"/>
        <v>16</v>
      </c>
      <c r="B88" s="707" t="s">
        <v>602</v>
      </c>
      <c r="C88" s="307" t="str">
        <f>"(Line "&amp;A70&amp;" - Line "&amp;A79&amp;")"</f>
        <v>(Line 4 - Line 10)</v>
      </c>
      <c r="D88" s="305">
        <f t="shared" si="2"/>
        <v>298749347.68615329</v>
      </c>
      <c r="E88" s="312"/>
      <c r="F88" s="312"/>
      <c r="G88" s="343"/>
      <c r="H88" s="312"/>
      <c r="I88" s="305">
        <f>I70-I79</f>
        <v>19939086.813096508</v>
      </c>
      <c r="J88" s="307"/>
      <c r="K88" s="324"/>
      <c r="L88" s="1272"/>
      <c r="M88" s="1267">
        <f>M70-M79</f>
        <v>22614245.156002976</v>
      </c>
      <c r="N88" s="1267"/>
      <c r="O88" s="1267"/>
      <c r="P88" s="1267"/>
      <c r="Q88" s="284"/>
    </row>
    <row r="89" spans="1:17" ht="13.8" thickBot="1">
      <c r="A89" s="360">
        <f t="shared" si="1"/>
        <v>17</v>
      </c>
      <c r="B89" s="707" t="s">
        <v>842</v>
      </c>
      <c r="C89" s="307"/>
      <c r="D89" s="363"/>
      <c r="E89" s="312"/>
      <c r="F89" s="312"/>
      <c r="G89" s="343"/>
      <c r="H89" s="312"/>
      <c r="I89" s="363"/>
      <c r="J89" s="307"/>
      <c r="K89" s="324"/>
      <c r="L89" s="1272"/>
      <c r="M89" s="1267"/>
      <c r="N89" s="1267"/>
      <c r="O89" s="1267"/>
      <c r="P89" s="1267"/>
      <c r="Q89" s="284"/>
    </row>
    <row r="90" spans="1:17">
      <c r="A90" s="360">
        <f t="shared" si="1"/>
        <v>18</v>
      </c>
      <c r="B90" s="306" t="s">
        <v>363</v>
      </c>
      <c r="C90" s="297" t="str">
        <f>+"(Sum of Line "&amp;A84&amp;" to Line "&amp;A89&amp;")"</f>
        <v>(Sum of Line 13 to Line 17)</v>
      </c>
      <c r="D90" s="305">
        <f>SUM(D84:D89)</f>
        <v>10208260354.758463</v>
      </c>
      <c r="E90" s="312"/>
      <c r="F90" s="312"/>
      <c r="G90" s="364"/>
      <c r="H90" s="312"/>
      <c r="I90" s="305">
        <f>SUM(I84:I89)</f>
        <v>1750061937.5154262</v>
      </c>
      <c r="J90" s="307"/>
      <c r="K90" s="324"/>
      <c r="L90" s="1271"/>
      <c r="M90" s="1267">
        <f>SUM(M84:M89)</f>
        <v>1984861697.2352343</v>
      </c>
      <c r="N90" s="1267"/>
      <c r="O90" s="1267"/>
      <c r="P90" s="1267"/>
      <c r="Q90" s="284"/>
    </row>
    <row r="91" spans="1:17">
      <c r="A91" s="360"/>
      <c r="B91" s="306"/>
      <c r="C91" s="307"/>
      <c r="D91" s="305"/>
      <c r="E91" s="312"/>
      <c r="F91" s="312"/>
      <c r="G91" s="343"/>
      <c r="H91" s="312"/>
      <c r="I91" s="305"/>
      <c r="J91" s="307"/>
      <c r="K91" s="324"/>
      <c r="L91" s="1271"/>
      <c r="M91" s="1267"/>
      <c r="N91" s="1267"/>
      <c r="O91" s="1267"/>
      <c r="P91" s="1267"/>
      <c r="Q91" s="284"/>
    </row>
    <row r="92" spans="1:17" s="371" customFormat="1">
      <c r="A92" s="360" t="s">
        <v>642</v>
      </c>
      <c r="B92" s="1096" t="s">
        <v>842</v>
      </c>
      <c r="C92" s="369"/>
      <c r="D92" s="1097"/>
      <c r="E92" s="1098"/>
      <c r="F92" s="367"/>
      <c r="G92" s="1099"/>
      <c r="H92" s="367"/>
      <c r="I92" s="368"/>
      <c r="J92" s="369"/>
      <c r="K92" s="370"/>
      <c r="L92" s="1277"/>
      <c r="M92" s="1278"/>
      <c r="N92" s="1278"/>
      <c r="O92" s="1278"/>
      <c r="P92" s="1278"/>
    </row>
    <row r="93" spans="1:17">
      <c r="A93" s="360"/>
      <c r="B93" s="318"/>
      <c r="C93" s="307"/>
      <c r="D93" s="1344"/>
      <c r="E93" s="369"/>
      <c r="F93" s="1345"/>
      <c r="G93" s="318"/>
      <c r="H93" s="307"/>
      <c r="I93" s="305"/>
      <c r="J93" s="307"/>
      <c r="K93" s="324"/>
      <c r="L93" s="1272"/>
      <c r="M93" s="1267"/>
      <c r="N93" s="1267"/>
      <c r="O93" s="1267"/>
      <c r="P93" s="1267"/>
      <c r="Q93" s="284"/>
    </row>
    <row r="94" spans="1:17">
      <c r="A94" s="360"/>
      <c r="B94" s="291" t="s">
        <v>364</v>
      </c>
      <c r="C94" s="307"/>
      <c r="D94" s="305"/>
      <c r="E94" s="307"/>
      <c r="F94" s="307"/>
      <c r="G94" s="307"/>
      <c r="H94" s="307"/>
      <c r="I94" s="305"/>
      <c r="J94" s="307"/>
      <c r="K94" s="324"/>
      <c r="L94" s="1271"/>
      <c r="M94" s="1267"/>
      <c r="N94" s="1267"/>
      <c r="O94" s="1267"/>
      <c r="P94" s="1267"/>
      <c r="Q94" s="284"/>
    </row>
    <row r="95" spans="1:17">
      <c r="A95" s="360">
        <f>+A90+1</f>
        <v>19</v>
      </c>
      <c r="B95" s="707" t="s">
        <v>143</v>
      </c>
      <c r="C95" s="307" t="str">
        <f>+"Appendix A Line "&amp;'Appendix A'!A75&amp;" "&amp;$L$6&amp;" Column"</f>
        <v>Appendix A Line 43 True-up Column</v>
      </c>
      <c r="D95" s="305">
        <f>IF($L$10=0,'Appendix A'!$H$75,'Appendix A'!$G$75)</f>
        <v>71133478.788212642</v>
      </c>
      <c r="E95" s="307"/>
      <c r="F95" s="307" t="s">
        <v>357</v>
      </c>
      <c r="G95" s="311">
        <f>TP</f>
        <v>0.88170472529805632</v>
      </c>
      <c r="H95" s="312"/>
      <c r="I95" s="305">
        <f>+G95*D95</f>
        <v>62718724.374456145</v>
      </c>
      <c r="J95" s="307"/>
      <c r="K95" s="324"/>
      <c r="L95" s="1272"/>
      <c r="M95" s="1267">
        <f>+D95</f>
        <v>71133478.788212642</v>
      </c>
      <c r="N95" s="1267"/>
      <c r="O95" s="1267"/>
      <c r="P95" s="1267"/>
      <c r="Q95" s="284"/>
    </row>
    <row r="96" spans="1:17">
      <c r="B96" s="324"/>
      <c r="C96" s="324"/>
      <c r="D96" s="324"/>
      <c r="E96" s="324"/>
      <c r="F96" s="324"/>
      <c r="G96" s="324"/>
      <c r="H96" s="324"/>
      <c r="I96" s="324"/>
      <c r="L96" s="1267"/>
      <c r="M96" s="1267"/>
      <c r="N96" s="1267"/>
      <c r="O96" s="1268"/>
      <c r="P96" s="1267"/>
    </row>
    <row r="97" spans="1:17">
      <c r="A97" s="360">
        <f>+A95+1</f>
        <v>20</v>
      </c>
      <c r="B97" s="707" t="s">
        <v>842</v>
      </c>
      <c r="C97" s="307"/>
      <c r="D97" s="368"/>
      <c r="E97" s="307"/>
      <c r="F97" s="307"/>
      <c r="G97" s="372"/>
      <c r="H97" s="312"/>
      <c r="I97" s="305"/>
      <c r="J97" s="307"/>
      <c r="K97" s="324"/>
      <c r="L97" s="1272"/>
      <c r="M97" s="1267"/>
      <c r="N97" s="1267"/>
      <c r="O97" s="1267"/>
      <c r="P97" s="1267"/>
      <c r="Q97" s="284"/>
    </row>
    <row r="98" spans="1:17">
      <c r="A98" s="360">
        <f t="shared" si="1"/>
        <v>21</v>
      </c>
      <c r="B98" s="707" t="s">
        <v>842</v>
      </c>
      <c r="C98" s="307"/>
      <c r="D98" s="368"/>
      <c r="E98" s="307"/>
      <c r="F98" s="307"/>
      <c r="G98" s="372"/>
      <c r="H98" s="312"/>
      <c r="I98" s="305"/>
      <c r="J98" s="307"/>
      <c r="K98" s="324"/>
      <c r="L98" s="1272"/>
      <c r="M98" s="1267"/>
      <c r="N98" s="1267"/>
      <c r="O98" s="1267"/>
      <c r="P98" s="1267"/>
      <c r="Q98" s="284"/>
    </row>
    <row r="99" spans="1:17">
      <c r="A99" s="360">
        <f>+A98+1</f>
        <v>22</v>
      </c>
      <c r="B99" s="713" t="s">
        <v>306</v>
      </c>
      <c r="C99" s="307" t="str">
        <f>+"Appendix A Line "&amp;+'Appendix A'!A87&amp;" "&amp;$L$6&amp;" Column"</f>
        <v>Appendix A Line 52 True-up Column</v>
      </c>
      <c r="D99" s="305">
        <f>IF($L$10=0,'Appendix A'!H87,'Appendix A'!G87)</f>
        <v>20842467.333097901</v>
      </c>
      <c r="E99" s="307"/>
      <c r="F99" s="307" t="s">
        <v>357</v>
      </c>
      <c r="G99" s="311">
        <f>TP</f>
        <v>0.88170472529805632</v>
      </c>
      <c r="H99" s="312"/>
      <c r="I99" s="368">
        <f>+D99*G99</f>
        <v>18376901.934462797</v>
      </c>
      <c r="J99" s="307"/>
      <c r="K99" s="324"/>
      <c r="L99" s="1272"/>
      <c r="M99" s="1267">
        <f>+D99</f>
        <v>20842467.333097901</v>
      </c>
      <c r="N99" s="1267"/>
      <c r="O99" s="1267"/>
      <c r="P99" s="1267"/>
      <c r="Q99" s="284"/>
    </row>
    <row r="100" spans="1:17">
      <c r="A100" s="360">
        <f>+A99+1</f>
        <v>23</v>
      </c>
      <c r="B100" s="707" t="s">
        <v>842</v>
      </c>
      <c r="C100" s="307"/>
      <c r="D100" s="305"/>
      <c r="E100" s="367"/>
      <c r="F100" s="307"/>
      <c r="G100" s="372"/>
      <c r="H100" s="312"/>
      <c r="I100" s="368"/>
      <c r="J100" s="324"/>
      <c r="K100" s="324"/>
      <c r="L100" s="1272"/>
      <c r="M100" s="1267"/>
      <c r="N100" s="1267"/>
      <c r="O100" s="1267"/>
      <c r="P100" s="1267"/>
      <c r="Q100" s="284"/>
    </row>
    <row r="101" spans="1:17" s="371" customFormat="1" ht="13.8" thickBot="1">
      <c r="A101" s="360" t="str">
        <f>+A100&amp;"a"</f>
        <v>23a</v>
      </c>
      <c r="B101" s="1100" t="s">
        <v>842</v>
      </c>
      <c r="C101" s="307"/>
      <c r="D101" s="363"/>
      <c r="E101" s="367"/>
      <c r="F101" s="367"/>
      <c r="G101" s="1099"/>
      <c r="H101" s="367"/>
      <c r="I101" s="363"/>
      <c r="J101" s="370"/>
      <c r="K101" s="370"/>
      <c r="L101" s="1279"/>
      <c r="M101" s="1278"/>
      <c r="N101" s="1278"/>
      <c r="O101" s="1278"/>
      <c r="P101" s="1278"/>
    </row>
    <row r="102" spans="1:17">
      <c r="A102" s="360">
        <f>+A100+1</f>
        <v>24</v>
      </c>
      <c r="B102" s="306" t="s">
        <v>365</v>
      </c>
      <c r="C102" s="297" t="str">
        <f>+"(Sum of Line "&amp;A95&amp;" to Line "&amp;A101&amp;")"</f>
        <v>(Sum of Line 19 to Line 23a)</v>
      </c>
      <c r="D102" s="305">
        <f>SUM(D95:D101)</f>
        <v>91975946.121310547</v>
      </c>
      <c r="E102" s="307"/>
      <c r="F102" s="307"/>
      <c r="G102" s="312"/>
      <c r="H102" s="312"/>
      <c r="I102" s="305">
        <f>SUM(I95:I101)</f>
        <v>81095626.308918938</v>
      </c>
      <c r="J102" s="307"/>
      <c r="K102" s="324"/>
      <c r="L102" s="1271"/>
      <c r="M102" s="1267">
        <f>+D102</f>
        <v>91975946.121310547</v>
      </c>
      <c r="N102" s="1267"/>
      <c r="O102" s="1267"/>
      <c r="P102" s="1267"/>
      <c r="Q102" s="284"/>
    </row>
    <row r="103" spans="1:17">
      <c r="A103" s="360"/>
      <c r="B103" s="318"/>
      <c r="C103" s="307"/>
      <c r="D103" s="305"/>
      <c r="E103" s="307"/>
      <c r="F103" s="307"/>
      <c r="G103" s="373"/>
      <c r="H103" s="307"/>
      <c r="I103" s="305"/>
      <c r="J103" s="307"/>
      <c r="K103" s="324"/>
      <c r="L103" s="1272"/>
      <c r="M103" s="1267"/>
      <c r="N103" s="1267"/>
      <c r="O103" s="1267"/>
      <c r="P103" s="1267"/>
      <c r="Q103" s="284"/>
    </row>
    <row r="104" spans="1:17">
      <c r="A104" s="360">
        <f>+A102+1</f>
        <v>25</v>
      </c>
      <c r="B104" s="291" t="s">
        <v>366</v>
      </c>
      <c r="C104" s="307" t="str">
        <f>+"Appendix A Line "&amp;+'Appendix A'!A106&amp;" "&amp;$L$6&amp;" Column"</f>
        <v>Appendix A Line 66 True-up Column</v>
      </c>
      <c r="D104" s="305">
        <f>IF($L$10=0,'Appendix A'!H106,'Appendix A'!G106)</f>
        <v>2404681.41</v>
      </c>
      <c r="E104" s="307"/>
      <c r="F104" s="307" t="s">
        <v>357</v>
      </c>
      <c r="G104" s="311">
        <f>TP</f>
        <v>0.88170472529805632</v>
      </c>
      <c r="H104" s="312"/>
      <c r="I104" s="305">
        <f>+G104*D104</f>
        <v>2120218.9620333929</v>
      </c>
      <c r="J104" s="307"/>
      <c r="K104" s="324"/>
      <c r="L104" s="1271"/>
      <c r="M104" s="1267">
        <f>+D104</f>
        <v>2404681.41</v>
      </c>
      <c r="N104" s="1267"/>
      <c r="O104" s="1267"/>
      <c r="P104" s="1267"/>
      <c r="Q104" s="284"/>
    </row>
    <row r="105" spans="1:17">
      <c r="A105" s="360"/>
      <c r="B105" s="306"/>
      <c r="C105" s="307"/>
      <c r="D105" s="305"/>
      <c r="E105" s="307"/>
      <c r="F105" s="307"/>
      <c r="G105" s="311"/>
      <c r="H105" s="312"/>
      <c r="I105" s="305"/>
      <c r="J105" s="307"/>
      <c r="K105" s="324"/>
      <c r="L105" s="1271"/>
      <c r="M105" s="1267"/>
      <c r="N105" s="1267"/>
      <c r="O105" s="1267"/>
      <c r="P105" s="1267"/>
      <c r="Q105" s="284"/>
    </row>
    <row r="106" spans="1:17">
      <c r="A106" s="360"/>
      <c r="B106" s="306" t="s">
        <v>367</v>
      </c>
      <c r="C106" s="307"/>
      <c r="D106" s="305"/>
      <c r="E106" s="307"/>
      <c r="F106" s="307"/>
      <c r="G106" s="311"/>
      <c r="H106" s="312"/>
      <c r="I106" s="305"/>
      <c r="J106" s="307"/>
      <c r="K106" s="324"/>
      <c r="L106" s="1271"/>
      <c r="M106" s="1267"/>
      <c r="N106" s="1267"/>
      <c r="O106" s="1267"/>
      <c r="P106" s="1267"/>
      <c r="Q106" s="284"/>
    </row>
    <row r="107" spans="1:17">
      <c r="A107" s="360">
        <f>+A104+1</f>
        <v>26</v>
      </c>
      <c r="B107" s="707" t="s">
        <v>842</v>
      </c>
      <c r="C107" s="318"/>
      <c r="D107" s="305"/>
      <c r="E107" s="307"/>
      <c r="F107" s="307"/>
      <c r="G107" s="374"/>
      <c r="H107" s="312"/>
      <c r="I107" s="305"/>
      <c r="J107" s="297"/>
      <c r="K107" s="324"/>
      <c r="L107" s="1272"/>
      <c r="M107" s="1267">
        <f>+I107</f>
        <v>0</v>
      </c>
      <c r="N107" s="1267"/>
      <c r="O107" s="1267"/>
      <c r="P107" s="1267"/>
      <c r="Q107" s="284"/>
    </row>
    <row r="108" spans="1:17">
      <c r="A108" s="360">
        <f t="shared" si="1"/>
        <v>27</v>
      </c>
      <c r="B108" s="707" t="s">
        <v>159</v>
      </c>
      <c r="C108" s="307" t="str">
        <f>+"Appendix A Line "&amp;+'Appendix A'!A94&amp;" "&amp;$L$6&amp;" Column"</f>
        <v>Appendix A Line 57 True-up Column</v>
      </c>
      <c r="D108" s="305">
        <f>IF($L$10=0,'Appendix A'!H94,'Appendix A'!G94)</f>
        <v>20089986.602171652</v>
      </c>
      <c r="E108" s="307"/>
      <c r="F108" s="307" t="s">
        <v>357</v>
      </c>
      <c r="G108" s="311">
        <f>TP</f>
        <v>0.88170472529805632</v>
      </c>
      <c r="H108" s="312"/>
      <c r="I108" s="305">
        <f>+G108*D108</f>
        <v>17713436.11830939</v>
      </c>
      <c r="J108" s="307" t="s">
        <v>65</v>
      </c>
      <c r="K108" s="324"/>
      <c r="L108" s="1272"/>
      <c r="M108" s="1267">
        <f>+D108</f>
        <v>20089986.602171652</v>
      </c>
      <c r="N108" s="1267"/>
      <c r="O108" s="1267"/>
      <c r="P108" s="1267"/>
      <c r="Q108" s="284"/>
    </row>
    <row r="109" spans="1:17" ht="13.8" thickBot="1">
      <c r="A109" s="360">
        <f t="shared" si="1"/>
        <v>28</v>
      </c>
      <c r="B109" s="707" t="s">
        <v>608</v>
      </c>
      <c r="C109" s="307" t="str">
        <f>+"Appendix A Line "&amp;+'Appendix A'!A104&amp;" "&amp;$L$6&amp;" Column"</f>
        <v>Appendix A Line 65 True-up Column</v>
      </c>
      <c r="D109" s="363">
        <f>IF($L$10=0,'Appendix A'!H104,'Appendix A'!G104)</f>
        <v>1846672.5284168404</v>
      </c>
      <c r="E109" s="307"/>
      <c r="F109" s="307" t="s">
        <v>357</v>
      </c>
      <c r="G109" s="311">
        <f>TP</f>
        <v>0.88170472529805632</v>
      </c>
      <c r="H109" s="312"/>
      <c r="I109" s="363">
        <f>+G109*D109</f>
        <v>1628219.8943832372</v>
      </c>
      <c r="J109" s="307"/>
      <c r="K109" s="324"/>
      <c r="L109" s="1272"/>
      <c r="M109" s="1280">
        <f>+D109</f>
        <v>1846672.5284168404</v>
      </c>
      <c r="N109" s="1267"/>
      <c r="O109" s="1267"/>
      <c r="P109" s="1267"/>
      <c r="Q109" s="284"/>
    </row>
    <row r="110" spans="1:17">
      <c r="A110" s="360">
        <f t="shared" si="1"/>
        <v>29</v>
      </c>
      <c r="B110" s="306" t="s">
        <v>368</v>
      </c>
      <c r="C110" s="297" t="str">
        <f>+"(Sum of Lines "&amp;A107&amp;" to "&amp;A109&amp;")"</f>
        <v>(Sum of Lines 26 to 28)</v>
      </c>
      <c r="D110" s="305">
        <f>SUM(D107:D109)</f>
        <v>21936659.130588494</v>
      </c>
      <c r="E110" s="297"/>
      <c r="F110" s="297"/>
      <c r="G110" s="375"/>
      <c r="H110" s="375"/>
      <c r="I110" s="305">
        <f>I107+I108+I109</f>
        <v>19341656.012692627</v>
      </c>
      <c r="J110" s="297"/>
      <c r="K110" s="324"/>
      <c r="L110" s="1281"/>
      <c r="M110" s="1267">
        <f>+M107+M108+M109</f>
        <v>21936659.130588494</v>
      </c>
      <c r="N110" s="1267"/>
      <c r="O110" s="1267"/>
      <c r="P110" s="1267"/>
      <c r="Q110" s="284"/>
    </row>
    <row r="111" spans="1:17" ht="13.8" thickBot="1">
      <c r="A111" s="360"/>
      <c r="B111" s="318"/>
      <c r="C111" s="307"/>
      <c r="D111" s="363"/>
      <c r="E111" s="307"/>
      <c r="F111" s="307"/>
      <c r="G111" s="307"/>
      <c r="H111" s="307"/>
      <c r="I111" s="363"/>
      <c r="J111" s="307"/>
      <c r="K111" s="324"/>
      <c r="L111" s="1271"/>
      <c r="M111" s="1267"/>
      <c r="N111" s="1267"/>
      <c r="O111" s="1267"/>
      <c r="P111" s="1267"/>
      <c r="Q111" s="284"/>
    </row>
    <row r="112" spans="1:17" ht="13.8" thickBot="1">
      <c r="A112" s="360">
        <f>+A110+1</f>
        <v>30</v>
      </c>
      <c r="B112" s="306" t="s">
        <v>369</v>
      </c>
      <c r="C112" s="307" t="str">
        <f>+"(Line "&amp;A90&amp;" + Line "&amp;A92&amp;" + Line "&amp;A102&amp;" + Line "&amp;A104&amp;" + Line "&amp;A110&amp;")"</f>
        <v>(Line 18 + Line 18a + Line 24 + Line 25 + Line 29)</v>
      </c>
      <c r="D112" s="376">
        <f>+D110+D104+D102+D90+D92</f>
        <v>10324577641.420362</v>
      </c>
      <c r="E112" s="312"/>
      <c r="F112" s="312"/>
      <c r="G112" s="377"/>
      <c r="H112" s="312"/>
      <c r="I112" s="376">
        <f>+I110+I104+I102+I90+I92</f>
        <v>1852619438.7990711</v>
      </c>
      <c r="J112" s="307"/>
      <c r="K112" s="324"/>
      <c r="L112" s="1272"/>
      <c r="M112" s="1282">
        <f>+M90+M92+M102+M104+M110</f>
        <v>2101178983.8971334</v>
      </c>
      <c r="N112" s="1267">
        <f>IF($L$10=0,'Appendix A'!H120,'Appendix A'!G120)</f>
        <v>2101178983.8971336</v>
      </c>
      <c r="O112" s="1269"/>
      <c r="P112" s="1267"/>
      <c r="Q112" s="284"/>
    </row>
    <row r="113" spans="1:18" ht="13.8" thickTop="1">
      <c r="A113" s="360"/>
      <c r="B113" s="306"/>
      <c r="C113" s="307"/>
      <c r="D113" s="378"/>
      <c r="E113" s="312"/>
      <c r="F113" s="312"/>
      <c r="G113" s="377"/>
      <c r="H113" s="312"/>
      <c r="I113" s="378"/>
      <c r="J113" s="307"/>
      <c r="K113" s="373"/>
      <c r="L113" s="1267"/>
      <c r="M113" s="1267"/>
      <c r="N113" s="1267"/>
      <c r="O113" s="1268"/>
      <c r="P113" s="1268"/>
      <c r="Q113" s="284"/>
    </row>
    <row r="114" spans="1:18">
      <c r="A114" s="360"/>
      <c r="B114" s="306"/>
      <c r="C114" s="307"/>
      <c r="D114" s="378"/>
      <c r="E114" s="312"/>
      <c r="F114" s="312"/>
      <c r="G114" s="377"/>
      <c r="H114" s="312"/>
      <c r="I114" s="378"/>
      <c r="J114" s="307"/>
      <c r="K114" s="353" t="str">
        <f>+K1</f>
        <v>Attachment O-ELL</v>
      </c>
      <c r="L114" s="1267"/>
      <c r="M114" s="1267"/>
      <c r="N114" s="1267"/>
      <c r="O114" s="1268"/>
      <c r="P114" s="1268"/>
      <c r="Q114" s="284"/>
    </row>
    <row r="115" spans="1:18">
      <c r="A115" s="360"/>
      <c r="B115" s="306"/>
      <c r="C115" s="307"/>
      <c r="D115" s="307"/>
      <c r="E115" s="307"/>
      <c r="F115" s="307"/>
      <c r="G115" s="307"/>
      <c r="H115" s="307"/>
      <c r="I115" s="307"/>
      <c r="J115" s="307"/>
      <c r="K115" s="379" t="s">
        <v>370</v>
      </c>
      <c r="L115" s="1267"/>
      <c r="M115" s="1267"/>
      <c r="N115" s="1267"/>
      <c r="O115" s="1268"/>
      <c r="P115" s="1268"/>
      <c r="Q115" s="284"/>
    </row>
    <row r="116" spans="1:18">
      <c r="A116" s="360"/>
      <c r="B116" s="306"/>
      <c r="C116" s="382" t="str">
        <f>+C$3</f>
        <v>MISO Cover</v>
      </c>
      <c r="D116" s="307"/>
      <c r="E116" s="307"/>
      <c r="F116" s="307"/>
      <c r="G116" s="307"/>
      <c r="H116" s="307"/>
      <c r="I116" s="307"/>
      <c r="J116" s="307"/>
      <c r="K116" s="379"/>
      <c r="L116" s="1267"/>
      <c r="M116" s="1267"/>
      <c r="N116" s="1267"/>
      <c r="O116" s="1268"/>
      <c r="P116" s="1268"/>
      <c r="Q116" s="284"/>
    </row>
    <row r="117" spans="1:18">
      <c r="A117" s="360"/>
      <c r="B117" s="306" t="s">
        <v>316</v>
      </c>
      <c r="C117" s="380" t="s">
        <v>317</v>
      </c>
      <c r="D117" s="324"/>
      <c r="E117" s="307"/>
      <c r="F117" s="307"/>
      <c r="G117" s="307"/>
      <c r="H117" s="307"/>
      <c r="I117" s="381"/>
      <c r="J117" s="307"/>
      <c r="K117" s="379" t="str">
        <f>K4</f>
        <v>For  the 12 Months Ended 12/31/2017</v>
      </c>
      <c r="L117" s="1267"/>
      <c r="M117" s="1267"/>
      <c r="N117" s="1267"/>
      <c r="O117" s="1268"/>
      <c r="P117" s="1267"/>
    </row>
    <row r="118" spans="1:18">
      <c r="A118" s="360"/>
      <c r="B118" s="306"/>
      <c r="C118" s="380" t="s">
        <v>318</v>
      </c>
      <c r="D118" s="324"/>
      <c r="E118" s="307"/>
      <c r="F118" s="307"/>
      <c r="G118" s="307"/>
      <c r="H118" s="307"/>
      <c r="I118" s="307"/>
      <c r="J118" s="307"/>
      <c r="K118" s="307"/>
      <c r="L118" s="1267"/>
      <c r="M118" s="1267"/>
      <c r="N118" s="1267"/>
      <c r="O118" s="1268"/>
      <c r="P118" s="1267"/>
    </row>
    <row r="119" spans="1:18">
      <c r="A119" s="360"/>
      <c r="B119" s="318"/>
      <c r="C119" s="380" t="str">
        <f>+C59</f>
        <v>Entergy Louisiana, LLC</v>
      </c>
      <c r="D119" s="324"/>
      <c r="E119" s="307"/>
      <c r="F119" s="307"/>
      <c r="G119" s="307"/>
      <c r="H119" s="307"/>
      <c r="I119" s="307"/>
      <c r="J119" s="307"/>
      <c r="K119" s="307"/>
      <c r="L119" s="1267"/>
      <c r="M119" s="1267"/>
      <c r="N119" s="1267"/>
      <c r="O119" s="1268"/>
      <c r="P119" s="1267"/>
    </row>
    <row r="120" spans="1:18">
      <c r="A120" s="929"/>
      <c r="B120" s="929"/>
      <c r="C120" s="380" t="str">
        <f>+C60</f>
        <v>True-up Rate</v>
      </c>
      <c r="D120" s="929"/>
      <c r="E120" s="929"/>
      <c r="F120" s="929"/>
      <c r="G120" s="929"/>
      <c r="H120" s="929"/>
      <c r="I120" s="929"/>
      <c r="J120" s="929"/>
      <c r="K120" s="929"/>
      <c r="L120" s="1267"/>
      <c r="M120" s="1267"/>
      <c r="N120" s="1267"/>
      <c r="O120" s="1268"/>
      <c r="P120" s="1267"/>
    </row>
    <row r="121" spans="1:18">
      <c r="A121" s="360"/>
      <c r="B121" s="382" t="s">
        <v>167</v>
      </c>
      <c r="C121" s="382" t="s">
        <v>320</v>
      </c>
      <c r="D121" s="382" t="s">
        <v>321</v>
      </c>
      <c r="E121" s="307" t="s">
        <v>65</v>
      </c>
      <c r="F121" s="307"/>
      <c r="G121" s="383" t="s">
        <v>322</v>
      </c>
      <c r="H121" s="307"/>
      <c r="I121" s="383" t="s">
        <v>323</v>
      </c>
      <c r="J121" s="307"/>
      <c r="K121" s="307"/>
      <c r="L121" s="1267"/>
      <c r="M121" s="1267"/>
      <c r="N121" s="1267"/>
      <c r="O121" s="1268"/>
      <c r="P121" s="1267"/>
    </row>
    <row r="122" spans="1:18">
      <c r="A122" s="360" t="s">
        <v>324</v>
      </c>
      <c r="B122" s="306"/>
      <c r="C122" s="384"/>
      <c r="D122" s="307"/>
      <c r="E122" s="307"/>
      <c r="F122" s="307"/>
      <c r="G122" s="360"/>
      <c r="H122" s="307"/>
      <c r="I122" s="385"/>
      <c r="J122" s="307"/>
      <c r="K122" s="385"/>
      <c r="L122" s="1267"/>
      <c r="M122" s="1267"/>
      <c r="N122" s="1267"/>
      <c r="O122" s="1268"/>
      <c r="P122" s="1267"/>
    </row>
    <row r="123" spans="1:18" ht="13.8" thickBot="1">
      <c r="A123" s="308" t="s">
        <v>326</v>
      </c>
      <c r="B123" s="306"/>
      <c r="C123" s="386" t="s">
        <v>156</v>
      </c>
      <c r="D123" s="385" t="s">
        <v>942</v>
      </c>
      <c r="E123" s="387"/>
      <c r="F123" s="385" t="s">
        <v>353</v>
      </c>
      <c r="G123" s="318"/>
      <c r="H123" s="387"/>
      <c r="I123" s="360" t="s">
        <v>354</v>
      </c>
      <c r="J123" s="307"/>
      <c r="K123" s="324"/>
      <c r="L123" s="1283"/>
      <c r="M123" s="1267"/>
      <c r="N123" s="1267"/>
      <c r="O123" s="1267"/>
      <c r="P123" s="1267"/>
    </row>
    <row r="124" spans="1:18">
      <c r="A124" s="360"/>
      <c r="B124" s="306" t="s">
        <v>126</v>
      </c>
      <c r="C124" s="307"/>
      <c r="D124" s="307"/>
      <c r="E124" s="307"/>
      <c r="F124" s="307"/>
      <c r="G124" s="307"/>
      <c r="H124" s="307"/>
      <c r="I124" s="307"/>
      <c r="J124" s="307"/>
      <c r="K124" s="324"/>
      <c r="L124" s="1271"/>
      <c r="M124" s="1267"/>
      <c r="N124" s="1267"/>
      <c r="O124" s="1267"/>
      <c r="P124" s="1267"/>
      <c r="Q124" s="362"/>
      <c r="R124" s="388"/>
    </row>
    <row r="125" spans="1:18">
      <c r="A125" s="360">
        <v>1</v>
      </c>
      <c r="B125" s="306" t="s">
        <v>371</v>
      </c>
      <c r="C125" s="307" t="str">
        <f>+"Appendix A Line "&amp;+'Appendix A'!A125&amp;" "&amp;$L$6&amp;" Column"</f>
        <v>Appendix A Line 75 True-up Column</v>
      </c>
      <c r="D125" s="305">
        <f>IF($L$10=0,'Appendix A'!H125,'Appendix A'!G125)</f>
        <v>93618866</v>
      </c>
      <c r="E125" s="307"/>
      <c r="F125" s="307" t="s">
        <v>357</v>
      </c>
      <c r="G125" s="311">
        <f>TP</f>
        <v>0.88170472529805632</v>
      </c>
      <c r="H125" s="312"/>
      <c r="I125" s="305">
        <f t="shared" ref="I125:I132" si="4">+G125*D125</f>
        <v>82544196.52924554</v>
      </c>
      <c r="J125" s="389"/>
      <c r="K125" s="324"/>
      <c r="L125" s="1271"/>
      <c r="M125" s="1267">
        <f>+D125</f>
        <v>93618866</v>
      </c>
      <c r="N125" s="1267"/>
      <c r="O125" s="1267"/>
      <c r="P125" s="1267"/>
      <c r="Q125" s="362"/>
      <c r="R125" s="388"/>
    </row>
    <row r="126" spans="1:18">
      <c r="A126" s="390" t="s">
        <v>643</v>
      </c>
      <c r="B126" s="710" t="s">
        <v>604</v>
      </c>
      <c r="C126" s="421" t="str">
        <f>+"Appendix A Lines "&amp;+'Appendix A'!A126&amp;" - Line "&amp;'Appendix A'!A128&amp;" - Line "&amp;'Appendix A'!A129&amp;" "&amp;$L$6&amp;" Column"</f>
        <v>Appendix A Lines 76 - Line 78 - Line 79 True-up Column</v>
      </c>
      <c r="D126" s="1333">
        <f>IF($L$10=0,'Appendix A'!H126-'Appendix A'!H128-'Appendix A'!H129,'Appendix A'!G126-'Appendix A'!G128-'Appendix A'!G129)</f>
        <v>26025596.103697151</v>
      </c>
      <c r="E126" s="327"/>
      <c r="F126" s="327" t="str">
        <f>+F125</f>
        <v>TP</v>
      </c>
      <c r="G126" s="311">
        <f>TP</f>
        <v>0.88170472529805632</v>
      </c>
      <c r="H126" s="327"/>
      <c r="I126" s="305">
        <f>+G126*D126</f>
        <v>22946891.06332846</v>
      </c>
      <c r="J126" s="391"/>
      <c r="K126" s="324"/>
      <c r="L126" s="1271"/>
      <c r="M126" s="1267">
        <f>+D126</f>
        <v>26025596.103697151</v>
      </c>
      <c r="N126" s="1267"/>
      <c r="O126" s="1267"/>
      <c r="P126" s="1267"/>
      <c r="Q126" s="362"/>
      <c r="R126" s="388"/>
    </row>
    <row r="127" spans="1:18">
      <c r="A127" s="390">
        <f>+A125+1</f>
        <v>2</v>
      </c>
      <c r="B127" s="707" t="s">
        <v>605</v>
      </c>
      <c r="C127" s="307" t="str">
        <f>+"Appendix A Line "&amp;+'Appendix A'!A127&amp;" "&amp;$L$6&amp;" Column"</f>
        <v>Appendix A Line 77 True-up Column</v>
      </c>
      <c r="D127" s="305">
        <f>IF($L$10=0,'Appendix A'!H127,'Appendix A'!G127)</f>
        <v>27014206</v>
      </c>
      <c r="E127" s="307"/>
      <c r="F127" s="307" t="str">
        <f>+F126</f>
        <v>TP</v>
      </c>
      <c r="G127" s="311">
        <f>TP</f>
        <v>0.88170472529805632</v>
      </c>
      <c r="H127" s="312"/>
      <c r="I127" s="305">
        <f t="shared" si="4"/>
        <v>23818553.080375105</v>
      </c>
      <c r="J127" s="391"/>
      <c r="K127" s="324"/>
      <c r="L127" s="1271"/>
      <c r="M127" s="1267">
        <f>+D127</f>
        <v>27014206</v>
      </c>
      <c r="N127" s="1267">
        <f>+M125-M126-M127</f>
        <v>40579063.896302849</v>
      </c>
      <c r="O127" s="1267">
        <f>+M125-M126-M127-N127</f>
        <v>0</v>
      </c>
      <c r="P127" s="1267"/>
      <c r="Q127" s="362"/>
      <c r="R127" s="388"/>
    </row>
    <row r="128" spans="1:18">
      <c r="A128" s="390">
        <f t="shared" ref="A128:A137" si="5">+A127+1</f>
        <v>3</v>
      </c>
      <c r="B128" s="306" t="s">
        <v>372</v>
      </c>
      <c r="C128" s="307" t="str">
        <f>+"Appendix A Line "&amp;+'Appendix A'!A133&amp;" "&amp;$L$6&amp;" Column"</f>
        <v>Appendix A Line 81 True-up Column</v>
      </c>
      <c r="D128" s="305">
        <f>IF($L$10=0,+'Appendix A'!H133,'Appendix A'!G133)</f>
        <v>285411971</v>
      </c>
      <c r="E128" s="307"/>
      <c r="F128" s="307" t="s">
        <v>358</v>
      </c>
      <c r="G128" s="311">
        <f>WS</f>
        <v>6.6741858911247634E-2</v>
      </c>
      <c r="H128" s="312"/>
      <c r="I128" s="305">
        <f t="shared" si="4"/>
        <v>19048925.500063103</v>
      </c>
      <c r="J128" s="389"/>
      <c r="K128" s="392"/>
      <c r="L128" s="1273">
        <f>+L79</f>
        <v>7.5696383376743087E-2</v>
      </c>
      <c r="M128" s="1267">
        <f>+L128*D128</f>
        <v>21604653.97712788</v>
      </c>
      <c r="N128" s="1267"/>
      <c r="O128" s="1267"/>
      <c r="P128" s="1267"/>
      <c r="Q128" s="362"/>
      <c r="R128" s="388"/>
    </row>
    <row r="129" spans="1:18">
      <c r="A129" s="390">
        <f t="shared" si="5"/>
        <v>4</v>
      </c>
      <c r="B129" s="707" t="s">
        <v>603</v>
      </c>
      <c r="C129" s="307" t="str">
        <f>+"Appendix A Line "&amp;+'Appendix A'!A154&amp;" "&amp;$L$6&amp;" Column"</f>
        <v>Appendix A Line 100 True-up Column</v>
      </c>
      <c r="D129" s="305">
        <f>IF($L$10=0,'Appendix A'!H154,'Appendix A'!G154)</f>
        <v>2749387.6404130901</v>
      </c>
      <c r="E129" s="307"/>
      <c r="F129" s="307" t="str">
        <f>+F127</f>
        <v>TP</v>
      </c>
      <c r="G129" s="311">
        <f>TP</f>
        <v>0.88170472529805632</v>
      </c>
      <c r="H129" s="312"/>
      <c r="I129" s="305">
        <f>+D129*G129</f>
        <v>2424148.0742282947</v>
      </c>
      <c r="J129" s="389"/>
      <c r="K129" s="305"/>
      <c r="L129" s="1284"/>
      <c r="M129" s="1267">
        <f>+D129</f>
        <v>2749387.6404130901</v>
      </c>
      <c r="N129" s="1267"/>
      <c r="O129" s="1267"/>
      <c r="P129" s="1267"/>
      <c r="Q129" s="362"/>
      <c r="R129" s="388"/>
    </row>
    <row r="130" spans="1:18" s="705" customFormat="1" ht="25.95" customHeight="1">
      <c r="A130" s="818">
        <f t="shared" si="5"/>
        <v>5</v>
      </c>
      <c r="B130" s="984" t="s">
        <v>815</v>
      </c>
      <c r="C130" s="983" t="str">
        <f>+"Appendix A Sum of Lines "&amp;+'Appendix A'!A135&amp;" to Line "&amp;'Appendix A'!A139&amp;" - Line "&amp;'Appendix A'!A140&amp;" "&amp;$L$6&amp;" Column"</f>
        <v>Appendix A Sum of Lines 83 to Line 87 - Line 88 True-up Column</v>
      </c>
      <c r="D130" s="698">
        <f>IF($L$10=0,SUM('Appendix A'!H135:H139)-'Appendix A'!H140,SUM('Appendix A'!G135:G139)-'Appendix A'!G140)</f>
        <v>39926430.509999998</v>
      </c>
      <c r="E130" s="722"/>
      <c r="F130" s="722" t="s">
        <v>358</v>
      </c>
      <c r="G130" s="311">
        <f>WS</f>
        <v>6.6741858911247634E-2</v>
      </c>
      <c r="H130" s="723"/>
      <c r="I130" s="698">
        <f t="shared" si="4"/>
        <v>2664764.1919281529</v>
      </c>
      <c r="J130" s="985"/>
      <c r="K130" s="703"/>
      <c r="L130" s="1285">
        <f>+L128</f>
        <v>7.5696383376743087E-2</v>
      </c>
      <c r="M130" s="1286">
        <f>+L130*D130</f>
        <v>3022286.3907498517</v>
      </c>
      <c r="N130" s="1286"/>
      <c r="O130" s="1286"/>
      <c r="P130" s="1286"/>
      <c r="Q130" s="725"/>
      <c r="R130" s="726"/>
    </row>
    <row r="131" spans="1:18" s="705" customFormat="1">
      <c r="A131" s="818" t="s">
        <v>644</v>
      </c>
      <c r="B131" s="727" t="s">
        <v>652</v>
      </c>
      <c r="C131" s="722" t="str">
        <f>+"Appendix A Lines "&amp;+'Appendix A'!A146&amp;" to "&amp;'Appendix A'!A147&amp;" "&amp;$L$6&amp;" Column"</f>
        <v>Appendix A Lines 92 to 93 True-up Column</v>
      </c>
      <c r="D131" s="698">
        <f>IF($L$10=0,SUM('Appendix A'!H146:H147),SUM('Appendix A'!G146:G147))</f>
        <v>66839</v>
      </c>
      <c r="E131" s="722"/>
      <c r="F131" s="722" t="str">
        <f>+F127</f>
        <v>TP</v>
      </c>
      <c r="G131" s="311">
        <f>TP</f>
        <v>0.88170472529805632</v>
      </c>
      <c r="H131" s="723"/>
      <c r="I131" s="698">
        <f>+D131*G131</f>
        <v>58932.26213419679</v>
      </c>
      <c r="J131" s="724"/>
      <c r="K131" s="703"/>
      <c r="L131" s="1287"/>
      <c r="M131" s="1286">
        <f>+D131</f>
        <v>66839</v>
      </c>
      <c r="N131" s="1286"/>
      <c r="O131" s="1286"/>
      <c r="P131" s="1286"/>
      <c r="Q131" s="725"/>
      <c r="R131" s="726"/>
    </row>
    <row r="132" spans="1:18" s="397" customFormat="1">
      <c r="A132" s="390" t="s">
        <v>645</v>
      </c>
      <c r="B132" s="707" t="s">
        <v>779</v>
      </c>
      <c r="C132" s="307" t="str">
        <f>+"Appendix A Line "&amp;+'Appendix A'!A134&amp;" "&amp;$L$6&amp;" Column"</f>
        <v>Appendix A Line 82 True-up Column</v>
      </c>
      <c r="D132" s="305">
        <f>IF($L$10=0,'Appendix A'!H134,'Appendix A'!G134)</f>
        <v>-3362670</v>
      </c>
      <c r="E132" s="307"/>
      <c r="F132" s="307" t="str">
        <f>+F130</f>
        <v>W/S</v>
      </c>
      <c r="G132" s="311">
        <f>WS</f>
        <v>6.6741858911247634E-2</v>
      </c>
      <c r="H132" s="393"/>
      <c r="I132" s="305">
        <f t="shared" si="4"/>
        <v>-224430.84670508507</v>
      </c>
      <c r="J132" s="394"/>
      <c r="K132" s="395"/>
      <c r="L132" s="1273">
        <f>+L130</f>
        <v>7.5696383376743087E-2</v>
      </c>
      <c r="M132" s="1267">
        <f>+L132*D132</f>
        <v>-254541.95748947267</v>
      </c>
      <c r="N132" s="1288"/>
      <c r="O132" s="1288"/>
      <c r="P132" s="1267"/>
      <c r="Q132" s="362"/>
      <c r="R132" s="388"/>
    </row>
    <row r="133" spans="1:18">
      <c r="A133" s="390">
        <f>+A130+1</f>
        <v>6</v>
      </c>
      <c r="B133" s="707" t="s">
        <v>842</v>
      </c>
      <c r="C133" s="307"/>
      <c r="D133" s="307"/>
      <c r="E133" s="307"/>
      <c r="F133" s="307"/>
      <c r="G133" s="313"/>
      <c r="H133" s="312"/>
      <c r="I133" s="305"/>
      <c r="J133" s="294"/>
      <c r="L133" s="1271"/>
      <c r="M133" s="1267">
        <f>+D133</f>
        <v>0</v>
      </c>
      <c r="N133" s="1267"/>
      <c r="O133" s="1267"/>
      <c r="P133" s="1268"/>
      <c r="Q133" s="284"/>
    </row>
    <row r="134" spans="1:18">
      <c r="A134" s="390" t="s">
        <v>737</v>
      </c>
      <c r="B134" s="1101" t="s">
        <v>764</v>
      </c>
      <c r="C134" s="307" t="str">
        <f>+"Appendix A Line "&amp;'Appendix A'!A189&amp;" "&amp;$L$6&amp;" Column"</f>
        <v>Appendix A Line 125 True-up Column</v>
      </c>
      <c r="D134" s="305">
        <f>IF($L$10=0,'Appendix A'!H189,'Appendix A'!G189)</f>
        <v>0</v>
      </c>
      <c r="E134" s="305"/>
      <c r="F134" s="305" t="s">
        <v>357</v>
      </c>
      <c r="G134" s="311">
        <f>TP</f>
        <v>0.88170472529805632</v>
      </c>
      <c r="H134" s="305"/>
      <c r="I134" s="305">
        <f>+D134*G134</f>
        <v>0</v>
      </c>
      <c r="J134" s="294"/>
      <c r="L134" s="1271"/>
      <c r="M134" s="1267">
        <f>+D134</f>
        <v>0</v>
      </c>
      <c r="N134" s="1267"/>
      <c r="O134" s="1267"/>
      <c r="P134" s="1268"/>
      <c r="Q134" s="284"/>
    </row>
    <row r="135" spans="1:18">
      <c r="A135" s="390" t="s">
        <v>738</v>
      </c>
      <c r="B135" s="1101" t="s">
        <v>765</v>
      </c>
      <c r="C135" s="307" t="str">
        <f>+"Appendix A Line "&amp;'Appendix A'!A192&amp;" "&amp;$L$6&amp;" Column"</f>
        <v>Appendix A Line 128 True-up Column</v>
      </c>
      <c r="D135" s="368">
        <f>IF($L$10=0,'Appendix A'!H192,'Appendix A'!G192)</f>
        <v>0</v>
      </c>
      <c r="E135" s="368"/>
      <c r="F135" s="368" t="s">
        <v>357</v>
      </c>
      <c r="G135" s="311">
        <f>TP</f>
        <v>0.88170472529805632</v>
      </c>
      <c r="H135" s="368"/>
      <c r="I135" s="368">
        <f>+D135*G135</f>
        <v>0</v>
      </c>
      <c r="J135" s="294"/>
      <c r="L135" s="1271"/>
      <c r="M135" s="1267"/>
      <c r="N135" s="1267"/>
      <c r="O135" s="1267"/>
      <c r="P135" s="1268"/>
      <c r="Q135" s="284"/>
    </row>
    <row r="136" spans="1:18" ht="13.8" thickBot="1">
      <c r="A136" s="390">
        <f>+A133+1</f>
        <v>7</v>
      </c>
      <c r="B136" s="707" t="s">
        <v>842</v>
      </c>
      <c r="C136" s="307"/>
      <c r="D136" s="363"/>
      <c r="E136" s="1102"/>
      <c r="F136" s="1102"/>
      <c r="G136" s="897"/>
      <c r="H136" s="378"/>
      <c r="I136" s="363"/>
      <c r="J136" s="294"/>
      <c r="L136" s="1271"/>
      <c r="M136" s="1267">
        <f>+D136</f>
        <v>0</v>
      </c>
      <c r="N136" s="1267"/>
      <c r="O136" s="1267"/>
      <c r="P136" s="1268"/>
      <c r="Q136" s="284"/>
    </row>
    <row r="137" spans="1:18">
      <c r="A137" s="390">
        <f t="shared" si="5"/>
        <v>8</v>
      </c>
      <c r="B137" s="930" t="s">
        <v>373</v>
      </c>
      <c r="C137" s="2278" t="str">
        <f>+"(Sum of Line "&amp;A125&amp;" + Line  "&amp;A128&amp;" + Line "&amp;A129&amp;" + Line "&amp;A131&amp;" + Line "&amp;A134&amp;" to Line "&amp;A136&amp;" - Line "&amp;A126&amp;" - Line "&amp;A127&amp;" - Line "&amp;A130&amp;" - Line "&amp;A132&amp;")"</f>
        <v>(Sum of Line 1 + Line  3 + Line 4 + Line 5a + Line 6a to Line 7 - Line 1a - Line 2 - Line 5 - Line 5b)</v>
      </c>
      <c r="D137" s="305">
        <f>+D125 - D126 - D127 + D128 + D129 - D130 + D131 - D132 + D133 + D134 + D135 + D136</f>
        <v>292243501.02671593</v>
      </c>
      <c r="E137" s="305"/>
      <c r="F137" s="305"/>
      <c r="G137" s="305"/>
      <c r="H137" s="305"/>
      <c r="I137" s="305">
        <f>+I125 - I126 - I127 + I128 + I129 - I130 + I131 - I132 + I133 + I134 + I135 + I136</f>
        <v>54870424.876744501</v>
      </c>
      <c r="J137" s="294"/>
      <c r="K137" s="285"/>
      <c r="L137" s="1274">
        <f>+I137/M137</f>
        <v>0.88170472529805621</v>
      </c>
      <c r="M137" s="1267">
        <f>+M125-M126-M127+M128+M129-M130+M131-M132+M133+M134+M136</f>
        <v>62232200.080583446</v>
      </c>
      <c r="N137" s="1267">
        <f>IF($L$10=0,'Appendix A'!H156,'Appendix A'!G156)</f>
        <v>62232200.080583438</v>
      </c>
      <c r="O137" s="1267">
        <f>+M137-N137</f>
        <v>0</v>
      </c>
      <c r="P137" s="1289" t="s">
        <v>768</v>
      </c>
      <c r="Q137" s="284"/>
    </row>
    <row r="138" spans="1:18">
      <c r="A138" s="390"/>
      <c r="B138" s="318"/>
      <c r="C138" s="2278"/>
      <c r="D138" s="305"/>
      <c r="E138" s="305"/>
      <c r="F138" s="305"/>
      <c r="G138" s="305"/>
      <c r="H138" s="305"/>
      <c r="I138" s="305"/>
      <c r="J138" s="294"/>
      <c r="L138" s="1271"/>
      <c r="M138" s="1268"/>
      <c r="N138" s="1267"/>
      <c r="O138" s="1267"/>
      <c r="P138" s="1268"/>
      <c r="Q138" s="284"/>
    </row>
    <row r="139" spans="1:18">
      <c r="A139" s="390"/>
      <c r="B139" s="306" t="s">
        <v>374</v>
      </c>
      <c r="C139" s="307"/>
      <c r="D139" s="305"/>
      <c r="E139" s="305"/>
      <c r="F139" s="305"/>
      <c r="G139" s="305"/>
      <c r="H139" s="305"/>
      <c r="I139" s="305"/>
      <c r="J139" s="307"/>
      <c r="K139" s="324"/>
      <c r="L139" s="1271"/>
      <c r="M139" s="1267"/>
      <c r="N139" s="1267"/>
      <c r="O139" s="1267"/>
      <c r="P139" s="1268"/>
      <c r="Q139" s="284"/>
    </row>
    <row r="140" spans="1:18">
      <c r="A140" s="390">
        <f>+A137+1</f>
        <v>9</v>
      </c>
      <c r="B140" s="707" t="s">
        <v>601</v>
      </c>
      <c r="C140" s="307" t="str">
        <f>+"Appendix A Line "&amp;'Appendix A'!A161&amp;" "&amp;$L$6&amp;" Column"</f>
        <v>Appendix A Line 103 True-up Column</v>
      </c>
      <c r="D140" s="305">
        <f>IF($L$10=0,'Appendix A'!H161,'Appendix A'!G161)</f>
        <v>51892528.090000004</v>
      </c>
      <c r="E140" s="305"/>
      <c r="F140" s="305" t="s">
        <v>357</v>
      </c>
      <c r="G140" s="311">
        <f>TP</f>
        <v>0.88170472529805632</v>
      </c>
      <c r="H140" s="305"/>
      <c r="I140" s="305">
        <f>+G140*D140</f>
        <v>45753887.224615127</v>
      </c>
      <c r="J140" s="307"/>
      <c r="K140" s="324"/>
      <c r="L140" s="1272"/>
      <c r="M140" s="1267">
        <f>+D140</f>
        <v>51892528.090000004</v>
      </c>
      <c r="N140" s="1267"/>
      <c r="O140" s="1267"/>
      <c r="P140" s="1268"/>
      <c r="Q140" s="284"/>
    </row>
    <row r="141" spans="1:18">
      <c r="A141" s="390">
        <f t="shared" ref="A141:A153" si="6">+A140+1</f>
        <v>10</v>
      </c>
      <c r="B141" s="709" t="s">
        <v>602</v>
      </c>
      <c r="C141" s="307" t="str">
        <f>+"Appendix A Line "&amp;+'Appendix A'!A168&amp;" "&amp;$L$6&amp;" Column"</f>
        <v>Appendix A Line 110 True-up Column</v>
      </c>
      <c r="D141" s="305">
        <f>IF($L$10=0,'Appendix A'!H168,'Appendix A'!G168)</f>
        <v>5014475.4914387912</v>
      </c>
      <c r="E141" s="305"/>
      <c r="F141" s="305" t="str">
        <f>+F140</f>
        <v>TP</v>
      </c>
      <c r="G141" s="311">
        <f>TP</f>
        <v>0.88170472529805632</v>
      </c>
      <c r="H141" s="305"/>
      <c r="I141" s="305">
        <f>+G141*D141</f>
        <v>4421286.7356928755</v>
      </c>
      <c r="J141" s="307"/>
      <c r="K141" s="324"/>
      <c r="L141" s="1272"/>
      <c r="M141" s="1267">
        <f>+D141</f>
        <v>5014475.4914387912</v>
      </c>
      <c r="N141" s="1267"/>
      <c r="O141" s="1267"/>
      <c r="P141" s="1268"/>
      <c r="Q141" s="284"/>
    </row>
    <row r="142" spans="1:18" ht="13.8" thickBot="1">
      <c r="A142" s="390">
        <f t="shared" si="6"/>
        <v>11</v>
      </c>
      <c r="B142" s="707" t="s">
        <v>842</v>
      </c>
      <c r="C142" s="307"/>
      <c r="D142" s="363"/>
      <c r="E142" s="368"/>
      <c r="F142" s="305"/>
      <c r="G142" s="311"/>
      <c r="H142" s="368"/>
      <c r="I142" s="363"/>
      <c r="J142" s="307"/>
      <c r="K142" s="324"/>
      <c r="L142" s="1272"/>
      <c r="M142" s="1267">
        <f>+D142</f>
        <v>0</v>
      </c>
      <c r="N142" s="1267"/>
      <c r="O142" s="1267"/>
      <c r="P142" s="1268"/>
      <c r="Q142" s="284"/>
    </row>
    <row r="143" spans="1:18">
      <c r="A143" s="390">
        <f>+A142+1</f>
        <v>12</v>
      </c>
      <c r="B143" s="306" t="s">
        <v>375</v>
      </c>
      <c r="C143" s="307" t="str">
        <f>+"(Sum of Lines "&amp;A140&amp;" to Line "&amp;A142&amp;")"</f>
        <v>(Sum of Lines 9 to Line 11)</v>
      </c>
      <c r="D143" s="305">
        <f>SUM(D140:D142)</f>
        <v>56907003.581438795</v>
      </c>
      <c r="E143" s="305"/>
      <c r="F143" s="305"/>
      <c r="G143" s="311"/>
      <c r="H143" s="305"/>
      <c r="I143" s="305">
        <f>SUM(I140:I142)</f>
        <v>50175173.960308</v>
      </c>
      <c r="J143" s="307"/>
      <c r="K143" s="324"/>
      <c r="L143" s="1274">
        <f>+I143/M143</f>
        <v>0.88170472529805632</v>
      </c>
      <c r="M143" s="1267">
        <f>SUM(M140:M142)</f>
        <v>56907003.581438795</v>
      </c>
      <c r="N143" s="1267">
        <f>IF($L$10=0,'Appendix A'!H170,'Appendix A'!G170)</f>
        <v>56907003.581438795</v>
      </c>
      <c r="O143" s="1267">
        <f>+M143-N143</f>
        <v>0</v>
      </c>
      <c r="P143" s="1268"/>
      <c r="Q143" s="284"/>
    </row>
    <row r="144" spans="1:18">
      <c r="A144" s="390"/>
      <c r="B144" s="306"/>
      <c r="C144" s="307"/>
      <c r="D144" s="305"/>
      <c r="E144" s="305"/>
      <c r="F144" s="305"/>
      <c r="G144" s="311"/>
      <c r="H144" s="305"/>
      <c r="I144" s="305"/>
      <c r="J144" s="307"/>
      <c r="K144" s="324"/>
      <c r="L144" s="1271"/>
      <c r="M144" s="1267"/>
      <c r="N144" s="1267"/>
      <c r="O144" s="1267"/>
      <c r="P144" s="1268"/>
      <c r="Q144" s="284"/>
    </row>
    <row r="145" spans="1:17">
      <c r="A145" s="390"/>
      <c r="B145" s="306" t="s">
        <v>376</v>
      </c>
      <c r="C145" s="318"/>
      <c r="D145" s="305"/>
      <c r="E145" s="305"/>
      <c r="F145" s="305"/>
      <c r="G145" s="311"/>
      <c r="H145" s="305"/>
      <c r="I145" s="305"/>
      <c r="J145" s="307"/>
      <c r="K145" s="324"/>
      <c r="L145" s="1271"/>
      <c r="M145" s="1267"/>
      <c r="N145" s="1267"/>
      <c r="O145" s="1267"/>
      <c r="P145" s="1268"/>
      <c r="Q145" s="284"/>
    </row>
    <row r="146" spans="1:17">
      <c r="A146" s="390">
        <f>+A143+1</f>
        <v>13</v>
      </c>
      <c r="B146" s="707" t="s">
        <v>377</v>
      </c>
      <c r="C146" s="307" t="str">
        <f>+"Appendix A Line "&amp;+'Appendix A'!A185&amp;" "&amp;$L$6&amp;" Column"</f>
        <v>Appendix A Line 124 True-up Column</v>
      </c>
      <c r="D146" s="305">
        <f>IF($L$10=0,'Appendix A'!H185,'Appendix A'!G185)</f>
        <v>20666240.623200309</v>
      </c>
      <c r="E146" s="305"/>
      <c r="F146" s="305" t="s">
        <v>357</v>
      </c>
      <c r="G146" s="311">
        <f>TP</f>
        <v>0.88170472529805632</v>
      </c>
      <c r="H146" s="305"/>
      <c r="I146" s="305">
        <f>+G146*D146</f>
        <v>18221522.011622362</v>
      </c>
      <c r="J146" s="307"/>
      <c r="K146" s="324"/>
      <c r="L146" s="1272"/>
      <c r="M146" s="1267">
        <f t="shared" ref="M146:M152" si="7">+D146</f>
        <v>20666240.623200309</v>
      </c>
      <c r="N146" s="1267"/>
      <c r="O146" s="1267"/>
      <c r="P146" s="1268"/>
      <c r="Q146" s="284"/>
    </row>
    <row r="147" spans="1:17">
      <c r="A147" s="390">
        <f t="shared" si="6"/>
        <v>14</v>
      </c>
      <c r="B147" s="707" t="s">
        <v>842</v>
      </c>
      <c r="C147" s="307"/>
      <c r="D147" s="305"/>
      <c r="E147" s="305"/>
      <c r="F147" s="312"/>
      <c r="G147" s="374"/>
      <c r="H147" s="305"/>
      <c r="I147" s="1103"/>
      <c r="J147" s="307"/>
      <c r="K147" s="324"/>
      <c r="L147" s="1272"/>
      <c r="M147" s="1267">
        <f t="shared" si="7"/>
        <v>0</v>
      </c>
      <c r="N147" s="1267"/>
      <c r="O147" s="1267"/>
      <c r="P147" s="1268"/>
      <c r="Q147" s="284"/>
    </row>
    <row r="148" spans="1:17">
      <c r="A148" s="390">
        <f t="shared" si="6"/>
        <v>15</v>
      </c>
      <c r="B148" s="418" t="s">
        <v>646</v>
      </c>
      <c r="C148" s="307"/>
      <c r="D148" s="305"/>
      <c r="E148" s="305"/>
      <c r="F148" s="305"/>
      <c r="G148" s="311"/>
      <c r="H148" s="305"/>
      <c r="I148" s="305"/>
      <c r="J148" s="307"/>
      <c r="K148" s="324"/>
      <c r="L148" s="1272"/>
      <c r="M148" s="1267">
        <f t="shared" si="7"/>
        <v>0</v>
      </c>
      <c r="N148" s="1267"/>
      <c r="O148" s="1267"/>
      <c r="P148" s="1268"/>
      <c r="Q148" s="284"/>
    </row>
    <row r="149" spans="1:17">
      <c r="A149" s="390">
        <f t="shared" si="6"/>
        <v>16</v>
      </c>
      <c r="B149" s="707" t="s">
        <v>842</v>
      </c>
      <c r="C149" s="307"/>
      <c r="D149" s="305"/>
      <c r="E149" s="305"/>
      <c r="F149" s="312"/>
      <c r="G149" s="374"/>
      <c r="H149" s="305"/>
      <c r="I149" s="305"/>
      <c r="J149" s="307"/>
      <c r="K149" s="324"/>
      <c r="L149" s="1272"/>
      <c r="M149" s="1267">
        <f t="shared" si="7"/>
        <v>0</v>
      </c>
      <c r="N149" s="1267"/>
      <c r="O149" s="1267"/>
      <c r="P149" s="1268"/>
      <c r="Q149" s="284"/>
    </row>
    <row r="150" spans="1:17">
      <c r="A150" s="390">
        <f t="shared" si="6"/>
        <v>17</v>
      </c>
      <c r="B150" s="707" t="s">
        <v>842</v>
      </c>
      <c r="C150" s="307"/>
      <c r="D150" s="305"/>
      <c r="E150" s="305"/>
      <c r="F150" s="312"/>
      <c r="G150" s="374"/>
      <c r="H150" s="305"/>
      <c r="I150" s="305"/>
      <c r="J150" s="307"/>
      <c r="K150" s="324"/>
      <c r="L150" s="1272"/>
      <c r="M150" s="1267">
        <f>+D150</f>
        <v>0</v>
      </c>
      <c r="N150" s="1267"/>
      <c r="O150" s="1267"/>
      <c r="P150" s="1268"/>
      <c r="Q150" s="284"/>
    </row>
    <row r="151" spans="1:17">
      <c r="A151" s="390">
        <f t="shared" si="6"/>
        <v>18</v>
      </c>
      <c r="B151" s="707" t="s">
        <v>842</v>
      </c>
      <c r="C151" s="307"/>
      <c r="D151" s="305"/>
      <c r="E151" s="305"/>
      <c r="F151" s="312"/>
      <c r="G151" s="374"/>
      <c r="H151" s="305"/>
      <c r="I151" s="305"/>
      <c r="J151" s="307"/>
      <c r="K151" s="324"/>
      <c r="L151" s="1272"/>
      <c r="M151" s="1267">
        <f>+D151</f>
        <v>0</v>
      </c>
      <c r="N151" s="1267"/>
      <c r="O151" s="1267"/>
      <c r="P151" s="1268"/>
      <c r="Q151" s="284"/>
    </row>
    <row r="152" spans="1:17" ht="13.8" thickBot="1">
      <c r="A152" s="390">
        <f t="shared" si="6"/>
        <v>19</v>
      </c>
      <c r="B152" s="707" t="s">
        <v>842</v>
      </c>
      <c r="C152" s="307"/>
      <c r="D152" s="363"/>
      <c r="E152" s="305"/>
      <c r="F152" s="312"/>
      <c r="G152" s="374"/>
      <c r="H152" s="305"/>
      <c r="I152" s="363"/>
      <c r="J152" s="307"/>
      <c r="K152" s="324"/>
      <c r="L152" s="1272"/>
      <c r="M152" s="1267">
        <f t="shared" si="7"/>
        <v>0</v>
      </c>
      <c r="N152" s="1267"/>
      <c r="O152" s="1267"/>
      <c r="P152" s="1268"/>
      <c r="Q152" s="284"/>
    </row>
    <row r="153" spans="1:17">
      <c r="A153" s="390">
        <f t="shared" si="6"/>
        <v>20</v>
      </c>
      <c r="B153" s="306" t="s">
        <v>378</v>
      </c>
      <c r="C153" s="307" t="str">
        <f>+"(Sum of Line "&amp;A146&amp;" to Line "&amp;A152&amp;")"</f>
        <v>(Sum of Line 13 to Line 19)</v>
      </c>
      <c r="D153" s="305">
        <f>SUM(D146:D152)</f>
        <v>20666240.623200309</v>
      </c>
      <c r="E153" s="305"/>
      <c r="F153" s="305"/>
      <c r="G153" s="305"/>
      <c r="H153" s="305"/>
      <c r="I153" s="305">
        <f>SUM(I146:I152)</f>
        <v>18221522.011622362</v>
      </c>
      <c r="J153" s="307"/>
      <c r="K153" s="324"/>
      <c r="L153" s="1274">
        <f>+I153/M153</f>
        <v>0.88170472529805644</v>
      </c>
      <c r="M153" s="1267">
        <f>SUM(M146:M152)</f>
        <v>20666240.623200309</v>
      </c>
      <c r="N153" s="1267">
        <f>IF($L$10=0,'Appendix A'!H185,'Appendix A'!G185)</f>
        <v>20666240.623200309</v>
      </c>
      <c r="O153" s="1267">
        <f>+M153-N153</f>
        <v>0</v>
      </c>
      <c r="P153" s="1268"/>
      <c r="Q153" s="284"/>
    </row>
    <row r="154" spans="1:17">
      <c r="A154" s="390"/>
      <c r="B154" s="306"/>
      <c r="C154" s="307"/>
      <c r="D154" s="305"/>
      <c r="E154" s="305"/>
      <c r="F154" s="305"/>
      <c r="G154" s="305"/>
      <c r="H154" s="305"/>
      <c r="I154" s="305"/>
      <c r="J154" s="307"/>
      <c r="K154" s="324"/>
      <c r="L154" s="1274"/>
      <c r="M154" s="1267"/>
      <c r="N154" s="1267"/>
      <c r="O154" s="1267"/>
      <c r="P154" s="1268"/>
      <c r="Q154" s="284"/>
    </row>
    <row r="155" spans="1:17">
      <c r="A155" s="324"/>
      <c r="B155" s="306" t="s">
        <v>379</v>
      </c>
      <c r="C155" s="307" t="str">
        <f>""</f>
        <v/>
      </c>
      <c r="D155" s="307"/>
      <c r="E155" s="307"/>
      <c r="F155" s="318"/>
      <c r="G155" s="398"/>
      <c r="H155" s="307"/>
      <c r="I155" s="318"/>
      <c r="J155" s="307"/>
      <c r="K155" s="324"/>
      <c r="L155" s="1290"/>
      <c r="M155" s="1267"/>
      <c r="N155" s="1267"/>
      <c r="O155" s="1267"/>
      <c r="P155" s="1268"/>
      <c r="Q155" s="284"/>
    </row>
    <row r="156" spans="1:17">
      <c r="A156" s="390">
        <f>+A153+1</f>
        <v>21</v>
      </c>
      <c r="B156" s="707" t="s">
        <v>119</v>
      </c>
      <c r="C156" s="307" t="str">
        <f>+"Appendix A Line "&amp;+'Appendix A'!A241&amp;" "&amp;$L$6&amp;" Column"</f>
        <v>Appendix A Line 156 True-up Column</v>
      </c>
      <c r="D156" s="368">
        <f>IF($L$10=0,'Appendix A'!H241,'Appendix A'!G241)</f>
        <v>67067754.592195377</v>
      </c>
      <c r="E156" s="378"/>
      <c r="F156" s="368" t="s">
        <v>357</v>
      </c>
      <c r="G156" s="311">
        <f>TP</f>
        <v>0.88170472529805632</v>
      </c>
      <c r="H156" s="378"/>
      <c r="I156" s="898">
        <f>+D156*G156</f>
        <v>59133956.13906908</v>
      </c>
      <c r="J156" s="307"/>
      <c r="K156" s="324"/>
      <c r="L156" s="1274">
        <f>+I156/M156</f>
        <v>0.88170472529805632</v>
      </c>
      <c r="M156" s="1267">
        <f>+D156</f>
        <v>67067754.592195377</v>
      </c>
      <c r="N156" s="1267">
        <f>IF($L$10=0,'Appendix A'!H241,'Appendix A'!G241)</f>
        <v>67067754.592195377</v>
      </c>
      <c r="O156" s="1267"/>
      <c r="P156" s="1268"/>
      <c r="Q156" s="284"/>
    </row>
    <row r="157" spans="1:17">
      <c r="A157" s="390">
        <f>+A156+1</f>
        <v>22</v>
      </c>
      <c r="B157" s="707" t="s">
        <v>842</v>
      </c>
      <c r="C157" s="307"/>
      <c r="D157" s="305"/>
      <c r="E157" s="378"/>
      <c r="F157" s="312"/>
      <c r="G157" s="374"/>
      <c r="H157" s="305"/>
      <c r="I157" s="305"/>
      <c r="J157" s="307"/>
      <c r="K157" s="324"/>
      <c r="L157" s="1274"/>
      <c r="M157" s="1267"/>
      <c r="N157" s="1267"/>
      <c r="O157" s="1267"/>
      <c r="P157" s="1268"/>
      <c r="Q157" s="284"/>
    </row>
    <row r="158" spans="1:17">
      <c r="A158" s="390">
        <f t="shared" ref="A158:A162" si="8">+A157+1</f>
        <v>23</v>
      </c>
      <c r="B158" s="707" t="s">
        <v>842</v>
      </c>
      <c r="C158" s="307"/>
      <c r="D158" s="305"/>
      <c r="E158" s="378"/>
      <c r="F158" s="312"/>
      <c r="G158" s="374"/>
      <c r="H158" s="305"/>
      <c r="I158" s="305"/>
      <c r="J158" s="307"/>
      <c r="K158" s="324"/>
      <c r="L158" s="1274"/>
      <c r="M158" s="1267"/>
      <c r="N158" s="1267"/>
      <c r="O158" s="1267"/>
      <c r="P158" s="1268"/>
      <c r="Q158" s="284"/>
    </row>
    <row r="159" spans="1:17">
      <c r="A159" s="390">
        <f t="shared" si="8"/>
        <v>24</v>
      </c>
      <c r="B159" s="707" t="s">
        <v>842</v>
      </c>
      <c r="C159" s="307"/>
      <c r="D159" s="305"/>
      <c r="E159" s="378"/>
      <c r="F159" s="312"/>
      <c r="G159" s="374"/>
      <c r="H159" s="305"/>
      <c r="I159" s="305"/>
      <c r="J159" s="307"/>
      <c r="K159" s="324"/>
      <c r="L159" s="1274"/>
      <c r="M159" s="1267"/>
      <c r="N159" s="1267"/>
      <c r="O159" s="1267"/>
      <c r="P159" s="1268"/>
      <c r="Q159" s="284"/>
    </row>
    <row r="160" spans="1:17">
      <c r="A160" s="390">
        <f t="shared" si="8"/>
        <v>25</v>
      </c>
      <c r="B160" s="707" t="s">
        <v>842</v>
      </c>
      <c r="C160" s="307"/>
      <c r="D160" s="305"/>
      <c r="E160" s="378"/>
      <c r="F160" s="312"/>
      <c r="G160" s="374"/>
      <c r="H160" s="305"/>
      <c r="I160" s="305"/>
      <c r="J160" s="307"/>
      <c r="K160" s="324"/>
      <c r="L160" s="1274"/>
      <c r="M160" s="1267"/>
      <c r="N160" s="1267"/>
      <c r="O160" s="1267"/>
      <c r="P160" s="1268"/>
      <c r="Q160" s="284"/>
    </row>
    <row r="161" spans="1:17" ht="13.8" thickBot="1">
      <c r="A161" s="390">
        <f t="shared" si="8"/>
        <v>26</v>
      </c>
      <c r="B161" s="707" t="s">
        <v>842</v>
      </c>
      <c r="C161" s="307"/>
      <c r="D161" s="363"/>
      <c r="E161" s="378"/>
      <c r="F161" s="312"/>
      <c r="G161" s="374"/>
      <c r="H161" s="305"/>
      <c r="I161" s="363"/>
      <c r="J161" s="307"/>
      <c r="K161" s="324"/>
      <c r="L161" s="1274"/>
      <c r="M161" s="1267"/>
      <c r="N161" s="1267"/>
      <c r="O161" s="1267"/>
      <c r="P161" s="1268"/>
      <c r="Q161" s="284"/>
    </row>
    <row r="162" spans="1:17">
      <c r="A162" s="390">
        <f t="shared" si="8"/>
        <v>27</v>
      </c>
      <c r="B162" s="707" t="s">
        <v>50</v>
      </c>
      <c r="C162" s="307" t="str">
        <f>+"(Sum of Line "&amp;A156&amp;" to Line "&amp;A161&amp;")"</f>
        <v>(Sum of Line 21 to Line 26)</v>
      </c>
      <c r="D162" s="305">
        <f>SUM(D156:D161)</f>
        <v>67067754.592195377</v>
      </c>
      <c r="E162" s="324"/>
      <c r="F162" s="324"/>
      <c r="G162" s="324"/>
      <c r="H162" s="324"/>
      <c r="I162" s="305">
        <f>SUM(I156:I161)</f>
        <v>59133956.13906908</v>
      </c>
      <c r="L162" s="1268"/>
      <c r="M162" s="1268"/>
      <c r="N162" s="1268"/>
      <c r="O162" s="1268"/>
      <c r="P162" s="1268"/>
      <c r="Q162" s="284"/>
    </row>
    <row r="163" spans="1:17">
      <c r="A163" s="390"/>
      <c r="B163" s="318"/>
      <c r="C163" s="399"/>
      <c r="D163" s="305"/>
      <c r="E163" s="307"/>
      <c r="F163" s="307"/>
      <c r="G163" s="319"/>
      <c r="H163" s="307"/>
      <c r="I163" s="305"/>
      <c r="J163" s="307"/>
      <c r="K163" s="324"/>
      <c r="L163" s="1271"/>
      <c r="M163" s="1267"/>
      <c r="N163" s="1267"/>
      <c r="O163" s="1267"/>
      <c r="P163" s="1268"/>
      <c r="Q163" s="284"/>
    </row>
    <row r="164" spans="1:17">
      <c r="A164" s="390"/>
      <c r="B164" s="306" t="s">
        <v>380</v>
      </c>
      <c r="C164" s="324"/>
      <c r="D164" s="324"/>
      <c r="E164" s="324"/>
      <c r="F164" s="324"/>
      <c r="G164" s="324"/>
      <c r="H164" s="324"/>
      <c r="I164" s="1187"/>
      <c r="J164" s="307"/>
      <c r="K164" s="324"/>
      <c r="L164" s="1290"/>
      <c r="M164" s="1267"/>
      <c r="N164" s="1267"/>
      <c r="O164" s="1267"/>
      <c r="P164" s="1268"/>
      <c r="Q164" s="284"/>
    </row>
    <row r="165" spans="1:17">
      <c r="A165" s="390">
        <v>28</v>
      </c>
      <c r="B165" s="708" t="s">
        <v>381</v>
      </c>
      <c r="C165" s="307" t="str">
        <f>+"Appendix A Line "&amp;+'Appendix A'!A217&amp;" "&amp;$L$6&amp;" Column"</f>
        <v>Appendix A Line 146 True-up Column</v>
      </c>
      <c r="D165" s="305">
        <f>IF($L$10=0,'Appendix A'!H217,'Appendix A'!G217)</f>
        <v>159450940.68631816</v>
      </c>
      <c r="E165" s="312"/>
      <c r="F165" s="305" t="s">
        <v>357</v>
      </c>
      <c r="G165" s="311">
        <f>TP</f>
        <v>0.88170472529805632</v>
      </c>
      <c r="H165" s="312"/>
      <c r="I165" s="305">
        <f>+D165*G165</f>
        <v>140588647.85634682</v>
      </c>
      <c r="J165" s="324"/>
      <c r="K165" s="324"/>
      <c r="L165" s="1274">
        <f>+I165/M165</f>
        <v>0.88170472529805621</v>
      </c>
      <c r="M165" s="1267">
        <f>+D165</f>
        <v>159450940.68631816</v>
      </c>
      <c r="N165" s="1267">
        <f>IF($L$10=0,'Appendix A'!H217,'Appendix A'!G217)</f>
        <v>159450940.68631816</v>
      </c>
      <c r="O165" s="1267">
        <f>+M165-N165</f>
        <v>0</v>
      </c>
      <c r="P165" s="1268"/>
      <c r="Q165" s="284"/>
    </row>
    <row r="166" spans="1:17">
      <c r="A166" s="390"/>
      <c r="B166" s="306"/>
      <c r="C166" s="318"/>
      <c r="D166" s="368"/>
      <c r="E166" s="312"/>
      <c r="F166" s="312"/>
      <c r="G166" s="400"/>
      <c r="H166" s="312"/>
      <c r="I166" s="368"/>
      <c r="J166" s="307"/>
      <c r="K166" s="324"/>
      <c r="L166" s="1272"/>
      <c r="M166" s="1267"/>
      <c r="N166" s="1267"/>
      <c r="O166" s="1267"/>
      <c r="P166" s="1268"/>
      <c r="Q166" s="284"/>
    </row>
    <row r="167" spans="1:17" ht="13.8" thickBot="1">
      <c r="A167" s="390">
        <f>A165+1</f>
        <v>29</v>
      </c>
      <c r="B167" s="306" t="s">
        <v>382</v>
      </c>
      <c r="C167" s="307" t="str">
        <f>+"(Line "&amp;A137&amp;" + Line "&amp;A143&amp;" + Line "&amp;A153&amp;" + Line "&amp;A162&amp;" + Line "&amp;A165&amp;")"</f>
        <v>(Line 8 + Line 12 + Line 20 + Line 27 + Line 28)</v>
      </c>
      <c r="D167" s="401">
        <f>+D137+D143+D153+D162+D165</f>
        <v>596335440.50986862</v>
      </c>
      <c r="E167" s="312"/>
      <c r="F167" s="312"/>
      <c r="G167" s="378"/>
      <c r="H167" s="312"/>
      <c r="I167" s="401">
        <f>+I137+I143+I153+I162+I165</f>
        <v>322989724.84409076</v>
      </c>
      <c r="J167" s="297"/>
      <c r="K167" s="324"/>
      <c r="L167" s="1281"/>
      <c r="M167" s="1291">
        <f>+M137+M143+M153+M156+M165</f>
        <v>366324139.56373608</v>
      </c>
      <c r="N167" s="1267">
        <f>IF($L$10=0,'Appendix A'!H259,'Appendix A'!G259)</f>
        <v>366324139.56373608</v>
      </c>
      <c r="O167" s="1267">
        <f>+M167-N167</f>
        <v>0</v>
      </c>
      <c r="P167" s="1268"/>
      <c r="Q167" s="284"/>
    </row>
    <row r="168" spans="1:17" ht="13.8" thickTop="1">
      <c r="A168" s="390"/>
      <c r="B168" s="306"/>
      <c r="C168" s="307"/>
      <c r="D168" s="378"/>
      <c r="E168" s="312"/>
      <c r="F168" s="312"/>
      <c r="G168" s="378"/>
      <c r="H168" s="312"/>
      <c r="I168" s="368"/>
      <c r="J168" s="297"/>
      <c r="K168" s="324"/>
      <c r="L168" s="1281"/>
      <c r="M168" s="1267"/>
      <c r="N168" s="1267"/>
      <c r="O168" s="1267"/>
      <c r="P168" s="1268"/>
      <c r="Q168" s="284"/>
    </row>
    <row r="169" spans="1:17" s="705" customFormat="1">
      <c r="A169" s="819">
        <f>+A167+1</f>
        <v>30</v>
      </c>
      <c r="B169" s="699" t="s">
        <v>753</v>
      </c>
      <c r="C169" s="821"/>
      <c r="D169" s="697"/>
      <c r="E169" s="698"/>
      <c r="F169" s="698"/>
      <c r="G169" s="698"/>
      <c r="H169" s="698"/>
      <c r="I169" s="697"/>
      <c r="J169" s="703"/>
      <c r="K169" s="703"/>
      <c r="L169" s="1292"/>
      <c r="M169" s="1286"/>
      <c r="N169" s="1286"/>
      <c r="O169" s="1286"/>
      <c r="P169" s="1293"/>
    </row>
    <row r="170" spans="1:17" s="705" customFormat="1">
      <c r="A170" s="819"/>
      <c r="B170" s="699" t="s">
        <v>754</v>
      </c>
      <c r="C170" s="722" t="str">
        <f>+"Appendix A Line "&amp;+'Appendix A'!A256&amp;" "&amp;$L$6&amp;" Column"</f>
        <v>Appendix A Line 166 True-up Column</v>
      </c>
      <c r="D170" s="698">
        <f>IF($L$10=0,'Appendix A'!H256,'Appendix A'!G256)</f>
        <v>0</v>
      </c>
      <c r="E170" s="698"/>
      <c r="F170" s="698" t="s">
        <v>330</v>
      </c>
      <c r="G170" s="948">
        <v>1</v>
      </c>
      <c r="H170" s="698"/>
      <c r="I170" s="697">
        <f>+D170</f>
        <v>0</v>
      </c>
      <c r="J170" s="703"/>
      <c r="K170" s="949"/>
      <c r="L170" s="1286"/>
      <c r="M170" s="1286"/>
      <c r="N170" s="1286"/>
      <c r="O170" s="1293"/>
      <c r="P170" s="1293"/>
    </row>
    <row r="171" spans="1:17">
      <c r="A171" s="348"/>
      <c r="B171" s="333"/>
      <c r="C171" s="339"/>
      <c r="D171" s="368"/>
      <c r="E171" s="305"/>
      <c r="F171" s="305"/>
      <c r="G171" s="305"/>
      <c r="H171" s="305"/>
      <c r="I171" s="368"/>
      <c r="J171" s="324"/>
      <c r="K171" s="334"/>
      <c r="L171" s="1267"/>
      <c r="M171" s="1267"/>
      <c r="N171" s="1267"/>
      <c r="O171" s="1268"/>
      <c r="P171" s="1268"/>
      <c r="Q171" s="284"/>
    </row>
    <row r="172" spans="1:17">
      <c r="A172" s="820" t="s">
        <v>647</v>
      </c>
      <c r="B172" s="699" t="s">
        <v>752</v>
      </c>
      <c r="C172" s="700"/>
      <c r="D172" s="701"/>
      <c r="E172" s="702"/>
      <c r="F172" s="702"/>
      <c r="G172" s="702"/>
      <c r="H172" s="702"/>
      <c r="I172" s="701"/>
      <c r="J172" s="324"/>
      <c r="K172" s="334"/>
      <c r="L172" s="1267"/>
      <c r="M172" s="1267"/>
      <c r="N172" s="1267"/>
      <c r="O172" s="1268"/>
      <c r="P172" s="1268"/>
      <c r="Q172" s="284"/>
    </row>
    <row r="173" spans="1:17" s="705" customFormat="1" ht="13.8" thickBot="1">
      <c r="A173" s="819"/>
      <c r="B173" s="699" t="s">
        <v>755</v>
      </c>
      <c r="C173" s="722" t="str">
        <f>+"Appendix A Line "&amp;+'Appendix A'!A257&amp;" "&amp;$L$6&amp;" Column"</f>
        <v>Appendix A Line 167 True-up Column</v>
      </c>
      <c r="D173" s="1104">
        <f>IF($L$10=0,'Appendix A'!H257,'Appendix A'!G257)</f>
        <v>0</v>
      </c>
      <c r="E173" s="698"/>
      <c r="F173" s="698" t="s">
        <v>330</v>
      </c>
      <c r="G173" s="948">
        <v>1</v>
      </c>
      <c r="H173" s="698"/>
      <c r="I173" s="697">
        <f>+D173</f>
        <v>0</v>
      </c>
      <c r="J173" s="703"/>
      <c r="K173" s="949"/>
      <c r="L173" s="1286"/>
      <c r="M173" s="1286"/>
      <c r="N173" s="1286"/>
      <c r="O173" s="1293"/>
      <c r="P173" s="1286"/>
      <c r="Q173" s="704"/>
    </row>
    <row r="174" spans="1:17" ht="13.8" thickBot="1">
      <c r="A174" s="348">
        <f>+A169+1</f>
        <v>31</v>
      </c>
      <c r="B174" s="333" t="s">
        <v>383</v>
      </c>
      <c r="C174" s="333" t="str">
        <f>+"(Line "&amp;A167&amp;" - Line "&amp;A169&amp;" - Line "&amp;A172&amp;")"</f>
        <v>(Line 29 - Line 30 - Line 30a)</v>
      </c>
      <c r="D174" s="402">
        <f>+D167-D170-D173</f>
        <v>596335440.50986862</v>
      </c>
      <c r="E174" s="305"/>
      <c r="F174" s="305"/>
      <c r="G174" s="305"/>
      <c r="H174" s="305"/>
      <c r="I174" s="402">
        <f>+I167-I170-I173</f>
        <v>322989724.84409076</v>
      </c>
      <c r="J174" s="324"/>
      <c r="K174" s="334"/>
      <c r="L174" s="1267">
        <f>+'Appendix A'!H267</f>
        <v>337781620.96927559</v>
      </c>
      <c r="M174" s="1267">
        <f>+L174-I174</f>
        <v>14791896.125184834</v>
      </c>
      <c r="N174" s="1267"/>
      <c r="O174" s="1267"/>
      <c r="P174" s="1267"/>
    </row>
    <row r="175" spans="1:17" ht="13.8" thickTop="1">
      <c r="L175" s="1267"/>
      <c r="M175" s="1267"/>
      <c r="N175" s="1267"/>
      <c r="O175" s="1268"/>
      <c r="P175" s="1267"/>
    </row>
    <row r="176" spans="1:17">
      <c r="A176" s="390"/>
      <c r="B176" s="403"/>
      <c r="C176" s="312"/>
      <c r="D176" s="378"/>
      <c r="E176" s="378"/>
      <c r="F176" s="378"/>
      <c r="G176" s="378"/>
      <c r="H176" s="378"/>
      <c r="I176" s="378"/>
      <c r="J176" s="297"/>
      <c r="K176" s="353" t="str">
        <f>+K1</f>
        <v>Attachment O-ELL</v>
      </c>
      <c r="L176" s="1267"/>
      <c r="M176" s="1267"/>
      <c r="N176" s="1267"/>
      <c r="O176" s="1268"/>
      <c r="P176" s="1267"/>
    </row>
    <row r="177" spans="1:19">
      <c r="A177" s="360"/>
      <c r="B177" s="318"/>
      <c r="C177" s="318"/>
      <c r="D177" s="318"/>
      <c r="E177" s="318"/>
      <c r="F177" s="318"/>
      <c r="G177" s="318"/>
      <c r="H177" s="318"/>
      <c r="I177" s="318"/>
      <c r="J177" s="307"/>
      <c r="K177" s="379" t="s">
        <v>384</v>
      </c>
    </row>
    <row r="178" spans="1:19">
      <c r="A178" s="360"/>
      <c r="B178" s="318"/>
      <c r="C178" s="382" t="str">
        <f>+C$3</f>
        <v>MISO Cover</v>
      </c>
      <c r="D178" s="318"/>
      <c r="E178" s="318"/>
      <c r="F178" s="318"/>
      <c r="G178" s="318"/>
      <c r="H178" s="318"/>
      <c r="I178" s="318"/>
      <c r="J178" s="307"/>
      <c r="K178" s="307"/>
    </row>
    <row r="179" spans="1:19">
      <c r="A179" s="360"/>
      <c r="B179" s="306" t="s">
        <v>316</v>
      </c>
      <c r="C179" s="404" t="s">
        <v>317</v>
      </c>
      <c r="D179" s="324"/>
      <c r="E179" s="318"/>
      <c r="F179" s="318"/>
      <c r="G179" s="318"/>
      <c r="H179" s="318"/>
      <c r="I179" s="381"/>
      <c r="J179" s="307"/>
      <c r="K179" s="405" t="str">
        <f>K4</f>
        <v>For  the 12 Months Ended 12/31/2017</v>
      </c>
    </row>
    <row r="180" spans="1:19">
      <c r="A180" s="360"/>
      <c r="B180" s="306"/>
      <c r="C180" s="404" t="s">
        <v>318</v>
      </c>
      <c r="D180" s="324"/>
      <c r="E180" s="318"/>
      <c r="F180" s="318"/>
      <c r="G180" s="318"/>
      <c r="H180" s="318"/>
      <c r="I180" s="318"/>
      <c r="J180" s="307"/>
      <c r="K180" s="307"/>
    </row>
    <row r="181" spans="1:19">
      <c r="A181" s="360"/>
      <c r="B181" s="318"/>
      <c r="C181" s="404" t="str">
        <f>+C119</f>
        <v>Entergy Louisiana, LLC</v>
      </c>
      <c r="D181" s="324"/>
      <c r="E181" s="318"/>
      <c r="F181" s="318"/>
      <c r="G181" s="318"/>
      <c r="H181" s="318"/>
      <c r="I181" s="318"/>
      <c r="J181" s="307"/>
      <c r="K181" s="307"/>
    </row>
    <row r="182" spans="1:19">
      <c r="A182" s="929"/>
      <c r="B182" s="929"/>
      <c r="C182" s="404" t="str">
        <f>+C120</f>
        <v>True-up Rate</v>
      </c>
      <c r="D182" s="929"/>
      <c r="E182" s="929"/>
      <c r="F182" s="929"/>
      <c r="G182" s="929"/>
      <c r="H182" s="929"/>
      <c r="I182" s="929"/>
      <c r="J182" s="929"/>
      <c r="K182" s="929"/>
    </row>
    <row r="183" spans="1:19" s="397" customFormat="1">
      <c r="A183" s="406"/>
      <c r="B183" s="382" t="s">
        <v>167</v>
      </c>
      <c r="C183" s="382" t="s">
        <v>320</v>
      </c>
      <c r="D183" s="382" t="s">
        <v>321</v>
      </c>
      <c r="E183" s="307" t="s">
        <v>65</v>
      </c>
      <c r="F183" s="307"/>
      <c r="G183" s="383" t="s">
        <v>322</v>
      </c>
      <c r="H183" s="307"/>
      <c r="I183" s="383" t="s">
        <v>323</v>
      </c>
      <c r="J183" s="394"/>
      <c r="K183" s="394"/>
      <c r="L183" s="396"/>
      <c r="M183" s="396"/>
      <c r="N183" s="396"/>
      <c r="P183" s="396"/>
      <c r="Q183" s="396"/>
    </row>
    <row r="184" spans="1:19">
      <c r="A184" s="360"/>
      <c r="B184" s="318"/>
      <c r="C184" s="306"/>
      <c r="D184" s="306"/>
      <c r="E184" s="306"/>
      <c r="F184" s="306"/>
      <c r="G184" s="306"/>
      <c r="H184" s="306"/>
      <c r="I184" s="306"/>
      <c r="J184" s="306"/>
      <c r="K184" s="306"/>
    </row>
    <row r="185" spans="1:19">
      <c r="A185" s="2277" t="s">
        <v>385</v>
      </c>
      <c r="B185" s="2277"/>
      <c r="C185" s="2277"/>
      <c r="D185" s="2277"/>
      <c r="E185" s="2277"/>
      <c r="F185" s="2277"/>
      <c r="G185" s="2277"/>
      <c r="H185" s="2277"/>
      <c r="I185" s="2277"/>
      <c r="J185" s="2277"/>
      <c r="K185" s="2277"/>
    </row>
    <row r="186" spans="1:19">
      <c r="A186" s="360" t="s">
        <v>324</v>
      </c>
      <c r="B186" s="407"/>
      <c r="C186" s="297"/>
      <c r="D186" s="297"/>
      <c r="E186" s="297"/>
      <c r="F186" s="297"/>
      <c r="G186" s="297"/>
      <c r="H186" s="297"/>
      <c r="I186" s="297"/>
      <c r="J186" s="307"/>
      <c r="K186" s="307"/>
    </row>
    <row r="187" spans="1:19" ht="13.8" thickBot="1">
      <c r="A187" s="308" t="s">
        <v>326</v>
      </c>
      <c r="B187" s="291" t="s">
        <v>386</v>
      </c>
      <c r="C187" s="297"/>
      <c r="D187" s="297"/>
      <c r="E187" s="297"/>
      <c r="F187" s="297"/>
      <c r="G187" s="297"/>
      <c r="H187" s="318"/>
      <c r="I187" s="318"/>
      <c r="J187" s="307"/>
      <c r="K187" s="307"/>
    </row>
    <row r="188" spans="1:19">
      <c r="A188" s="360">
        <v>1</v>
      </c>
      <c r="B188" s="706" t="s">
        <v>387</v>
      </c>
      <c r="C188" s="307" t="str">
        <f>+"Appendix A Line "&amp;+'Appendix A'!A262&amp;" "&amp;$L$6&amp;" Column"</f>
        <v>Appendix A Line 169 True-up Column</v>
      </c>
      <c r="D188" s="307"/>
      <c r="E188" s="307"/>
      <c r="F188" s="307"/>
      <c r="G188" s="307"/>
      <c r="H188" s="307"/>
      <c r="I188" s="305">
        <f>IF($L$10=0,'Appendix A'!H262,'Appendix A'!G262)</f>
        <v>3023228750.2992315</v>
      </c>
      <c r="J188" s="307"/>
      <c r="K188" s="307"/>
      <c r="N188" s="371"/>
      <c r="O188" s="371"/>
      <c r="P188" s="371"/>
      <c r="Q188" s="371"/>
      <c r="R188" s="371"/>
      <c r="S188" s="371"/>
    </row>
    <row r="189" spans="1:19">
      <c r="A189" s="360">
        <f>+A188+1</f>
        <v>2</v>
      </c>
      <c r="B189" s="706" t="s">
        <v>388</v>
      </c>
      <c r="C189" s="307" t="str">
        <f>+"Appendix A Line "&amp;+'Appendix A'!A263&amp;" "&amp;$L$6&amp;" Column"</f>
        <v>Appendix A Line 170 True-up Column</v>
      </c>
      <c r="D189" s="318"/>
      <c r="E189" s="318"/>
      <c r="F189" s="318"/>
      <c r="G189" s="318"/>
      <c r="H189" s="318"/>
      <c r="I189" s="305">
        <f>IF($L$10=0,'Appendix A'!H263,'Appendix A'!G263)</f>
        <v>357633675.50346148</v>
      </c>
      <c r="J189" s="307"/>
      <c r="K189" s="307"/>
      <c r="N189" s="371"/>
      <c r="O189" s="371"/>
      <c r="P189" s="371"/>
      <c r="Q189" s="371"/>
      <c r="R189" s="371"/>
      <c r="S189" s="371"/>
    </row>
    <row r="190" spans="1:19" ht="13.8" thickBot="1">
      <c r="A190" s="360">
        <f t="shared" ref="A190:A214" si="9">+A189+1</f>
        <v>3</v>
      </c>
      <c r="B190" s="707" t="s">
        <v>842</v>
      </c>
      <c r="C190" s="408"/>
      <c r="D190" s="381"/>
      <c r="E190" s="307"/>
      <c r="F190" s="307"/>
      <c r="G190" s="380"/>
      <c r="H190" s="307"/>
      <c r="I190" s="363"/>
      <c r="J190" s="307"/>
      <c r="K190" s="307"/>
      <c r="N190" s="371"/>
      <c r="O190" s="371"/>
      <c r="P190" s="371"/>
      <c r="Q190" s="371"/>
      <c r="R190" s="371"/>
      <c r="S190" s="371"/>
    </row>
    <row r="191" spans="1:19">
      <c r="A191" s="360">
        <f t="shared" si="9"/>
        <v>4</v>
      </c>
      <c r="B191" s="706" t="s">
        <v>389</v>
      </c>
      <c r="C191" s="297" t="str">
        <f>+"(Line "&amp;A188&amp;" - Line "&amp;A189&amp;" - Line "&amp;A190&amp;")"</f>
        <v>(Line 1 - Line 2 - Line 3)</v>
      </c>
      <c r="D191" s="307"/>
      <c r="E191" s="307"/>
      <c r="F191" s="307"/>
      <c r="G191" s="380"/>
      <c r="H191" s="307"/>
      <c r="I191" s="305">
        <f>I188-I189-I190</f>
        <v>2665595074.7957702</v>
      </c>
      <c r="J191" s="307"/>
      <c r="K191" s="307"/>
      <c r="N191" s="371"/>
      <c r="O191" s="371"/>
      <c r="P191" s="371"/>
      <c r="Q191" s="371"/>
      <c r="R191" s="371"/>
      <c r="S191" s="371"/>
    </row>
    <row r="192" spans="1:19">
      <c r="A192" s="360"/>
      <c r="B192" s="318"/>
      <c r="C192" s="297"/>
      <c r="D192" s="307"/>
      <c r="E192" s="307"/>
      <c r="F192" s="307"/>
      <c r="G192" s="380"/>
      <c r="H192" s="307"/>
      <c r="I192" s="305"/>
      <c r="J192" s="307"/>
      <c r="K192" s="307"/>
      <c r="N192" s="371"/>
      <c r="O192" s="371"/>
      <c r="P192" s="371"/>
      <c r="Q192" s="371"/>
      <c r="R192" s="371"/>
      <c r="S192" s="371"/>
    </row>
    <row r="193" spans="1:19">
      <c r="A193" s="360">
        <f>+A191+1</f>
        <v>5</v>
      </c>
      <c r="B193" s="706" t="s">
        <v>390</v>
      </c>
      <c r="C193" s="297" t="str">
        <f>+"(Line "&amp;A191&amp;" / Line "&amp;A188&amp;")"</f>
        <v>(Line 4 / Line 1)</v>
      </c>
      <c r="D193" s="409"/>
      <c r="E193" s="409"/>
      <c r="F193" s="409"/>
      <c r="G193" s="1105" t="s">
        <v>834</v>
      </c>
      <c r="H193" s="307" t="s">
        <v>391</v>
      </c>
      <c r="I193" s="374">
        <f>IF(I188&gt;0,I191/I188,0)</f>
        <v>0.88170472529805632</v>
      </c>
      <c r="J193" s="307"/>
      <c r="K193" s="307"/>
      <c r="N193" s="371"/>
      <c r="O193" s="371"/>
      <c r="P193" s="371"/>
      <c r="Q193" s="371"/>
      <c r="R193" s="371"/>
      <c r="S193" s="371"/>
    </row>
    <row r="194" spans="1:19">
      <c r="A194" s="360"/>
      <c r="B194" s="706"/>
      <c r="C194" s="297"/>
      <c r="D194" s="409"/>
      <c r="E194" s="409"/>
      <c r="F194" s="409"/>
      <c r="G194" s="383"/>
      <c r="H194" s="307"/>
      <c r="I194" s="374"/>
      <c r="J194" s="307"/>
      <c r="K194" s="307"/>
      <c r="N194" s="371"/>
      <c r="O194" s="371"/>
      <c r="P194" s="371"/>
      <c r="Q194" s="371"/>
      <c r="R194" s="371"/>
      <c r="S194" s="371"/>
    </row>
    <row r="195" spans="1:19">
      <c r="A195" s="814" t="s">
        <v>653</v>
      </c>
      <c r="B195" s="306" t="s">
        <v>392</v>
      </c>
      <c r="C195" s="318"/>
      <c r="D195" s="318"/>
      <c r="E195" s="318"/>
      <c r="F195" s="318"/>
      <c r="G195" s="318"/>
      <c r="H195" s="318"/>
      <c r="I195" s="318"/>
      <c r="J195" s="318"/>
      <c r="K195" s="318"/>
      <c r="N195" s="371"/>
      <c r="O195" s="371"/>
      <c r="P195" s="371"/>
      <c r="Q195" s="371"/>
      <c r="R195" s="371"/>
      <c r="S195" s="371"/>
    </row>
    <row r="196" spans="1:19" ht="13.8" thickBot="1">
      <c r="B196" s="324"/>
      <c r="C196" s="410" t="s">
        <v>393</v>
      </c>
      <c r="D196" s="411" t="s">
        <v>394</v>
      </c>
      <c r="E196" s="324"/>
      <c r="F196" s="411" t="s">
        <v>357</v>
      </c>
      <c r="G196" s="411" t="s">
        <v>120</v>
      </c>
      <c r="H196" s="307"/>
      <c r="I196" s="307"/>
      <c r="J196" s="307"/>
      <c r="K196" s="307"/>
      <c r="N196" s="371"/>
      <c r="O196" s="371"/>
      <c r="P196" s="371"/>
      <c r="Q196" s="371"/>
      <c r="R196" s="371"/>
      <c r="S196" s="371"/>
    </row>
    <row r="197" spans="1:19">
      <c r="A197" s="360">
        <v>12</v>
      </c>
      <c r="B197" s="707" t="s">
        <v>599</v>
      </c>
      <c r="C197" s="307" t="str">
        <f>+"Appendix A Line "&amp;+'Appendix A'!A11&amp;" "&amp;$L$6&amp;" Column"</f>
        <v>Appendix A Line 1 True-up Column</v>
      </c>
      <c r="D197" s="305">
        <f>IF($L$10=0,'Appendix A'!H11,'Appendix A'!G11)</f>
        <v>18003169.760000009</v>
      </c>
      <c r="E197" s="324"/>
      <c r="F197" s="311">
        <f>TP</f>
        <v>0.88170472529805632</v>
      </c>
      <c r="G197" s="305">
        <f>+D197*F197</f>
        <v>15873479.847735083</v>
      </c>
      <c r="H197" s="312"/>
      <c r="I197" s="312"/>
      <c r="J197" s="307"/>
      <c r="K197" s="307"/>
      <c r="N197" s="371"/>
      <c r="O197" s="371"/>
      <c r="P197" s="371"/>
      <c r="Q197" s="371"/>
      <c r="R197" s="371"/>
      <c r="S197" s="371"/>
    </row>
    <row r="198" spans="1:19">
      <c r="A198" s="360">
        <f t="shared" si="9"/>
        <v>13</v>
      </c>
      <c r="B198" s="707" t="s">
        <v>600</v>
      </c>
      <c r="C198" s="307" t="str">
        <f>+"Appendix A Line "&amp;+'Appendix A'!A12&amp;" "&amp;$L$6&amp;" Column"</f>
        <v>Appendix A Line 2 True-up Column</v>
      </c>
      <c r="D198" s="305">
        <f>IF($L$10=0,'Appendix A'!H12,'Appendix A'!G12)</f>
        <v>231084.34028620363</v>
      </c>
      <c r="E198" s="324"/>
      <c r="F198" s="311">
        <f>TP</f>
        <v>0.88170472529805632</v>
      </c>
      <c r="G198" s="305">
        <f>+D198*F198</f>
        <v>203748.15477272973</v>
      </c>
      <c r="H198" s="312"/>
      <c r="I198" s="312"/>
      <c r="J198" s="307"/>
      <c r="K198" s="307"/>
      <c r="L198" s="285">
        <f>+D198/D201</f>
        <v>9.5930706671416095E-4</v>
      </c>
      <c r="N198" s="371"/>
      <c r="O198" s="371"/>
      <c r="P198" s="371"/>
      <c r="Q198" s="371"/>
      <c r="R198" s="371"/>
      <c r="S198" s="371"/>
    </row>
    <row r="199" spans="1:19">
      <c r="A199" s="360">
        <f t="shared" si="9"/>
        <v>14</v>
      </c>
      <c r="B199" s="707" t="s">
        <v>842</v>
      </c>
      <c r="C199" s="307"/>
      <c r="D199" s="305"/>
      <c r="E199" s="324"/>
      <c r="F199" s="412"/>
      <c r="G199" s="305"/>
      <c r="H199" s="312"/>
      <c r="I199" s="413" t="s">
        <v>395</v>
      </c>
      <c r="J199" s="307"/>
      <c r="K199" s="307"/>
      <c r="L199" s="285">
        <f>+I193</f>
        <v>0.88170472529805632</v>
      </c>
      <c r="N199" s="371"/>
      <c r="O199" s="371"/>
      <c r="P199" s="371"/>
      <c r="Q199" s="371"/>
      <c r="R199" s="371"/>
      <c r="S199" s="371"/>
    </row>
    <row r="200" spans="1:19" ht="13.8" thickBot="1">
      <c r="A200" s="360">
        <f t="shared" si="9"/>
        <v>15</v>
      </c>
      <c r="B200" s="707" t="s">
        <v>842</v>
      </c>
      <c r="C200" s="307"/>
      <c r="D200" s="363"/>
      <c r="E200" s="324"/>
      <c r="F200" s="412"/>
      <c r="G200" s="363"/>
      <c r="H200" s="312"/>
      <c r="I200" s="414" t="s">
        <v>396</v>
      </c>
      <c r="J200" s="307"/>
      <c r="K200" s="307"/>
      <c r="L200" s="285">
        <f>+L198*L199</f>
        <v>8.458255737336935E-4</v>
      </c>
      <c r="N200" s="371"/>
      <c r="O200" s="371"/>
      <c r="P200" s="371"/>
      <c r="Q200" s="371"/>
      <c r="R200" s="371"/>
      <c r="S200" s="371"/>
    </row>
    <row r="201" spans="1:19">
      <c r="A201" s="360">
        <f t="shared" si="9"/>
        <v>16</v>
      </c>
      <c r="B201" s="707" t="s">
        <v>505</v>
      </c>
      <c r="C201" s="307" t="str">
        <f>+"Appendix A Line "&amp;+'Appendix A'!A23&amp;" "&amp;$L$6&amp;" Column"</f>
        <v>Appendix A Line 10 True-up Column</v>
      </c>
      <c r="D201" s="305">
        <f>IF($L$10=0,'Appendix A'!H23,'Appendix A'!G23)</f>
        <v>240886727.83128622</v>
      </c>
      <c r="E201" s="307"/>
      <c r="F201" s="307"/>
      <c r="G201" s="305">
        <f>SUM(G197:G200)</f>
        <v>16077228.002507813</v>
      </c>
      <c r="H201" s="415" t="s">
        <v>397</v>
      </c>
      <c r="I201" s="416">
        <f>IF(G201&gt;0,G201/D201,0)</f>
        <v>6.6741858911247634E-2</v>
      </c>
      <c r="J201" s="380" t="s">
        <v>397</v>
      </c>
      <c r="K201" s="307" t="s">
        <v>398</v>
      </c>
      <c r="N201" s="371"/>
      <c r="O201" s="371"/>
      <c r="P201" s="371"/>
      <c r="Q201" s="371"/>
      <c r="R201" s="371"/>
      <c r="S201" s="371"/>
    </row>
    <row r="202" spans="1:19">
      <c r="A202" s="360"/>
      <c r="B202" s="306" t="s">
        <v>65</v>
      </c>
      <c r="C202" s="307" t="s">
        <v>65</v>
      </c>
      <c r="D202" s="318"/>
      <c r="E202" s="307"/>
      <c r="F202" s="307"/>
      <c r="G202" s="318"/>
      <c r="H202" s="318"/>
      <c r="I202" s="318"/>
      <c r="J202" s="318"/>
      <c r="K202" s="307"/>
      <c r="N202" s="371"/>
      <c r="O202" s="371"/>
      <c r="P202" s="371"/>
      <c r="Q202" s="371"/>
      <c r="R202" s="371"/>
      <c r="S202" s="371"/>
    </row>
    <row r="203" spans="1:19">
      <c r="A203" s="360"/>
      <c r="B203" s="306" t="s">
        <v>842</v>
      </c>
      <c r="C203" s="324"/>
      <c r="D203" s="384" t="s">
        <v>394</v>
      </c>
      <c r="E203" s="307"/>
      <c r="F203" s="307"/>
      <c r="G203" s="379"/>
      <c r="H203" s="398"/>
      <c r="I203" s="373"/>
      <c r="J203" s="307"/>
      <c r="K203" s="307"/>
      <c r="M203" s="284"/>
      <c r="N203" s="371"/>
      <c r="O203" s="371"/>
      <c r="P203" s="371"/>
      <c r="Q203" s="371"/>
      <c r="R203" s="371"/>
      <c r="S203" s="371"/>
    </row>
    <row r="204" spans="1:19">
      <c r="A204" s="360">
        <f>+A201+1</f>
        <v>17</v>
      </c>
      <c r="B204" s="707" t="s">
        <v>842</v>
      </c>
      <c r="C204" s="307"/>
      <c r="D204" s="305">
        <v>0</v>
      </c>
      <c r="E204" s="307"/>
      <c r="F204" s="318"/>
      <c r="G204" s="816"/>
      <c r="H204" s="417"/>
      <c r="I204" s="360"/>
      <c r="J204" s="307"/>
      <c r="K204" s="418"/>
      <c r="M204" s="284"/>
      <c r="N204" s="284"/>
      <c r="P204" s="284"/>
      <c r="Q204" s="284"/>
    </row>
    <row r="205" spans="1:19">
      <c r="A205" s="360">
        <f t="shared" si="9"/>
        <v>18</v>
      </c>
      <c r="B205" s="707" t="s">
        <v>842</v>
      </c>
      <c r="C205" s="307"/>
      <c r="D205" s="305">
        <v>0</v>
      </c>
      <c r="E205" s="307"/>
      <c r="F205" s="318"/>
      <c r="G205" s="416"/>
      <c r="H205" s="419" t="s">
        <v>266</v>
      </c>
      <c r="I205" s="416"/>
      <c r="J205" s="419"/>
      <c r="K205" s="416"/>
      <c r="L205" s="284"/>
      <c r="M205" s="284"/>
      <c r="N205" s="284"/>
      <c r="P205" s="284"/>
      <c r="Q205" s="284"/>
    </row>
    <row r="206" spans="1:19" ht="13.8" thickBot="1">
      <c r="A206" s="360">
        <f t="shared" si="9"/>
        <v>19</v>
      </c>
      <c r="B206" s="711" t="s">
        <v>842</v>
      </c>
      <c r="C206" s="410"/>
      <c r="D206" s="363">
        <v>0</v>
      </c>
      <c r="E206" s="307"/>
      <c r="F206" s="307"/>
      <c r="G206" s="307" t="s">
        <v>65</v>
      </c>
      <c r="H206" s="307"/>
      <c r="I206" s="307"/>
      <c r="J206" s="307"/>
      <c r="K206" s="307"/>
      <c r="L206" s="284"/>
      <c r="M206" s="284"/>
      <c r="N206" s="284"/>
      <c r="P206" s="284"/>
      <c r="Q206" s="284"/>
    </row>
    <row r="207" spans="1:19">
      <c r="A207" s="360">
        <f t="shared" si="9"/>
        <v>20</v>
      </c>
      <c r="B207" s="306" t="s">
        <v>113</v>
      </c>
      <c r="C207" s="318" t="str">
        <f>+"(Sum of Line "&amp;A204&amp;" to Line "&amp;A206&amp;")"</f>
        <v>(Sum of Line 17 to Line 19)</v>
      </c>
      <c r="D207" s="305">
        <f>D204+D205+D206</f>
        <v>0</v>
      </c>
      <c r="E207" s="307"/>
      <c r="F207" s="307"/>
      <c r="G207" s="307"/>
      <c r="H207" s="307"/>
      <c r="I207" s="307"/>
      <c r="J207" s="307"/>
      <c r="K207" s="307"/>
      <c r="L207" s="284"/>
      <c r="M207" s="284"/>
      <c r="N207" s="284"/>
      <c r="P207" s="284"/>
      <c r="Q207" s="284"/>
    </row>
    <row r="208" spans="1:19">
      <c r="A208" s="360"/>
      <c r="B208" s="306"/>
      <c r="C208" s="307"/>
      <c r="D208" s="318"/>
      <c r="E208" s="307"/>
      <c r="F208" s="307"/>
      <c r="G208" s="307"/>
      <c r="H208" s="307"/>
      <c r="I208" s="307"/>
      <c r="J208" s="307"/>
      <c r="K208" s="307"/>
      <c r="L208" s="284"/>
      <c r="M208" s="284"/>
      <c r="N208" s="284"/>
      <c r="P208" s="284"/>
      <c r="Q208" s="284"/>
    </row>
    <row r="209" spans="1:17">
      <c r="A209" s="815" t="s">
        <v>654</v>
      </c>
      <c r="B209" s="291" t="s">
        <v>399</v>
      </c>
      <c r="C209" s="307"/>
      <c r="D209" s="307"/>
      <c r="E209" s="307"/>
      <c r="F209" s="307"/>
      <c r="G209" s="380" t="s">
        <v>400</v>
      </c>
      <c r="H209" s="307"/>
      <c r="I209" s="307"/>
      <c r="J209" s="307"/>
      <c r="K209" s="307"/>
      <c r="L209" s="284"/>
      <c r="M209" s="284"/>
      <c r="N209" s="284"/>
      <c r="P209" s="284"/>
      <c r="Q209" s="284"/>
    </row>
    <row r="210" spans="1:17" ht="13.8" thickBot="1">
      <c r="A210" s="360"/>
      <c r="B210" s="306"/>
      <c r="C210" s="307"/>
      <c r="D210" s="308" t="s">
        <v>394</v>
      </c>
      <c r="E210" s="324"/>
      <c r="F210" s="308" t="s">
        <v>401</v>
      </c>
      <c r="G210" s="404"/>
      <c r="H210" s="307"/>
      <c r="I210" s="308" t="s">
        <v>402</v>
      </c>
      <c r="J210" s="307"/>
      <c r="K210" s="307"/>
      <c r="L210" s="284"/>
      <c r="M210" s="284"/>
      <c r="N210" s="284"/>
      <c r="P210" s="284"/>
      <c r="Q210" s="284"/>
    </row>
    <row r="211" spans="1:17">
      <c r="A211" s="360">
        <v>27</v>
      </c>
      <c r="B211" s="706" t="s">
        <v>606</v>
      </c>
      <c r="C211" s="307" t="str">
        <f>+"Appendix A Line "&amp;+'Appendix A'!A197&amp;" "&amp;$L$6&amp;" Column"</f>
        <v>Appendix A Line 130 True-up Column</v>
      </c>
      <c r="D211" s="305">
        <f>IF($L$10=0,'Appendix A'!H197,'Appendix A'!G197)</f>
        <v>5749763410.4030771</v>
      </c>
      <c r="E211" s="324"/>
      <c r="F211" s="1259">
        <f>IF(D$214=0,0,+D211/D$214)</f>
        <v>0.5198149298728838</v>
      </c>
      <c r="G211" s="392">
        <f>IF($L$10=0,'Appendix A'!H208,'Appendix A'!G208)</f>
        <v>4.6036366390598868E-2</v>
      </c>
      <c r="H211" s="313"/>
      <c r="I211" s="420">
        <f>F211*G211</f>
        <v>2.3930390566931536E-2</v>
      </c>
      <c r="J211" s="419" t="s">
        <v>397</v>
      </c>
      <c r="K211" s="421" t="s">
        <v>403</v>
      </c>
      <c r="L211" s="284"/>
      <c r="M211" s="284"/>
      <c r="N211" s="284"/>
      <c r="P211" s="284"/>
      <c r="Q211" s="284"/>
    </row>
    <row r="212" spans="1:17">
      <c r="A212" s="360">
        <f t="shared" si="9"/>
        <v>28</v>
      </c>
      <c r="B212" s="706" t="s">
        <v>607</v>
      </c>
      <c r="C212" s="307" t="str">
        <f>+"Appendix A Line "&amp;+'Appendix A'!A200&amp;" "&amp;$L$6&amp;" Column"</f>
        <v>Appendix A Line 133 True-up Column</v>
      </c>
      <c r="D212" s="305">
        <f>IF($L$10=0,'Appendix A'!H200,'Appendix A'!G200)</f>
        <v>0</v>
      </c>
      <c r="E212" s="324"/>
      <c r="F212" s="1259">
        <f t="shared" ref="F212:F213" si="10">IF(D$214=0,0,+D212/D$214)</f>
        <v>0</v>
      </c>
      <c r="G212" s="392">
        <f>IF($L$10=0,'Appendix A'!H209,'Appendix A'!G209)</f>
        <v>0</v>
      </c>
      <c r="H212" s="313"/>
      <c r="I212" s="420">
        <f>F212*G212</f>
        <v>0</v>
      </c>
      <c r="J212" s="307"/>
      <c r="K212" s="318"/>
      <c r="L212" s="284"/>
      <c r="M212" s="284"/>
      <c r="N212" s="284"/>
      <c r="P212" s="284"/>
      <c r="Q212" s="284"/>
    </row>
    <row r="213" spans="1:17" ht="13.8" thickBot="1">
      <c r="A213" s="360">
        <f t="shared" si="9"/>
        <v>29</v>
      </c>
      <c r="B213" s="706" t="s">
        <v>53</v>
      </c>
      <c r="C213" s="307" t="str">
        <f>+"Appendix A Line "&amp;+'Appendix A'!A202&amp;" "&amp;$L$6&amp;" Column"</f>
        <v>Appendix A Line 135 True-up Column</v>
      </c>
      <c r="D213" s="363">
        <f>IF($L$10=0,'Appendix A'!H202,'Appendix A'!G202)</f>
        <v>5311410634.3846169</v>
      </c>
      <c r="E213" s="324"/>
      <c r="F213" s="1259">
        <f t="shared" si="10"/>
        <v>0.48018507012711631</v>
      </c>
      <c r="G213" s="392">
        <f>IF($L$10=0,'Appendix A'!H210,'Appendix A'!G210)</f>
        <v>0.1082</v>
      </c>
      <c r="H213" s="318"/>
      <c r="I213" s="422">
        <f>F213*G213</f>
        <v>5.1956024587753988E-2</v>
      </c>
      <c r="J213" s="307"/>
      <c r="K213" s="318"/>
      <c r="L213" s="1483" t="s">
        <v>1467</v>
      </c>
      <c r="N213" s="284"/>
      <c r="P213" s="284"/>
      <c r="Q213" s="284"/>
    </row>
    <row r="214" spans="1:17">
      <c r="A214" s="360">
        <f t="shared" si="9"/>
        <v>30</v>
      </c>
      <c r="B214" s="306" t="s">
        <v>9</v>
      </c>
      <c r="C214" s="318" t="str">
        <f>+"(Sum of Lines "&amp;A211&amp;" to "&amp;A213&amp;")"</f>
        <v>(Sum of Lines 27 to 29)</v>
      </c>
      <c r="D214" s="423">
        <f>SUM(D211:D213)</f>
        <v>11061174044.787693</v>
      </c>
      <c r="E214" s="313" t="s">
        <v>65</v>
      </c>
      <c r="F214" s="313"/>
      <c r="G214" s="307"/>
      <c r="H214" s="307"/>
      <c r="I214" s="420">
        <f>SUM(I211:I213)</f>
        <v>7.5886415154685527E-2</v>
      </c>
      <c r="J214" s="419" t="s">
        <v>397</v>
      </c>
      <c r="K214" s="318" t="s">
        <v>224</v>
      </c>
      <c r="L214" s="1556" t="s">
        <v>1551</v>
      </c>
      <c r="M214" s="284"/>
      <c r="N214" s="284"/>
      <c r="P214" s="284"/>
      <c r="Q214" s="284"/>
    </row>
    <row r="215" spans="1:17">
      <c r="A215" s="360"/>
      <c r="B215" s="318"/>
      <c r="C215" s="318"/>
      <c r="D215" s="318"/>
      <c r="E215" s="307"/>
      <c r="F215" s="307"/>
      <c r="G215" s="307"/>
      <c r="H215" s="307"/>
      <c r="I215" s="318"/>
      <c r="J215" s="318"/>
      <c r="K215" s="318"/>
      <c r="L215" s="284"/>
      <c r="M215" s="284"/>
      <c r="N215" s="284"/>
      <c r="P215" s="284"/>
      <c r="Q215" s="284"/>
    </row>
    <row r="216" spans="1:17">
      <c r="A216" s="360"/>
      <c r="B216" s="291" t="s">
        <v>404</v>
      </c>
      <c r="C216" s="292"/>
      <c r="D216" s="292"/>
      <c r="E216" s="292"/>
      <c r="F216" s="292"/>
      <c r="G216" s="292"/>
      <c r="H216" s="292"/>
      <c r="I216" s="292"/>
      <c r="J216" s="292"/>
      <c r="K216" s="292"/>
      <c r="L216" s="284"/>
      <c r="M216" s="284"/>
      <c r="N216" s="284"/>
      <c r="P216" s="284"/>
      <c r="Q216" s="284"/>
    </row>
    <row r="217" spans="1:17">
      <c r="A217" s="360"/>
      <c r="B217" s="291"/>
      <c r="C217" s="291"/>
      <c r="D217" s="291"/>
      <c r="E217" s="291"/>
      <c r="F217" s="291"/>
      <c r="G217" s="291"/>
      <c r="H217" s="291"/>
      <c r="I217" s="426"/>
      <c r="J217" s="328"/>
      <c r="K217" s="318"/>
      <c r="L217" s="284"/>
      <c r="M217" s="284"/>
      <c r="N217" s="284"/>
      <c r="P217" s="284"/>
      <c r="Q217" s="284"/>
    </row>
    <row r="218" spans="1:17">
      <c r="A218" s="360"/>
      <c r="B218" s="291" t="s">
        <v>405</v>
      </c>
      <c r="C218" s="292"/>
      <c r="D218" s="292"/>
      <c r="E218" s="292"/>
      <c r="F218" s="292"/>
      <c r="G218" s="424" t="s">
        <v>65</v>
      </c>
      <c r="H218" s="425"/>
      <c r="I218" s="426"/>
      <c r="J218" s="426"/>
      <c r="K218" s="318"/>
      <c r="L218" s="284"/>
      <c r="M218" s="284"/>
      <c r="N218" s="284"/>
      <c r="P218" s="284"/>
      <c r="Q218" s="284"/>
    </row>
    <row r="219" spans="1:17">
      <c r="A219" s="360">
        <f>+A214+1</f>
        <v>31</v>
      </c>
      <c r="B219" s="707" t="s">
        <v>842</v>
      </c>
      <c r="C219" s="292"/>
      <c r="D219" s="292"/>
      <c r="E219" s="318"/>
      <c r="F219" s="292"/>
      <c r="G219" s="318"/>
      <c r="H219" s="425"/>
      <c r="I219" s="427"/>
      <c r="J219" s="428"/>
      <c r="K219" s="318"/>
      <c r="L219" s="284"/>
      <c r="M219" s="284"/>
      <c r="N219" s="284"/>
      <c r="P219" s="284"/>
      <c r="Q219" s="284"/>
    </row>
    <row r="220" spans="1:17" ht="13.8" thickBot="1">
      <c r="A220" s="360">
        <f>+A219+1</f>
        <v>32</v>
      </c>
      <c r="B220" s="711" t="s">
        <v>842</v>
      </c>
      <c r="C220" s="410"/>
      <c r="D220" s="946"/>
      <c r="E220" s="947"/>
      <c r="F220" s="947"/>
      <c r="G220" s="947"/>
      <c r="H220" s="292"/>
      <c r="I220" s="429"/>
      <c r="J220" s="430"/>
      <c r="K220" s="318"/>
      <c r="N220" s="284"/>
      <c r="P220" s="284"/>
      <c r="Q220" s="284"/>
    </row>
    <row r="221" spans="1:17">
      <c r="A221" s="360">
        <f>+A220+1</f>
        <v>33</v>
      </c>
      <c r="B221" s="330" t="s">
        <v>113</v>
      </c>
      <c r="C221" s="318" t="str">
        <f>+"(Sum of Line "&amp;A219&amp;" + Line "&amp;A220&amp;")"</f>
        <v>(Sum of Line 31 + Line 32)</v>
      </c>
      <c r="D221" s="318"/>
      <c r="E221" s="292"/>
      <c r="F221" s="292"/>
      <c r="G221" s="292"/>
      <c r="H221" s="292"/>
      <c r="I221" s="1106">
        <f>I219+I220</f>
        <v>0</v>
      </c>
      <c r="J221" s="428"/>
      <c r="K221" s="318"/>
      <c r="N221" s="284"/>
      <c r="P221" s="284"/>
      <c r="Q221" s="284"/>
    </row>
    <row r="222" spans="1:17">
      <c r="A222" s="360"/>
      <c r="B222" s="330"/>
      <c r="C222" s="297"/>
      <c r="D222" s="318"/>
      <c r="E222" s="292"/>
      <c r="F222" s="292"/>
      <c r="G222" s="292"/>
      <c r="H222" s="292"/>
      <c r="I222" s="431"/>
      <c r="J222" s="426"/>
      <c r="K222" s="318"/>
      <c r="N222" s="284"/>
      <c r="P222" s="284"/>
      <c r="Q222" s="284"/>
    </row>
    <row r="223" spans="1:17">
      <c r="A223" s="360">
        <f>+A221+1</f>
        <v>34</v>
      </c>
      <c r="B223" s="931" t="s">
        <v>739</v>
      </c>
      <c r="C223" s="297" t="str">
        <f>+"Appendix A Line "&amp;+'Appendix A'!A275&amp;" "&amp;$L$6&amp;" Column"</f>
        <v>Appendix A Line 179 True-up Column</v>
      </c>
      <c r="D223" s="324"/>
      <c r="E223" s="292"/>
      <c r="F223" s="292"/>
      <c r="G223" s="432"/>
      <c r="H223" s="292"/>
      <c r="I223" s="305">
        <f>IF($L$10=0,'Appendix A'!H275,'Appendix A'!G275)</f>
        <v>1022143.9987553379</v>
      </c>
      <c r="J223" s="426"/>
      <c r="K223" s="433"/>
      <c r="N223" s="284"/>
      <c r="P223" s="284"/>
      <c r="Q223" s="284"/>
    </row>
    <row r="224" spans="1:17">
      <c r="A224" s="360"/>
      <c r="B224" s="931"/>
      <c r="C224" s="297"/>
      <c r="D224" s="324"/>
      <c r="E224" s="292"/>
      <c r="F224" s="292"/>
      <c r="G224" s="432"/>
      <c r="H224" s="292"/>
      <c r="I224" s="305"/>
      <c r="J224" s="426"/>
      <c r="K224" s="433"/>
      <c r="N224" s="284"/>
      <c r="P224" s="284"/>
      <c r="Q224" s="284"/>
    </row>
    <row r="225" spans="1:17">
      <c r="A225" s="360"/>
      <c r="B225" s="931" t="s">
        <v>774</v>
      </c>
      <c r="C225" s="292"/>
      <c r="D225" s="292"/>
      <c r="E225" s="292"/>
      <c r="F225" s="292"/>
      <c r="G225" s="292"/>
      <c r="H225" s="292"/>
      <c r="I225" s="431"/>
      <c r="J225" s="426"/>
      <c r="K225" s="433"/>
      <c r="N225" s="284"/>
      <c r="P225" s="284"/>
      <c r="Q225" s="284"/>
    </row>
    <row r="226" spans="1:17">
      <c r="A226" s="360">
        <f>+A223+1</f>
        <v>35</v>
      </c>
      <c r="B226" s="706" t="s">
        <v>800</v>
      </c>
      <c r="C226" s="307" t="str">
        <f>+"Appendix A Line "&amp;+'Appendix A'!A284&amp;" "&amp;$L$6&amp;" Column"</f>
        <v>Appendix A Line 186 True-up Column</v>
      </c>
      <c r="D226" s="324"/>
      <c r="E226" s="307"/>
      <c r="F226" s="307"/>
      <c r="G226" s="307"/>
      <c r="H226" s="307"/>
      <c r="I226" s="305">
        <f>IF($L$10=0,'Appendix A'!H284,'Appendix A'!G284)</f>
        <v>73068640.109999999</v>
      </c>
      <c r="J226" s="435"/>
      <c r="K226" s="434"/>
      <c r="N226" s="284"/>
      <c r="P226" s="284"/>
      <c r="Q226" s="284"/>
    </row>
    <row r="227" spans="1:17">
      <c r="A227" s="360">
        <f>+A226+1</f>
        <v>36</v>
      </c>
      <c r="B227" s="707" t="s">
        <v>804</v>
      </c>
      <c r="C227" s="307" t="str">
        <f>+"Appendix A Line "&amp;+'Appendix A'!A285&amp;" "&amp;$L$6&amp;" Column"</f>
        <v>Appendix A Line 187 True-up Column</v>
      </c>
      <c r="D227" s="307"/>
      <c r="E227" s="307"/>
      <c r="F227" s="307"/>
      <c r="G227" s="307"/>
      <c r="H227" s="307"/>
      <c r="I227" s="305">
        <f>IF($L$10=0,'Appendix A'!H285,'Appendix A'!G285)</f>
        <v>72688016.698173165</v>
      </c>
      <c r="J227" s="435"/>
      <c r="K227" s="434"/>
      <c r="N227" s="284"/>
      <c r="P227" s="284"/>
      <c r="Q227" s="284"/>
    </row>
    <row r="228" spans="1:17">
      <c r="A228" s="360" t="s">
        <v>655</v>
      </c>
      <c r="B228" s="707" t="s">
        <v>740</v>
      </c>
      <c r="C228" s="307" t="str">
        <f>+"Appendix A Line "&amp;+'Appendix A'!A286&amp;" "&amp;$L$6&amp;" Column"</f>
        <v>Appendix A Line 188 True-up Column</v>
      </c>
      <c r="D228" s="307"/>
      <c r="E228" s="307"/>
      <c r="F228" s="307"/>
      <c r="G228" s="307"/>
      <c r="H228" s="307"/>
      <c r="I228" s="305">
        <f>IF($L$10=0,'Appendix A'!H286,'Appendix A'!G286)</f>
        <v>0</v>
      </c>
      <c r="J228" s="435"/>
      <c r="K228" s="434"/>
      <c r="N228" s="284"/>
      <c r="P228" s="284"/>
      <c r="Q228" s="284"/>
    </row>
    <row r="229" spans="1:17" ht="13.8" thickBot="1">
      <c r="A229" s="360" t="s">
        <v>656</v>
      </c>
      <c r="B229" s="711" t="s">
        <v>741</v>
      </c>
      <c r="C229" s="410" t="str">
        <f>+"Appendix A Line "&amp;+'Appendix A'!A287&amp;" "&amp;$L$6&amp;" Column"</f>
        <v>Appendix A Line 189 True-up Column</v>
      </c>
      <c r="D229" s="410"/>
      <c r="E229" s="410"/>
      <c r="F229" s="410"/>
      <c r="G229" s="410"/>
      <c r="H229" s="307"/>
      <c r="I229" s="429">
        <f>IF($L$10=0,'Appendix A'!H287,'Appendix A'!G287)</f>
        <v>0</v>
      </c>
      <c r="J229" s="435"/>
      <c r="K229" s="434"/>
      <c r="N229" s="284"/>
      <c r="P229" s="284"/>
      <c r="Q229" s="284"/>
    </row>
    <row r="230" spans="1:17">
      <c r="A230" s="360">
        <f>+A227+1</f>
        <v>37</v>
      </c>
      <c r="B230" s="817" t="s">
        <v>113</v>
      </c>
      <c r="C230" s="307" t="str">
        <f>+"(Line "&amp;A226&amp;" - Line "&amp;A227&amp;" - Line "&amp;A228&amp;" - Line "&amp;A229&amp;")"</f>
        <v>(Line 35 - Line 36 - Line 36a - Line 36b)</v>
      </c>
      <c r="D230" s="307"/>
      <c r="E230" s="307"/>
      <c r="F230" s="307"/>
      <c r="G230" s="307"/>
      <c r="H230" s="292"/>
      <c r="I230" s="436">
        <f>+I226-I227-I228-I229</f>
        <v>380623.41182683408</v>
      </c>
      <c r="J230" s="435"/>
      <c r="K230" s="435"/>
      <c r="N230" s="284"/>
      <c r="P230" s="284"/>
      <c r="Q230" s="284"/>
    </row>
    <row r="231" spans="1:17">
      <c r="A231" s="360"/>
      <c r="B231" s="324"/>
      <c r="C231" s="360"/>
      <c r="D231" s="307"/>
      <c r="E231" s="307"/>
      <c r="F231" s="307"/>
      <c r="G231" s="307"/>
      <c r="H231" s="292"/>
      <c r="I231" s="437"/>
      <c r="J231" s="435"/>
      <c r="K231" s="435"/>
      <c r="N231" s="284"/>
      <c r="P231" s="284"/>
      <c r="Q231" s="284"/>
    </row>
    <row r="232" spans="1:17">
      <c r="A232" s="324"/>
      <c r="B232" s="324" t="s">
        <v>406</v>
      </c>
      <c r="C232" s="324"/>
      <c r="D232" s="324"/>
      <c r="E232" s="324"/>
      <c r="F232" s="324"/>
      <c r="G232" s="324"/>
      <c r="H232" s="324"/>
      <c r="I232" s="324"/>
      <c r="J232" s="324"/>
      <c r="K232" s="324"/>
      <c r="N232" s="284"/>
      <c r="P232" s="284"/>
      <c r="Q232" s="284"/>
    </row>
    <row r="233" spans="1:17" ht="15.6">
      <c r="A233" s="360">
        <f>+A230+1</f>
        <v>38</v>
      </c>
      <c r="B233" s="712" t="s">
        <v>407</v>
      </c>
      <c r="C233" s="307" t="str">
        <f>+"Appendix A Line "&amp;+'Appendix A'!A222&amp;" "&amp;$L$6&amp;" Column"</f>
        <v>Appendix A Line 147 True-up Column</v>
      </c>
      <c r="D233" s="392">
        <f>IF($L$10=0,'Appendix A'!H222,'Appendix A'!G222)</f>
        <v>0.35</v>
      </c>
      <c r="E233" s="438"/>
      <c r="F233" s="324"/>
      <c r="G233" s="438"/>
      <c r="H233" s="439"/>
      <c r="I233" s="439"/>
      <c r="J233" s="439"/>
      <c r="K233" s="439"/>
      <c r="N233" s="284"/>
      <c r="P233" s="284"/>
      <c r="Q233" s="284"/>
    </row>
    <row r="234" spans="1:17" ht="15.6">
      <c r="A234" s="360">
        <f>+A233+1</f>
        <v>39</v>
      </c>
      <c r="B234" s="712" t="s">
        <v>408</v>
      </c>
      <c r="C234" s="307" t="str">
        <f>+"Appendix A Line "&amp;+'Appendix A'!A223&amp;" "&amp;$L$6&amp;" Column"</f>
        <v>Appendix A Line 148 True-up Column</v>
      </c>
      <c r="D234" s="392">
        <f>IF($L$10=0,'Appendix A'!H223,'Appendix A'!G223)</f>
        <v>0.08</v>
      </c>
      <c r="E234" s="324"/>
      <c r="F234" s="791" t="s">
        <v>409</v>
      </c>
      <c r="G234" s="438"/>
      <c r="H234" s="438"/>
      <c r="I234" s="438"/>
      <c r="J234" s="438"/>
      <c r="K234" s="438"/>
      <c r="L234" s="440"/>
      <c r="M234" s="440"/>
      <c r="N234" s="284"/>
      <c r="P234" s="284"/>
      <c r="Q234" s="284"/>
    </row>
    <row r="235" spans="1:17" ht="15.6">
      <c r="A235" s="360">
        <f>+A234+1</f>
        <v>40</v>
      </c>
      <c r="B235" s="712" t="s">
        <v>410</v>
      </c>
      <c r="C235" s="307" t="str">
        <f>+"Appendix A Line "&amp;+'Appendix A'!A224&amp;" "&amp;$L$6&amp;" Column"</f>
        <v>Appendix A Line 149 True-up Column</v>
      </c>
      <c r="D235" s="392">
        <f>IF($L$10=0,'Appendix A'!H224,'Appendix A'!G224)</f>
        <v>1</v>
      </c>
      <c r="E235" s="324"/>
      <c r="F235" s="791" t="s">
        <v>611</v>
      </c>
      <c r="G235" s="438"/>
      <c r="H235" s="438"/>
      <c r="I235" s="438"/>
      <c r="J235" s="438"/>
      <c r="K235" s="438"/>
      <c r="L235" s="441"/>
      <c r="M235" s="441"/>
      <c r="N235" s="284"/>
      <c r="P235" s="284"/>
      <c r="Q235" s="284"/>
    </row>
    <row r="236" spans="1:17" ht="10.5" customHeight="1">
      <c r="A236" s="324"/>
      <c r="B236" s="324"/>
      <c r="C236" s="324"/>
      <c r="D236" s="324"/>
      <c r="E236" s="324"/>
      <c r="F236" s="324"/>
      <c r="G236" s="324"/>
      <c r="H236" s="324"/>
      <c r="I236" s="324"/>
      <c r="J236" s="324"/>
      <c r="L236" s="441"/>
      <c r="M236" s="441"/>
    </row>
    <row r="237" spans="1:17">
      <c r="A237" s="324" t="s">
        <v>299</v>
      </c>
      <c r="B237" s="324"/>
      <c r="C237" s="324"/>
      <c r="D237" s="324"/>
      <c r="E237" s="324"/>
      <c r="F237" s="324"/>
      <c r="G237" s="324"/>
      <c r="H237" s="324"/>
      <c r="I237" s="324"/>
      <c r="J237" s="324"/>
    </row>
    <row r="238" spans="1:17">
      <c r="A238" s="1107" t="s">
        <v>167</v>
      </c>
      <c r="B238" s="324" t="s">
        <v>843</v>
      </c>
      <c r="C238" s="324"/>
      <c r="D238" s="324"/>
      <c r="E238" s="324"/>
      <c r="F238" s="324"/>
      <c r="G238" s="324"/>
      <c r="H238" s="324"/>
      <c r="I238" s="324"/>
      <c r="J238" s="324"/>
    </row>
    <row r="239" spans="1:17">
      <c r="A239" s="324"/>
      <c r="B239" s="324"/>
      <c r="C239" s="324"/>
      <c r="D239" s="324"/>
      <c r="E239" s="324"/>
      <c r="F239" s="324"/>
      <c r="G239" s="324"/>
      <c r="H239" s="324"/>
      <c r="I239" s="324"/>
      <c r="J239" s="324"/>
    </row>
  </sheetData>
  <mergeCells count="4">
    <mergeCell ref="A185:K185"/>
    <mergeCell ref="C137:C138"/>
    <mergeCell ref="L4:O5"/>
    <mergeCell ref="F63:G63"/>
  </mergeCells>
  <dataValidations count="1">
    <dataValidation type="list" allowBlank="1" showInputMessage="1" showErrorMessage="1" sqref="L6">
      <formula1>$L$8:$L$9</formula1>
    </dataValidation>
  </dataValidations>
  <printOptions horizontalCentered="1"/>
  <pageMargins left="0.5" right="0.5" top="0.6" bottom="0.65" header="0.5" footer="0.5"/>
  <pageSetup scale="65" fitToHeight="0" orientation="landscape" r:id="rId1"/>
  <rowBreaks count="2" manualBreakCount="2">
    <brk id="53" max="10" man="1"/>
    <brk id="113"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37"/>
  <sheetViews>
    <sheetView workbookViewId="0">
      <selection activeCell="L6" sqref="L6"/>
    </sheetView>
  </sheetViews>
  <sheetFormatPr defaultColWidth="8.88671875" defaultRowHeight="13.2"/>
  <cols>
    <col min="1" max="1" width="6.44140625" style="40" bestFit="1" customWidth="1"/>
    <col min="2" max="2" width="33.44140625" style="40" customWidth="1"/>
    <col min="3" max="3" width="14.88671875" style="243" customWidth="1"/>
    <col min="4" max="4" width="26.33203125" style="716" customWidth="1"/>
    <col min="5" max="5" width="10.88671875" style="40" customWidth="1"/>
    <col min="6" max="6" width="18.109375" style="39" customWidth="1"/>
    <col min="7" max="7" width="20.33203125" style="39" customWidth="1"/>
    <col min="8" max="8" width="8.88671875" style="40"/>
    <col min="9" max="9" width="21.109375" style="40" customWidth="1"/>
    <col min="10" max="10" width="19.109375" style="40" customWidth="1"/>
    <col min="11" max="16384" width="8.88671875" style="40"/>
  </cols>
  <sheetData>
    <row r="1" spans="1:10">
      <c r="A1" s="2365" t="str">
        <f>+'MISO Cover'!C6</f>
        <v>Entergy Louisiana, LLC</v>
      </c>
      <c r="B1" s="2365"/>
      <c r="C1" s="2365"/>
      <c r="D1" s="2365"/>
      <c r="E1" s="173"/>
      <c r="F1" s="534"/>
      <c r="G1" s="534"/>
      <c r="H1" s="173"/>
      <c r="I1" s="173"/>
      <c r="J1" s="173"/>
    </row>
    <row r="2" spans="1:10" s="496" customFormat="1">
      <c r="A2" s="2367" t="s">
        <v>669</v>
      </c>
      <c r="B2" s="2367"/>
      <c r="C2" s="2367"/>
      <c r="D2" s="2367"/>
      <c r="E2" s="1764"/>
      <c r="F2" s="807"/>
      <c r="G2" s="807"/>
      <c r="H2" s="731"/>
    </row>
    <row r="3" spans="1:10">
      <c r="A3" s="2366" t="str">
        <f>+'MISO Cover'!K4</f>
        <v>For  the 12 Months Ended 12/31/2017</v>
      </c>
      <c r="B3" s="2366"/>
      <c r="C3" s="2366"/>
      <c r="D3" s="2366"/>
      <c r="E3" s="1765"/>
      <c r="F3" s="808"/>
      <c r="G3" s="808"/>
      <c r="H3" s="732"/>
      <c r="I3" s="732"/>
      <c r="J3" s="732"/>
    </row>
    <row r="4" spans="1:10">
      <c r="A4" s="1753"/>
      <c r="B4" s="1753"/>
      <c r="C4" s="1753"/>
      <c r="D4" s="1753"/>
      <c r="E4" s="1753"/>
      <c r="F4" s="808"/>
      <c r="G4" s="808"/>
      <c r="H4" s="732"/>
      <c r="I4" s="732"/>
      <c r="J4" s="732"/>
    </row>
    <row r="5" spans="1:10">
      <c r="B5" s="1591" t="s">
        <v>67</v>
      </c>
      <c r="C5" s="1200" t="s">
        <v>114</v>
      </c>
      <c r="D5" s="1591" t="s">
        <v>55</v>
      </c>
      <c r="E5" s="1591"/>
      <c r="F5" s="790"/>
      <c r="G5" s="790"/>
      <c r="H5" s="484"/>
      <c r="I5" s="484"/>
      <c r="J5" s="484"/>
    </row>
    <row r="6" spans="1:10" s="486" customFormat="1">
      <c r="A6" s="486" t="s">
        <v>280</v>
      </c>
      <c r="B6" s="1353" t="s">
        <v>112</v>
      </c>
      <c r="C6" s="1766" t="s">
        <v>126</v>
      </c>
      <c r="D6" s="1766" t="s">
        <v>139</v>
      </c>
      <c r="E6" s="1767"/>
      <c r="F6" s="809"/>
      <c r="G6" s="810"/>
      <c r="H6" s="733"/>
      <c r="I6" s="733"/>
      <c r="J6" s="733"/>
    </row>
    <row r="7" spans="1:10">
      <c r="A7" s="1309">
        <v>1</v>
      </c>
      <c r="B7" s="1768" t="s">
        <v>63</v>
      </c>
      <c r="C7" s="1200"/>
      <c r="D7" s="1769"/>
      <c r="E7" s="1769"/>
      <c r="F7" s="811"/>
      <c r="G7" s="811"/>
      <c r="H7" s="484"/>
      <c r="I7" s="484"/>
      <c r="J7" s="484"/>
    </row>
    <row r="8" spans="1:10">
      <c r="A8" s="1309">
        <f>+A7+0.1</f>
        <v>1.1000000000000001</v>
      </c>
      <c r="B8" s="657" t="s">
        <v>207</v>
      </c>
      <c r="C8" s="1632">
        <v>6612229.2900000103</v>
      </c>
      <c r="D8" s="659" t="s">
        <v>613</v>
      </c>
      <c r="E8" s="1770" t="s">
        <v>1528</v>
      </c>
      <c r="F8" s="811"/>
      <c r="G8" s="811"/>
      <c r="H8" s="484"/>
      <c r="I8" s="484"/>
      <c r="J8" s="484"/>
    </row>
    <row r="9" spans="1:10">
      <c r="A9" s="1309">
        <f>+A8+0.1</f>
        <v>1.2000000000000002</v>
      </c>
      <c r="B9" s="1771" t="s">
        <v>208</v>
      </c>
      <c r="C9" s="1178">
        <v>11390940.469999999</v>
      </c>
      <c r="D9" s="659" t="s">
        <v>742</v>
      </c>
      <c r="E9" s="657" t="s">
        <v>1529</v>
      </c>
      <c r="F9" s="811"/>
      <c r="G9" s="811"/>
      <c r="H9" s="484"/>
      <c r="I9" s="484"/>
      <c r="J9" s="484"/>
    </row>
    <row r="10" spans="1:10">
      <c r="A10" s="1309">
        <f>+A7+1</f>
        <v>2</v>
      </c>
      <c r="B10" s="899" t="s">
        <v>113</v>
      </c>
      <c r="C10" s="172">
        <f>+C8+C9</f>
        <v>18003169.760000009</v>
      </c>
      <c r="D10" s="901" t="str">
        <f>+"Sum Ln "&amp;A7&amp;" Subparts"</f>
        <v>Sum Ln 1 Subparts</v>
      </c>
    </row>
    <row r="11" spans="1:10">
      <c r="A11" s="1309">
        <f>+A10+1</f>
        <v>3</v>
      </c>
      <c r="D11" s="545"/>
    </row>
    <row r="12" spans="1:10">
      <c r="A12" s="1309">
        <f>+A11+1</f>
        <v>4</v>
      </c>
      <c r="B12" s="1768" t="s">
        <v>64</v>
      </c>
      <c r="D12" s="545"/>
    </row>
    <row r="13" spans="1:10">
      <c r="A13" s="1309">
        <f>+A12+0.01</f>
        <v>4.01</v>
      </c>
      <c r="B13" s="657" t="s">
        <v>207</v>
      </c>
      <c r="C13" s="199">
        <v>73150039.37000002</v>
      </c>
      <c r="D13" s="659" t="s">
        <v>614</v>
      </c>
      <c r="E13" s="40" t="s">
        <v>1530</v>
      </c>
    </row>
    <row r="14" spans="1:10">
      <c r="A14" s="1309">
        <f t="shared" ref="A14:A24" si="0">+A13+0.01</f>
        <v>4.0199999999999996</v>
      </c>
      <c r="B14" s="40" t="s">
        <v>209</v>
      </c>
      <c r="C14" s="199">
        <v>14423982.080000004</v>
      </c>
      <c r="D14" s="659" t="s">
        <v>742</v>
      </c>
      <c r="E14" s="657" t="s">
        <v>1531</v>
      </c>
    </row>
    <row r="15" spans="1:10">
      <c r="A15" s="1309">
        <f t="shared" si="0"/>
        <v>4.0299999999999994</v>
      </c>
      <c r="B15" s="40" t="s">
        <v>210</v>
      </c>
      <c r="C15" s="74">
        <f>+C9</f>
        <v>11390940.469999999</v>
      </c>
      <c r="D15" s="659" t="str">
        <f>+"Line "&amp;A9</f>
        <v>Line 1.2</v>
      </c>
    </row>
    <row r="16" spans="1:10">
      <c r="A16" s="1309">
        <f t="shared" si="0"/>
        <v>4.0399999999999991</v>
      </c>
      <c r="B16" s="40" t="s">
        <v>211</v>
      </c>
      <c r="C16" s="199">
        <f>+IFERROR(INDEX(#REF!,MATCH(E16,#REF!,0)),0)</f>
        <v>0</v>
      </c>
      <c r="D16" s="659" t="s">
        <v>742</v>
      </c>
      <c r="E16" s="40" t="s">
        <v>1539</v>
      </c>
    </row>
    <row r="17" spans="1:10">
      <c r="A17" s="1309">
        <f t="shared" si="0"/>
        <v>4.0499999999999989</v>
      </c>
      <c r="B17" s="40" t="s">
        <v>212</v>
      </c>
      <c r="C17" s="199">
        <v>6070840.3899999978</v>
      </c>
      <c r="D17" s="659" t="s">
        <v>742</v>
      </c>
      <c r="E17" s="40" t="s">
        <v>1532</v>
      </c>
    </row>
    <row r="18" spans="1:10">
      <c r="A18" s="1309">
        <f t="shared" si="0"/>
        <v>4.0599999999999987</v>
      </c>
      <c r="B18" s="40" t="s">
        <v>213</v>
      </c>
      <c r="C18" s="199">
        <v>7256164.5099999998</v>
      </c>
      <c r="D18" s="659" t="s">
        <v>742</v>
      </c>
      <c r="E18" s="657" t="s">
        <v>1533</v>
      </c>
    </row>
    <row r="19" spans="1:10">
      <c r="A19" s="1309">
        <f t="shared" si="0"/>
        <v>4.0699999999999985</v>
      </c>
      <c r="B19" s="40" t="s">
        <v>214</v>
      </c>
      <c r="C19" s="199">
        <v>1260223.5899999996</v>
      </c>
      <c r="D19" s="659" t="s">
        <v>742</v>
      </c>
      <c r="E19" s="657" t="s">
        <v>1534</v>
      </c>
    </row>
    <row r="20" spans="1:10">
      <c r="A20" s="1309">
        <f t="shared" si="0"/>
        <v>4.0799999999999983</v>
      </c>
      <c r="B20" s="40" t="s">
        <v>215</v>
      </c>
      <c r="C20" s="199">
        <v>175396.94999999998</v>
      </c>
      <c r="D20" s="659" t="s">
        <v>742</v>
      </c>
      <c r="E20" s="657" t="s">
        <v>1535</v>
      </c>
    </row>
    <row r="21" spans="1:10">
      <c r="A21" s="1309">
        <f t="shared" si="0"/>
        <v>4.0899999999999981</v>
      </c>
      <c r="B21" s="40" t="s">
        <v>277</v>
      </c>
      <c r="C21" s="199">
        <v>48085621.920000061</v>
      </c>
      <c r="D21" s="659" t="s">
        <v>742</v>
      </c>
      <c r="E21" s="657" t="s">
        <v>1536</v>
      </c>
    </row>
    <row r="22" spans="1:10">
      <c r="A22" s="825">
        <f t="shared" si="0"/>
        <v>4.0999999999999979</v>
      </c>
      <c r="B22" s="40" t="s">
        <v>216</v>
      </c>
      <c r="C22" s="199">
        <v>136168296.71099997</v>
      </c>
      <c r="D22" s="659" t="s">
        <v>742</v>
      </c>
      <c r="E22" s="657" t="s">
        <v>1537</v>
      </c>
      <c r="F22" s="811"/>
      <c r="G22" s="811"/>
      <c r="H22" s="484"/>
      <c r="I22" s="484"/>
      <c r="J22" s="484"/>
    </row>
    <row r="23" spans="1:10">
      <c r="A23" s="825">
        <f t="shared" si="0"/>
        <v>4.1099999999999977</v>
      </c>
      <c r="B23" s="40" t="s">
        <v>217</v>
      </c>
      <c r="C23" s="199">
        <v>7285108.6929999981</v>
      </c>
      <c r="D23" s="659" t="s">
        <v>742</v>
      </c>
      <c r="E23" s="657" t="s">
        <v>1538</v>
      </c>
      <c r="F23" s="811"/>
      <c r="G23" s="811"/>
      <c r="H23" s="484"/>
      <c r="I23" s="484"/>
      <c r="J23" s="484"/>
    </row>
    <row r="24" spans="1:10">
      <c r="A24" s="1189">
        <f t="shared" si="0"/>
        <v>4.1199999999999974</v>
      </c>
      <c r="B24" s="734" t="s">
        <v>934</v>
      </c>
      <c r="C24" s="199"/>
      <c r="D24" s="659"/>
      <c r="E24" s="1769"/>
      <c r="F24" s="811"/>
      <c r="G24" s="811"/>
      <c r="H24" s="484"/>
      <c r="I24" s="484"/>
      <c r="J24" s="484"/>
    </row>
    <row r="25" spans="1:10">
      <c r="A25" s="1189" t="s">
        <v>925</v>
      </c>
      <c r="B25" s="734" t="s">
        <v>934</v>
      </c>
      <c r="C25" s="199"/>
      <c r="D25" s="659"/>
      <c r="E25" s="1769"/>
      <c r="F25" s="811"/>
      <c r="G25" s="811"/>
      <c r="H25" s="484"/>
      <c r="I25" s="484"/>
      <c r="J25" s="484"/>
    </row>
    <row r="26" spans="1:10">
      <c r="A26" s="1189" t="s">
        <v>926</v>
      </c>
      <c r="B26" s="1181" t="s">
        <v>934</v>
      </c>
      <c r="C26" s="251"/>
      <c r="D26" s="659"/>
      <c r="E26" s="1769"/>
      <c r="F26" s="811"/>
      <c r="G26" s="811"/>
      <c r="H26" s="484"/>
      <c r="I26" s="484"/>
      <c r="J26" s="484"/>
    </row>
    <row r="27" spans="1:10">
      <c r="A27" s="1309">
        <f>+A12+1</f>
        <v>5</v>
      </c>
      <c r="B27" s="899" t="s">
        <v>9</v>
      </c>
      <c r="C27" s="74">
        <f>SUM(C13:C26)</f>
        <v>305266614.68400007</v>
      </c>
      <c r="D27" s="901" t="str">
        <f>+"Sum Ln "&amp;A12&amp;" Subparts"</f>
        <v>Sum Ln 4 Subparts</v>
      </c>
    </row>
    <row r="28" spans="1:10">
      <c r="A28" s="1309">
        <f>+A27+1</f>
        <v>6</v>
      </c>
      <c r="D28" s="271"/>
    </row>
    <row r="29" spans="1:10">
      <c r="A29" s="1309">
        <f>+A28+1</f>
        <v>7</v>
      </c>
      <c r="B29" s="41" t="s">
        <v>506</v>
      </c>
      <c r="D29" s="271"/>
    </row>
    <row r="30" spans="1:10">
      <c r="A30" s="1309">
        <f>+A29+0.1</f>
        <v>7.1</v>
      </c>
      <c r="B30" s="657" t="s">
        <v>207</v>
      </c>
      <c r="C30" s="199">
        <v>9240383.8599999994</v>
      </c>
      <c r="D30" s="659" t="s">
        <v>615</v>
      </c>
      <c r="E30" s="657" t="s">
        <v>1540</v>
      </c>
    </row>
    <row r="31" spans="1:10">
      <c r="A31" s="197">
        <f>+A30+0.1</f>
        <v>7.1999999999999993</v>
      </c>
      <c r="B31" s="40" t="s">
        <v>277</v>
      </c>
      <c r="C31" s="74">
        <f>+C21</f>
        <v>48085621.920000061</v>
      </c>
      <c r="D31" s="659" t="str">
        <f>+"Line "&amp;A21</f>
        <v>Line 4.09</v>
      </c>
    </row>
    <row r="32" spans="1:10">
      <c r="A32" s="197">
        <f>+A31+0.1</f>
        <v>7.2999999999999989</v>
      </c>
      <c r="B32" s="525" t="s">
        <v>217</v>
      </c>
      <c r="C32" s="535">
        <f>+C23</f>
        <v>7285108.6929999981</v>
      </c>
      <c r="D32" s="659" t="str">
        <f>+"Line "&amp;A23</f>
        <v>Line 4.11</v>
      </c>
    </row>
    <row r="33" spans="1:4">
      <c r="A33" s="197">
        <f>+A29+1</f>
        <v>8</v>
      </c>
      <c r="B33" s="899" t="str">
        <f>+"Total "&amp;B29</f>
        <v>Total A&amp;G Wages Expense</v>
      </c>
      <c r="C33" s="900">
        <f>SUM(C30:C32)</f>
        <v>64611114.473000057</v>
      </c>
      <c r="D33" s="901" t="str">
        <f>+"Sum Ln "&amp;A29&amp;" Subparts"</f>
        <v>Sum Ln 7 Subparts</v>
      </c>
    </row>
    <row r="34" spans="1:4">
      <c r="A34" s="716"/>
    </row>
    <row r="35" spans="1:4">
      <c r="A35" s="39" t="s">
        <v>299</v>
      </c>
      <c r="B35" s="39"/>
    </row>
    <row r="36" spans="1:4">
      <c r="A36" s="217" t="s">
        <v>167</v>
      </c>
      <c r="B36" s="39" t="s">
        <v>522</v>
      </c>
    </row>
    <row r="37" spans="1:4">
      <c r="A37" s="716"/>
    </row>
  </sheetData>
  <mergeCells count="3">
    <mergeCell ref="A1:D1"/>
    <mergeCell ref="A3:D3"/>
    <mergeCell ref="A2:D2"/>
  </mergeCells>
  <printOptions horizontalCentered="1"/>
  <pageMargins left="0.5" right="0.5" top="0.5" bottom="0.75" header="0.3" footer="0.5"/>
  <pageSetup orientation="portrait" r:id="rId1"/>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213"/>
  <sheetViews>
    <sheetView topLeftCell="A13" zoomScaleNormal="100" zoomScaleSheetLayoutView="75" workbookViewId="0">
      <selection activeCell="L6" sqref="L6"/>
    </sheetView>
  </sheetViews>
  <sheetFormatPr defaultColWidth="8.88671875" defaultRowHeight="13.2"/>
  <cols>
    <col min="1" max="1" width="6.44140625" style="496" customWidth="1"/>
    <col min="2" max="2" width="9.44140625" style="496" customWidth="1"/>
    <col min="3" max="3" width="12.44140625" style="496" bestFit="1" customWidth="1"/>
    <col min="4" max="4" width="16.44140625" style="496" bestFit="1" customWidth="1"/>
    <col min="5" max="5" width="12.44140625" style="496" bestFit="1" customWidth="1"/>
    <col min="6" max="6" width="17.109375" style="243" customWidth="1"/>
    <col min="7" max="7" width="14.109375" style="243" bestFit="1" customWidth="1"/>
    <col min="8" max="8" width="11.44140625" style="496" bestFit="1" customWidth="1"/>
    <col min="9" max="9" width="12.33203125" style="496" bestFit="1" customWidth="1"/>
    <col min="10" max="10" width="14.33203125" style="496" customWidth="1"/>
    <col min="11" max="11" width="12.44140625" style="496" bestFit="1" customWidth="1"/>
    <col min="12" max="12" width="15.88671875" style="496" bestFit="1" customWidth="1"/>
    <col min="13" max="13" width="14.33203125" style="496" customWidth="1"/>
    <col min="14" max="14" width="11" style="496" bestFit="1" customWidth="1"/>
    <col min="15" max="26" width="8.88671875" style="496"/>
    <col min="27" max="27" width="11.5546875" style="496" customWidth="1"/>
    <col min="28" max="16384" width="8.88671875" style="496"/>
  </cols>
  <sheetData>
    <row r="1" spans="1:13">
      <c r="A1" s="2344" t="str">
        <f>+'MISO Cover'!C6</f>
        <v>Entergy Louisiana, LLC</v>
      </c>
      <c r="B1" s="2344"/>
      <c r="C1" s="2344"/>
      <c r="D1" s="2344"/>
      <c r="E1" s="2344"/>
      <c r="F1" s="2344"/>
      <c r="G1" s="2344"/>
      <c r="H1" s="2344"/>
      <c r="I1" s="2344"/>
      <c r="J1" s="2344"/>
      <c r="K1" s="2344"/>
      <c r="L1" s="2344"/>
    </row>
    <row r="2" spans="1:13">
      <c r="A2" s="2369" t="s">
        <v>1902</v>
      </c>
      <c r="B2" s="2369"/>
      <c r="C2" s="2369"/>
      <c r="D2" s="2369"/>
      <c r="E2" s="2369"/>
      <c r="F2" s="2369"/>
      <c r="G2" s="2369"/>
      <c r="H2" s="2369"/>
      <c r="I2" s="2369"/>
      <c r="J2" s="2369"/>
      <c r="K2" s="2369"/>
      <c r="L2" s="2369"/>
      <c r="M2" s="1567" t="s">
        <v>1644</v>
      </c>
    </row>
    <row r="3" spans="1:13">
      <c r="A3" s="2370" t="str">
        <f>+'MISO Cover'!K4</f>
        <v>For  the 12 Months Ended 12/31/2017</v>
      </c>
      <c r="B3" s="2370"/>
      <c r="C3" s="2370"/>
      <c r="D3" s="2370"/>
      <c r="E3" s="2370"/>
      <c r="F3" s="2370"/>
      <c r="G3" s="2370"/>
      <c r="H3" s="2370"/>
      <c r="I3" s="2370"/>
      <c r="J3" s="2370"/>
      <c r="K3" s="2370"/>
      <c r="L3" s="2370"/>
    </row>
    <row r="4" spans="1:13">
      <c r="A4" s="1426"/>
      <c r="B4" s="1426"/>
      <c r="C4" s="1426"/>
      <c r="D4" s="1426"/>
      <c r="E4" s="1426"/>
    </row>
    <row r="5" spans="1:13" s="510" customFormat="1">
      <c r="A5" s="606" t="s">
        <v>280</v>
      </c>
      <c r="B5" s="592" t="s">
        <v>67</v>
      </c>
      <c r="C5" s="592" t="s">
        <v>114</v>
      </c>
      <c r="D5" s="606" t="s">
        <v>55</v>
      </c>
      <c r="E5" s="606" t="s">
        <v>68</v>
      </c>
      <c r="F5" s="606" t="s">
        <v>66</v>
      </c>
      <c r="G5" s="606" t="s">
        <v>154</v>
      </c>
      <c r="H5" s="606" t="s">
        <v>69</v>
      </c>
      <c r="I5" s="606" t="s">
        <v>166</v>
      </c>
      <c r="J5" s="606" t="s">
        <v>59</v>
      </c>
      <c r="K5" s="607" t="s">
        <v>60</v>
      </c>
      <c r="L5" s="607" t="s">
        <v>71</v>
      </c>
    </row>
    <row r="6" spans="1:13" s="510" customFormat="1" ht="15.6" customHeight="1">
      <c r="A6" s="678">
        <v>1</v>
      </c>
      <c r="B6" s="1789" t="s">
        <v>743</v>
      </c>
      <c r="C6" s="592"/>
      <c r="D6" s="606"/>
      <c r="E6" s="606"/>
      <c r="F6" s="592" t="s">
        <v>540</v>
      </c>
      <c r="G6" s="606"/>
      <c r="H6" s="606"/>
      <c r="I6" s="606"/>
      <c r="J6" s="606"/>
      <c r="K6" s="607"/>
      <c r="L6" s="663" t="s">
        <v>559</v>
      </c>
    </row>
    <row r="7" spans="1:13" s="511" customFormat="1" ht="30" customHeight="1">
      <c r="A7" s="678">
        <f>+A6+1</f>
        <v>2</v>
      </c>
      <c r="B7" s="496"/>
      <c r="C7" s="547" t="s">
        <v>414</v>
      </c>
      <c r="D7" s="547" t="s">
        <v>539</v>
      </c>
      <c r="E7" s="1353" t="s">
        <v>454</v>
      </c>
      <c r="F7" s="1353" t="s">
        <v>413</v>
      </c>
      <c r="G7" s="1353" t="s">
        <v>135</v>
      </c>
      <c r="H7" s="1353" t="s">
        <v>455</v>
      </c>
      <c r="I7" s="1353" t="s">
        <v>264</v>
      </c>
      <c r="J7" s="1353" t="s">
        <v>20</v>
      </c>
      <c r="K7" s="1353" t="s">
        <v>189</v>
      </c>
      <c r="L7" s="1353" t="s">
        <v>113</v>
      </c>
    </row>
    <row r="8" spans="1:13" s="507" customFormat="1">
      <c r="A8" s="678">
        <f>+A7+1</f>
        <v>3</v>
      </c>
      <c r="B8" s="503" t="s">
        <v>139</v>
      </c>
      <c r="C8" s="1346" t="s">
        <v>529</v>
      </c>
      <c r="D8" s="1346"/>
      <c r="E8" s="1346"/>
      <c r="F8" s="159" t="s">
        <v>528</v>
      </c>
      <c r="G8" s="159" t="s">
        <v>530</v>
      </c>
      <c r="H8" s="159"/>
      <c r="I8" s="159"/>
      <c r="J8" s="159" t="s">
        <v>531</v>
      </c>
      <c r="K8" s="159" t="s">
        <v>532</v>
      </c>
      <c r="L8" s="504"/>
    </row>
    <row r="9" spans="1:13" s="504" customFormat="1">
      <c r="A9" s="678">
        <f t="shared" ref="A9:A20" si="0">+A8+1</f>
        <v>4</v>
      </c>
      <c r="B9" s="1260" t="s">
        <v>37</v>
      </c>
      <c r="C9" s="673">
        <v>587666303.36999953</v>
      </c>
      <c r="D9" s="673">
        <v>10864868271.280001</v>
      </c>
      <c r="E9" s="673">
        <v>263361339.89999995</v>
      </c>
      <c r="F9" s="501">
        <f t="shared" ref="F9:F21" si="1">+D9+E9</f>
        <v>11128229611.18</v>
      </c>
      <c r="G9" s="673">
        <v>2945924805.6100006</v>
      </c>
      <c r="H9" s="673">
        <v>79699959.019999996</v>
      </c>
      <c r="I9" s="673">
        <v>165024056.40000001</v>
      </c>
      <c r="J9" s="673">
        <v>3949906178.2700005</v>
      </c>
      <c r="K9" s="673">
        <v>247973271.44000003</v>
      </c>
      <c r="L9" s="505">
        <f>+C9+D9+G9+J9+K9</f>
        <v>18596338829.969997</v>
      </c>
    </row>
    <row r="10" spans="1:13">
      <c r="A10" s="678">
        <f t="shared" si="0"/>
        <v>5</v>
      </c>
      <c r="B10" s="1260" t="s">
        <v>27</v>
      </c>
      <c r="C10" s="673">
        <v>587728529.75999951</v>
      </c>
      <c r="D10" s="673">
        <v>10852326081.840002</v>
      </c>
      <c r="E10" s="673">
        <v>263361339.89999995</v>
      </c>
      <c r="F10" s="501">
        <f t="shared" si="1"/>
        <v>11115687421.740002</v>
      </c>
      <c r="G10" s="673">
        <v>2946734940.0200009</v>
      </c>
      <c r="H10" s="673">
        <v>79304715.5</v>
      </c>
      <c r="I10" s="673">
        <v>165024056.20999998</v>
      </c>
      <c r="J10" s="673">
        <v>3959348992.4300008</v>
      </c>
      <c r="K10" s="673">
        <v>248339884.55000001</v>
      </c>
      <c r="L10" s="505">
        <f t="shared" ref="L10:L20" si="2">+C10+D10+G10+J10+K10</f>
        <v>18594478428.600002</v>
      </c>
    </row>
    <row r="11" spans="1:13">
      <c r="A11" s="678">
        <f t="shared" si="0"/>
        <v>6</v>
      </c>
      <c r="B11" s="1260" t="s">
        <v>28</v>
      </c>
      <c r="C11" s="673">
        <v>587860558.38999951</v>
      </c>
      <c r="D11" s="673">
        <v>10870685722.639999</v>
      </c>
      <c r="E11" s="673">
        <v>263361339.89999995</v>
      </c>
      <c r="F11" s="501">
        <f t="shared" si="1"/>
        <v>11134047062.539999</v>
      </c>
      <c r="G11" s="673">
        <v>2949249204.3400011</v>
      </c>
      <c r="H11" s="673">
        <v>79305132.719999999</v>
      </c>
      <c r="I11" s="673">
        <v>165024056.20999998</v>
      </c>
      <c r="J11" s="673">
        <v>3972326303.6800013</v>
      </c>
      <c r="K11" s="673">
        <v>249148426.74000001</v>
      </c>
      <c r="L11" s="505">
        <f t="shared" si="2"/>
        <v>18629270215.790001</v>
      </c>
    </row>
    <row r="12" spans="1:13">
      <c r="A12" s="678">
        <f t="shared" si="0"/>
        <v>7</v>
      </c>
      <c r="B12" s="1260" t="s">
        <v>29</v>
      </c>
      <c r="C12" s="673">
        <v>584397374.97999954</v>
      </c>
      <c r="D12" s="673">
        <v>10913833089.830002</v>
      </c>
      <c r="E12" s="673">
        <v>263361339.89999995</v>
      </c>
      <c r="F12" s="501">
        <f t="shared" si="1"/>
        <v>11177194429.730001</v>
      </c>
      <c r="G12" s="673">
        <v>2969790827.7200007</v>
      </c>
      <c r="H12" s="673">
        <v>79454687.859999999</v>
      </c>
      <c r="I12" s="673">
        <v>165024056.20999998</v>
      </c>
      <c r="J12" s="673">
        <v>3986400872.769999</v>
      </c>
      <c r="K12" s="673">
        <v>251802414.53</v>
      </c>
      <c r="L12" s="505">
        <f t="shared" si="2"/>
        <v>18706224579.830002</v>
      </c>
    </row>
    <row r="13" spans="1:13">
      <c r="A13" s="678">
        <f t="shared" si="0"/>
        <v>8</v>
      </c>
      <c r="B13" s="1260" t="s">
        <v>30</v>
      </c>
      <c r="C13" s="673">
        <v>585038575.67999947</v>
      </c>
      <c r="D13" s="673">
        <v>10912101451.059999</v>
      </c>
      <c r="E13" s="673">
        <v>263361339.89999995</v>
      </c>
      <c r="F13" s="501">
        <f t="shared" si="1"/>
        <v>11175462790.959999</v>
      </c>
      <c r="G13" s="673">
        <v>2975174991.3800015</v>
      </c>
      <c r="H13" s="673">
        <v>79399975.979999989</v>
      </c>
      <c r="I13" s="673">
        <v>165024056.20999998</v>
      </c>
      <c r="J13" s="673">
        <v>3998262382.7000022</v>
      </c>
      <c r="K13" s="673">
        <v>252504298.05000001</v>
      </c>
      <c r="L13" s="505">
        <f t="shared" si="2"/>
        <v>18723081698.870003</v>
      </c>
    </row>
    <row r="14" spans="1:13">
      <c r="A14" s="678">
        <f t="shared" si="0"/>
        <v>9</v>
      </c>
      <c r="B14" s="1260" t="s">
        <v>26</v>
      </c>
      <c r="C14" s="673">
        <v>585105012.18999958</v>
      </c>
      <c r="D14" s="673">
        <v>10947060172.120001</v>
      </c>
      <c r="E14" s="673">
        <v>263361339.89999995</v>
      </c>
      <c r="F14" s="501">
        <f t="shared" si="1"/>
        <v>11210421512.02</v>
      </c>
      <c r="G14" s="673">
        <v>2990373547.2800007</v>
      </c>
      <c r="H14" s="673">
        <v>79510704.659999996</v>
      </c>
      <c r="I14" s="673">
        <v>165959637.86999997</v>
      </c>
      <c r="J14" s="673">
        <v>4012180319.6599998</v>
      </c>
      <c r="K14" s="673">
        <v>253472577.22999993</v>
      </c>
      <c r="L14" s="505">
        <f t="shared" si="2"/>
        <v>18788191628.48</v>
      </c>
    </row>
    <row r="15" spans="1:13">
      <c r="A15" s="678">
        <f t="shared" si="0"/>
        <v>10</v>
      </c>
      <c r="B15" s="1260" t="s">
        <v>31</v>
      </c>
      <c r="C15" s="673">
        <v>584155500.85999966</v>
      </c>
      <c r="D15" s="673">
        <v>11005310489.85</v>
      </c>
      <c r="E15" s="673">
        <v>263361339.89999995</v>
      </c>
      <c r="F15" s="501">
        <f t="shared" si="1"/>
        <v>11268671829.75</v>
      </c>
      <c r="G15" s="673">
        <v>3025281879.2600007</v>
      </c>
      <c r="H15" s="673">
        <v>79515177.289999992</v>
      </c>
      <c r="I15" s="673">
        <v>165960763.07999998</v>
      </c>
      <c r="J15" s="673">
        <v>4029544035.1300006</v>
      </c>
      <c r="K15" s="673">
        <v>242264329.78000006</v>
      </c>
      <c r="L15" s="505">
        <f t="shared" si="2"/>
        <v>18886556234.879997</v>
      </c>
    </row>
    <row r="16" spans="1:13">
      <c r="A16" s="678">
        <f t="shared" si="0"/>
        <v>11</v>
      </c>
      <c r="B16" s="1260" t="s">
        <v>32</v>
      </c>
      <c r="C16" s="673">
        <v>594710182.38999963</v>
      </c>
      <c r="D16" s="673">
        <v>11012996986.889999</v>
      </c>
      <c r="E16" s="673">
        <v>263361339.89999995</v>
      </c>
      <c r="F16" s="501">
        <f t="shared" si="1"/>
        <v>11276358326.789999</v>
      </c>
      <c r="G16" s="673">
        <v>3038977113.6000004</v>
      </c>
      <c r="H16" s="673">
        <v>79515177.289999992</v>
      </c>
      <c r="I16" s="673">
        <v>166370568.16999999</v>
      </c>
      <c r="J16" s="673">
        <v>4048256625.4999995</v>
      </c>
      <c r="K16" s="673">
        <v>243510765.26000005</v>
      </c>
      <c r="L16" s="505">
        <f t="shared" si="2"/>
        <v>18938451673.639996</v>
      </c>
    </row>
    <row r="17" spans="1:14">
      <c r="A17" s="678">
        <f t="shared" si="0"/>
        <v>12</v>
      </c>
      <c r="B17" s="1260" t="s">
        <v>33</v>
      </c>
      <c r="C17" s="673">
        <v>597195062.77999961</v>
      </c>
      <c r="D17" s="673">
        <v>11022208868.019995</v>
      </c>
      <c r="E17" s="673">
        <v>263361339.89999995</v>
      </c>
      <c r="F17" s="501">
        <f t="shared" si="1"/>
        <v>11285570207.919994</v>
      </c>
      <c r="G17" s="673">
        <v>3042715050.4700003</v>
      </c>
      <c r="H17" s="673">
        <v>79515177.289999992</v>
      </c>
      <c r="I17" s="673">
        <v>166371062.03</v>
      </c>
      <c r="J17" s="673">
        <v>4065374259.7400007</v>
      </c>
      <c r="K17" s="673">
        <v>244215893.37</v>
      </c>
      <c r="L17" s="505">
        <f t="shared" si="2"/>
        <v>18971709134.379993</v>
      </c>
    </row>
    <row r="18" spans="1:14">
      <c r="A18" s="678">
        <f t="shared" si="0"/>
        <v>13</v>
      </c>
      <c r="B18" s="1260" t="s">
        <v>34</v>
      </c>
      <c r="C18" s="673">
        <v>597919311.65999961</v>
      </c>
      <c r="D18" s="673">
        <v>11030092252.689997</v>
      </c>
      <c r="E18" s="673">
        <v>263361339.89999995</v>
      </c>
      <c r="F18" s="501">
        <f t="shared" si="1"/>
        <v>11293453592.589996</v>
      </c>
      <c r="G18" s="673">
        <v>3043992387.730001</v>
      </c>
      <c r="H18" s="673">
        <v>79517260.409999996</v>
      </c>
      <c r="I18" s="673">
        <v>166435470.77000001</v>
      </c>
      <c r="J18" s="673">
        <v>4089071020.7199998</v>
      </c>
      <c r="K18" s="673">
        <v>245132932.60000002</v>
      </c>
      <c r="L18" s="505">
        <f t="shared" si="2"/>
        <v>19006207905.399998</v>
      </c>
    </row>
    <row r="19" spans="1:14">
      <c r="A19" s="678">
        <f t="shared" si="0"/>
        <v>14</v>
      </c>
      <c r="B19" s="1260" t="s">
        <v>35</v>
      </c>
      <c r="C19" s="673">
        <v>626046287.11999977</v>
      </c>
      <c r="D19" s="673">
        <v>11030079141.149996</v>
      </c>
      <c r="E19" s="673">
        <v>263361339.89999995</v>
      </c>
      <c r="F19" s="501">
        <f t="shared" si="1"/>
        <v>11293440481.049995</v>
      </c>
      <c r="G19" s="673">
        <v>3063216988.46</v>
      </c>
      <c r="H19" s="673">
        <v>79517260.409999996</v>
      </c>
      <c r="I19" s="673">
        <v>166504226.53</v>
      </c>
      <c r="J19" s="673">
        <v>4105510327.1700015</v>
      </c>
      <c r="K19" s="673">
        <v>246549211.45000002</v>
      </c>
      <c r="L19" s="505">
        <f t="shared" si="2"/>
        <v>19071401955.349998</v>
      </c>
    </row>
    <row r="20" spans="1:14">
      <c r="A20" s="678">
        <f t="shared" si="0"/>
        <v>15</v>
      </c>
      <c r="B20" s="1260" t="s">
        <v>36</v>
      </c>
      <c r="C20" s="673">
        <v>629791646.94999981</v>
      </c>
      <c r="D20" s="673">
        <v>11032969370.139997</v>
      </c>
      <c r="E20" s="673">
        <v>263361339.89999995</v>
      </c>
      <c r="F20" s="501">
        <f t="shared" si="1"/>
        <v>11296330710.039997</v>
      </c>
      <c r="G20" s="673">
        <v>3084325356.5300007</v>
      </c>
      <c r="H20" s="673">
        <v>79517260.409999996</v>
      </c>
      <c r="I20" s="673">
        <v>166504706.00999999</v>
      </c>
      <c r="J20" s="673">
        <v>4118576771.8000007</v>
      </c>
      <c r="K20" s="673">
        <v>251443708.08000001</v>
      </c>
      <c r="L20" s="505">
        <f t="shared" si="2"/>
        <v>19117106853.5</v>
      </c>
    </row>
    <row r="21" spans="1:14">
      <c r="A21" s="678">
        <f t="shared" ref="A21:A28" si="3">+A20+1</f>
        <v>16</v>
      </c>
      <c r="B21" s="1260" t="s">
        <v>37</v>
      </c>
      <c r="C21" s="673">
        <v>651828151.38999987</v>
      </c>
      <c r="D21" s="673">
        <v>11154176071.439997</v>
      </c>
      <c r="E21" s="673">
        <v>263361339.89999995</v>
      </c>
      <c r="F21" s="501">
        <f t="shared" si="1"/>
        <v>11417537411.339996</v>
      </c>
      <c r="G21" s="673">
        <v>3226216661.4899993</v>
      </c>
      <c r="H21" s="673">
        <v>93344272.13000001</v>
      </c>
      <c r="I21" s="673">
        <v>182216123.94999999</v>
      </c>
      <c r="J21" s="673">
        <v>4152496945.6100011</v>
      </c>
      <c r="K21" s="673">
        <v>262869004.72000003</v>
      </c>
      <c r="L21" s="505">
        <f>+C21+D21+G21+J21+K21</f>
        <v>19447586834.649998</v>
      </c>
    </row>
    <row r="22" spans="1:14">
      <c r="A22" s="678">
        <f t="shared" si="3"/>
        <v>17</v>
      </c>
      <c r="B22" s="508" t="s">
        <v>139</v>
      </c>
      <c r="C22" s="1346" t="s">
        <v>499</v>
      </c>
      <c r="D22" s="1346"/>
      <c r="E22" s="1346"/>
      <c r="F22" s="159" t="s">
        <v>541</v>
      </c>
      <c r="G22" s="1346" t="s">
        <v>1059</v>
      </c>
      <c r="H22" s="1346"/>
      <c r="I22" s="159"/>
      <c r="J22" s="159" t="s">
        <v>534</v>
      </c>
      <c r="K22" s="159" t="s">
        <v>533</v>
      </c>
      <c r="L22" s="504"/>
    </row>
    <row r="23" spans="1:14" s="504" customFormat="1">
      <c r="A23" s="678">
        <f t="shared" si="3"/>
        <v>18</v>
      </c>
      <c r="B23" s="508" t="s">
        <v>415</v>
      </c>
      <c r="C23" s="1261">
        <f>SUM(C9:C21)/13</f>
        <v>599957115.19384575</v>
      </c>
      <c r="D23" s="1261">
        <f t="shared" ref="D23:L23" si="4">SUM(D9:D21)/13</f>
        <v>10972977536.073076</v>
      </c>
      <c r="E23" s="1261">
        <f t="shared" si="4"/>
        <v>263361339.89999998</v>
      </c>
      <c r="F23" s="1261">
        <f t="shared" si="4"/>
        <v>11236338875.973074</v>
      </c>
      <c r="G23" s="1261">
        <f t="shared" si="4"/>
        <v>3023228750.2992315</v>
      </c>
      <c r="H23" s="1261">
        <f t="shared" si="4"/>
        <v>80547443.151538432</v>
      </c>
      <c r="I23" s="1261">
        <f t="shared" si="4"/>
        <v>167034064.58846155</v>
      </c>
      <c r="J23" s="1261">
        <f t="shared" si="4"/>
        <v>4037481156.5523081</v>
      </c>
      <c r="K23" s="1261">
        <f t="shared" si="4"/>
        <v>249171285.98461533</v>
      </c>
      <c r="L23" s="1261">
        <f t="shared" si="4"/>
        <v>18882815844.103073</v>
      </c>
      <c r="N23" s="496"/>
    </row>
    <row r="24" spans="1:14">
      <c r="A24" s="678">
        <f t="shared" si="3"/>
        <v>19</v>
      </c>
      <c r="B24" s="509"/>
      <c r="F24" s="496"/>
      <c r="G24" s="496"/>
    </row>
    <row r="25" spans="1:14">
      <c r="A25" s="678">
        <f t="shared" si="3"/>
        <v>20</v>
      </c>
      <c r="B25" s="509"/>
      <c r="F25" s="496"/>
      <c r="G25" s="496"/>
    </row>
    <row r="26" spans="1:14">
      <c r="A26" s="678">
        <f t="shared" si="3"/>
        <v>21</v>
      </c>
      <c r="B26" s="1789" t="s">
        <v>1488</v>
      </c>
      <c r="C26" s="608"/>
      <c r="D26" s="609"/>
      <c r="E26" s="609"/>
      <c r="F26" s="609"/>
      <c r="G26" s="609"/>
      <c r="H26" s="609"/>
      <c r="I26" s="609"/>
      <c r="J26" s="609"/>
      <c r="K26" s="511"/>
      <c r="L26" s="511"/>
      <c r="M26" s="1567" t="s">
        <v>1645</v>
      </c>
    </row>
    <row r="27" spans="1:14" s="511" customFormat="1" ht="30" customHeight="1">
      <c r="A27" s="678">
        <f t="shared" si="3"/>
        <v>22</v>
      </c>
      <c r="B27" s="496"/>
      <c r="C27" s="547" t="s">
        <v>414</v>
      </c>
      <c r="D27" s="547" t="s">
        <v>539</v>
      </c>
      <c r="E27" s="1353" t="s">
        <v>454</v>
      </c>
      <c r="F27" s="1353" t="s">
        <v>413</v>
      </c>
      <c r="G27" s="1353" t="s">
        <v>135</v>
      </c>
      <c r="H27" s="1353" t="s">
        <v>455</v>
      </c>
      <c r="I27" s="1353" t="s">
        <v>264</v>
      </c>
      <c r="J27" s="1353" t="s">
        <v>20</v>
      </c>
      <c r="K27" s="1353" t="s">
        <v>189</v>
      </c>
      <c r="L27" s="1353" t="s">
        <v>113</v>
      </c>
      <c r="N27" s="496"/>
    </row>
    <row r="28" spans="1:14">
      <c r="A28" s="678">
        <f t="shared" si="3"/>
        <v>23</v>
      </c>
      <c r="B28" s="506" t="str">
        <f>+B9</f>
        <v>Dec</v>
      </c>
      <c r="C28" s="673">
        <v>448770512</v>
      </c>
      <c r="D28" s="673">
        <v>5660527883</v>
      </c>
      <c r="E28" s="673">
        <v>98013502</v>
      </c>
      <c r="F28" s="501">
        <f t="shared" ref="F28:F40" si="5">+D28+E28</f>
        <v>5758541385</v>
      </c>
      <c r="G28" s="673">
        <v>1045526805</v>
      </c>
      <c r="H28" s="673">
        <v>22264334.749999996</v>
      </c>
      <c r="I28" s="673">
        <v>26266594.34</v>
      </c>
      <c r="J28" s="673">
        <v>1325651776</v>
      </c>
      <c r="K28" s="673">
        <v>87147621.000000015</v>
      </c>
      <c r="L28" s="505">
        <f t="shared" ref="L28:L39" si="6">+C28+D28+G28+J28+K28</f>
        <v>8567624597</v>
      </c>
      <c r="M28" s="243"/>
    </row>
    <row r="29" spans="1:14">
      <c r="A29" s="678">
        <f t="shared" ref="A29:A42" si="7">+A28+1</f>
        <v>24</v>
      </c>
      <c r="B29" s="506" t="str">
        <f t="shared" ref="B29:B40" si="8">+B10</f>
        <v>Jan</v>
      </c>
      <c r="C29" s="673">
        <v>451085861.03000027</v>
      </c>
      <c r="D29" s="673">
        <v>5655215046.3199997</v>
      </c>
      <c r="E29" s="673">
        <v>98448438.439999983</v>
      </c>
      <c r="F29" s="501">
        <f t="shared" si="5"/>
        <v>5753663484.7599993</v>
      </c>
      <c r="G29" s="673">
        <v>1049309545.6999999</v>
      </c>
      <c r="H29" s="673">
        <v>21967862.449999999</v>
      </c>
      <c r="I29" s="673">
        <v>26985100.088700008</v>
      </c>
      <c r="J29" s="673">
        <v>1333890722.6000001</v>
      </c>
      <c r="K29" s="673">
        <v>88912347.880000025</v>
      </c>
      <c r="L29" s="505">
        <f t="shared" si="6"/>
        <v>8578413523.5300007</v>
      </c>
    </row>
    <row r="30" spans="1:14">
      <c r="A30" s="678">
        <f t="shared" si="7"/>
        <v>25</v>
      </c>
      <c r="B30" s="506" t="str">
        <f t="shared" si="8"/>
        <v>Feb</v>
      </c>
      <c r="C30" s="673">
        <v>453366378.02000004</v>
      </c>
      <c r="D30" s="673">
        <v>5671520785.3300009</v>
      </c>
      <c r="E30" s="673">
        <v>98883373.859999999</v>
      </c>
      <c r="F30" s="501">
        <f t="shared" si="5"/>
        <v>5770404159.1900005</v>
      </c>
      <c r="G30" s="673">
        <v>1053815628.7199999</v>
      </c>
      <c r="H30" s="673">
        <v>22050128.049999997</v>
      </c>
      <c r="I30" s="673">
        <v>27365518.63759999</v>
      </c>
      <c r="J30" s="673">
        <v>1343095543.8400002</v>
      </c>
      <c r="K30" s="673">
        <v>90255658.359999985</v>
      </c>
      <c r="L30" s="505">
        <f t="shared" si="6"/>
        <v>8612053994.2700024</v>
      </c>
    </row>
    <row r="31" spans="1:14">
      <c r="A31" s="678">
        <f t="shared" si="7"/>
        <v>26</v>
      </c>
      <c r="B31" s="506" t="str">
        <f t="shared" si="8"/>
        <v>Mar</v>
      </c>
      <c r="C31" s="673">
        <v>455774240.20999986</v>
      </c>
      <c r="D31" s="673">
        <v>5664782999.3800001</v>
      </c>
      <c r="E31" s="673">
        <v>99318309.810000002</v>
      </c>
      <c r="F31" s="501">
        <f t="shared" si="5"/>
        <v>5764101309.1900005</v>
      </c>
      <c r="G31" s="673">
        <v>1054732414.6300002</v>
      </c>
      <c r="H31" s="673">
        <v>22132275.109999999</v>
      </c>
      <c r="I31" s="673">
        <v>27739833.369600009</v>
      </c>
      <c r="J31" s="673">
        <v>1346322417.1200011</v>
      </c>
      <c r="K31" s="673">
        <v>91014046.399999991</v>
      </c>
      <c r="L31" s="505">
        <f t="shared" si="6"/>
        <v>8612626117.7400017</v>
      </c>
    </row>
    <row r="32" spans="1:14">
      <c r="A32" s="678">
        <f t="shared" si="7"/>
        <v>27</v>
      </c>
      <c r="B32" s="506" t="str">
        <f t="shared" si="8"/>
        <v>Apr</v>
      </c>
      <c r="C32" s="673">
        <v>458100639.92000008</v>
      </c>
      <c r="D32" s="673">
        <v>5670296089.7599993</v>
      </c>
      <c r="E32" s="673">
        <v>99753245.340000004</v>
      </c>
      <c r="F32" s="501">
        <f t="shared" si="5"/>
        <v>5770049335.0999994</v>
      </c>
      <c r="G32" s="673">
        <v>1055606763.7100002</v>
      </c>
      <c r="H32" s="673">
        <v>22143568.41</v>
      </c>
      <c r="I32" s="673">
        <v>28103933.983300012</v>
      </c>
      <c r="J32" s="673">
        <v>1353479144.6399999</v>
      </c>
      <c r="K32" s="673">
        <v>92791236.800000042</v>
      </c>
      <c r="L32" s="505">
        <f t="shared" si="6"/>
        <v>8630273874.829998</v>
      </c>
    </row>
    <row r="33" spans="1:15">
      <c r="A33" s="678">
        <f t="shared" si="7"/>
        <v>28</v>
      </c>
      <c r="B33" s="506" t="str">
        <f t="shared" si="8"/>
        <v>May</v>
      </c>
      <c r="C33" s="673">
        <v>460349451.88000017</v>
      </c>
      <c r="D33" s="673">
        <v>5671773986.6899996</v>
      </c>
      <c r="E33" s="673">
        <v>100188181.7</v>
      </c>
      <c r="F33" s="501">
        <f t="shared" si="5"/>
        <v>5771962168.3899994</v>
      </c>
      <c r="G33" s="673">
        <v>1058498034.7199998</v>
      </c>
      <c r="H33" s="673">
        <v>22241952.680000003</v>
      </c>
      <c r="I33" s="673">
        <v>28498737.454900008</v>
      </c>
      <c r="J33" s="673">
        <v>1361104866.9700005</v>
      </c>
      <c r="K33" s="673">
        <v>93911374.609999999</v>
      </c>
      <c r="L33" s="505">
        <f t="shared" si="6"/>
        <v>8645637714.8699989</v>
      </c>
    </row>
    <row r="34" spans="1:15">
      <c r="A34" s="678">
        <f t="shared" si="7"/>
        <v>29</v>
      </c>
      <c r="B34" s="506" t="str">
        <f t="shared" si="8"/>
        <v>Jun</v>
      </c>
      <c r="C34" s="673">
        <v>461460208.35000002</v>
      </c>
      <c r="D34" s="673">
        <v>5677212351.6799994</v>
      </c>
      <c r="E34" s="673">
        <v>100623117.77</v>
      </c>
      <c r="F34" s="501">
        <f t="shared" si="5"/>
        <v>5777835469.4499998</v>
      </c>
      <c r="G34" s="673">
        <v>1062283961.4800003</v>
      </c>
      <c r="H34" s="673">
        <v>22339813.219999999</v>
      </c>
      <c r="I34" s="673">
        <v>28888370.695500001</v>
      </c>
      <c r="J34" s="673">
        <v>1369492056.0300002</v>
      </c>
      <c r="K34" s="673">
        <v>82784407.409999937</v>
      </c>
      <c r="L34" s="505">
        <f t="shared" si="6"/>
        <v>8653232984.9500008</v>
      </c>
    </row>
    <row r="35" spans="1:15">
      <c r="A35" s="678">
        <f t="shared" si="7"/>
        <v>30</v>
      </c>
      <c r="B35" s="506" t="str">
        <f t="shared" si="8"/>
        <v>Jul</v>
      </c>
      <c r="C35" s="673">
        <v>464705341.08000016</v>
      </c>
      <c r="D35" s="673">
        <v>5695314200.039999</v>
      </c>
      <c r="E35" s="673">
        <v>101058053.39999999</v>
      </c>
      <c r="F35" s="501">
        <f t="shared" si="5"/>
        <v>5796372253.4399986</v>
      </c>
      <c r="G35" s="673">
        <v>1064238812.0000005</v>
      </c>
      <c r="H35" s="673">
        <v>22438346.090000004</v>
      </c>
      <c r="I35" s="673">
        <v>29200258.228700001</v>
      </c>
      <c r="J35" s="673">
        <v>1375226846.5800002</v>
      </c>
      <c r="K35" s="673">
        <v>84980382.959999979</v>
      </c>
      <c r="L35" s="505">
        <f t="shared" si="6"/>
        <v>8684465582.6599979</v>
      </c>
    </row>
    <row r="36" spans="1:15">
      <c r="A36" s="678">
        <f t="shared" si="7"/>
        <v>31</v>
      </c>
      <c r="B36" s="506" t="str">
        <f t="shared" si="8"/>
        <v>Aug</v>
      </c>
      <c r="C36" s="673">
        <v>466951903.78000003</v>
      </c>
      <c r="D36" s="673">
        <v>5709318587.1300001</v>
      </c>
      <c r="E36" s="673">
        <v>101492989.11999999</v>
      </c>
      <c r="F36" s="501">
        <f t="shared" si="5"/>
        <v>5810811576.25</v>
      </c>
      <c r="G36" s="673">
        <v>1062626400.1500001</v>
      </c>
      <c r="H36" s="673">
        <v>22536878.959999997</v>
      </c>
      <c r="I36" s="673">
        <v>29591694.004800003</v>
      </c>
      <c r="J36" s="673">
        <v>1383217624.8400002</v>
      </c>
      <c r="K36" s="673">
        <v>86180393.48999998</v>
      </c>
      <c r="L36" s="505">
        <f t="shared" si="6"/>
        <v>8708294909.3899994</v>
      </c>
    </row>
    <row r="37" spans="1:15">
      <c r="A37" s="678">
        <f t="shared" si="7"/>
        <v>32</v>
      </c>
      <c r="B37" s="506" t="str">
        <f t="shared" si="8"/>
        <v>Sep</v>
      </c>
      <c r="C37" s="673">
        <v>469219740.28000009</v>
      </c>
      <c r="D37" s="673">
        <v>5725031963.8899994</v>
      </c>
      <c r="E37" s="673">
        <v>101927924.94999999</v>
      </c>
      <c r="F37" s="501">
        <f t="shared" si="5"/>
        <v>5826959888.8399992</v>
      </c>
      <c r="G37" s="673">
        <v>1065247286.0500003</v>
      </c>
      <c r="H37" s="673">
        <v>22635411.829999994</v>
      </c>
      <c r="I37" s="673">
        <v>29985778.495900013</v>
      </c>
      <c r="J37" s="673">
        <v>1387854669.3599994</v>
      </c>
      <c r="K37" s="673">
        <v>87327584.970000014</v>
      </c>
      <c r="L37" s="505">
        <f t="shared" si="6"/>
        <v>8734681244.5499973</v>
      </c>
    </row>
    <row r="38" spans="1:15">
      <c r="A38" s="678">
        <f t="shared" si="7"/>
        <v>33</v>
      </c>
      <c r="B38" s="506" t="str">
        <f t="shared" si="8"/>
        <v>Oct</v>
      </c>
      <c r="C38" s="673">
        <v>470468651.62000006</v>
      </c>
      <c r="D38" s="673">
        <v>5732717141.1099997</v>
      </c>
      <c r="E38" s="673">
        <v>102362860.29999998</v>
      </c>
      <c r="F38" s="501">
        <f t="shared" si="5"/>
        <v>5835080001.4099998</v>
      </c>
      <c r="G38" s="673">
        <v>1068450593.1399995</v>
      </c>
      <c r="H38" s="673">
        <v>22733947.389999997</v>
      </c>
      <c r="I38" s="673">
        <v>30365965.950200003</v>
      </c>
      <c r="J38" s="673">
        <v>1395427558.4199991</v>
      </c>
      <c r="K38" s="673">
        <v>87859224.86999993</v>
      </c>
      <c r="L38" s="505">
        <f t="shared" si="6"/>
        <v>8754923169.1599979</v>
      </c>
    </row>
    <row r="39" spans="1:15">
      <c r="A39" s="678">
        <f t="shared" si="7"/>
        <v>34</v>
      </c>
      <c r="B39" s="506" t="str">
        <f t="shared" si="8"/>
        <v>Nov</v>
      </c>
      <c r="C39" s="673">
        <v>472813404.76000011</v>
      </c>
      <c r="D39" s="673">
        <v>5744267619.0299997</v>
      </c>
      <c r="E39" s="673">
        <v>102797795.67000002</v>
      </c>
      <c r="F39" s="501">
        <f t="shared" si="5"/>
        <v>5847065414.6999998</v>
      </c>
      <c r="G39" s="673">
        <v>1070912253.8700002</v>
      </c>
      <c r="H39" s="673">
        <v>22832482.950000003</v>
      </c>
      <c r="I39" s="673">
        <v>30722078.604500003</v>
      </c>
      <c r="J39" s="673">
        <v>1404067590.6699998</v>
      </c>
      <c r="K39" s="673">
        <v>88916309.730000004</v>
      </c>
      <c r="L39" s="505">
        <f t="shared" si="6"/>
        <v>8780977178.0599995</v>
      </c>
      <c r="M39" s="812"/>
    </row>
    <row r="40" spans="1:15">
      <c r="A40" s="678">
        <f t="shared" si="7"/>
        <v>35</v>
      </c>
      <c r="B40" s="506" t="str">
        <f t="shared" si="8"/>
        <v>Dec</v>
      </c>
      <c r="C40" s="673">
        <v>475952331.31999999</v>
      </c>
      <c r="D40" s="673">
        <v>5753535586.75</v>
      </c>
      <c r="E40" s="673">
        <v>103232731.17</v>
      </c>
      <c r="F40" s="501">
        <f t="shared" si="5"/>
        <v>5856768317.9200001</v>
      </c>
      <c r="G40" s="673">
        <v>1081508377.6900001</v>
      </c>
      <c r="H40" s="673">
        <v>31305624.539999999</v>
      </c>
      <c r="I40" s="673">
        <v>31237799.755700011</v>
      </c>
      <c r="J40" s="673">
        <v>1411191732.0400002</v>
      </c>
      <c r="K40" s="673">
        <v>83828442.670000017</v>
      </c>
      <c r="L40" s="502">
        <f>+C40+D40+G40+J40+K40</f>
        <v>8806016470.4700012</v>
      </c>
    </row>
    <row r="41" spans="1:15" s="504" customFormat="1">
      <c r="A41" s="678">
        <f t="shared" si="7"/>
        <v>36</v>
      </c>
      <c r="B41" s="508" t="s">
        <v>139</v>
      </c>
      <c r="C41" s="1627"/>
      <c r="D41" s="1346"/>
      <c r="E41" s="1346"/>
      <c r="F41" s="1627"/>
      <c r="G41" s="1627"/>
      <c r="H41" s="1346"/>
      <c r="I41" s="1628"/>
      <c r="J41" s="1627"/>
      <c r="K41" s="1627"/>
      <c r="M41" s="501" t="s">
        <v>1646</v>
      </c>
      <c r="N41" s="496"/>
      <c r="O41" s="866"/>
    </row>
    <row r="42" spans="1:15">
      <c r="A42" s="678">
        <f t="shared" si="7"/>
        <v>37</v>
      </c>
      <c r="B42" s="508" t="s">
        <v>415</v>
      </c>
      <c r="C42" s="1261">
        <f>SUM(C28:C40)/13</f>
        <v>462232204.94230777</v>
      </c>
      <c r="D42" s="1261">
        <f t="shared" ref="D42:L42" si="9">SUM(D28:D40)/13</f>
        <v>5694731864.6238451</v>
      </c>
      <c r="E42" s="1261">
        <f t="shared" si="9"/>
        <v>100623117.19461539</v>
      </c>
      <c r="F42" s="1261">
        <f t="shared" si="9"/>
        <v>5795354981.8184605</v>
      </c>
      <c r="G42" s="1261">
        <f t="shared" si="9"/>
        <v>1060981298.2200001</v>
      </c>
      <c r="H42" s="1261">
        <f t="shared" si="9"/>
        <v>23047894.340769231</v>
      </c>
      <c r="I42" s="1261">
        <f t="shared" si="9"/>
        <v>28842435.662261546</v>
      </c>
      <c r="J42" s="1261">
        <f t="shared" si="9"/>
        <v>1368463273.0084612</v>
      </c>
      <c r="K42" s="1261">
        <f t="shared" si="9"/>
        <v>88146848.550000012</v>
      </c>
      <c r="L42" s="1261">
        <f t="shared" si="9"/>
        <v>8674555489.3446159</v>
      </c>
      <c r="M42" s="256" t="s">
        <v>1487</v>
      </c>
      <c r="O42" s="504"/>
    </row>
    <row r="43" spans="1:15">
      <c r="A43" s="679"/>
      <c r="D43" s="500"/>
      <c r="E43" s="500"/>
      <c r="M43" s="867"/>
      <c r="O43" s="762"/>
    </row>
    <row r="44" spans="1:15">
      <c r="A44" s="496" t="s">
        <v>299</v>
      </c>
      <c r="D44" s="501"/>
      <c r="E44" s="501"/>
      <c r="M44" s="505"/>
    </row>
    <row r="45" spans="1:15" ht="26.4" customHeight="1">
      <c r="A45" s="907" t="s">
        <v>167</v>
      </c>
      <c r="B45" s="2368" t="s">
        <v>537</v>
      </c>
      <c r="C45" s="2368"/>
      <c r="D45" s="2368"/>
      <c r="E45" s="2368"/>
      <c r="F45" s="2368"/>
      <c r="G45" s="2368"/>
      <c r="H45" s="2368"/>
      <c r="I45" s="2368"/>
      <c r="J45" s="2368"/>
      <c r="K45" s="2368"/>
      <c r="L45" s="2368"/>
    </row>
    <row r="46" spans="1:15" ht="27" customHeight="1">
      <c r="A46" s="795" t="s">
        <v>320</v>
      </c>
      <c r="B46" s="2357" t="s">
        <v>1897</v>
      </c>
      <c r="C46" s="2357"/>
      <c r="D46" s="2357"/>
      <c r="E46" s="2357"/>
      <c r="F46" s="2357"/>
      <c r="G46" s="2357"/>
      <c r="H46" s="2357"/>
      <c r="I46" s="2357"/>
      <c r="J46" s="2357"/>
      <c r="K46" s="2357"/>
      <c r="L46" s="2357"/>
      <c r="M46" s="1568" t="s">
        <v>1647</v>
      </c>
    </row>
    <row r="47" spans="1:15">
      <c r="E47" s="501"/>
    </row>
    <row r="48" spans="1:15">
      <c r="E48" s="501"/>
    </row>
    <row r="49" spans="4:5">
      <c r="E49" s="500"/>
    </row>
    <row r="50" spans="4:5">
      <c r="E50" s="500"/>
    </row>
    <row r="51" spans="4:5">
      <c r="D51" s="500"/>
      <c r="E51" s="500"/>
    </row>
    <row r="52" spans="4:5">
      <c r="D52" s="500"/>
      <c r="E52" s="500"/>
    </row>
    <row r="213" spans="7:7">
      <c r="G213" s="74"/>
    </row>
  </sheetData>
  <mergeCells count="5">
    <mergeCell ref="B46:L46"/>
    <mergeCell ref="B45:L45"/>
    <mergeCell ref="A2:L2"/>
    <mergeCell ref="A1:L1"/>
    <mergeCell ref="A3:L3"/>
  </mergeCells>
  <printOptions horizontalCentered="1"/>
  <pageMargins left="0.7" right="0.7" top="0.7" bottom="0.7" header="0.3" footer="0.5"/>
  <pageSetup scale="80" orientation="landscape" r:id="rId1"/>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L6" sqref="L6"/>
    </sheetView>
  </sheetViews>
  <sheetFormatPr defaultRowHeight="13.2"/>
  <cols>
    <col min="1" max="1" width="3.33203125" style="188" bestFit="1" customWidth="1"/>
    <col min="2" max="2" width="12.33203125" customWidth="1"/>
    <col min="3" max="3" width="14.109375" bestFit="1" customWidth="1"/>
    <col min="4" max="4" width="14.33203125" customWidth="1"/>
    <col min="5" max="5" width="13.88671875" bestFit="1" customWidth="1"/>
    <col min="6" max="6" width="14.33203125" bestFit="1" customWidth="1"/>
    <col min="7" max="7" width="12.5546875" bestFit="1" customWidth="1"/>
    <col min="8" max="8" width="14.6640625" bestFit="1" customWidth="1"/>
    <col min="9" max="9" width="14.109375" bestFit="1" customWidth="1"/>
    <col min="10" max="10" width="14.33203125" bestFit="1" customWidth="1"/>
    <col min="11" max="11" width="11.44140625" bestFit="1" customWidth="1"/>
  </cols>
  <sheetData>
    <row r="1" spans="1:11" s="496" customFormat="1">
      <c r="A1" s="2371" t="str">
        <f>+'MISO Cover'!C6</f>
        <v>Entergy Louisiana, LLC</v>
      </c>
      <c r="B1" s="2344"/>
      <c r="C1" s="2344"/>
      <c r="D1" s="2344"/>
      <c r="E1" s="2344"/>
      <c r="F1" s="2344"/>
      <c r="G1" s="2344"/>
      <c r="H1" s="2344"/>
      <c r="I1" s="2344"/>
    </row>
    <row r="2" spans="1:11" s="496" customFormat="1">
      <c r="A2" s="2369" t="s">
        <v>2226</v>
      </c>
      <c r="B2" s="2369"/>
      <c r="C2" s="2369"/>
      <c r="D2" s="2369"/>
      <c r="E2" s="2369"/>
      <c r="F2" s="2369"/>
      <c r="G2" s="2369"/>
      <c r="H2" s="2369"/>
      <c r="I2" s="2369"/>
      <c r="J2" s="501" t="s">
        <v>2227</v>
      </c>
    </row>
    <row r="3" spans="1:11" s="496" customFormat="1">
      <c r="A3" s="2370" t="str">
        <f>+'MISO Cover'!K4</f>
        <v>For  the 12 Months Ended 12/31/2017</v>
      </c>
      <c r="B3" s="2370"/>
      <c r="C3" s="2370"/>
      <c r="D3" s="2370"/>
      <c r="E3" s="2370"/>
      <c r="F3" s="2370"/>
      <c r="G3" s="2370"/>
      <c r="H3" s="2370"/>
      <c r="I3" s="2370"/>
    </row>
    <row r="4" spans="1:11" s="496" customFormat="1">
      <c r="A4" s="2143"/>
      <c r="B4" s="2142"/>
      <c r="C4" s="2142"/>
      <c r="D4" s="2142"/>
      <c r="E4" s="2142"/>
      <c r="F4" s="2142"/>
      <c r="G4" s="2142"/>
      <c r="H4" s="2142"/>
      <c r="I4" s="2142"/>
    </row>
    <row r="5" spans="1:11" s="496" customFormat="1">
      <c r="A5" s="2143" t="s">
        <v>67</v>
      </c>
      <c r="B5" s="2142" t="s">
        <v>114</v>
      </c>
      <c r="C5" s="2142" t="s">
        <v>55</v>
      </c>
      <c r="D5" s="2142" t="s">
        <v>68</v>
      </c>
      <c r="E5" s="2142" t="s">
        <v>66</v>
      </c>
      <c r="F5" s="2142" t="s">
        <v>154</v>
      </c>
      <c r="G5" s="2142" t="s">
        <v>69</v>
      </c>
      <c r="H5" s="2142" t="s">
        <v>166</v>
      </c>
      <c r="I5" s="2142" t="s">
        <v>59</v>
      </c>
    </row>
    <row r="6" spans="1:11" s="496" customFormat="1">
      <c r="A6" s="2143"/>
      <c r="B6" s="2142"/>
      <c r="C6" s="2142"/>
      <c r="D6" s="2142"/>
      <c r="E6" s="2142"/>
      <c r="F6" s="2142"/>
      <c r="G6" s="2142"/>
      <c r="H6" s="2142"/>
      <c r="I6" s="2142"/>
    </row>
    <row r="7" spans="1:11" s="2144" customFormat="1" ht="27">
      <c r="A7" s="2144" t="s">
        <v>280</v>
      </c>
      <c r="B7" s="2145" t="s">
        <v>1471</v>
      </c>
      <c r="C7" s="2146" t="s">
        <v>2228</v>
      </c>
      <c r="D7" s="2146" t="s">
        <v>2229</v>
      </c>
      <c r="E7" s="2146" t="s">
        <v>2230</v>
      </c>
      <c r="F7" s="2146" t="s">
        <v>2231</v>
      </c>
      <c r="G7" s="2146" t="s">
        <v>2232</v>
      </c>
      <c r="H7" s="2146" t="s">
        <v>2233</v>
      </c>
      <c r="I7" s="2146" t="s">
        <v>2234</v>
      </c>
      <c r="J7" s="2147"/>
    </row>
    <row r="8" spans="1:11">
      <c r="A8" s="188">
        <v>1</v>
      </c>
      <c r="B8" s="1680" t="s">
        <v>169</v>
      </c>
      <c r="C8" s="2148">
        <f>+'WP04 PIS'!K28</f>
        <v>87147621.000000015</v>
      </c>
      <c r="D8" s="2115">
        <v>-19300892.700000003</v>
      </c>
      <c r="E8" s="2148">
        <f>+'WP18 Deprec'!D23</f>
        <v>16254945.559999999</v>
      </c>
      <c r="F8" s="2115">
        <v>559.4</v>
      </c>
      <c r="G8" s="2115">
        <v>-142898.80000000002</v>
      </c>
      <c r="H8" s="2115">
        <v>-130891.17000000001</v>
      </c>
      <c r="I8" s="2148">
        <f>+'WP04 PIS'!K40</f>
        <v>83828442.670000017</v>
      </c>
      <c r="J8" s="496" t="str">
        <f t="shared" ref="J8:J10" si="0">+IF(I8-SUM(C8:H8)&gt;2,I8-SUM(C8:H8),"")</f>
        <v/>
      </c>
    </row>
    <row r="9" spans="1:11" s="1680" customFormat="1">
      <c r="A9" s="2149">
        <v>2</v>
      </c>
      <c r="B9" s="1680" t="s">
        <v>414</v>
      </c>
      <c r="C9" s="2148">
        <f>+'WP04 PIS'!C28</f>
        <v>448770512</v>
      </c>
      <c r="D9" s="2115">
        <v>-1076073.68</v>
      </c>
      <c r="E9" s="2148">
        <f>+'WP18 Deprec'!D36</f>
        <v>28257890.880000062</v>
      </c>
      <c r="F9" s="74">
        <v>0</v>
      </c>
      <c r="G9" s="74">
        <v>0</v>
      </c>
      <c r="H9" s="74">
        <v>0</v>
      </c>
      <c r="I9" s="1419">
        <f>+'WP04 PIS'!C40</f>
        <v>475952331.31999999</v>
      </c>
      <c r="J9" s="496" t="str">
        <f>+IF(I9-SUM(C9:H9)&gt;3,I9-SUM(C9:H9),"")</f>
        <v/>
      </c>
    </row>
    <row r="10" spans="1:11">
      <c r="A10" s="188">
        <v>3</v>
      </c>
      <c r="B10" s="1680" t="s">
        <v>601</v>
      </c>
      <c r="C10" s="2148">
        <f>+'WP04 PIS'!G28</f>
        <v>1045526805</v>
      </c>
      <c r="D10" s="2115">
        <v>-12520426.530000001</v>
      </c>
      <c r="E10" s="2148">
        <f>+'WP18 Deprec'!D52</f>
        <v>51892528.090000004</v>
      </c>
      <c r="F10" s="2115">
        <v>10460026.879999999</v>
      </c>
      <c r="G10" s="74">
        <v>-8293321.4800000004</v>
      </c>
      <c r="H10" s="74">
        <v>-5557233.8399999961</v>
      </c>
      <c r="I10" s="1419">
        <f>+'WP04 PIS'!G40</f>
        <v>1081508377.6900001</v>
      </c>
      <c r="J10" s="496" t="str">
        <f t="shared" si="0"/>
        <v/>
      </c>
    </row>
    <row r="11" spans="1:11">
      <c r="C11" s="1482" t="s">
        <v>167</v>
      </c>
      <c r="E11" s="1482" t="s">
        <v>320</v>
      </c>
      <c r="I11" s="1482" t="s">
        <v>2235</v>
      </c>
      <c r="J11" s="496"/>
      <c r="K11" s="496"/>
    </row>
    <row r="13" spans="1:11">
      <c r="A13" s="1818" t="s">
        <v>299</v>
      </c>
    </row>
    <row r="14" spans="1:11">
      <c r="A14" s="1482" t="s">
        <v>167</v>
      </c>
      <c r="B14" t="s">
        <v>2236</v>
      </c>
    </row>
    <row r="15" spans="1:11">
      <c r="A15" s="1482" t="s">
        <v>320</v>
      </c>
      <c r="B15" s="40" t="s">
        <v>2237</v>
      </c>
    </row>
    <row r="16" spans="1:11">
      <c r="A16" s="1482" t="s">
        <v>321</v>
      </c>
      <c r="B16" t="s">
        <v>2238</v>
      </c>
      <c r="G16" s="2150"/>
    </row>
    <row r="17" spans="1:2">
      <c r="A17" s="1482" t="s">
        <v>322</v>
      </c>
      <c r="B17" t="s">
        <v>2239</v>
      </c>
    </row>
    <row r="18" spans="1:2">
      <c r="A18" s="1482"/>
    </row>
  </sheetData>
  <mergeCells count="3">
    <mergeCell ref="A1:I1"/>
    <mergeCell ref="A2:I2"/>
    <mergeCell ref="A3:I3"/>
  </mergeCells>
  <printOptions horizontalCentered="1"/>
  <pageMargins left="0.7" right="0.7" top="0.75" bottom="0.75" header="0.3" footer="0.5"/>
  <pageSetup scale="95" orientation="landscape" r:id="rId1"/>
  <headerFoot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AH213"/>
  <sheetViews>
    <sheetView zoomScaleNormal="100" zoomScaleSheetLayoutView="80" workbookViewId="0">
      <selection activeCell="L6" sqref="L6"/>
    </sheetView>
  </sheetViews>
  <sheetFormatPr defaultColWidth="9.109375" defaultRowHeight="13.2"/>
  <cols>
    <col min="1" max="1" width="5.6640625" style="220" customWidth="1"/>
    <col min="2" max="2" width="9.88671875" style="220" customWidth="1"/>
    <col min="3" max="3" width="20.5546875" style="61" customWidth="1"/>
    <col min="4" max="4" width="20.109375" style="61" customWidth="1"/>
    <col min="5" max="5" width="13" style="61" bestFit="1" customWidth="1"/>
    <col min="6" max="16384" width="9.109375" style="61"/>
  </cols>
  <sheetData>
    <row r="1" spans="1:7" s="728" customFormat="1">
      <c r="A1" s="2372" t="str">
        <f>+'MISO Cover'!C6</f>
        <v>Entergy Louisiana, LLC</v>
      </c>
      <c r="B1" s="2372"/>
      <c r="C1" s="2372"/>
      <c r="D1" s="2372"/>
      <c r="E1" s="1690"/>
      <c r="F1" s="578"/>
      <c r="G1" s="578"/>
    </row>
    <row r="2" spans="1:7">
      <c r="A2" s="2369" t="s">
        <v>670</v>
      </c>
      <c r="B2" s="2369"/>
      <c r="C2" s="2369"/>
      <c r="D2" s="2369"/>
    </row>
    <row r="3" spans="1:7" s="166" customFormat="1">
      <c r="A3" s="2373" t="str">
        <f>+'MISO Cover'!K4</f>
        <v>For  the 12 Months Ended 12/31/2017</v>
      </c>
      <c r="B3" s="2373"/>
      <c r="C3" s="2373"/>
      <c r="D3" s="2373"/>
      <c r="E3" s="1691"/>
      <c r="F3" s="202"/>
      <c r="G3" s="202"/>
    </row>
    <row r="4" spans="1:7" s="166" customFormat="1">
      <c r="A4" s="1597"/>
      <c r="B4" s="1597"/>
      <c r="C4" s="1597"/>
      <c r="D4" s="1597"/>
      <c r="E4" s="1691"/>
      <c r="F4" s="202"/>
      <c r="G4" s="202"/>
    </row>
    <row r="5" spans="1:7" ht="15" customHeight="1">
      <c r="A5" s="577"/>
      <c r="B5" s="577"/>
      <c r="C5" s="577"/>
      <c r="D5" s="577"/>
    </row>
    <row r="6" spans="1:7">
      <c r="A6" s="220" t="s">
        <v>280</v>
      </c>
      <c r="B6" s="220" t="s">
        <v>67</v>
      </c>
      <c r="C6" s="220" t="s">
        <v>114</v>
      </c>
      <c r="D6" s="222" t="s">
        <v>55</v>
      </c>
    </row>
    <row r="7" spans="1:7" ht="28.2" customHeight="1">
      <c r="A7" s="220">
        <v>1</v>
      </c>
      <c r="B7" s="61" t="s">
        <v>466</v>
      </c>
      <c r="C7" s="518" t="s">
        <v>844</v>
      </c>
      <c r="D7" s="220" t="s">
        <v>270</v>
      </c>
    </row>
    <row r="8" spans="1:7">
      <c r="A8" s="220">
        <f>+A7+1</f>
        <v>2</v>
      </c>
      <c r="B8" s="221"/>
      <c r="C8" s="190"/>
      <c r="D8" s="223"/>
    </row>
    <row r="9" spans="1:7">
      <c r="A9" s="220">
        <f t="shared" ref="A9:A22" si="0">+A8+1</f>
        <v>3</v>
      </c>
      <c r="B9" s="61" t="s">
        <v>27</v>
      </c>
      <c r="C9" s="672">
        <v>33068647.154495589</v>
      </c>
      <c r="D9" s="223">
        <f>+C9</f>
        <v>33068647.154495589</v>
      </c>
      <c r="F9" s="671"/>
    </row>
    <row r="10" spans="1:7">
      <c r="A10" s="220">
        <f t="shared" si="0"/>
        <v>4</v>
      </c>
      <c r="B10" s="61" t="s">
        <v>28</v>
      </c>
      <c r="C10" s="672">
        <v>11191070.34448114</v>
      </c>
      <c r="D10" s="223">
        <f>+D9+C10</f>
        <v>44259717.49897673</v>
      </c>
    </row>
    <row r="11" spans="1:7">
      <c r="A11" s="220">
        <f t="shared" si="0"/>
        <v>5</v>
      </c>
      <c r="B11" s="61" t="s">
        <v>29</v>
      </c>
      <c r="C11" s="672">
        <v>132036890.75801298</v>
      </c>
      <c r="D11" s="223">
        <f t="shared" ref="D11:D20" si="1">+D10+C11</f>
        <v>176296608.25698972</v>
      </c>
    </row>
    <row r="12" spans="1:7">
      <c r="A12" s="220">
        <f t="shared" si="0"/>
        <v>6</v>
      </c>
      <c r="B12" s="61" t="s">
        <v>30</v>
      </c>
      <c r="C12" s="672">
        <v>19852692.286027435</v>
      </c>
      <c r="D12" s="223">
        <f t="shared" si="1"/>
        <v>196149300.54301715</v>
      </c>
    </row>
    <row r="13" spans="1:7">
      <c r="A13" s="220">
        <f t="shared" si="0"/>
        <v>7</v>
      </c>
      <c r="B13" s="61" t="s">
        <v>26</v>
      </c>
      <c r="C13" s="672">
        <v>65705662.508121505</v>
      </c>
      <c r="D13" s="223">
        <f t="shared" si="1"/>
        <v>261854963.05113864</v>
      </c>
    </row>
    <row r="14" spans="1:7">
      <c r="A14" s="220">
        <f t="shared" si="0"/>
        <v>8</v>
      </c>
      <c r="B14" s="61" t="s">
        <v>31</v>
      </c>
      <c r="C14" s="672">
        <v>124323076.76807222</v>
      </c>
      <c r="D14" s="223">
        <f t="shared" si="1"/>
        <v>386178039.81921089</v>
      </c>
    </row>
    <row r="15" spans="1:7">
      <c r="A15" s="220">
        <f t="shared" si="0"/>
        <v>9</v>
      </c>
      <c r="B15" s="61" t="s">
        <v>32</v>
      </c>
      <c r="C15" s="672">
        <v>12123215.701803755</v>
      </c>
      <c r="D15" s="223">
        <f t="shared" si="1"/>
        <v>398301255.52101463</v>
      </c>
    </row>
    <row r="16" spans="1:7">
      <c r="A16" s="220">
        <f t="shared" si="0"/>
        <v>10</v>
      </c>
      <c r="B16" s="61" t="s">
        <v>33</v>
      </c>
      <c r="C16" s="672">
        <v>7722202.9842983605</v>
      </c>
      <c r="D16" s="223">
        <f t="shared" si="1"/>
        <v>406023458.50531298</v>
      </c>
    </row>
    <row r="17" spans="1:4">
      <c r="A17" s="220">
        <f t="shared" si="0"/>
        <v>11</v>
      </c>
      <c r="B17" s="61" t="s">
        <v>34</v>
      </c>
      <c r="C17" s="672">
        <v>41456158.056468353</v>
      </c>
      <c r="D17" s="223">
        <f t="shared" si="1"/>
        <v>447479616.56178135</v>
      </c>
    </row>
    <row r="18" spans="1:4">
      <c r="A18" s="220">
        <f t="shared" si="0"/>
        <v>12</v>
      </c>
      <c r="B18" s="61" t="s">
        <v>35</v>
      </c>
      <c r="C18" s="672">
        <v>22300667.291691024</v>
      </c>
      <c r="D18" s="223">
        <f t="shared" si="1"/>
        <v>469780283.85347235</v>
      </c>
    </row>
    <row r="19" spans="1:4">
      <c r="A19" s="220">
        <f t="shared" si="0"/>
        <v>13</v>
      </c>
      <c r="B19" s="61" t="s">
        <v>36</v>
      </c>
      <c r="C19" s="672">
        <v>10194142.690845642</v>
      </c>
      <c r="D19" s="223">
        <f t="shared" si="1"/>
        <v>479974426.54431802</v>
      </c>
    </row>
    <row r="20" spans="1:4">
      <c r="A20" s="220">
        <f t="shared" si="0"/>
        <v>14</v>
      </c>
      <c r="B20" s="61" t="s">
        <v>37</v>
      </c>
      <c r="C20" s="1347">
        <v>42050000.684540883</v>
      </c>
      <c r="D20" s="813">
        <f t="shared" si="1"/>
        <v>522024427.22885889</v>
      </c>
    </row>
    <row r="21" spans="1:4">
      <c r="A21" s="220">
        <f t="shared" si="0"/>
        <v>15</v>
      </c>
      <c r="B21" s="61" t="s">
        <v>113</v>
      </c>
      <c r="C21" s="158">
        <f>SUM(C9:C20)</f>
        <v>522024427.22885889</v>
      </c>
    </row>
    <row r="22" spans="1:4">
      <c r="A22" s="220">
        <f t="shared" si="0"/>
        <v>16</v>
      </c>
      <c r="B22" s="61" t="s">
        <v>483</v>
      </c>
      <c r="C22" s="224"/>
      <c r="D22" s="223">
        <f>+SUM(D9:D20)/12</f>
        <v>318449228.71154892</v>
      </c>
    </row>
    <row r="23" spans="1:4" ht="13.5" customHeight="1">
      <c r="B23" s="61"/>
      <c r="C23" s="76"/>
      <c r="D23" s="221"/>
    </row>
    <row r="24" spans="1:4" s="255" customFormat="1">
      <c r="A24" s="1592" t="s">
        <v>299</v>
      </c>
      <c r="C24" s="180"/>
    </row>
    <row r="25" spans="1:4" s="255" customFormat="1" ht="27.6" customHeight="1">
      <c r="A25" s="2348" t="s">
        <v>560</v>
      </c>
      <c r="B25" s="2348"/>
      <c r="C25" s="2348"/>
      <c r="D25" s="2348"/>
    </row>
    <row r="26" spans="1:4" s="255" customFormat="1" ht="40.950000000000003" customHeight="1">
      <c r="A26" s="2330" t="s">
        <v>840</v>
      </c>
      <c r="B26" s="2330"/>
      <c r="C26" s="2330"/>
      <c r="D26" s="2330"/>
    </row>
    <row r="27" spans="1:4" s="255" customFormat="1">
      <c r="A27" s="213"/>
      <c r="B27" s="213"/>
      <c r="D27" s="180"/>
    </row>
    <row r="28" spans="1:4" s="255" customFormat="1">
      <c r="A28" s="213"/>
      <c r="B28" s="213"/>
      <c r="D28" s="180"/>
    </row>
    <row r="29" spans="1:4" s="255" customFormat="1">
      <c r="A29" s="213"/>
      <c r="B29" s="213"/>
      <c r="D29" s="180"/>
    </row>
    <row r="30" spans="1:4" s="255" customFormat="1">
      <c r="A30" s="213"/>
      <c r="B30" s="213"/>
      <c r="D30" s="180"/>
    </row>
    <row r="31" spans="1:4" s="255" customFormat="1">
      <c r="A31" s="213"/>
      <c r="B31" s="213"/>
      <c r="D31" s="180"/>
    </row>
    <row r="32" spans="1:4" s="255" customFormat="1">
      <c r="A32" s="213"/>
      <c r="B32" s="213"/>
      <c r="D32" s="180"/>
    </row>
    <row r="33" spans="1:4" s="255" customFormat="1">
      <c r="A33" s="213"/>
      <c r="B33" s="213"/>
      <c r="D33" s="180"/>
    </row>
    <row r="34" spans="1:4" s="255" customFormat="1">
      <c r="A34" s="213"/>
      <c r="B34" s="213"/>
      <c r="D34" s="180"/>
    </row>
    <row r="35" spans="1:4" s="255" customFormat="1">
      <c r="A35" s="213"/>
      <c r="B35" s="213"/>
      <c r="D35" s="180"/>
    </row>
    <row r="36" spans="1:4" s="255" customFormat="1">
      <c r="A36" s="213"/>
      <c r="B36" s="213"/>
      <c r="D36" s="180"/>
    </row>
    <row r="37" spans="1:4" s="255" customFormat="1">
      <c r="A37" s="213"/>
      <c r="B37" s="213"/>
      <c r="D37" s="180"/>
    </row>
    <row r="38" spans="1:4" s="255" customFormat="1">
      <c r="A38" s="213"/>
      <c r="B38" s="213"/>
      <c r="D38" s="180"/>
    </row>
    <row r="39" spans="1:4" s="255" customFormat="1">
      <c r="A39" s="213"/>
      <c r="B39" s="213"/>
      <c r="D39" s="180"/>
    </row>
    <row r="40" spans="1:4" s="255" customFormat="1">
      <c r="A40" s="213"/>
      <c r="B40" s="213"/>
      <c r="D40" s="180"/>
    </row>
    <row r="41" spans="1:4" s="255" customFormat="1">
      <c r="A41" s="213"/>
      <c r="B41" s="213"/>
      <c r="D41" s="180"/>
    </row>
    <row r="42" spans="1:4" s="255" customFormat="1">
      <c r="A42" s="213"/>
      <c r="B42" s="213"/>
      <c r="D42" s="180"/>
    </row>
    <row r="43" spans="1:4" s="255" customFormat="1">
      <c r="A43" s="213"/>
      <c r="B43" s="213"/>
      <c r="D43" s="177"/>
    </row>
    <row r="44" spans="1:4" s="255" customFormat="1">
      <c r="A44" s="213"/>
      <c r="B44" s="213"/>
      <c r="D44" s="177"/>
    </row>
    <row r="45" spans="1:4" s="255" customFormat="1">
      <c r="A45" s="213"/>
      <c r="B45" s="213"/>
      <c r="D45" s="177"/>
    </row>
    <row r="46" spans="1:4" s="255" customFormat="1">
      <c r="A46" s="213"/>
      <c r="B46" s="213"/>
      <c r="D46" s="177"/>
    </row>
    <row r="47" spans="1:4" s="255" customFormat="1">
      <c r="A47" s="213"/>
      <c r="B47" s="213"/>
      <c r="D47" s="177"/>
    </row>
    <row r="48" spans="1:4" s="255" customFormat="1">
      <c r="A48" s="213"/>
      <c r="B48" s="213"/>
      <c r="D48" s="177"/>
    </row>
    <row r="49" spans="1:3" s="255" customFormat="1">
      <c r="A49" s="213"/>
      <c r="B49" s="213"/>
    </row>
    <row r="50" spans="1:3" s="255" customFormat="1">
      <c r="A50" s="213"/>
      <c r="B50" s="213"/>
    </row>
    <row r="51" spans="1:3" s="255" customFormat="1">
      <c r="A51" s="213"/>
      <c r="B51" s="213"/>
    </row>
    <row r="52" spans="1:3" s="255" customFormat="1">
      <c r="A52" s="213"/>
      <c r="B52" s="213"/>
      <c r="C52" s="213"/>
    </row>
    <row r="53" spans="1:3" s="255" customFormat="1">
      <c r="A53" s="213"/>
      <c r="B53" s="213"/>
    </row>
    <row r="54" spans="1:3" s="255" customFormat="1">
      <c r="A54" s="213"/>
      <c r="B54" s="213"/>
    </row>
    <row r="55" spans="1:3" s="255" customFormat="1">
      <c r="A55" s="213"/>
      <c r="B55" s="213"/>
    </row>
    <row r="56" spans="1:3" s="255" customFormat="1">
      <c r="A56" s="213"/>
      <c r="B56" s="213"/>
    </row>
    <row r="57" spans="1:3" s="255" customFormat="1">
      <c r="A57" s="213"/>
      <c r="B57" s="213"/>
    </row>
    <row r="58" spans="1:3" s="255" customFormat="1">
      <c r="A58" s="213"/>
      <c r="B58" s="213"/>
      <c r="C58" s="222"/>
    </row>
    <row r="59" spans="1:3" s="255" customFormat="1">
      <c r="A59" s="213"/>
      <c r="B59" s="213"/>
      <c r="C59" s="213"/>
    </row>
    <row r="60" spans="1:3" s="255" customFormat="1">
      <c r="A60" s="213"/>
      <c r="B60" s="213"/>
      <c r="C60" s="213"/>
    </row>
    <row r="61" spans="1:3" s="255" customFormat="1">
      <c r="A61" s="213"/>
      <c r="B61" s="213"/>
      <c r="C61" s="213"/>
    </row>
    <row r="62" spans="1:3" s="255" customFormat="1">
      <c r="A62" s="213"/>
      <c r="B62" s="213"/>
      <c r="C62" s="227"/>
    </row>
    <row r="63" spans="1:3" s="255" customFormat="1">
      <c r="A63" s="213"/>
      <c r="B63" s="213"/>
      <c r="C63" s="226"/>
    </row>
    <row r="64" spans="1:3" s="255" customFormat="1">
      <c r="A64" s="213"/>
      <c r="B64" s="213"/>
      <c r="C64" s="226"/>
    </row>
    <row r="65" spans="1:4" s="255" customFormat="1">
      <c r="A65" s="213"/>
      <c r="B65" s="213"/>
      <c r="C65" s="226"/>
    </row>
    <row r="66" spans="1:4" s="255" customFormat="1">
      <c r="A66" s="213"/>
      <c r="B66" s="213"/>
      <c r="C66" s="226"/>
    </row>
    <row r="67" spans="1:4" s="255" customFormat="1">
      <c r="A67" s="213"/>
      <c r="B67" s="213"/>
      <c r="C67" s="226"/>
    </row>
    <row r="68" spans="1:4" s="255" customFormat="1">
      <c r="A68" s="213"/>
      <c r="B68" s="213"/>
      <c r="C68" s="226"/>
    </row>
    <row r="69" spans="1:4" s="255" customFormat="1">
      <c r="A69" s="213"/>
      <c r="B69" s="213"/>
      <c r="C69" s="226"/>
    </row>
    <row r="70" spans="1:4" s="255" customFormat="1">
      <c r="A70" s="213"/>
      <c r="B70" s="213"/>
      <c r="C70" s="226"/>
    </row>
    <row r="71" spans="1:4" s="255" customFormat="1">
      <c r="A71" s="213"/>
      <c r="B71" s="213"/>
      <c r="C71" s="226"/>
    </row>
    <row r="72" spans="1:4" s="255" customFormat="1">
      <c r="A72" s="213"/>
      <c r="B72" s="213"/>
      <c r="C72" s="226"/>
    </row>
    <row r="73" spans="1:4" s="255" customFormat="1">
      <c r="A73" s="213"/>
      <c r="B73" s="213"/>
      <c r="C73" s="226"/>
    </row>
    <row r="74" spans="1:4" s="255" customFormat="1">
      <c r="A74" s="213"/>
      <c r="B74" s="213"/>
      <c r="C74" s="226"/>
    </row>
    <row r="75" spans="1:4" s="255" customFormat="1">
      <c r="A75" s="213"/>
      <c r="B75" s="213"/>
      <c r="C75" s="177"/>
      <c r="D75" s="177"/>
    </row>
    <row r="76" spans="1:4" s="255" customFormat="1">
      <c r="A76" s="213"/>
      <c r="B76" s="213"/>
    </row>
    <row r="77" spans="1:4" s="255" customFormat="1">
      <c r="B77" s="213"/>
    </row>
    <row r="78" spans="1:4" s="255" customFormat="1"/>
    <row r="79" spans="1:4" s="255" customFormat="1">
      <c r="A79" s="213"/>
      <c r="C79" s="213"/>
    </row>
    <row r="80" spans="1:4" s="255" customFormat="1">
      <c r="A80" s="213"/>
      <c r="B80" s="213"/>
      <c r="C80" s="213"/>
    </row>
    <row r="81" spans="1:34" s="255" customFormat="1">
      <c r="A81" s="213"/>
      <c r="B81" s="213"/>
      <c r="C81" s="213"/>
    </row>
    <row r="82" spans="1:34" s="255" customFormat="1">
      <c r="A82" s="213"/>
      <c r="B82" s="213"/>
      <c r="C82" s="213"/>
    </row>
    <row r="83" spans="1:34" s="255" customFormat="1">
      <c r="A83" s="213"/>
      <c r="B83" s="213"/>
    </row>
    <row r="84" spans="1:34" s="255" customFormat="1">
      <c r="A84" s="213"/>
      <c r="B84" s="190"/>
    </row>
    <row r="85" spans="1:34" s="255" customFormat="1">
      <c r="A85" s="213"/>
      <c r="B85" s="213"/>
      <c r="C85" s="225"/>
    </row>
    <row r="86" spans="1:34" s="255" customFormat="1">
      <c r="A86" s="213"/>
      <c r="B86" s="213"/>
    </row>
    <row r="87" spans="1:34" s="255" customFormat="1">
      <c r="A87" s="213"/>
      <c r="B87" s="213"/>
    </row>
    <row r="88" spans="1:34">
      <c r="A88" s="228"/>
      <c r="B88" s="213"/>
      <c r="C88" s="255"/>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row>
    <row r="89" spans="1:34">
      <c r="A89" s="228"/>
      <c r="B89" s="228"/>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row>
    <row r="90" spans="1:34">
      <c r="A90" s="228"/>
      <c r="B90" s="228"/>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row>
    <row r="91" spans="1:34">
      <c r="A91" s="228"/>
      <c r="B91" s="228"/>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row>
    <row r="92" spans="1:34">
      <c r="A92" s="228"/>
      <c r="B92" s="228"/>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row>
    <row r="93" spans="1:34">
      <c r="A93" s="228"/>
      <c r="B93" s="228"/>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row>
    <row r="94" spans="1:34">
      <c r="A94" s="228"/>
      <c r="B94" s="228"/>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row>
    <row r="95" spans="1:34">
      <c r="A95" s="228"/>
      <c r="B95" s="228"/>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row>
    <row r="96" spans="1:34">
      <c r="A96" s="228"/>
      <c r="B96" s="228"/>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row>
    <row r="97" spans="1:34">
      <c r="A97" s="228"/>
      <c r="B97" s="228"/>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row>
    <row r="98" spans="1:34">
      <c r="A98" s="228"/>
      <c r="B98" s="228"/>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row>
    <row r="99" spans="1:34">
      <c r="A99" s="228"/>
      <c r="B99" s="228"/>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row>
    <row r="100" spans="1:34">
      <c r="A100" s="228"/>
      <c r="B100" s="228"/>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row>
    <row r="101" spans="1:34">
      <c r="A101" s="228"/>
      <c r="B101" s="228"/>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row>
    <row r="102" spans="1:34">
      <c r="A102" s="228"/>
      <c r="B102" s="228"/>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row>
    <row r="103" spans="1:34">
      <c r="A103" s="228"/>
      <c r="B103" s="228"/>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row>
    <row r="104" spans="1:34">
      <c r="A104" s="228"/>
      <c r="B104" s="228"/>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row>
    <row r="105" spans="1:34">
      <c r="A105" s="228"/>
      <c r="B105" s="228"/>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row>
    <row r="106" spans="1:34">
      <c r="A106" s="228"/>
      <c r="B106" s="228"/>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row>
    <row r="107" spans="1:34">
      <c r="A107" s="228"/>
      <c r="B107" s="228"/>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row>
    <row r="108" spans="1:34">
      <c r="A108" s="228"/>
      <c r="B108" s="228"/>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row>
    <row r="109" spans="1:34">
      <c r="A109" s="228"/>
      <c r="B109" s="228"/>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row>
    <row r="110" spans="1:34">
      <c r="A110" s="228"/>
      <c r="B110" s="228"/>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row>
    <row r="111" spans="1:34">
      <c r="A111" s="228"/>
      <c r="B111" s="228"/>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row>
    <row r="112" spans="1:34">
      <c r="A112" s="228"/>
      <c r="B112" s="228"/>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row>
    <row r="113" spans="1:34">
      <c r="A113" s="228"/>
      <c r="B113" s="228"/>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row>
    <row r="114" spans="1:34">
      <c r="A114" s="228"/>
      <c r="B114" s="228"/>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row>
    <row r="115" spans="1:34">
      <c r="A115" s="228"/>
      <c r="B115" s="228"/>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row>
    <row r="116" spans="1:34">
      <c r="A116" s="228"/>
      <c r="B116" s="228"/>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row>
    <row r="117" spans="1:34">
      <c r="A117" s="228"/>
      <c r="B117" s="228"/>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row>
    <row r="118" spans="1:34">
      <c r="A118" s="228"/>
      <c r="B118" s="228"/>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row>
    <row r="119" spans="1:34">
      <c r="A119" s="228"/>
      <c r="B119" s="228"/>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row>
    <row r="120" spans="1:34">
      <c r="A120" s="228"/>
      <c r="B120" s="228"/>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row>
    <row r="121" spans="1:34">
      <c r="A121" s="228"/>
      <c r="B121" s="228"/>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row>
    <row r="122" spans="1:34">
      <c r="A122" s="228"/>
      <c r="B122" s="228"/>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row>
    <row r="123" spans="1:34">
      <c r="A123" s="228"/>
      <c r="B123" s="228"/>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row>
    <row r="124" spans="1:34">
      <c r="A124" s="228"/>
      <c r="B124" s="228"/>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row>
    <row r="125" spans="1:34">
      <c r="A125" s="228"/>
      <c r="B125" s="228"/>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row>
    <row r="126" spans="1:34">
      <c r="A126" s="228"/>
      <c r="B126" s="228"/>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row>
    <row r="127" spans="1:34">
      <c r="A127" s="228"/>
      <c r="B127" s="228"/>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row>
    <row r="128" spans="1:34">
      <c r="A128" s="228"/>
      <c r="B128" s="228"/>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row>
    <row r="129" spans="1:34">
      <c r="A129" s="228"/>
      <c r="B129" s="228"/>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row>
    <row r="130" spans="1:34">
      <c r="A130" s="228"/>
      <c r="B130" s="228"/>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row>
    <row r="131" spans="1:34">
      <c r="A131" s="228"/>
      <c r="B131" s="228"/>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row>
    <row r="132" spans="1:34">
      <c r="A132" s="228"/>
      <c r="B132" s="228"/>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row>
    <row r="133" spans="1:34">
      <c r="A133" s="228"/>
      <c r="B133" s="228"/>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row>
    <row r="134" spans="1:34">
      <c r="A134" s="228"/>
      <c r="B134" s="228"/>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row>
    <row r="135" spans="1:34">
      <c r="A135" s="228"/>
      <c r="B135" s="228"/>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row>
    <row r="136" spans="1:34">
      <c r="A136" s="228"/>
      <c r="B136" s="228"/>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row>
    <row r="137" spans="1:34">
      <c r="A137" s="228"/>
      <c r="B137" s="228"/>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row>
    <row r="138" spans="1:34">
      <c r="A138" s="228"/>
      <c r="B138" s="228"/>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row>
    <row r="139" spans="1:34">
      <c r="A139" s="228"/>
      <c r="B139" s="228"/>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row>
    <row r="140" spans="1:34">
      <c r="A140" s="228"/>
      <c r="B140" s="228"/>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row>
    <row r="141" spans="1:34">
      <c r="A141" s="228"/>
      <c r="B141" s="228"/>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row>
    <row r="142" spans="1:34">
      <c r="A142" s="228"/>
      <c r="B142" s="228"/>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row>
    <row r="143" spans="1:34">
      <c r="A143" s="228"/>
      <c r="B143" s="228"/>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row>
    <row r="144" spans="1:34">
      <c r="A144" s="228"/>
      <c r="B144" s="228"/>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row>
    <row r="145" spans="1:34" s="220" customFormat="1">
      <c r="A145" s="228"/>
      <c r="B145" s="228"/>
      <c r="C145" s="76"/>
      <c r="D145" s="76"/>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row>
    <row r="146" spans="1:34">
      <c r="A146" s="228"/>
      <c r="B146" s="228"/>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row>
    <row r="147" spans="1:34">
      <c r="A147" s="213"/>
      <c r="B147" s="228"/>
      <c r="C147" s="76"/>
      <c r="D147" s="255"/>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row>
    <row r="148" spans="1:34">
      <c r="A148" s="213"/>
      <c r="B148" s="213"/>
      <c r="C148" s="255"/>
      <c r="D148" s="255"/>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row>
    <row r="149" spans="1:34">
      <c r="A149" s="213"/>
      <c r="B149" s="213"/>
      <c r="C149" s="255"/>
      <c r="D149" s="255"/>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row>
    <row r="150" spans="1:34">
      <c r="A150" s="213"/>
      <c r="B150" s="213"/>
      <c r="C150" s="255"/>
      <c r="D150" s="255"/>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row>
    <row r="151" spans="1:34">
      <c r="A151" s="213"/>
      <c r="B151" s="213"/>
      <c r="C151" s="255"/>
      <c r="D151" s="255"/>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row>
    <row r="152" spans="1:34">
      <c r="A152" s="213"/>
      <c r="B152" s="213"/>
      <c r="C152" s="255"/>
      <c r="D152" s="255"/>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row>
    <row r="153" spans="1:34">
      <c r="A153" s="213"/>
      <c r="B153" s="213"/>
      <c r="C153" s="255"/>
      <c r="D153" s="255"/>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row>
    <row r="154" spans="1:34">
      <c r="A154" s="213"/>
      <c r="B154" s="213"/>
      <c r="C154" s="255"/>
      <c r="D154" s="255"/>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row>
    <row r="155" spans="1:34">
      <c r="A155" s="213"/>
      <c r="B155" s="213"/>
      <c r="C155" s="255"/>
      <c r="D155" s="255"/>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row>
    <row r="156" spans="1:34">
      <c r="A156" s="228"/>
      <c r="B156" s="213"/>
      <c r="C156" s="255"/>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row>
    <row r="157" spans="1:34">
      <c r="A157" s="228"/>
      <c r="B157" s="228"/>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row>
    <row r="158" spans="1:34">
      <c r="A158" s="228"/>
      <c r="B158" s="228"/>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row>
    <row r="159" spans="1:34">
      <c r="A159" s="228"/>
      <c r="B159" s="228"/>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row>
    <row r="160" spans="1:34">
      <c r="A160" s="228"/>
      <c r="B160" s="228"/>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row>
    <row r="161" spans="1:34">
      <c r="A161" s="228"/>
      <c r="B161" s="228"/>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row>
    <row r="162" spans="1:34">
      <c r="A162" s="228"/>
      <c r="B162" s="228"/>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row>
    <row r="163" spans="1:34">
      <c r="A163" s="228"/>
      <c r="B163" s="228"/>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row>
    <row r="164" spans="1:34">
      <c r="A164" s="228"/>
      <c r="B164" s="228"/>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row>
    <row r="165" spans="1:34">
      <c r="A165" s="228"/>
      <c r="B165" s="228"/>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row>
    <row r="213" spans="7:7">
      <c r="G213" s="75"/>
    </row>
  </sheetData>
  <mergeCells count="5">
    <mergeCell ref="A26:D26"/>
    <mergeCell ref="A1:D1"/>
    <mergeCell ref="A3:D3"/>
    <mergeCell ref="A2:D2"/>
    <mergeCell ref="A25:D25"/>
  </mergeCells>
  <printOptions horizontalCentered="1"/>
  <pageMargins left="0.7" right="0.7" top="0.7" bottom="0.7" header="0.3" footer="0.5"/>
  <pageSetup orientation="portrait" r:id="rId1"/>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W323"/>
  <sheetViews>
    <sheetView zoomScale="87" zoomScaleNormal="87" workbookViewId="0">
      <selection sqref="A1:N1"/>
    </sheetView>
  </sheetViews>
  <sheetFormatPr defaultColWidth="9.109375" defaultRowHeight="13.2"/>
  <cols>
    <col min="1" max="1" width="6.6640625" style="693" customWidth="1"/>
    <col min="2" max="2" width="7.6640625" style="693" customWidth="1"/>
    <col min="3" max="3" width="29.6640625" style="693" customWidth="1"/>
    <col min="4" max="4" width="15.6640625" style="1458" customWidth="1"/>
    <col min="5" max="6" width="15.6640625" style="1429" customWidth="1"/>
    <col min="7" max="8" width="15.6640625" style="887" customWidth="1"/>
    <col min="9" max="9" width="14" style="887" customWidth="1"/>
    <col min="10" max="12" width="15.6640625" style="887" customWidth="1"/>
    <col min="13" max="13" width="14" style="887" customWidth="1"/>
    <col min="14" max="14" width="37" style="534" customWidth="1"/>
    <col min="15" max="17" width="9.109375" style="173"/>
    <col min="18" max="18" width="10.33203125" style="173" bestFit="1" customWidth="1"/>
    <col min="19" max="16384" width="9.109375" style="173"/>
  </cols>
  <sheetData>
    <row r="1" spans="1:17">
      <c r="A1" s="2365" t="str">
        <f>+'MISO Cover'!C6</f>
        <v>Entergy Louisiana, LLC</v>
      </c>
      <c r="B1" s="2365"/>
      <c r="C1" s="2365"/>
      <c r="D1" s="2365"/>
      <c r="E1" s="2365"/>
      <c r="F1" s="2374"/>
      <c r="G1" s="2374"/>
      <c r="H1" s="2374"/>
      <c r="I1" s="2374"/>
      <c r="J1" s="2374"/>
      <c r="K1" s="2374"/>
      <c r="L1" s="2374"/>
      <c r="M1" s="2374"/>
      <c r="N1" s="2374"/>
    </row>
    <row r="2" spans="1:17" s="534" customFormat="1" ht="15" customHeight="1">
      <c r="A2" s="2375" t="s">
        <v>694</v>
      </c>
      <c r="B2" s="2375"/>
      <c r="C2" s="2375"/>
      <c r="D2" s="2375"/>
      <c r="E2" s="2375"/>
      <c r="F2" s="2376"/>
      <c r="G2" s="2376"/>
      <c r="H2" s="2376"/>
      <c r="I2" s="2376"/>
      <c r="J2" s="2376"/>
      <c r="K2" s="2376"/>
      <c r="L2" s="2376"/>
      <c r="M2" s="2376"/>
      <c r="N2" s="2376"/>
    </row>
    <row r="3" spans="1:17">
      <c r="A3" s="2365" t="str">
        <f>+'MISO Cover'!K4</f>
        <v>For  the 12 Months Ended 12/31/2017</v>
      </c>
      <c r="B3" s="2365"/>
      <c r="C3" s="2365"/>
      <c r="D3" s="2365"/>
      <c r="E3" s="2365"/>
      <c r="F3" s="2374"/>
      <c r="G3" s="2374"/>
      <c r="H3" s="2374"/>
      <c r="I3" s="2374"/>
      <c r="J3" s="2374"/>
      <c r="K3" s="2374"/>
      <c r="L3" s="2374"/>
      <c r="M3" s="2374"/>
      <c r="N3" s="2374"/>
      <c r="O3" s="202"/>
      <c r="P3" s="202"/>
      <c r="Q3" s="202"/>
    </row>
    <row r="4" spans="1:17">
      <c r="A4" s="2324" t="s">
        <v>148</v>
      </c>
      <c r="B4" s="1593"/>
      <c r="C4" s="1593"/>
      <c r="D4" s="1687"/>
      <c r="O4" s="202"/>
      <c r="P4" s="202"/>
      <c r="Q4" s="202"/>
    </row>
    <row r="5" spans="1:17" s="534" customFormat="1">
      <c r="A5" s="2324"/>
      <c r="B5" s="1688" t="s">
        <v>67</v>
      </c>
      <c r="C5" s="1688" t="s">
        <v>114</v>
      </c>
      <c r="D5" s="1689" t="s">
        <v>55</v>
      </c>
      <c r="E5" s="1689" t="s">
        <v>68</v>
      </c>
      <c r="F5" s="1430" t="s">
        <v>66</v>
      </c>
      <c r="G5" s="1430" t="s">
        <v>154</v>
      </c>
      <c r="H5" s="1430" t="s">
        <v>69</v>
      </c>
      <c r="I5" s="1430" t="s">
        <v>166</v>
      </c>
      <c r="J5" s="1430" t="s">
        <v>416</v>
      </c>
      <c r="K5" s="1430" t="s">
        <v>60</v>
      </c>
      <c r="L5" s="1430" t="s">
        <v>71</v>
      </c>
      <c r="M5" s="1430" t="s">
        <v>98</v>
      </c>
      <c r="N5" s="1318" t="s">
        <v>99</v>
      </c>
    </row>
    <row r="6" spans="1:17" ht="16.8">
      <c r="A6" s="911"/>
      <c r="B6" s="1593"/>
      <c r="C6" s="1593"/>
      <c r="D6" s="1687"/>
      <c r="E6" s="1431"/>
      <c r="F6" s="2379" t="s">
        <v>1079</v>
      </c>
      <c r="G6" s="2379"/>
      <c r="H6" s="2379"/>
      <c r="I6" s="2380"/>
      <c r="J6" s="2381" t="s">
        <v>422</v>
      </c>
      <c r="K6" s="2379"/>
      <c r="L6" s="2379"/>
      <c r="M6" s="2380"/>
      <c r="O6" s="1140"/>
    </row>
    <row r="7" spans="1:17" ht="34.950000000000003" customHeight="1">
      <c r="A7" s="911">
        <v>1</v>
      </c>
      <c r="B7" s="173"/>
      <c r="C7" s="911"/>
      <c r="D7" s="1701" t="s">
        <v>163</v>
      </c>
      <c r="E7" s="1702" t="s">
        <v>158</v>
      </c>
      <c r="F7" s="1433" t="s">
        <v>420</v>
      </c>
      <c r="G7" s="1434" t="s">
        <v>421</v>
      </c>
      <c r="H7" s="1434" t="s">
        <v>144</v>
      </c>
      <c r="I7" s="1432" t="s">
        <v>145</v>
      </c>
      <c r="J7" s="1433" t="s">
        <v>420</v>
      </c>
      <c r="K7" s="1434" t="s">
        <v>421</v>
      </c>
      <c r="L7" s="1434" t="s">
        <v>144</v>
      </c>
      <c r="M7" s="1432" t="s">
        <v>145</v>
      </c>
      <c r="N7" s="1319" t="s">
        <v>424</v>
      </c>
    </row>
    <row r="8" spans="1:17" ht="16.8">
      <c r="A8" s="911">
        <f>+A7+1</f>
        <v>2</v>
      </c>
      <c r="B8" s="533"/>
      <c r="C8" s="911"/>
      <c r="D8" s="1435"/>
      <c r="E8" s="1436"/>
      <c r="F8" s="2379" t="s">
        <v>437</v>
      </c>
      <c r="G8" s="2379"/>
      <c r="H8" s="2379"/>
      <c r="I8" s="2380"/>
      <c r="J8" s="2381" t="s">
        <v>736</v>
      </c>
      <c r="K8" s="2379"/>
      <c r="L8" s="2379"/>
      <c r="M8" s="2380"/>
      <c r="N8" s="173"/>
    </row>
    <row r="9" spans="1:17">
      <c r="A9" s="911">
        <f t="shared" ref="A9:A17" si="0">+A8+1</f>
        <v>3</v>
      </c>
      <c r="C9" s="911"/>
      <c r="D9" s="1435"/>
      <c r="E9" s="1320" t="s">
        <v>136</v>
      </c>
      <c r="F9" s="903">
        <f t="shared" ref="F9:M9" si="1">+F144</f>
        <v>688829097.54499996</v>
      </c>
      <c r="G9" s="903">
        <f t="shared" si="1"/>
        <v>0</v>
      </c>
      <c r="H9" s="903">
        <f t="shared" si="1"/>
        <v>2674659851.125</v>
      </c>
      <c r="I9" s="1320">
        <f t="shared" si="1"/>
        <v>-112638213.715</v>
      </c>
      <c r="J9" s="1377">
        <f t="shared" si="1"/>
        <v>561046868.60374999</v>
      </c>
      <c r="K9" s="903">
        <f t="shared" si="1"/>
        <v>0</v>
      </c>
      <c r="L9" s="903">
        <f t="shared" si="1"/>
        <v>2473157872.904439</v>
      </c>
      <c r="M9" s="1320">
        <f t="shared" si="1"/>
        <v>-97346230.31750001</v>
      </c>
      <c r="N9" s="903" t="str">
        <f>+"Ln "&amp;A144</f>
        <v>Ln 15</v>
      </c>
    </row>
    <row r="10" spans="1:17">
      <c r="A10" s="911">
        <f t="shared" si="0"/>
        <v>4</v>
      </c>
      <c r="C10" s="911"/>
      <c r="D10" s="1435"/>
      <c r="E10" s="1320" t="s">
        <v>220</v>
      </c>
      <c r="F10" s="887">
        <v>0</v>
      </c>
      <c r="G10" s="887">
        <v>0</v>
      </c>
      <c r="H10" s="887">
        <v>0</v>
      </c>
      <c r="I10" s="1320">
        <v>0</v>
      </c>
      <c r="J10" s="1377">
        <v>0</v>
      </c>
      <c r="K10" s="903">
        <v>0</v>
      </c>
      <c r="L10" s="903">
        <v>0</v>
      </c>
      <c r="M10" s="1320">
        <v>0</v>
      </c>
      <c r="N10" s="534" t="s">
        <v>423</v>
      </c>
    </row>
    <row r="11" spans="1:17">
      <c r="A11" s="911">
        <f t="shared" si="0"/>
        <v>5</v>
      </c>
      <c r="C11" s="911"/>
      <c r="D11" s="1435"/>
      <c r="E11" s="1320" t="s">
        <v>137</v>
      </c>
      <c r="F11" s="887">
        <f>+F237</f>
        <v>-987218029.41499972</v>
      </c>
      <c r="G11" s="887">
        <f t="shared" ref="G11:M11" si="2">+G237</f>
        <v>-13386243.92</v>
      </c>
      <c r="H11" s="887">
        <f t="shared" si="2"/>
        <v>-2024847189.0946505</v>
      </c>
      <c r="I11" s="1320">
        <f t="shared" si="2"/>
        <v>-25580279.890000001</v>
      </c>
      <c r="J11" s="1377">
        <f t="shared" si="2"/>
        <v>-1040325468.3349402</v>
      </c>
      <c r="K11" s="903">
        <f t="shared" si="2"/>
        <v>-8661122.3663383331</v>
      </c>
      <c r="L11" s="903">
        <f t="shared" si="2"/>
        <v>-1890357014.6165361</v>
      </c>
      <c r="M11" s="1320">
        <f t="shared" si="2"/>
        <v>-21256609.529248811</v>
      </c>
      <c r="N11" s="903" t="str">
        <f>+"Ln "&amp;A237</f>
        <v>Ln 27</v>
      </c>
    </row>
    <row r="12" spans="1:17" ht="15">
      <c r="A12" s="911">
        <f t="shared" si="0"/>
        <v>6</v>
      </c>
      <c r="C12" s="911"/>
      <c r="D12" s="1435"/>
      <c r="E12" s="1320" t="s">
        <v>138</v>
      </c>
      <c r="F12" s="1321">
        <f>+F313</f>
        <v>-2005825518.96</v>
      </c>
      <c r="G12" s="1321">
        <f t="shared" ref="G12:M12" si="3">+G313</f>
        <v>-9460714.7650000006</v>
      </c>
      <c r="H12" s="1321">
        <f t="shared" si="3"/>
        <v>-11051075.654999999</v>
      </c>
      <c r="I12" s="1322">
        <f t="shared" si="3"/>
        <v>0</v>
      </c>
      <c r="J12" s="1378">
        <f t="shared" si="3"/>
        <v>-1914609377.3237834</v>
      </c>
      <c r="K12" s="1328">
        <f t="shared" si="3"/>
        <v>-6602415.2233333336</v>
      </c>
      <c r="L12" s="1328">
        <f t="shared" si="3"/>
        <v>-8200672.6737500001</v>
      </c>
      <c r="M12" s="1322">
        <f t="shared" si="3"/>
        <v>0</v>
      </c>
      <c r="N12" s="903" t="str">
        <f>+"Ln "&amp;A313</f>
        <v>Ln 33</v>
      </c>
    </row>
    <row r="13" spans="1:17">
      <c r="A13" s="911">
        <f t="shared" si="0"/>
        <v>7</v>
      </c>
      <c r="C13" s="911"/>
      <c r="D13" s="1435"/>
      <c r="E13" s="1320" t="s">
        <v>419</v>
      </c>
      <c r="F13" s="887">
        <f>SUM(F9:F12)</f>
        <v>-2304214450.8299999</v>
      </c>
      <c r="G13" s="887">
        <f t="shared" ref="G13:M13" si="4">SUM(G9:G12)</f>
        <v>-22846958.685000002</v>
      </c>
      <c r="H13" s="887">
        <f t="shared" si="4"/>
        <v>638761586.37534952</v>
      </c>
      <c r="I13" s="1320">
        <f t="shared" si="4"/>
        <v>-138218493.60500002</v>
      </c>
      <c r="J13" s="1377">
        <f t="shared" si="4"/>
        <v>-2393887977.0549736</v>
      </c>
      <c r="K13" s="903">
        <f t="shared" si="4"/>
        <v>-15263537.589671668</v>
      </c>
      <c r="L13" s="903">
        <f t="shared" si="4"/>
        <v>574600185.61415279</v>
      </c>
      <c r="M13" s="1320">
        <f t="shared" si="4"/>
        <v>-118602839.84674883</v>
      </c>
      <c r="N13" s="1323" t="str">
        <f>+"Sum of Ln "&amp;A9&amp;" + "&amp;A10&amp;" + "&amp;A11&amp;" + "&amp;A12</f>
        <v>Sum of Ln 3 + 4 + 5 + 6</v>
      </c>
    </row>
    <row r="14" spans="1:17">
      <c r="A14" s="911">
        <f t="shared" si="0"/>
        <v>8</v>
      </c>
      <c r="B14" s="173"/>
      <c r="C14" s="911"/>
      <c r="D14" s="1435"/>
      <c r="E14" s="1320"/>
      <c r="F14" s="887"/>
      <c r="I14" s="1320"/>
      <c r="J14" s="1377"/>
      <c r="K14" s="903"/>
      <c r="L14" s="903"/>
      <c r="M14" s="1320"/>
    </row>
    <row r="15" spans="1:17" ht="16.8">
      <c r="A15" s="911">
        <f t="shared" si="0"/>
        <v>9</v>
      </c>
      <c r="B15" s="1593"/>
      <c r="C15" s="1593"/>
      <c r="D15" s="1687"/>
      <c r="E15" s="1431"/>
      <c r="F15" s="2379" t="s">
        <v>1079</v>
      </c>
      <c r="G15" s="2379"/>
      <c r="H15" s="2379"/>
      <c r="I15" s="2380"/>
      <c r="J15" s="2381" t="s">
        <v>422</v>
      </c>
      <c r="K15" s="2379"/>
      <c r="L15" s="2379"/>
      <c r="M15" s="2380"/>
    </row>
    <row r="16" spans="1:17" ht="33.6">
      <c r="A16" s="911">
        <f t="shared" si="0"/>
        <v>10</v>
      </c>
      <c r="C16" s="911"/>
      <c r="D16" s="1701" t="s">
        <v>163</v>
      </c>
      <c r="E16" s="1702" t="s">
        <v>158</v>
      </c>
      <c r="F16" s="1433" t="s">
        <v>420</v>
      </c>
      <c r="G16" s="1434" t="s">
        <v>421</v>
      </c>
      <c r="H16" s="1434" t="s">
        <v>144</v>
      </c>
      <c r="I16" s="1432" t="s">
        <v>145</v>
      </c>
      <c r="J16" s="1433" t="s">
        <v>420</v>
      </c>
      <c r="K16" s="1434" t="s">
        <v>421</v>
      </c>
      <c r="L16" s="1434" t="s">
        <v>144</v>
      </c>
      <c r="M16" s="1432" t="s">
        <v>145</v>
      </c>
      <c r="N16" s="1319" t="s">
        <v>49</v>
      </c>
    </row>
    <row r="17" spans="1:15" ht="16.8">
      <c r="A17" s="911">
        <f t="shared" si="0"/>
        <v>11</v>
      </c>
      <c r="B17" s="533" t="s">
        <v>136</v>
      </c>
      <c r="C17" s="911"/>
      <c r="D17" s="1435"/>
      <c r="E17" s="1436"/>
      <c r="F17" s="2379" t="str">
        <f>F8</f>
        <v>Average of BOY/EOY (Col (C+D)/2)</v>
      </c>
      <c r="G17" s="2379"/>
      <c r="H17" s="2379"/>
      <c r="I17" s="2380"/>
      <c r="J17" s="2381" t="str">
        <f>J8</f>
        <v>EOY (Col D)</v>
      </c>
      <c r="K17" s="2379"/>
      <c r="L17" s="2379"/>
      <c r="M17" s="2380"/>
    </row>
    <row r="18" spans="1:15" ht="26.4">
      <c r="A18" s="1401">
        <f>+A17+0.001</f>
        <v>11.000999999999999</v>
      </c>
      <c r="B18" s="534" t="s">
        <v>1650</v>
      </c>
      <c r="C18" s="534"/>
      <c r="D18" s="694">
        <v>530041.14</v>
      </c>
      <c r="E18" s="694">
        <v>1179007.32</v>
      </c>
      <c r="F18" s="1377">
        <f>+SUM($D18:$E18)/2</f>
        <v>854524.23</v>
      </c>
      <c r="G18" s="903"/>
      <c r="H18" s="903"/>
      <c r="I18" s="1320"/>
      <c r="J18" s="1377">
        <f t="shared" ref="J18:J29" si="5">+E18</f>
        <v>1179007.32</v>
      </c>
      <c r="K18" s="903"/>
      <c r="L18" s="903"/>
      <c r="M18" s="1320"/>
      <c r="N18" s="1571" t="s">
        <v>1026</v>
      </c>
    </row>
    <row r="19" spans="1:15" ht="26.4">
      <c r="A19" s="1401">
        <f t="shared" ref="A19:A82" si="6">+A18+0.001</f>
        <v>11.001999999999999</v>
      </c>
      <c r="B19" s="534" t="s">
        <v>1651</v>
      </c>
      <c r="C19" s="534"/>
      <c r="D19" s="694">
        <v>85596.71</v>
      </c>
      <c r="E19" s="694">
        <v>385679.4</v>
      </c>
      <c r="F19" s="1377">
        <f t="shared" ref="F19:F29" si="7">+SUM(D19:E19)/2</f>
        <v>235638.05500000002</v>
      </c>
      <c r="G19" s="903"/>
      <c r="H19" s="903"/>
      <c r="I19" s="1320"/>
      <c r="J19" s="1377">
        <f t="shared" si="5"/>
        <v>385679.4</v>
      </c>
      <c r="K19" s="903"/>
      <c r="L19" s="903"/>
      <c r="M19" s="1320"/>
      <c r="N19" s="1571" t="s">
        <v>218</v>
      </c>
    </row>
    <row r="20" spans="1:15" s="1399" customFormat="1">
      <c r="A20" s="1401">
        <f t="shared" si="6"/>
        <v>11.002999999999998</v>
      </c>
      <c r="B20" s="2324" t="s">
        <v>1652</v>
      </c>
      <c r="C20" s="2324"/>
      <c r="D20" s="694">
        <v>4485068.38</v>
      </c>
      <c r="E20" s="694">
        <v>3872552.38</v>
      </c>
      <c r="F20" s="1377">
        <f t="shared" si="7"/>
        <v>4178810.38</v>
      </c>
      <c r="G20" s="903"/>
      <c r="H20" s="903"/>
      <c r="I20" s="1320"/>
      <c r="J20" s="1377">
        <f t="shared" si="5"/>
        <v>3872552.38</v>
      </c>
      <c r="K20" s="903"/>
      <c r="L20" s="903"/>
      <c r="M20" s="1320"/>
      <c r="N20" s="1571" t="s">
        <v>197</v>
      </c>
      <c r="O20" s="173"/>
    </row>
    <row r="21" spans="1:15" s="1399" customFormat="1" ht="13.95" customHeight="1">
      <c r="A21" s="1401">
        <f t="shared" si="6"/>
        <v>11.003999999999998</v>
      </c>
      <c r="B21" s="534" t="s">
        <v>1653</v>
      </c>
      <c r="C21" s="534"/>
      <c r="D21" s="694">
        <v>724296.74</v>
      </c>
      <c r="E21" s="694">
        <v>1266797.6299999999</v>
      </c>
      <c r="F21" s="1377">
        <f t="shared" si="7"/>
        <v>995547.18499999994</v>
      </c>
      <c r="G21" s="903"/>
      <c r="H21" s="903"/>
      <c r="I21" s="1320"/>
      <c r="J21" s="1377">
        <f t="shared" si="5"/>
        <v>1266797.6299999999</v>
      </c>
      <c r="K21" s="903"/>
      <c r="L21" s="903"/>
      <c r="M21" s="1320"/>
      <c r="N21" s="1571" t="s">
        <v>197</v>
      </c>
      <c r="O21" s="173"/>
    </row>
    <row r="22" spans="1:15" ht="26.4">
      <c r="A22" s="1401">
        <f t="shared" si="6"/>
        <v>11.004999999999997</v>
      </c>
      <c r="B22" s="534" t="s">
        <v>1654</v>
      </c>
      <c r="C22" s="534"/>
      <c r="D22" s="694">
        <v>54814586.399999991</v>
      </c>
      <c r="E22" s="694">
        <v>24523043.5</v>
      </c>
      <c r="F22" s="1377">
        <f t="shared" si="7"/>
        <v>39668814.949999996</v>
      </c>
      <c r="G22" s="903"/>
      <c r="H22" s="903"/>
      <c r="I22" s="1320"/>
      <c r="J22" s="1377">
        <f t="shared" si="5"/>
        <v>24523043.5</v>
      </c>
      <c r="K22" s="903"/>
      <c r="L22" s="903"/>
      <c r="M22" s="1320"/>
      <c r="N22" s="1571" t="s">
        <v>1027</v>
      </c>
    </row>
    <row r="23" spans="1:15" ht="26.4">
      <c r="A23" s="1401">
        <f t="shared" si="6"/>
        <v>11.005999999999997</v>
      </c>
      <c r="B23" s="534" t="s">
        <v>1655</v>
      </c>
      <c r="C23" s="534"/>
      <c r="D23" s="694">
        <v>8852044.6199999992</v>
      </c>
      <c r="E23" s="694">
        <v>8022030.5</v>
      </c>
      <c r="F23" s="1377">
        <f t="shared" si="7"/>
        <v>8437037.5599999987</v>
      </c>
      <c r="G23" s="903"/>
      <c r="H23" s="903"/>
      <c r="I23" s="1320"/>
      <c r="J23" s="1377">
        <f t="shared" si="5"/>
        <v>8022030.5</v>
      </c>
      <c r="K23" s="903"/>
      <c r="L23" s="903"/>
      <c r="M23" s="1320"/>
      <c r="N23" s="1571" t="s">
        <v>1027</v>
      </c>
    </row>
    <row r="24" spans="1:15" ht="26.4">
      <c r="A24" s="1401">
        <f t="shared" si="6"/>
        <v>11.006999999999996</v>
      </c>
      <c r="B24" s="534" t="s">
        <v>1656</v>
      </c>
      <c r="C24" s="534"/>
      <c r="D24" s="694"/>
      <c r="E24" s="694"/>
      <c r="F24" s="1377">
        <f t="shared" si="7"/>
        <v>0</v>
      </c>
      <c r="G24" s="903"/>
      <c r="H24" s="903"/>
      <c r="I24" s="1320"/>
      <c r="J24" s="1377">
        <f t="shared" si="5"/>
        <v>0</v>
      </c>
      <c r="K24" s="903"/>
      <c r="L24" s="903"/>
      <c r="M24" s="1320"/>
      <c r="N24" s="1571" t="s">
        <v>1027</v>
      </c>
    </row>
    <row r="25" spans="1:15" ht="26.4">
      <c r="A25" s="1401">
        <f t="shared" si="6"/>
        <v>11.007999999999996</v>
      </c>
      <c r="B25" s="534" t="s">
        <v>1657</v>
      </c>
      <c r="C25" s="534"/>
      <c r="D25" s="694"/>
      <c r="E25" s="694"/>
      <c r="F25" s="1377">
        <f t="shared" si="7"/>
        <v>0</v>
      </c>
      <c r="G25" s="903"/>
      <c r="H25" s="903"/>
      <c r="I25" s="1320"/>
      <c r="J25" s="1377">
        <f t="shared" si="5"/>
        <v>0</v>
      </c>
      <c r="K25" s="903"/>
      <c r="L25" s="903"/>
      <c r="M25" s="1320"/>
      <c r="N25" s="1571" t="s">
        <v>1027</v>
      </c>
    </row>
    <row r="26" spans="1:15" ht="26.4">
      <c r="A26" s="1401">
        <f t="shared" si="6"/>
        <v>11.008999999999995</v>
      </c>
      <c r="B26" s="534" t="s">
        <v>1658</v>
      </c>
      <c r="C26" s="534"/>
      <c r="D26" s="694">
        <v>-31073908.859999999</v>
      </c>
      <c r="E26" s="694">
        <v>-14425209.779999999</v>
      </c>
      <c r="F26" s="1377">
        <f t="shared" si="7"/>
        <v>-22749559.32</v>
      </c>
      <c r="G26" s="903"/>
      <c r="H26" s="903"/>
      <c r="I26" s="1320"/>
      <c r="J26" s="1377">
        <f t="shared" si="5"/>
        <v>-14425209.779999999</v>
      </c>
      <c r="K26" s="903"/>
      <c r="L26" s="903"/>
      <c r="M26" s="1320"/>
      <c r="N26" s="1571" t="s">
        <v>219</v>
      </c>
    </row>
    <row r="27" spans="1:15" ht="26.4">
      <c r="A27" s="1401">
        <f t="shared" si="6"/>
        <v>11.009999999999994</v>
      </c>
      <c r="B27" s="534" t="s">
        <v>1659</v>
      </c>
      <c r="C27" s="534"/>
      <c r="D27" s="694">
        <v>-5018146.5599999996</v>
      </c>
      <c r="E27" s="694">
        <v>-4718805.5199999996</v>
      </c>
      <c r="F27" s="1377">
        <f t="shared" si="7"/>
        <v>-4868476.0399999991</v>
      </c>
      <c r="G27" s="903"/>
      <c r="H27" s="903"/>
      <c r="I27" s="1320"/>
      <c r="J27" s="1377">
        <f t="shared" si="5"/>
        <v>-4718805.5199999996</v>
      </c>
      <c r="K27" s="903"/>
      <c r="L27" s="903"/>
      <c r="M27" s="1320"/>
      <c r="N27" s="1571" t="s">
        <v>219</v>
      </c>
    </row>
    <row r="28" spans="1:15" ht="26.4">
      <c r="A28" s="1401">
        <f t="shared" si="6"/>
        <v>11.010999999999994</v>
      </c>
      <c r="B28" s="534" t="s">
        <v>1660</v>
      </c>
      <c r="C28" s="534"/>
      <c r="D28" s="694">
        <v>96830276.649999991</v>
      </c>
      <c r="E28" s="694">
        <v>53572460.850000001</v>
      </c>
      <c r="F28" s="1377">
        <f t="shared" si="7"/>
        <v>75201368.75</v>
      </c>
      <c r="G28" s="903"/>
      <c r="H28" s="903"/>
      <c r="I28" s="1320"/>
      <c r="J28" s="1377">
        <f t="shared" si="5"/>
        <v>53572460.850000001</v>
      </c>
      <c r="K28" s="903"/>
      <c r="L28" s="903"/>
      <c r="M28" s="1320"/>
      <c r="N28" s="1571" t="s">
        <v>192</v>
      </c>
    </row>
    <row r="29" spans="1:15" ht="26.4">
      <c r="A29" s="1401">
        <f t="shared" si="6"/>
        <v>11.011999999999993</v>
      </c>
      <c r="B29" s="534" t="s">
        <v>1661</v>
      </c>
      <c r="C29" s="534"/>
      <c r="D29" s="694">
        <v>15637186.870000001</v>
      </c>
      <c r="E29" s="694">
        <v>17524738.149999999</v>
      </c>
      <c r="F29" s="1377">
        <f t="shared" si="7"/>
        <v>16580962.51</v>
      </c>
      <c r="G29" s="903"/>
      <c r="H29" s="903"/>
      <c r="I29" s="1320"/>
      <c r="J29" s="1377">
        <f t="shared" si="5"/>
        <v>17524738.149999999</v>
      </c>
      <c r="K29" s="903"/>
      <c r="L29" s="903"/>
      <c r="M29" s="1320"/>
      <c r="N29" s="1571" t="s">
        <v>192</v>
      </c>
    </row>
    <row r="30" spans="1:15" ht="26.4">
      <c r="A30" s="1401">
        <f t="shared" si="6"/>
        <v>11.012999999999993</v>
      </c>
      <c r="B30" s="534" t="s">
        <v>1662</v>
      </c>
      <c r="C30" s="534"/>
      <c r="D30" s="694">
        <v>3355204.11</v>
      </c>
      <c r="E30" s="694">
        <v>2833663.73</v>
      </c>
      <c r="F30" s="1377"/>
      <c r="G30" s="903"/>
      <c r="H30" s="903">
        <f t="shared" ref="H30:H31" si="8">+SUM($D30:$E30)/2</f>
        <v>3094433.92</v>
      </c>
      <c r="I30" s="1320"/>
      <c r="J30" s="1377"/>
      <c r="K30" s="903"/>
      <c r="L30" s="903">
        <f>+E30</f>
        <v>2833663.73</v>
      </c>
      <c r="M30" s="1320"/>
      <c r="N30" s="1571" t="s">
        <v>193</v>
      </c>
    </row>
    <row r="31" spans="1:15" ht="26.4">
      <c r="A31" s="1401">
        <f t="shared" si="6"/>
        <v>11.013999999999992</v>
      </c>
      <c r="B31" s="1559" t="s">
        <v>1663</v>
      </c>
      <c r="C31" s="534"/>
      <c r="D31" s="694">
        <v>541855.07999999996</v>
      </c>
      <c r="E31" s="694">
        <v>457627.8</v>
      </c>
      <c r="F31" s="1377"/>
      <c r="G31" s="903"/>
      <c r="H31" s="903">
        <f t="shared" si="8"/>
        <v>499741.43999999994</v>
      </c>
      <c r="I31" s="1320"/>
      <c r="J31" s="1377"/>
      <c r="K31" s="903"/>
      <c r="L31" s="903">
        <f>+E31</f>
        <v>457627.8</v>
      </c>
      <c r="M31" s="1320"/>
      <c r="N31" s="1571" t="s">
        <v>193</v>
      </c>
    </row>
    <row r="32" spans="1:15" ht="52.8">
      <c r="A32" s="1401">
        <f t="shared" si="6"/>
        <v>11.014999999999992</v>
      </c>
      <c r="B32" s="534" t="s">
        <v>1664</v>
      </c>
      <c r="C32" s="534"/>
      <c r="D32" s="694">
        <v>13455043.310000001</v>
      </c>
      <c r="E32" s="694">
        <v>10857804.07</v>
      </c>
      <c r="F32" s="1377">
        <f>+SUM(D32:E32)/2</f>
        <v>12156423.690000001</v>
      </c>
      <c r="G32" s="903"/>
      <c r="H32" s="903"/>
      <c r="I32" s="1320"/>
      <c r="J32" s="1377">
        <f t="shared" ref="J32:J33" si="9">+E32</f>
        <v>10857804.07</v>
      </c>
      <c r="K32" s="903"/>
      <c r="L32" s="903"/>
      <c r="M32" s="1320"/>
      <c r="N32" s="1571" t="s">
        <v>1028</v>
      </c>
    </row>
    <row r="33" spans="1:15" ht="52.8">
      <c r="A33" s="1401">
        <f t="shared" si="6"/>
        <v>11.015999999999991</v>
      </c>
      <c r="B33" s="534" t="s">
        <v>1665</v>
      </c>
      <c r="C33" s="534"/>
      <c r="D33" s="694">
        <v>2172864.04</v>
      </c>
      <c r="E33" s="694">
        <v>3551828.12</v>
      </c>
      <c r="F33" s="1377">
        <f>+SUM(D33:E33)/2</f>
        <v>2862346.08</v>
      </c>
      <c r="G33" s="903"/>
      <c r="H33" s="903"/>
      <c r="I33" s="1320"/>
      <c r="J33" s="1377">
        <f t="shared" si="9"/>
        <v>3551828.12</v>
      </c>
      <c r="K33" s="903"/>
      <c r="L33" s="903"/>
      <c r="M33" s="1320"/>
      <c r="N33" s="1571" t="s">
        <v>1028</v>
      </c>
    </row>
    <row r="34" spans="1:15" ht="26.4">
      <c r="A34" s="1401">
        <f t="shared" si="6"/>
        <v>11.016999999999991</v>
      </c>
      <c r="B34" s="1559" t="s">
        <v>1666</v>
      </c>
      <c r="C34" s="534"/>
      <c r="D34" s="694">
        <v>5110871.1999999993</v>
      </c>
      <c r="E34" s="694">
        <v>2754662.8</v>
      </c>
      <c r="F34" s="1377"/>
      <c r="G34" s="903"/>
      <c r="H34" s="903"/>
      <c r="I34" s="1320">
        <f t="shared" ref="I34:I35" si="10">+SUM($D34:$E34)/2</f>
        <v>3932766.9999999995</v>
      </c>
      <c r="J34" s="1377"/>
      <c r="K34" s="903"/>
      <c r="L34" s="903"/>
      <c r="M34" s="1320">
        <f t="shared" ref="M34:M35" si="11">+E34</f>
        <v>2754662.8</v>
      </c>
      <c r="N34" s="1571" t="s">
        <v>194</v>
      </c>
    </row>
    <row r="35" spans="1:15" ht="26.4">
      <c r="A35" s="1401">
        <f t="shared" si="6"/>
        <v>11.01799999999999</v>
      </c>
      <c r="B35" s="1559" t="s">
        <v>1667</v>
      </c>
      <c r="C35" s="534"/>
      <c r="D35" s="694">
        <v>825358.04</v>
      </c>
      <c r="E35" s="694">
        <v>901111.20000000007</v>
      </c>
      <c r="F35" s="1377"/>
      <c r="G35" s="903"/>
      <c r="H35" s="903"/>
      <c r="I35" s="1320">
        <f t="shared" si="10"/>
        <v>863234.62000000011</v>
      </c>
      <c r="J35" s="1377"/>
      <c r="K35" s="903"/>
      <c r="L35" s="903"/>
      <c r="M35" s="1320">
        <f t="shared" si="11"/>
        <v>901111.20000000007</v>
      </c>
      <c r="N35" s="1571" t="s">
        <v>194</v>
      </c>
    </row>
    <row r="36" spans="1:15" ht="13.95" customHeight="1">
      <c r="A36" s="1401">
        <f t="shared" si="6"/>
        <v>11.018999999999989</v>
      </c>
      <c r="B36" s="1559" t="s">
        <v>1668</v>
      </c>
      <c r="C36" s="534"/>
      <c r="D36" s="694">
        <v>26942579.18</v>
      </c>
      <c r="E36" s="694">
        <v>25967876.75</v>
      </c>
      <c r="F36" s="1377"/>
      <c r="G36" s="903"/>
      <c r="H36" s="903">
        <f t="shared" ref="H36:H37" si="12">+SUM($D36:$E36)/2</f>
        <v>26455227.965</v>
      </c>
      <c r="I36" s="1320"/>
      <c r="J36" s="1377"/>
      <c r="K36" s="903"/>
      <c r="L36" s="903">
        <f t="shared" ref="L36:L37" si="13">+E36</f>
        <v>25967876.75</v>
      </c>
      <c r="M36" s="1320"/>
      <c r="N36" s="1571" t="s">
        <v>1029</v>
      </c>
      <c r="O36" s="1140"/>
    </row>
    <row r="37" spans="1:15" ht="13.95" customHeight="1">
      <c r="A37" s="1401">
        <f t="shared" si="6"/>
        <v>11.019999999999989</v>
      </c>
      <c r="B37" s="1559" t="s">
        <v>1669</v>
      </c>
      <c r="C37" s="534"/>
      <c r="D37" s="694">
        <v>4351160.84</v>
      </c>
      <c r="E37" s="694">
        <v>4237349.25</v>
      </c>
      <c r="F37" s="1377"/>
      <c r="G37" s="903"/>
      <c r="H37" s="903">
        <f t="shared" si="12"/>
        <v>4294255.0449999999</v>
      </c>
      <c r="I37" s="1320"/>
      <c r="J37" s="1377"/>
      <c r="K37" s="903"/>
      <c r="L37" s="903">
        <f t="shared" si="13"/>
        <v>4237349.25</v>
      </c>
      <c r="M37" s="1320"/>
      <c r="N37" s="1571" t="s">
        <v>1029</v>
      </c>
      <c r="O37" s="1140"/>
    </row>
    <row r="38" spans="1:15">
      <c r="A38" s="1401">
        <f t="shared" si="6"/>
        <v>11.020999999999988</v>
      </c>
      <c r="B38" s="534" t="s">
        <v>1670</v>
      </c>
      <c r="C38" s="534"/>
      <c r="D38" s="694"/>
      <c r="E38" s="694"/>
      <c r="F38" s="1377">
        <f t="shared" ref="F38:F49" si="14">+SUM(D38:E38)/2</f>
        <v>0</v>
      </c>
      <c r="G38" s="903"/>
      <c r="H38" s="903"/>
      <c r="I38" s="1320"/>
      <c r="J38" s="1377">
        <f t="shared" ref="J38:J49" si="15">+E38</f>
        <v>0</v>
      </c>
      <c r="K38" s="903"/>
      <c r="L38" s="903"/>
      <c r="M38" s="1320"/>
      <c r="N38" s="1571" t="s">
        <v>195</v>
      </c>
    </row>
    <row r="39" spans="1:15">
      <c r="A39" s="1401">
        <f t="shared" si="6"/>
        <v>11.021999999999988</v>
      </c>
      <c r="B39" s="534" t="s">
        <v>1671</v>
      </c>
      <c r="C39" s="534"/>
      <c r="D39" s="694"/>
      <c r="E39" s="694"/>
      <c r="F39" s="1377">
        <f t="shared" si="14"/>
        <v>0</v>
      </c>
      <c r="G39" s="903"/>
      <c r="H39" s="903"/>
      <c r="I39" s="1320"/>
      <c r="J39" s="1377">
        <f t="shared" si="15"/>
        <v>0</v>
      </c>
      <c r="K39" s="903"/>
      <c r="L39" s="903"/>
      <c r="M39" s="1320"/>
      <c r="N39" s="1571" t="s">
        <v>195</v>
      </c>
    </row>
    <row r="40" spans="1:15" ht="13.95" customHeight="1">
      <c r="A40" s="1401">
        <f t="shared" si="6"/>
        <v>11.022999999999987</v>
      </c>
      <c r="B40" s="1559" t="s">
        <v>1672</v>
      </c>
      <c r="C40" s="534"/>
      <c r="D40" s="694">
        <v>-103168514.64</v>
      </c>
      <c r="E40" s="694">
        <v>-75350067.5</v>
      </c>
      <c r="F40" s="1377"/>
      <c r="G40" s="903"/>
      <c r="H40" s="903"/>
      <c r="I40" s="1320">
        <f t="shared" ref="I40:I41" si="16">+SUM($D40:$E40)/2</f>
        <v>-89259291.069999993</v>
      </c>
      <c r="J40" s="1377"/>
      <c r="K40" s="903"/>
      <c r="L40" s="903"/>
      <c r="M40" s="1320">
        <f t="shared" ref="M40:M41" si="17">+E40</f>
        <v>-75350067.5</v>
      </c>
      <c r="N40" s="1571" t="s">
        <v>196</v>
      </c>
      <c r="O40" s="61" t="s">
        <v>1506</v>
      </c>
    </row>
    <row r="41" spans="1:15" ht="13.95" customHeight="1">
      <c r="A41" s="1401">
        <f t="shared" si="6"/>
        <v>11.023999999999987</v>
      </c>
      <c r="B41" s="1559" t="s">
        <v>1673</v>
      </c>
      <c r="C41" s="534"/>
      <c r="D41" s="694">
        <v>-16660753.199999999</v>
      </c>
      <c r="E41" s="694">
        <v>-24648675.5</v>
      </c>
      <c r="F41" s="1377"/>
      <c r="G41" s="903"/>
      <c r="H41" s="903"/>
      <c r="I41" s="1320">
        <f t="shared" si="16"/>
        <v>-20654714.350000001</v>
      </c>
      <c r="J41" s="1377"/>
      <c r="K41" s="903"/>
      <c r="L41" s="903"/>
      <c r="M41" s="1320">
        <f t="shared" si="17"/>
        <v>-24648675.5</v>
      </c>
      <c r="N41" s="1571" t="s">
        <v>196</v>
      </c>
      <c r="O41" s="61" t="s">
        <v>1506</v>
      </c>
    </row>
    <row r="42" spans="1:15" ht="13.95" customHeight="1">
      <c r="A42" s="1401">
        <f t="shared" si="6"/>
        <v>11.024999999999986</v>
      </c>
      <c r="B42" s="1559" t="s">
        <v>1674</v>
      </c>
      <c r="C42" s="534"/>
      <c r="D42" s="694">
        <v>253424590.66999999</v>
      </c>
      <c r="E42" s="694">
        <v>152849517.13999999</v>
      </c>
      <c r="F42" s="1377">
        <f t="shared" si="14"/>
        <v>203137053.90499997</v>
      </c>
      <c r="G42" s="903"/>
      <c r="H42" s="903"/>
      <c r="I42" s="1320"/>
      <c r="J42" s="1377">
        <f t="shared" si="15"/>
        <v>152849517.13999999</v>
      </c>
      <c r="K42" s="903"/>
      <c r="L42" s="903"/>
      <c r="M42" s="1320"/>
      <c r="N42" s="1571" t="s">
        <v>196</v>
      </c>
    </row>
    <row r="43" spans="1:15" ht="13.95" customHeight="1">
      <c r="A43" s="1401">
        <f t="shared" si="6"/>
        <v>11.025999999999986</v>
      </c>
      <c r="B43" s="1559" t="s">
        <v>1675</v>
      </c>
      <c r="C43" s="534"/>
      <c r="D43" s="694">
        <v>40925708.590000004</v>
      </c>
      <c r="E43" s="694">
        <v>50000461.579999998</v>
      </c>
      <c r="F43" s="1377">
        <f t="shared" si="14"/>
        <v>45463085.085000001</v>
      </c>
      <c r="G43" s="903"/>
      <c r="H43" s="903"/>
      <c r="I43" s="1320"/>
      <c r="J43" s="1377">
        <f t="shared" si="15"/>
        <v>50000461.579999998</v>
      </c>
      <c r="K43" s="903"/>
      <c r="L43" s="903"/>
      <c r="M43" s="1320"/>
      <c r="N43" s="1571" t="s">
        <v>196</v>
      </c>
    </row>
    <row r="44" spans="1:15" ht="13.95" customHeight="1">
      <c r="A44" s="1401">
        <f t="shared" si="6"/>
        <v>11.026999999999985</v>
      </c>
      <c r="B44" s="1559" t="s">
        <v>1676</v>
      </c>
      <c r="C44" s="534"/>
      <c r="D44" s="694">
        <v>659715.87</v>
      </c>
      <c r="E44" s="1637">
        <v>379983.87</v>
      </c>
      <c r="F44" s="1377"/>
      <c r="I44" s="1320">
        <f t="shared" ref="I44:I45" si="18">+SUM($D44:$E44)/2</f>
        <v>519849.87</v>
      </c>
      <c r="M44" s="1320">
        <f t="shared" ref="M44:M45" si="19">+E44</f>
        <v>379983.87</v>
      </c>
      <c r="N44" s="1571" t="s">
        <v>196</v>
      </c>
      <c r="O44" s="61" t="s">
        <v>1934</v>
      </c>
    </row>
    <row r="45" spans="1:15" ht="13.95" customHeight="1">
      <c r="A45" s="1401">
        <f t="shared" si="6"/>
        <v>11.027999999999984</v>
      </c>
      <c r="B45" s="1559" t="s">
        <v>1677</v>
      </c>
      <c r="C45" s="534"/>
      <c r="D45" s="694">
        <v>106537.95999999999</v>
      </c>
      <c r="E45" s="1637">
        <v>124301.13</v>
      </c>
      <c r="F45" s="1377"/>
      <c r="I45" s="1320">
        <f t="shared" si="18"/>
        <v>115419.545</v>
      </c>
      <c r="M45" s="1320">
        <f t="shared" si="19"/>
        <v>124301.13</v>
      </c>
      <c r="N45" s="1571" t="s">
        <v>196</v>
      </c>
      <c r="O45" s="61" t="s">
        <v>1934</v>
      </c>
    </row>
    <row r="46" spans="1:15" ht="13.95" customHeight="1">
      <c r="A46" s="1401">
        <f t="shared" si="6"/>
        <v>11.028999999999984</v>
      </c>
      <c r="B46" s="1559" t="s">
        <v>1678</v>
      </c>
      <c r="C46" s="534"/>
      <c r="D46" s="694">
        <v>91802388.159999996</v>
      </c>
      <c r="E46" s="694">
        <v>55311897.259999998</v>
      </c>
      <c r="F46" s="1377">
        <f t="shared" si="14"/>
        <v>73557142.709999993</v>
      </c>
      <c r="G46" s="903"/>
      <c r="H46" s="903"/>
      <c r="I46" s="1320"/>
      <c r="J46" s="1377">
        <f t="shared" si="15"/>
        <v>55311897.259999998</v>
      </c>
      <c r="K46" s="903"/>
      <c r="L46" s="903"/>
      <c r="M46" s="1320"/>
      <c r="N46" s="1571" t="s">
        <v>196</v>
      </c>
    </row>
    <row r="47" spans="1:15" ht="13.95" customHeight="1">
      <c r="A47" s="1401">
        <f t="shared" si="6"/>
        <v>11.029999999999983</v>
      </c>
      <c r="B47" s="1559" t="s">
        <v>1679</v>
      </c>
      <c r="C47" s="534"/>
      <c r="D47" s="694">
        <v>14825229.68</v>
      </c>
      <c r="E47" s="694">
        <v>18093744.740000002</v>
      </c>
      <c r="F47" s="1377">
        <f t="shared" si="14"/>
        <v>16459487.210000001</v>
      </c>
      <c r="G47" s="903"/>
      <c r="H47" s="903"/>
      <c r="I47" s="1320"/>
      <c r="J47" s="1377">
        <f t="shared" si="15"/>
        <v>18093744.740000002</v>
      </c>
      <c r="K47" s="903"/>
      <c r="L47" s="903"/>
      <c r="M47" s="1320"/>
      <c r="N47" s="1571" t="s">
        <v>196</v>
      </c>
    </row>
    <row r="48" spans="1:15" ht="13.95" customHeight="1">
      <c r="A48" s="1401">
        <f t="shared" si="6"/>
        <v>11.030999999999983</v>
      </c>
      <c r="B48" s="1559" t="s">
        <v>1680</v>
      </c>
      <c r="C48" s="534"/>
      <c r="D48" s="694">
        <v>0</v>
      </c>
      <c r="E48" s="694">
        <v>-252348.72</v>
      </c>
      <c r="F48" s="1377">
        <f t="shared" si="14"/>
        <v>-126174.36</v>
      </c>
      <c r="G48" s="903"/>
      <c r="H48" s="903"/>
      <c r="I48" s="1320"/>
      <c r="J48" s="1377">
        <f t="shared" si="15"/>
        <v>-252348.72</v>
      </c>
      <c r="K48" s="903"/>
      <c r="L48" s="903"/>
      <c r="M48" s="1320"/>
      <c r="N48" s="1571" t="s">
        <v>197</v>
      </c>
    </row>
    <row r="49" spans="1:15" ht="13.95" customHeight="1">
      <c r="A49" s="1401">
        <f t="shared" si="6"/>
        <v>11.031999999999982</v>
      </c>
      <c r="B49" s="1559" t="s">
        <v>1681</v>
      </c>
      <c r="C49" s="534"/>
      <c r="D49" s="694">
        <v>0</v>
      </c>
      <c r="E49" s="694">
        <v>-82548.86</v>
      </c>
      <c r="F49" s="1377">
        <f t="shared" si="14"/>
        <v>-41274.43</v>
      </c>
      <c r="G49" s="903"/>
      <c r="H49" s="903"/>
      <c r="I49" s="1320"/>
      <c r="J49" s="1377">
        <f t="shared" si="15"/>
        <v>-82548.86</v>
      </c>
      <c r="K49" s="903"/>
      <c r="L49" s="903"/>
      <c r="M49" s="1320"/>
      <c r="N49" s="1571" t="s">
        <v>197</v>
      </c>
    </row>
    <row r="50" spans="1:15" ht="13.95" customHeight="1">
      <c r="A50" s="1401">
        <f t="shared" si="6"/>
        <v>11.032999999999982</v>
      </c>
      <c r="B50" s="1559" t="s">
        <v>1682</v>
      </c>
      <c r="C50" s="534"/>
      <c r="D50" s="694">
        <v>63443962.710000001</v>
      </c>
      <c r="E50" s="694">
        <v>54764037.280000001</v>
      </c>
      <c r="F50" s="1377"/>
      <c r="G50" s="903"/>
      <c r="H50" s="903">
        <f t="shared" ref="H50:H51" si="20">+SUM($D50:$E50)/2</f>
        <v>59103999.995000005</v>
      </c>
      <c r="I50" s="1320"/>
      <c r="J50" s="1377"/>
      <c r="K50" s="903"/>
      <c r="L50" s="903">
        <f t="shared" ref="L50:L51" si="21">+E50</f>
        <v>54764037.280000001</v>
      </c>
      <c r="M50" s="1320"/>
      <c r="N50" s="1571" t="s">
        <v>198</v>
      </c>
    </row>
    <row r="51" spans="1:15" ht="13.95" customHeight="1">
      <c r="A51" s="1401">
        <f t="shared" si="6"/>
        <v>11.033999999999981</v>
      </c>
      <c r="B51" s="1559" t="s">
        <v>1683</v>
      </c>
      <c r="C51" s="534"/>
      <c r="D51" s="694">
        <v>10217723.380000001</v>
      </c>
      <c r="E51" s="694">
        <v>8820566.9299999997</v>
      </c>
      <c r="F51" s="1377"/>
      <c r="G51" s="903"/>
      <c r="H51" s="903">
        <f t="shared" si="20"/>
        <v>9519145.1550000012</v>
      </c>
      <c r="I51" s="1320"/>
      <c r="J51" s="1377"/>
      <c r="K51" s="903"/>
      <c r="L51" s="903">
        <f t="shared" si="21"/>
        <v>8820566.9299999997</v>
      </c>
      <c r="M51" s="1320"/>
      <c r="N51" s="1571" t="s">
        <v>198</v>
      </c>
    </row>
    <row r="52" spans="1:15" ht="13.95" customHeight="1">
      <c r="A52" s="1401">
        <f t="shared" si="6"/>
        <v>11.034999999999981</v>
      </c>
      <c r="B52" s="534" t="s">
        <v>1684</v>
      </c>
      <c r="C52" s="534"/>
      <c r="D52" s="694"/>
      <c r="E52" s="694"/>
      <c r="F52" s="1377">
        <f t="shared" ref="F52:F56" si="22">+SUM(D52:E52)/2</f>
        <v>0</v>
      </c>
      <c r="G52" s="903"/>
      <c r="H52" s="903"/>
      <c r="I52" s="1320"/>
      <c r="J52" s="1377">
        <f t="shared" ref="J52:J56" si="23">+E52</f>
        <v>0</v>
      </c>
      <c r="K52" s="903"/>
      <c r="L52" s="903"/>
      <c r="M52" s="1320"/>
      <c r="N52" s="1571" t="s">
        <v>200</v>
      </c>
    </row>
    <row r="53" spans="1:15" ht="13.95" customHeight="1">
      <c r="A53" s="1401">
        <f t="shared" si="6"/>
        <v>11.03599999999998</v>
      </c>
      <c r="B53" s="1559" t="s">
        <v>1685</v>
      </c>
      <c r="C53" s="534"/>
      <c r="D53" s="694">
        <v>24845963.460000001</v>
      </c>
      <c r="E53" s="694">
        <v>11480602.609999999</v>
      </c>
      <c r="F53" s="1377">
        <f t="shared" si="22"/>
        <v>18163283.035</v>
      </c>
      <c r="G53" s="903"/>
      <c r="H53" s="903"/>
      <c r="I53" s="1320"/>
      <c r="J53" s="1377">
        <f t="shared" si="23"/>
        <v>11480602.609999999</v>
      </c>
      <c r="K53" s="903"/>
      <c r="L53" s="903"/>
      <c r="M53" s="1320"/>
      <c r="N53" s="1571" t="s">
        <v>197</v>
      </c>
    </row>
    <row r="54" spans="1:15" ht="13.95" customHeight="1">
      <c r="A54" s="1401">
        <f t="shared" si="6"/>
        <v>11.036999999999979</v>
      </c>
      <c r="B54" s="1559" t="s">
        <v>1686</v>
      </c>
      <c r="C54" s="534"/>
      <c r="D54" s="694">
        <v>8536928.1999999993</v>
      </c>
      <c r="E54" s="694">
        <v>8434196.7300000004</v>
      </c>
      <c r="F54" s="1377">
        <f t="shared" si="22"/>
        <v>8485562.4649999999</v>
      </c>
      <c r="G54" s="903"/>
      <c r="H54" s="903"/>
      <c r="I54" s="1320"/>
      <c r="J54" s="1377">
        <f t="shared" si="23"/>
        <v>8434196.7300000004</v>
      </c>
      <c r="K54" s="903"/>
      <c r="L54" s="903"/>
      <c r="M54" s="1320"/>
      <c r="N54" s="1571" t="s">
        <v>197</v>
      </c>
    </row>
    <row r="55" spans="1:15" ht="13.95" customHeight="1">
      <c r="A55" s="1401">
        <f t="shared" si="6"/>
        <v>11.037999999999979</v>
      </c>
      <c r="B55" s="1559" t="s">
        <v>1687</v>
      </c>
      <c r="C55" s="534"/>
      <c r="D55" s="694"/>
      <c r="E55" s="694"/>
      <c r="F55" s="1377">
        <f t="shared" si="22"/>
        <v>0</v>
      </c>
      <c r="G55" s="903"/>
      <c r="H55" s="903"/>
      <c r="I55" s="1320"/>
      <c r="J55" s="1377">
        <f t="shared" si="23"/>
        <v>0</v>
      </c>
      <c r="K55" s="903"/>
      <c r="L55" s="903"/>
      <c r="M55" s="1320"/>
      <c r="N55" s="1571" t="s">
        <v>191</v>
      </c>
    </row>
    <row r="56" spans="1:15" ht="13.95" customHeight="1">
      <c r="A56" s="1401">
        <f t="shared" si="6"/>
        <v>11.038999999999978</v>
      </c>
      <c r="B56" s="1559" t="s">
        <v>1688</v>
      </c>
      <c r="C56" s="534"/>
      <c r="D56" s="694"/>
      <c r="E56" s="694"/>
      <c r="F56" s="1377">
        <f t="shared" si="22"/>
        <v>0</v>
      </c>
      <c r="G56" s="903"/>
      <c r="H56" s="903"/>
      <c r="I56" s="1320"/>
      <c r="J56" s="1377">
        <f t="shared" si="23"/>
        <v>0</v>
      </c>
      <c r="K56" s="903"/>
      <c r="L56" s="903"/>
      <c r="M56" s="1320"/>
      <c r="N56" s="1571" t="s">
        <v>191</v>
      </c>
      <c r="O56" s="1398"/>
    </row>
    <row r="57" spans="1:15" s="1140" customFormat="1" ht="13.95" customHeight="1">
      <c r="A57" s="1401">
        <f>ROUND(+A56+0.001,3)</f>
        <v>11.04</v>
      </c>
      <c r="B57" s="1559" t="s">
        <v>1689</v>
      </c>
      <c r="C57" s="780"/>
      <c r="D57" s="694">
        <v>1281074.0900000001</v>
      </c>
      <c r="E57" s="694">
        <v>204003.04</v>
      </c>
      <c r="F57" s="1377">
        <f t="shared" ref="F57:F58" si="24">+SUM(D57:E57)/2</f>
        <v>742538.56500000006</v>
      </c>
      <c r="G57" s="903"/>
      <c r="H57" s="903"/>
      <c r="I57" s="1320"/>
      <c r="J57" s="1377">
        <f t="shared" ref="J57:J58" si="25">+E57</f>
        <v>204003.04</v>
      </c>
      <c r="K57" s="903"/>
      <c r="L57" s="903"/>
      <c r="M57" s="1320"/>
      <c r="N57" s="1572" t="s">
        <v>197</v>
      </c>
      <c r="O57" s="1400" t="s">
        <v>1295</v>
      </c>
    </row>
    <row r="58" spans="1:15" s="1140" customFormat="1" ht="13.95" customHeight="1">
      <c r="A58" s="1401">
        <f t="shared" si="6"/>
        <v>11.040999999999999</v>
      </c>
      <c r="B58" s="1559" t="s">
        <v>1690</v>
      </c>
      <c r="C58" s="780"/>
      <c r="D58" s="694">
        <v>206881.5</v>
      </c>
      <c r="E58" s="694">
        <v>66733.959999999992</v>
      </c>
      <c r="F58" s="1377">
        <f t="shared" si="24"/>
        <v>136807.72999999998</v>
      </c>
      <c r="G58" s="903"/>
      <c r="H58" s="903"/>
      <c r="I58" s="1320"/>
      <c r="J58" s="1377">
        <f t="shared" si="25"/>
        <v>66733.959999999992</v>
      </c>
      <c r="K58" s="903"/>
      <c r="L58" s="903"/>
      <c r="M58" s="1320"/>
      <c r="N58" s="1572" t="s">
        <v>197</v>
      </c>
      <c r="O58" s="1400" t="s">
        <v>1295</v>
      </c>
    </row>
    <row r="59" spans="1:15" ht="13.95" customHeight="1">
      <c r="A59" s="1401">
        <f t="shared" si="6"/>
        <v>11.041999999999998</v>
      </c>
      <c r="B59" s="1559" t="s">
        <v>1691</v>
      </c>
      <c r="C59" s="534"/>
      <c r="D59" s="694"/>
      <c r="E59" s="694"/>
      <c r="F59" s="1377"/>
      <c r="G59" s="903"/>
      <c r="H59" s="903"/>
      <c r="I59" s="1320">
        <f t="shared" ref="I59:I62" si="26">+SUM($D59:$E59)/2</f>
        <v>0</v>
      </c>
      <c r="J59" s="1377"/>
      <c r="K59" s="903"/>
      <c r="L59" s="903"/>
      <c r="M59" s="1320">
        <f>+E59</f>
        <v>0</v>
      </c>
      <c r="N59" s="1571" t="s">
        <v>883</v>
      </c>
    </row>
    <row r="60" spans="1:15" ht="13.95" customHeight="1">
      <c r="A60" s="1401">
        <f t="shared" si="6"/>
        <v>11.042999999999997</v>
      </c>
      <c r="B60" s="1559" t="s">
        <v>1692</v>
      </c>
      <c r="C60" s="534"/>
      <c r="D60" s="694"/>
      <c r="E60" s="694"/>
      <c r="F60" s="1377"/>
      <c r="G60" s="903"/>
      <c r="H60" s="903"/>
      <c r="I60" s="1320">
        <f t="shared" si="26"/>
        <v>0</v>
      </c>
      <c r="J60" s="1377"/>
      <c r="K60" s="903"/>
      <c r="L60" s="903"/>
      <c r="M60" s="1320">
        <f>+E60</f>
        <v>0</v>
      </c>
      <c r="N60" s="1571" t="s">
        <v>883</v>
      </c>
    </row>
    <row r="61" spans="1:15" ht="13.95" customHeight="1">
      <c r="A61" s="1401">
        <f t="shared" si="6"/>
        <v>11.043999999999997</v>
      </c>
      <c r="B61" s="1559" t="s">
        <v>1693</v>
      </c>
      <c r="C61" s="534"/>
      <c r="D61" s="694">
        <v>5268645.5199999996</v>
      </c>
      <c r="E61" s="694">
        <v>2720873.9</v>
      </c>
      <c r="F61" s="1377"/>
      <c r="G61" s="903"/>
      <c r="H61" s="903"/>
      <c r="I61" s="1320">
        <f t="shared" si="26"/>
        <v>3994759.71</v>
      </c>
      <c r="J61" s="1377"/>
      <c r="K61" s="903"/>
      <c r="L61" s="903"/>
      <c r="M61" s="1320">
        <f>+E61</f>
        <v>2720873.9</v>
      </c>
      <c r="N61" s="1571" t="s">
        <v>196</v>
      </c>
    </row>
    <row r="62" spans="1:15" ht="13.95" customHeight="1">
      <c r="A62" s="1401">
        <f t="shared" si="6"/>
        <v>11.044999999999996</v>
      </c>
      <c r="B62" s="1559" t="s">
        <v>1694</v>
      </c>
      <c r="C62" s="534"/>
      <c r="D62" s="694">
        <v>850827.4</v>
      </c>
      <c r="E62" s="694">
        <v>890058.1</v>
      </c>
      <c r="F62" s="1377"/>
      <c r="G62" s="903"/>
      <c r="H62" s="903"/>
      <c r="I62" s="1320">
        <f t="shared" si="26"/>
        <v>870442.75</v>
      </c>
      <c r="J62" s="1377"/>
      <c r="K62" s="903"/>
      <c r="L62" s="903"/>
      <c r="M62" s="1320">
        <f>+E62</f>
        <v>890058.1</v>
      </c>
      <c r="N62" s="1571" t="s">
        <v>196</v>
      </c>
    </row>
    <row r="63" spans="1:15" ht="13.95" customHeight="1">
      <c r="A63" s="1401">
        <f t="shared" si="6"/>
        <v>11.045999999999996</v>
      </c>
      <c r="B63" s="1559" t="s">
        <v>1695</v>
      </c>
      <c r="C63" s="534"/>
      <c r="D63" s="694">
        <v>2075247.79</v>
      </c>
      <c r="E63" s="694">
        <v>1653942.7200000002</v>
      </c>
      <c r="F63" s="1377">
        <f t="shared" ref="F63:F64" si="27">+SUM(D63:E63)/2</f>
        <v>1864595.2550000001</v>
      </c>
      <c r="G63" s="903"/>
      <c r="H63" s="903"/>
      <c r="I63" s="1320"/>
      <c r="J63" s="1377">
        <f>+E63</f>
        <v>1653942.7200000002</v>
      </c>
      <c r="K63" s="903"/>
      <c r="L63" s="903"/>
      <c r="M63" s="1320"/>
      <c r="N63" s="1571" t="s">
        <v>199</v>
      </c>
    </row>
    <row r="64" spans="1:15" ht="13.95" customHeight="1">
      <c r="A64" s="1401">
        <f t="shared" si="6"/>
        <v>11.046999999999995</v>
      </c>
      <c r="B64" s="1559" t="s">
        <v>1696</v>
      </c>
      <c r="C64" s="534"/>
      <c r="D64" s="694">
        <v>335133.16000000003</v>
      </c>
      <c r="E64" s="694">
        <v>541041.28</v>
      </c>
      <c r="F64" s="1377">
        <f t="shared" si="27"/>
        <v>438087.22000000003</v>
      </c>
      <c r="G64" s="903"/>
      <c r="H64" s="903"/>
      <c r="I64" s="1320"/>
      <c r="J64" s="1377">
        <f>+E64</f>
        <v>541041.28</v>
      </c>
      <c r="K64" s="903"/>
      <c r="L64" s="903"/>
      <c r="M64" s="1320"/>
      <c r="N64" s="1571" t="s">
        <v>199</v>
      </c>
    </row>
    <row r="65" spans="1:15" ht="13.95" customHeight="1">
      <c r="A65" s="1401">
        <f t="shared" si="6"/>
        <v>11.047999999999995</v>
      </c>
      <c r="B65" s="1559" t="s">
        <v>1697</v>
      </c>
      <c r="C65" s="534"/>
      <c r="D65" s="694">
        <v>5986814.7999999998</v>
      </c>
      <c r="E65" s="694">
        <v>3551170.05</v>
      </c>
      <c r="F65" s="1377"/>
      <c r="G65" s="903"/>
      <c r="H65" s="903"/>
      <c r="I65" s="1320">
        <f t="shared" ref="I65:I66" si="28">+SUM($D65:$E65)/2</f>
        <v>4768992.4249999998</v>
      </c>
      <c r="J65" s="1377"/>
      <c r="K65" s="903"/>
      <c r="L65" s="903"/>
      <c r="M65" s="1320">
        <f t="shared" ref="M65:M66" si="29">+E65</f>
        <v>3551170.05</v>
      </c>
      <c r="N65" s="1571" t="s">
        <v>1030</v>
      </c>
    </row>
    <row r="66" spans="1:15" ht="13.95" customHeight="1">
      <c r="A66" s="1401">
        <f t="shared" si="6"/>
        <v>11.048999999999994</v>
      </c>
      <c r="B66" s="1559" t="s">
        <v>1698</v>
      </c>
      <c r="C66" s="534"/>
      <c r="D66" s="694">
        <v>966814.77</v>
      </c>
      <c r="E66" s="694">
        <v>1161666.3500000001</v>
      </c>
      <c r="F66" s="1377"/>
      <c r="G66" s="903"/>
      <c r="H66" s="903"/>
      <c r="I66" s="1320">
        <f t="shared" si="28"/>
        <v>1064240.56</v>
      </c>
      <c r="J66" s="1377"/>
      <c r="K66" s="903"/>
      <c r="L66" s="903"/>
      <c r="M66" s="1320">
        <f t="shared" si="29"/>
        <v>1161666.3500000001</v>
      </c>
      <c r="N66" s="1571" t="s">
        <v>1030</v>
      </c>
    </row>
    <row r="67" spans="1:15" ht="13.95" customHeight="1">
      <c r="A67" s="1401">
        <f t="shared" si="6"/>
        <v>11.049999999999994</v>
      </c>
      <c r="B67" s="1559" t="s">
        <v>1699</v>
      </c>
      <c r="C67" s="534"/>
      <c r="D67" s="694">
        <v>140005012.43000001</v>
      </c>
      <c r="E67" s="694">
        <v>71620347.569999993</v>
      </c>
      <c r="F67" s="1377"/>
      <c r="G67" s="903"/>
      <c r="H67" s="903">
        <f t="shared" ref="H67:H68" si="30">+SUM($D67:$E67)/2</f>
        <v>105812680</v>
      </c>
      <c r="I67" s="1320"/>
      <c r="J67" s="1377"/>
      <c r="K67" s="903"/>
      <c r="L67" s="903">
        <f>+E67</f>
        <v>71620347.569999993</v>
      </c>
      <c r="M67" s="1320"/>
      <c r="N67" s="1571" t="s">
        <v>1031</v>
      </c>
    </row>
    <row r="68" spans="1:15" ht="13.95" customHeight="1">
      <c r="A68" s="1401">
        <f t="shared" si="6"/>
        <v>11.050999999999993</v>
      </c>
      <c r="B68" s="1559" t="s">
        <v>1700</v>
      </c>
      <c r="C68" s="534"/>
      <c r="D68" s="694">
        <v>22610407.59</v>
      </c>
      <c r="E68" s="694">
        <v>23428601.18</v>
      </c>
      <c r="F68" s="1377"/>
      <c r="G68" s="903"/>
      <c r="H68" s="903">
        <f t="shared" si="30"/>
        <v>23019504.384999998</v>
      </c>
      <c r="I68" s="1320"/>
      <c r="J68" s="1377"/>
      <c r="K68" s="903"/>
      <c r="L68" s="903">
        <f>+E68</f>
        <v>23428601.18</v>
      </c>
      <c r="M68" s="1320"/>
      <c r="N68" s="1571" t="s">
        <v>1031</v>
      </c>
    </row>
    <row r="69" spans="1:15" ht="13.95" customHeight="1">
      <c r="A69" s="1401">
        <f t="shared" si="6"/>
        <v>11.051999999999992</v>
      </c>
      <c r="B69" s="1559" t="s">
        <v>1701</v>
      </c>
      <c r="C69" s="534"/>
      <c r="D69" s="694"/>
      <c r="E69" s="694"/>
      <c r="F69" s="1377">
        <f t="shared" ref="F69:F81" si="31">+SUM(D69:E69)/2</f>
        <v>0</v>
      </c>
      <c r="G69" s="903"/>
      <c r="H69" s="903"/>
      <c r="I69" s="1320"/>
      <c r="J69" s="1377">
        <f>+E69</f>
        <v>0</v>
      </c>
      <c r="K69" s="903"/>
      <c r="L69" s="903"/>
      <c r="M69" s="1320"/>
      <c r="N69" s="1571" t="s">
        <v>1032</v>
      </c>
    </row>
    <row r="70" spans="1:15" ht="13.95" customHeight="1">
      <c r="A70" s="1401">
        <f t="shared" si="6"/>
        <v>11.052999999999992</v>
      </c>
      <c r="B70" s="534" t="s">
        <v>1702</v>
      </c>
      <c r="C70" s="534"/>
      <c r="D70" s="694"/>
      <c r="E70" s="694"/>
      <c r="F70" s="1377">
        <f t="shared" si="31"/>
        <v>0</v>
      </c>
      <c r="G70" s="903"/>
      <c r="H70" s="903"/>
      <c r="I70" s="1320"/>
      <c r="J70" s="1377">
        <f t="shared" ref="J70:J81" si="32">+E70</f>
        <v>0</v>
      </c>
      <c r="K70" s="903"/>
      <c r="L70" s="903"/>
      <c r="M70" s="1320"/>
      <c r="N70" s="1571"/>
    </row>
    <row r="71" spans="1:15" ht="13.95" customHeight="1">
      <c r="A71" s="1401">
        <f t="shared" si="6"/>
        <v>11.053999999999991</v>
      </c>
      <c r="B71" s="534" t="s">
        <v>1703</v>
      </c>
      <c r="C71" s="534"/>
      <c r="D71" s="694"/>
      <c r="E71" s="694"/>
      <c r="F71" s="1377">
        <f t="shared" si="31"/>
        <v>0</v>
      </c>
      <c r="G71" s="903"/>
      <c r="H71" s="903"/>
      <c r="I71" s="1320"/>
      <c r="J71" s="1377">
        <f t="shared" si="32"/>
        <v>0</v>
      </c>
      <c r="K71" s="903"/>
      <c r="L71" s="903"/>
      <c r="M71" s="1320"/>
      <c r="N71" s="1571"/>
    </row>
    <row r="72" spans="1:15" s="1399" customFormat="1" ht="13.95" customHeight="1">
      <c r="A72" s="1401">
        <f t="shared" si="6"/>
        <v>11.054999999999991</v>
      </c>
      <c r="B72" s="1559" t="s">
        <v>1704</v>
      </c>
      <c r="C72" s="534"/>
      <c r="D72" s="694">
        <v>450215817.82999998</v>
      </c>
      <c r="E72" s="694">
        <v>260393586.62</v>
      </c>
      <c r="F72" s="1377"/>
      <c r="G72" s="903"/>
      <c r="H72" s="903">
        <f t="shared" ref="H72:H73" si="33">+SUM($D72:$E72)/2</f>
        <v>355304702.22500002</v>
      </c>
      <c r="I72" s="1320"/>
      <c r="J72" s="1377"/>
      <c r="K72" s="903"/>
      <c r="L72" s="903">
        <f>+E72</f>
        <v>260393586.62</v>
      </c>
      <c r="M72" s="1320"/>
      <c r="N72" s="1571" t="s">
        <v>1298</v>
      </c>
      <c r="O72" s="1399" t="s">
        <v>1296</v>
      </c>
    </row>
    <row r="73" spans="1:15" s="1399" customFormat="1" ht="13.95" customHeight="1">
      <c r="A73" s="1401">
        <f t="shared" si="6"/>
        <v>11.05599999999999</v>
      </c>
      <c r="B73" s="1559" t="s">
        <v>1705</v>
      </c>
      <c r="C73" s="534"/>
      <c r="D73" s="694">
        <v>106074474.64</v>
      </c>
      <c r="E73" s="694">
        <v>130898658.88</v>
      </c>
      <c r="F73" s="1377"/>
      <c r="G73" s="903"/>
      <c r="H73" s="903">
        <f t="shared" si="33"/>
        <v>118486566.75999999</v>
      </c>
      <c r="I73" s="1320"/>
      <c r="J73" s="1377"/>
      <c r="K73" s="903"/>
      <c r="L73" s="903">
        <f>+E73</f>
        <v>130898658.88</v>
      </c>
      <c r="M73" s="1320"/>
      <c r="N73" s="1571" t="s">
        <v>1298</v>
      </c>
      <c r="O73" s="1399" t="s">
        <v>1296</v>
      </c>
    </row>
    <row r="74" spans="1:15" ht="13.95" customHeight="1">
      <c r="A74" s="1401">
        <f t="shared" si="6"/>
        <v>11.05699999999999</v>
      </c>
      <c r="B74" s="1559" t="s">
        <v>1706</v>
      </c>
      <c r="C74" s="534"/>
      <c r="D74" s="694">
        <v>22597186.149999999</v>
      </c>
      <c r="E74" s="694">
        <v>18068.46</v>
      </c>
      <c r="F74" s="1377">
        <f t="shared" si="31"/>
        <v>11307627.305</v>
      </c>
      <c r="G74" s="903"/>
      <c r="H74" s="903"/>
      <c r="I74" s="1320"/>
      <c r="J74" s="1377">
        <f t="shared" si="32"/>
        <v>18068.46</v>
      </c>
      <c r="K74" s="903"/>
      <c r="L74" s="903"/>
      <c r="M74" s="1320"/>
      <c r="N74" s="1571" t="s">
        <v>1033</v>
      </c>
    </row>
    <row r="75" spans="1:15" ht="13.95" customHeight="1">
      <c r="A75" s="1401">
        <f t="shared" si="6"/>
        <v>11.057999999999989</v>
      </c>
      <c r="B75" s="1559" t="s">
        <v>1707</v>
      </c>
      <c r="C75" s="534"/>
      <c r="D75" s="694">
        <v>3649234.86</v>
      </c>
      <c r="E75" s="694">
        <v>1189965.95</v>
      </c>
      <c r="F75" s="1377">
        <f t="shared" si="31"/>
        <v>2419600.4049999998</v>
      </c>
      <c r="G75" s="903"/>
      <c r="H75" s="903"/>
      <c r="I75" s="1320"/>
      <c r="J75" s="1377">
        <f t="shared" si="32"/>
        <v>1189965.95</v>
      </c>
      <c r="K75" s="903"/>
      <c r="L75" s="903"/>
      <c r="M75" s="1320"/>
      <c r="N75" s="1571" t="s">
        <v>1033</v>
      </c>
    </row>
    <row r="76" spans="1:15" ht="13.95" customHeight="1">
      <c r="A76" s="1401">
        <f t="shared" si="6"/>
        <v>11.058999999999989</v>
      </c>
      <c r="B76" s="1559" t="s">
        <v>1708</v>
      </c>
      <c r="C76" s="534"/>
      <c r="D76" s="694">
        <v>-23366.07</v>
      </c>
      <c r="E76" s="694">
        <v>0</v>
      </c>
      <c r="F76" s="1377">
        <f t="shared" si="31"/>
        <v>-11683.035</v>
      </c>
      <c r="G76" s="903"/>
      <c r="H76" s="903"/>
      <c r="I76" s="1320"/>
      <c r="J76" s="1377">
        <f t="shared" si="32"/>
        <v>0</v>
      </c>
      <c r="K76" s="903"/>
      <c r="L76" s="903"/>
      <c r="M76" s="1320"/>
      <c r="N76" s="1571" t="s">
        <v>201</v>
      </c>
    </row>
    <row r="77" spans="1:15" ht="13.95" customHeight="1">
      <c r="A77" s="1401">
        <f t="shared" si="6"/>
        <v>11.059999999999988</v>
      </c>
      <c r="B77" s="1559" t="s">
        <v>1709</v>
      </c>
      <c r="C77" s="534"/>
      <c r="D77" s="694">
        <v>-3773.41</v>
      </c>
      <c r="E77" s="694">
        <v>0</v>
      </c>
      <c r="F77" s="1377">
        <f t="shared" si="31"/>
        <v>-1886.7049999999999</v>
      </c>
      <c r="G77" s="903"/>
      <c r="H77" s="903"/>
      <c r="I77" s="1320"/>
      <c r="J77" s="1377">
        <f t="shared" si="32"/>
        <v>0</v>
      </c>
      <c r="K77" s="903"/>
      <c r="L77" s="903"/>
      <c r="M77" s="1320"/>
      <c r="N77" s="1571" t="s">
        <v>201</v>
      </c>
    </row>
    <row r="78" spans="1:15" ht="13.95" customHeight="1">
      <c r="A78" s="1401">
        <f t="shared" si="6"/>
        <v>11.060999999999988</v>
      </c>
      <c r="B78" s="1559" t="s">
        <v>1710</v>
      </c>
      <c r="C78" s="534"/>
      <c r="D78" s="694">
        <v>572933.91</v>
      </c>
      <c r="E78" s="694">
        <v>206181.04</v>
      </c>
      <c r="F78" s="1377">
        <f t="shared" si="31"/>
        <v>389557.47500000003</v>
      </c>
      <c r="G78" s="903"/>
      <c r="H78" s="903"/>
      <c r="I78" s="1320"/>
      <c r="J78" s="1377">
        <f t="shared" si="32"/>
        <v>206181.04</v>
      </c>
      <c r="K78" s="903"/>
      <c r="L78" s="903"/>
      <c r="M78" s="1320"/>
      <c r="N78" s="1571" t="s">
        <v>202</v>
      </c>
    </row>
    <row r="79" spans="1:15" ht="13.95" customHeight="1">
      <c r="A79" s="1401">
        <f t="shared" si="6"/>
        <v>11.061999999999987</v>
      </c>
      <c r="B79" s="1559" t="s">
        <v>1711</v>
      </c>
      <c r="C79" s="534"/>
      <c r="D79" s="694">
        <v>92523.45</v>
      </c>
      <c r="E79" s="694">
        <v>67446.38</v>
      </c>
      <c r="F79" s="1377">
        <f t="shared" si="31"/>
        <v>79984.915000000008</v>
      </c>
      <c r="G79" s="903"/>
      <c r="H79" s="903"/>
      <c r="I79" s="1320"/>
      <c r="J79" s="1377">
        <f t="shared" si="32"/>
        <v>67446.38</v>
      </c>
      <c r="K79" s="903"/>
      <c r="L79" s="903"/>
      <c r="M79" s="1320"/>
      <c r="N79" s="1571" t="s">
        <v>202</v>
      </c>
    </row>
    <row r="80" spans="1:15" s="1387" customFormat="1" ht="13.95" customHeight="1">
      <c r="A80" s="1401">
        <f t="shared" si="6"/>
        <v>11.062999999999986</v>
      </c>
      <c r="B80" s="1559" t="s">
        <v>1712</v>
      </c>
      <c r="C80" s="780"/>
      <c r="D80" s="694">
        <v>217431.17</v>
      </c>
      <c r="E80" s="694">
        <v>166815.78</v>
      </c>
      <c r="F80" s="1377">
        <f t="shared" si="31"/>
        <v>192123.47500000001</v>
      </c>
      <c r="G80" s="903"/>
      <c r="H80" s="903"/>
      <c r="I80" s="1320"/>
      <c r="J80" s="1377">
        <f t="shared" si="32"/>
        <v>166815.78</v>
      </c>
      <c r="K80" s="903"/>
      <c r="L80" s="903"/>
      <c r="M80" s="1320"/>
      <c r="N80" s="1572" t="s">
        <v>1129</v>
      </c>
      <c r="O80" s="1400" t="s">
        <v>1295</v>
      </c>
    </row>
    <row r="81" spans="1:15" s="1387" customFormat="1" ht="13.95" customHeight="1">
      <c r="A81" s="1401">
        <f t="shared" si="6"/>
        <v>11.063999999999986</v>
      </c>
      <c r="B81" s="1559" t="s">
        <v>1713</v>
      </c>
      <c r="C81" s="780"/>
      <c r="D81" s="694">
        <v>35113.1</v>
      </c>
      <c r="E81" s="694">
        <v>54569.14</v>
      </c>
      <c r="F81" s="1377">
        <f t="shared" si="31"/>
        <v>44841.119999999995</v>
      </c>
      <c r="G81" s="903"/>
      <c r="H81" s="903"/>
      <c r="I81" s="1320"/>
      <c r="J81" s="1377">
        <f t="shared" si="32"/>
        <v>54569.14</v>
      </c>
      <c r="K81" s="903"/>
      <c r="L81" s="903"/>
      <c r="M81" s="1320"/>
      <c r="N81" s="1572" t="s">
        <v>1130</v>
      </c>
      <c r="O81" s="1400" t="s">
        <v>1295</v>
      </c>
    </row>
    <row r="82" spans="1:15" ht="13.95" customHeight="1">
      <c r="A82" s="1401">
        <f t="shared" si="6"/>
        <v>11.064999999999985</v>
      </c>
      <c r="B82" s="1559" t="s">
        <v>1714</v>
      </c>
      <c r="C82" s="534"/>
      <c r="D82" s="694">
        <v>782102.52999999991</v>
      </c>
      <c r="E82" s="694">
        <v>458545.59</v>
      </c>
      <c r="F82" s="1377"/>
      <c r="G82" s="903"/>
      <c r="H82" s="903">
        <f t="shared" ref="H82:H83" si="34">+SUM($D82:$E82)/2</f>
        <v>620324.05999999994</v>
      </c>
      <c r="I82" s="1320"/>
      <c r="J82" s="1377"/>
      <c r="K82" s="903"/>
      <c r="L82" s="903">
        <f t="shared" ref="L82:L83" si="35">+E82</f>
        <v>458545.59</v>
      </c>
      <c r="M82" s="1320"/>
      <c r="N82" s="1571" t="s">
        <v>203</v>
      </c>
    </row>
    <row r="83" spans="1:15" ht="13.95" customHeight="1">
      <c r="A83" s="1401">
        <f t="shared" ref="A83:A137" si="36">+A82+0.001</f>
        <v>11.065999999999985</v>
      </c>
      <c r="B83" s="1559" t="s">
        <v>1715</v>
      </c>
      <c r="C83" s="534"/>
      <c r="D83" s="694">
        <v>126302.27</v>
      </c>
      <c r="E83" s="694">
        <v>150000.41</v>
      </c>
      <c r="F83" s="1377"/>
      <c r="G83" s="903"/>
      <c r="H83" s="903">
        <f t="shared" si="34"/>
        <v>138151.34</v>
      </c>
      <c r="I83" s="1320"/>
      <c r="J83" s="1377"/>
      <c r="K83" s="903"/>
      <c r="L83" s="903">
        <f t="shared" si="35"/>
        <v>150000.41</v>
      </c>
      <c r="M83" s="1320"/>
      <c r="N83" s="1571" t="s">
        <v>203</v>
      </c>
    </row>
    <row r="84" spans="1:15" s="1387" customFormat="1" ht="13.95" customHeight="1">
      <c r="A84" s="1401">
        <f t="shared" si="36"/>
        <v>11.066999999999984</v>
      </c>
      <c r="B84" s="780" t="s">
        <v>1716</v>
      </c>
      <c r="C84" s="780"/>
      <c r="D84" s="694"/>
      <c r="E84" s="694"/>
      <c r="F84" s="1377">
        <f t="shared" ref="F84:F89" si="37">+SUM(D84:E84)/2</f>
        <v>0</v>
      </c>
      <c r="G84" s="903"/>
      <c r="H84" s="903"/>
      <c r="I84" s="1320"/>
      <c r="J84" s="1377">
        <f t="shared" ref="J84:J89" si="38">+E84</f>
        <v>0</v>
      </c>
      <c r="K84" s="903"/>
      <c r="L84" s="903"/>
      <c r="M84" s="1320"/>
      <c r="N84" s="1572" t="s">
        <v>1131</v>
      </c>
      <c r="O84" s="1400" t="s">
        <v>1295</v>
      </c>
    </row>
    <row r="85" spans="1:15" s="1387" customFormat="1" ht="13.95" customHeight="1">
      <c r="A85" s="1401">
        <f t="shared" si="36"/>
        <v>11.067999999999984</v>
      </c>
      <c r="B85" s="780" t="s">
        <v>1717</v>
      </c>
      <c r="C85" s="780"/>
      <c r="D85" s="694"/>
      <c r="E85" s="694"/>
      <c r="F85" s="1377">
        <f t="shared" si="37"/>
        <v>0</v>
      </c>
      <c r="G85" s="903"/>
      <c r="H85" s="903"/>
      <c r="I85" s="1320"/>
      <c r="J85" s="1377">
        <f t="shared" si="38"/>
        <v>0</v>
      </c>
      <c r="K85" s="903"/>
      <c r="L85" s="903"/>
      <c r="M85" s="1320"/>
      <c r="N85" s="1572" t="s">
        <v>1131</v>
      </c>
      <c r="O85" s="1400" t="s">
        <v>1295</v>
      </c>
    </row>
    <row r="86" spans="1:15" s="1387" customFormat="1" ht="79.2">
      <c r="A86" s="1401">
        <f t="shared" si="36"/>
        <v>11.068999999999983</v>
      </c>
      <c r="B86" s="1559" t="s">
        <v>1718</v>
      </c>
      <c r="C86" s="780"/>
      <c r="D86" s="694">
        <v>396205.52</v>
      </c>
      <c r="E86" s="694">
        <v>226762.48</v>
      </c>
      <c r="F86" s="1377">
        <f t="shared" si="37"/>
        <v>311484</v>
      </c>
      <c r="G86" s="903"/>
      <c r="H86" s="903"/>
      <c r="I86" s="1320"/>
      <c r="J86" s="1377">
        <f t="shared" si="38"/>
        <v>226762.48</v>
      </c>
      <c r="K86" s="903"/>
      <c r="L86" s="903"/>
      <c r="M86" s="1320"/>
      <c r="N86" s="1572" t="s">
        <v>1132</v>
      </c>
      <c r="O86" s="1400" t="s">
        <v>1295</v>
      </c>
    </row>
    <row r="87" spans="1:15" s="1387" customFormat="1" ht="79.2">
      <c r="A87" s="1401">
        <f t="shared" si="36"/>
        <v>11.069999999999983</v>
      </c>
      <c r="B87" s="1559" t="s">
        <v>1719</v>
      </c>
      <c r="C87" s="780"/>
      <c r="D87" s="694">
        <v>63983.49</v>
      </c>
      <c r="E87" s="694">
        <v>74179.03</v>
      </c>
      <c r="F87" s="1377">
        <f t="shared" si="37"/>
        <v>69081.259999999995</v>
      </c>
      <c r="G87" s="903"/>
      <c r="H87" s="903"/>
      <c r="I87" s="1320"/>
      <c r="J87" s="1377">
        <f t="shared" si="38"/>
        <v>74179.03</v>
      </c>
      <c r="K87" s="903"/>
      <c r="L87" s="903"/>
      <c r="M87" s="1320"/>
      <c r="N87" s="1572" t="s">
        <v>1132</v>
      </c>
      <c r="O87" s="1400" t="s">
        <v>1295</v>
      </c>
    </row>
    <row r="88" spans="1:15" s="1387" customFormat="1" ht="79.2">
      <c r="A88" s="1401">
        <f t="shared" si="36"/>
        <v>11.070999999999982</v>
      </c>
      <c r="B88" s="1559" t="s">
        <v>1720</v>
      </c>
      <c r="C88" s="780"/>
      <c r="D88" s="694">
        <v>1465963.42</v>
      </c>
      <c r="E88" s="694">
        <v>890530.68</v>
      </c>
      <c r="F88" s="1377">
        <f t="shared" si="37"/>
        <v>1178247.05</v>
      </c>
      <c r="G88" s="903"/>
      <c r="H88" s="903"/>
      <c r="I88" s="1320"/>
      <c r="J88" s="1377">
        <f t="shared" si="38"/>
        <v>890530.68</v>
      </c>
      <c r="K88" s="903"/>
      <c r="L88" s="903"/>
      <c r="M88" s="1320"/>
      <c r="N88" s="1572" t="s">
        <v>1133</v>
      </c>
      <c r="O88" s="1400" t="s">
        <v>1295</v>
      </c>
    </row>
    <row r="89" spans="1:15" s="1387" customFormat="1" ht="79.2">
      <c r="A89" s="1401">
        <f t="shared" si="36"/>
        <v>11.071999999999981</v>
      </c>
      <c r="B89" s="1559" t="s">
        <v>1721</v>
      </c>
      <c r="C89" s="780"/>
      <c r="D89" s="694">
        <v>236739.44</v>
      </c>
      <c r="E89" s="694">
        <v>291312.3</v>
      </c>
      <c r="F89" s="1377">
        <f t="shared" si="37"/>
        <v>264025.87</v>
      </c>
      <c r="G89" s="903"/>
      <c r="H89" s="903"/>
      <c r="I89" s="1320"/>
      <c r="J89" s="1377">
        <f t="shared" si="38"/>
        <v>291312.3</v>
      </c>
      <c r="K89" s="903"/>
      <c r="L89" s="903"/>
      <c r="M89" s="1320"/>
      <c r="N89" s="1572" t="s">
        <v>1133</v>
      </c>
      <c r="O89" s="1400" t="s">
        <v>1295</v>
      </c>
    </row>
    <row r="90" spans="1:15">
      <c r="A90" s="1401">
        <f t="shared" si="36"/>
        <v>11.072999999999981</v>
      </c>
      <c r="B90" s="1559" t="s">
        <v>1722</v>
      </c>
      <c r="C90" s="534"/>
      <c r="D90" s="694">
        <v>3856254.11</v>
      </c>
      <c r="E90" s="694">
        <v>2877509.06</v>
      </c>
      <c r="F90" s="1377">
        <f t="shared" ref="F90:F105" si="39">+SUM(D90:E90)/2</f>
        <v>3366881.585</v>
      </c>
      <c r="G90" s="903"/>
      <c r="H90" s="903"/>
      <c r="I90" s="1320"/>
      <c r="J90" s="1377">
        <f t="shared" ref="J90:J105" si="40">+E90</f>
        <v>2877509.06</v>
      </c>
      <c r="K90" s="903"/>
      <c r="L90" s="903"/>
      <c r="M90" s="1320"/>
      <c r="N90" s="1571" t="s">
        <v>196</v>
      </c>
    </row>
    <row r="91" spans="1:15">
      <c r="A91" s="1401">
        <f t="shared" si="36"/>
        <v>11.07399999999998</v>
      </c>
      <c r="B91" s="1559" t="s">
        <v>1723</v>
      </c>
      <c r="C91" s="534"/>
      <c r="D91" s="694">
        <v>622749.09</v>
      </c>
      <c r="E91" s="694">
        <v>941296.94</v>
      </c>
      <c r="F91" s="1377">
        <f t="shared" si="39"/>
        <v>782023.0149999999</v>
      </c>
      <c r="G91" s="903"/>
      <c r="H91" s="903"/>
      <c r="I91" s="1320"/>
      <c r="J91" s="1377">
        <f t="shared" si="40"/>
        <v>941296.94</v>
      </c>
      <c r="K91" s="903"/>
      <c r="L91" s="903"/>
      <c r="M91" s="1320"/>
      <c r="N91" s="1571" t="s">
        <v>196</v>
      </c>
    </row>
    <row r="92" spans="1:15">
      <c r="A92" s="1401">
        <f t="shared" si="36"/>
        <v>11.07499999999998</v>
      </c>
      <c r="B92" s="1559" t="s">
        <v>1724</v>
      </c>
      <c r="C92" s="534"/>
      <c r="D92" s="694">
        <v>79770.19</v>
      </c>
      <c r="E92" s="694">
        <v>22932.29</v>
      </c>
      <c r="F92" s="1377">
        <f t="shared" si="39"/>
        <v>51351.240000000005</v>
      </c>
      <c r="G92" s="903"/>
      <c r="H92" s="903"/>
      <c r="I92" s="1320"/>
      <c r="J92" s="1377">
        <f t="shared" si="40"/>
        <v>22932.29</v>
      </c>
      <c r="K92" s="903"/>
      <c r="L92" s="903"/>
      <c r="M92" s="1320"/>
      <c r="N92" s="1571" t="s">
        <v>196</v>
      </c>
    </row>
    <row r="93" spans="1:15">
      <c r="A93" s="1401">
        <f t="shared" si="36"/>
        <v>11.075999999999979</v>
      </c>
      <c r="B93" s="1559" t="s">
        <v>1725</v>
      </c>
      <c r="C93" s="534"/>
      <c r="D93" s="694">
        <v>12882.15</v>
      </c>
      <c r="E93" s="694">
        <v>7501.66</v>
      </c>
      <c r="F93" s="1377">
        <f t="shared" si="39"/>
        <v>10191.904999999999</v>
      </c>
      <c r="G93" s="903"/>
      <c r="H93" s="903"/>
      <c r="I93" s="1320"/>
      <c r="J93" s="1377">
        <f t="shared" si="40"/>
        <v>7501.66</v>
      </c>
      <c r="K93" s="903"/>
      <c r="L93" s="903"/>
      <c r="M93" s="1320"/>
      <c r="N93" s="1571" t="s">
        <v>196</v>
      </c>
    </row>
    <row r="94" spans="1:15">
      <c r="A94" s="1401">
        <f t="shared" si="36"/>
        <v>11.076999999999979</v>
      </c>
      <c r="B94" s="1559" t="s">
        <v>1726</v>
      </c>
      <c r="C94" s="534"/>
      <c r="D94" s="694"/>
      <c r="E94" s="694"/>
      <c r="F94" s="1377">
        <f t="shared" si="39"/>
        <v>0</v>
      </c>
      <c r="G94" s="903"/>
      <c r="H94" s="903"/>
      <c r="I94" s="1320"/>
      <c r="J94" s="1377">
        <f t="shared" si="40"/>
        <v>0</v>
      </c>
      <c r="K94" s="903"/>
      <c r="L94" s="903"/>
      <c r="M94" s="1320"/>
      <c r="N94" s="1571" t="s">
        <v>196</v>
      </c>
    </row>
    <row r="95" spans="1:15">
      <c r="A95" s="1401">
        <f t="shared" si="36"/>
        <v>11.077999999999978</v>
      </c>
      <c r="B95" s="1559" t="s">
        <v>1727</v>
      </c>
      <c r="C95" s="534"/>
      <c r="D95" s="694"/>
      <c r="E95" s="694"/>
      <c r="F95" s="1377">
        <f t="shared" si="39"/>
        <v>0</v>
      </c>
      <c r="G95" s="903"/>
      <c r="H95" s="903"/>
      <c r="I95" s="1320"/>
      <c r="J95" s="1377">
        <f t="shared" si="40"/>
        <v>0</v>
      </c>
      <c r="K95" s="903"/>
      <c r="L95" s="903"/>
      <c r="M95" s="1320"/>
      <c r="N95" s="1571" t="s">
        <v>196</v>
      </c>
    </row>
    <row r="96" spans="1:15">
      <c r="A96" s="1401">
        <f t="shared" si="36"/>
        <v>11.078999999999978</v>
      </c>
      <c r="B96" s="1559" t="s">
        <v>1728</v>
      </c>
      <c r="C96" s="534"/>
      <c r="D96" s="694">
        <v>90467.64</v>
      </c>
      <c r="E96" s="694">
        <v>68939.960000000006</v>
      </c>
      <c r="F96" s="1377">
        <f t="shared" si="39"/>
        <v>79703.8</v>
      </c>
      <c r="G96" s="903"/>
      <c r="H96" s="903"/>
      <c r="I96" s="1320"/>
      <c r="J96" s="1377">
        <f t="shared" si="40"/>
        <v>68939.960000000006</v>
      </c>
      <c r="K96" s="903"/>
      <c r="L96" s="903"/>
      <c r="M96" s="1320"/>
      <c r="N96" s="1571" t="s">
        <v>196</v>
      </c>
    </row>
    <row r="97" spans="1:18">
      <c r="A97" s="1401">
        <f t="shared" si="36"/>
        <v>11.079999999999977</v>
      </c>
      <c r="B97" s="1559" t="s">
        <v>1729</v>
      </c>
      <c r="C97" s="534"/>
      <c r="D97" s="694">
        <v>14609.7</v>
      </c>
      <c r="E97" s="694">
        <v>22551.79</v>
      </c>
      <c r="F97" s="1377">
        <f t="shared" si="39"/>
        <v>18580.745000000003</v>
      </c>
      <c r="G97" s="903"/>
      <c r="H97" s="903"/>
      <c r="I97" s="1320"/>
      <c r="J97" s="1377">
        <f t="shared" si="40"/>
        <v>22551.79</v>
      </c>
      <c r="K97" s="903"/>
      <c r="L97" s="903"/>
      <c r="M97" s="1320"/>
      <c r="N97" s="1571" t="s">
        <v>196</v>
      </c>
    </row>
    <row r="98" spans="1:18">
      <c r="A98" s="1401">
        <f t="shared" si="36"/>
        <v>11.080999999999976</v>
      </c>
      <c r="B98" s="1324" t="s">
        <v>1730</v>
      </c>
      <c r="C98" s="534"/>
      <c r="D98" s="694">
        <v>-0.16</v>
      </c>
      <c r="E98" s="694">
        <v>0</v>
      </c>
      <c r="F98" s="1377">
        <f t="shared" si="39"/>
        <v>-0.08</v>
      </c>
      <c r="G98" s="903"/>
      <c r="H98" s="903"/>
      <c r="I98" s="1320"/>
      <c r="J98" s="1377">
        <f t="shared" si="40"/>
        <v>0</v>
      </c>
      <c r="K98" s="903"/>
      <c r="L98" s="903"/>
      <c r="M98" s="1320"/>
      <c r="N98" s="1571" t="s">
        <v>204</v>
      </c>
    </row>
    <row r="99" spans="1:18">
      <c r="A99" s="1401">
        <f t="shared" si="36"/>
        <v>11.081999999999976</v>
      </c>
      <c r="B99" s="534" t="s">
        <v>1731</v>
      </c>
      <c r="C99" s="534"/>
      <c r="D99" s="694">
        <v>-0.03</v>
      </c>
      <c r="E99" s="694">
        <v>0</v>
      </c>
      <c r="F99" s="1377">
        <f t="shared" si="39"/>
        <v>-1.4999999999999999E-2</v>
      </c>
      <c r="G99" s="903"/>
      <c r="H99" s="903"/>
      <c r="I99" s="1320"/>
      <c r="J99" s="1377">
        <f t="shared" si="40"/>
        <v>0</v>
      </c>
      <c r="K99" s="903"/>
      <c r="L99" s="903"/>
      <c r="M99" s="1320"/>
      <c r="N99" s="1571" t="s">
        <v>204</v>
      </c>
    </row>
    <row r="100" spans="1:18" s="1387" customFormat="1" ht="13.95" customHeight="1">
      <c r="A100" s="1401">
        <f t="shared" si="36"/>
        <v>11.082999999999975</v>
      </c>
      <c r="B100" s="1559" t="s">
        <v>1732</v>
      </c>
      <c r="C100" s="780"/>
      <c r="D100" s="694">
        <v>449074.47000000003</v>
      </c>
      <c r="E100" s="694">
        <v>221388.06000000003</v>
      </c>
      <c r="F100" s="1377"/>
      <c r="G100" s="903"/>
      <c r="H100" s="903"/>
      <c r="I100" s="1320">
        <f t="shared" ref="I100:I101" si="41">+SUM($D100:$E100)/2</f>
        <v>335231.26500000001</v>
      </c>
      <c r="J100" s="1377"/>
      <c r="K100" s="903"/>
      <c r="L100" s="903"/>
      <c r="M100" s="1320">
        <f>+E100</f>
        <v>221388.06000000003</v>
      </c>
      <c r="N100" s="1572" t="s">
        <v>196</v>
      </c>
      <c r="O100" s="1400" t="s">
        <v>1295</v>
      </c>
    </row>
    <row r="101" spans="1:18" s="1387" customFormat="1" ht="13.95" customHeight="1">
      <c r="A101" s="1401">
        <f t="shared" si="36"/>
        <v>11.083999999999975</v>
      </c>
      <c r="B101" s="1559" t="s">
        <v>1733</v>
      </c>
      <c r="C101" s="780"/>
      <c r="D101" s="694">
        <v>72521.320000000007</v>
      </c>
      <c r="E101" s="694">
        <v>72420.939999999988</v>
      </c>
      <c r="F101" s="1377"/>
      <c r="G101" s="903"/>
      <c r="H101" s="903"/>
      <c r="I101" s="1320">
        <f t="shared" si="41"/>
        <v>72471.13</v>
      </c>
      <c r="J101" s="1377"/>
      <c r="K101" s="903"/>
      <c r="L101" s="903"/>
      <c r="M101" s="1320">
        <f>+E101</f>
        <v>72420.939999999988</v>
      </c>
      <c r="N101" s="1572" t="s">
        <v>196</v>
      </c>
      <c r="O101" s="1400" t="s">
        <v>1295</v>
      </c>
    </row>
    <row r="102" spans="1:18" ht="26.4">
      <c r="A102" s="1401">
        <f t="shared" si="36"/>
        <v>11.084999999999974</v>
      </c>
      <c r="B102" s="1559" t="s">
        <v>1734</v>
      </c>
      <c r="C102" s="534"/>
      <c r="D102" s="694">
        <v>176998.66</v>
      </c>
      <c r="E102" s="694">
        <v>-422862.36</v>
      </c>
      <c r="F102" s="1377">
        <f t="shared" si="39"/>
        <v>-122931.84999999999</v>
      </c>
      <c r="G102" s="903"/>
      <c r="H102" s="903"/>
      <c r="I102" s="1320"/>
      <c r="J102" s="1377">
        <f t="shared" si="40"/>
        <v>-422862.36</v>
      </c>
      <c r="K102" s="903"/>
      <c r="L102" s="903"/>
      <c r="M102" s="1320"/>
      <c r="N102" s="1571" t="s">
        <v>1034</v>
      </c>
    </row>
    <row r="103" spans="1:18" ht="26.4">
      <c r="A103" s="1401">
        <f t="shared" si="36"/>
        <v>11.085999999999974</v>
      </c>
      <c r="B103" s="1559" t="s">
        <v>1735</v>
      </c>
      <c r="C103" s="534"/>
      <c r="D103" s="694">
        <v>28583.63</v>
      </c>
      <c r="E103" s="694">
        <v>-138327.64000000001</v>
      </c>
      <c r="F103" s="1377">
        <f t="shared" si="39"/>
        <v>-54872.005000000005</v>
      </c>
      <c r="G103" s="903"/>
      <c r="H103" s="903"/>
      <c r="I103" s="1320"/>
      <c r="J103" s="1377">
        <f t="shared" si="40"/>
        <v>-138327.64000000001</v>
      </c>
      <c r="K103" s="903"/>
      <c r="L103" s="903"/>
      <c r="M103" s="1320"/>
      <c r="N103" s="1571" t="s">
        <v>1034</v>
      </c>
    </row>
    <row r="104" spans="1:18">
      <c r="A104" s="1401">
        <f t="shared" si="36"/>
        <v>11.086999999999973</v>
      </c>
      <c r="B104" s="1559" t="s">
        <v>1736</v>
      </c>
      <c r="C104" s="534"/>
      <c r="D104" s="694"/>
      <c r="E104" s="694"/>
      <c r="F104" s="1377">
        <f t="shared" si="39"/>
        <v>0</v>
      </c>
      <c r="G104" s="903"/>
      <c r="H104" s="903"/>
      <c r="I104" s="1320"/>
      <c r="J104" s="1377">
        <f t="shared" si="40"/>
        <v>0</v>
      </c>
      <c r="K104" s="903"/>
      <c r="L104" s="903"/>
      <c r="M104" s="1320"/>
      <c r="N104" s="1571" t="s">
        <v>197</v>
      </c>
    </row>
    <row r="105" spans="1:18">
      <c r="A105" s="1401">
        <f t="shared" si="36"/>
        <v>11.087999999999973</v>
      </c>
      <c r="B105" s="1559" t="s">
        <v>1737</v>
      </c>
      <c r="C105" s="534"/>
      <c r="D105" s="694">
        <v>-0.01</v>
      </c>
      <c r="E105" s="694">
        <v>0</v>
      </c>
      <c r="F105" s="1377">
        <f t="shared" si="39"/>
        <v>-5.0000000000000001E-3</v>
      </c>
      <c r="G105" s="903"/>
      <c r="H105" s="903"/>
      <c r="I105" s="1320"/>
      <c r="J105" s="1377">
        <f t="shared" si="40"/>
        <v>0</v>
      </c>
      <c r="K105" s="903"/>
      <c r="L105" s="903"/>
      <c r="M105" s="1320"/>
      <c r="N105" s="1572" t="s">
        <v>197</v>
      </c>
    </row>
    <row r="106" spans="1:18">
      <c r="A106" s="1401">
        <f t="shared" si="36"/>
        <v>11.088999999999972</v>
      </c>
      <c r="B106" s="1559" t="s">
        <v>1738</v>
      </c>
      <c r="C106" s="534"/>
      <c r="D106" s="694"/>
      <c r="E106" s="694"/>
      <c r="F106" s="1377"/>
      <c r="G106" s="903"/>
      <c r="H106" s="903"/>
      <c r="I106" s="1320">
        <f t="shared" ref="I106:I109" si="42">+SUM($D106:$E106)/2</f>
        <v>0</v>
      </c>
      <c r="J106" s="1377"/>
      <c r="K106" s="903"/>
      <c r="L106" s="903"/>
      <c r="M106" s="1320">
        <f t="shared" ref="M106:M109" si="43">+E106</f>
        <v>0</v>
      </c>
      <c r="N106" s="1572" t="s">
        <v>1035</v>
      </c>
    </row>
    <row r="107" spans="1:18">
      <c r="A107" s="1401">
        <f t="shared" si="36"/>
        <v>11.089999999999971</v>
      </c>
      <c r="B107" s="1559" t="s">
        <v>1739</v>
      </c>
      <c r="C107" s="534"/>
      <c r="D107" s="694">
        <v>0.01</v>
      </c>
      <c r="E107" s="694">
        <v>0</v>
      </c>
      <c r="F107" s="1377"/>
      <c r="G107" s="903"/>
      <c r="H107" s="903"/>
      <c r="I107" s="1320">
        <f t="shared" si="42"/>
        <v>5.0000000000000001E-3</v>
      </c>
      <c r="J107" s="1377"/>
      <c r="K107" s="903"/>
      <c r="L107" s="903"/>
      <c r="M107" s="1320">
        <f t="shared" si="43"/>
        <v>0</v>
      </c>
      <c r="N107" s="1571" t="s">
        <v>1035</v>
      </c>
    </row>
    <row r="108" spans="1:18">
      <c r="A108" s="1401">
        <f t="shared" si="36"/>
        <v>11.090999999999971</v>
      </c>
      <c r="B108" s="1559" t="s">
        <v>1740</v>
      </c>
      <c r="C108" s="534"/>
      <c r="D108" s="694">
        <v>-27176.27</v>
      </c>
      <c r="E108" s="694">
        <v>0</v>
      </c>
      <c r="F108" s="1377"/>
      <c r="G108" s="903"/>
      <c r="H108" s="903"/>
      <c r="I108" s="1320">
        <f t="shared" si="42"/>
        <v>-13588.135</v>
      </c>
      <c r="J108" s="1377"/>
      <c r="K108" s="903"/>
      <c r="L108" s="903"/>
      <c r="M108" s="1320">
        <f t="shared" si="43"/>
        <v>0</v>
      </c>
      <c r="N108" s="1571" t="s">
        <v>296</v>
      </c>
    </row>
    <row r="109" spans="1:18">
      <c r="A109" s="1401">
        <f t="shared" si="36"/>
        <v>11.09199999999997</v>
      </c>
      <c r="B109" s="1559" t="s">
        <v>1741</v>
      </c>
      <c r="C109" s="534"/>
      <c r="D109" s="694">
        <v>-4388.72</v>
      </c>
      <c r="E109" s="694">
        <v>0</v>
      </c>
      <c r="F109" s="1377"/>
      <c r="G109" s="903"/>
      <c r="H109" s="903"/>
      <c r="I109" s="1320">
        <f t="shared" si="42"/>
        <v>-2194.36</v>
      </c>
      <c r="J109" s="1377"/>
      <c r="K109" s="903"/>
      <c r="L109" s="903"/>
      <c r="M109" s="1320">
        <f t="shared" si="43"/>
        <v>0</v>
      </c>
      <c r="N109" s="1571" t="s">
        <v>296</v>
      </c>
    </row>
    <row r="110" spans="1:18" s="1387" customFormat="1" ht="13.95" customHeight="1">
      <c r="A110" s="1401">
        <f>ROUND(+A109+0.001,3)</f>
        <v>11.093</v>
      </c>
      <c r="B110" s="1559" t="s">
        <v>1742</v>
      </c>
      <c r="C110" s="780"/>
      <c r="D110" s="694"/>
      <c r="E110" s="694"/>
      <c r="F110" s="1377">
        <f t="shared" ref="F110:F113" si="44">+SUM(D110:E110)/2</f>
        <v>0</v>
      </c>
      <c r="G110" s="903"/>
      <c r="H110" s="903"/>
      <c r="I110" s="1320"/>
      <c r="J110" s="1377">
        <f t="shared" ref="J110:J113" si="45">+E110</f>
        <v>0</v>
      </c>
      <c r="K110" s="903"/>
      <c r="L110" s="903"/>
      <c r="M110" s="1320"/>
      <c r="N110" s="1572" t="s">
        <v>1134</v>
      </c>
      <c r="O110" s="1400" t="s">
        <v>1295</v>
      </c>
      <c r="R110" s="1404" t="s">
        <v>1308</v>
      </c>
    </row>
    <row r="111" spans="1:18" s="1387" customFormat="1" ht="13.95" customHeight="1">
      <c r="A111" s="1401">
        <f t="shared" si="36"/>
        <v>11.093999999999999</v>
      </c>
      <c r="B111" s="1559" t="s">
        <v>1743</v>
      </c>
      <c r="C111" s="780"/>
      <c r="D111" s="694"/>
      <c r="E111" s="694"/>
      <c r="F111" s="1377">
        <f t="shared" si="44"/>
        <v>0</v>
      </c>
      <c r="G111" s="903"/>
      <c r="H111" s="903"/>
      <c r="I111" s="1320"/>
      <c r="J111" s="1377">
        <f t="shared" si="45"/>
        <v>0</v>
      </c>
      <c r="K111" s="903"/>
      <c r="L111" s="903"/>
      <c r="M111" s="1320"/>
      <c r="N111" s="1572" t="s">
        <v>1134</v>
      </c>
      <c r="O111" s="1400" t="s">
        <v>1295</v>
      </c>
      <c r="R111" s="1404" t="s">
        <v>1308</v>
      </c>
    </row>
    <row r="112" spans="1:18" s="1387" customFormat="1" ht="13.95" customHeight="1">
      <c r="A112" s="1401">
        <f t="shared" si="36"/>
        <v>11.094999999999999</v>
      </c>
      <c r="B112" s="1559" t="s">
        <v>1744</v>
      </c>
      <c r="C112" s="780"/>
      <c r="D112" s="694">
        <v>71548491.560000002</v>
      </c>
      <c r="E112" s="694">
        <v>69052608.650000006</v>
      </c>
      <c r="F112" s="1377">
        <f t="shared" si="44"/>
        <v>70300550.105000004</v>
      </c>
      <c r="G112" s="903"/>
      <c r="H112" s="903"/>
      <c r="I112" s="1320"/>
      <c r="J112" s="1377">
        <f t="shared" si="45"/>
        <v>69052608.650000006</v>
      </c>
      <c r="K112" s="903"/>
      <c r="L112" s="903"/>
      <c r="M112" s="1320"/>
      <c r="N112" s="1572" t="s">
        <v>1135</v>
      </c>
      <c r="O112" s="1400" t="s">
        <v>1295</v>
      </c>
      <c r="R112" s="1404" t="s">
        <v>1308</v>
      </c>
    </row>
    <row r="113" spans="1:18" s="1387" customFormat="1" ht="13.95" customHeight="1">
      <c r="A113" s="1401">
        <f t="shared" si="36"/>
        <v>11.095999999999998</v>
      </c>
      <c r="B113" s="1559" t="s">
        <v>1745</v>
      </c>
      <c r="C113" s="780"/>
      <c r="D113" s="694">
        <v>11554883.300000001</v>
      </c>
      <c r="E113" s="694">
        <v>11151805.08</v>
      </c>
      <c r="F113" s="1377">
        <f t="shared" si="44"/>
        <v>11353344.190000001</v>
      </c>
      <c r="G113" s="903"/>
      <c r="H113" s="903"/>
      <c r="I113" s="1320"/>
      <c r="J113" s="1377">
        <f t="shared" si="45"/>
        <v>11151805.08</v>
      </c>
      <c r="K113" s="903"/>
      <c r="L113" s="903"/>
      <c r="M113" s="1320"/>
      <c r="N113" s="1572" t="s">
        <v>1135</v>
      </c>
      <c r="O113" s="1400" t="s">
        <v>1295</v>
      </c>
      <c r="R113" s="1404" t="s">
        <v>1308</v>
      </c>
    </row>
    <row r="114" spans="1:18" ht="13.95" customHeight="1">
      <c r="A114" s="1401">
        <f t="shared" si="36"/>
        <v>11.096999999999998</v>
      </c>
      <c r="B114" s="1559" t="s">
        <v>1746</v>
      </c>
      <c r="C114" s="534"/>
      <c r="D114" s="694">
        <v>12706071.17</v>
      </c>
      <c r="E114" s="694">
        <v>19604493.57</v>
      </c>
      <c r="F114" s="1377">
        <f t="shared" ref="F114:F117" si="46">+SUM(D114:E114)/2</f>
        <v>16155282.370000001</v>
      </c>
      <c r="G114" s="903"/>
      <c r="H114" s="903"/>
      <c r="I114" s="1320"/>
      <c r="J114" s="1377">
        <f t="shared" ref="J114:J126" si="47">+E114</f>
        <v>19604493.57</v>
      </c>
      <c r="K114" s="903"/>
      <c r="L114" s="903"/>
      <c r="M114" s="1320"/>
      <c r="N114" s="1571" t="s">
        <v>1036</v>
      </c>
    </row>
    <row r="115" spans="1:18">
      <c r="A115" s="1401">
        <f t="shared" si="36"/>
        <v>11.097999999999997</v>
      </c>
      <c r="B115" s="1559" t="s">
        <v>1747</v>
      </c>
      <c r="C115" s="780"/>
      <c r="D115" s="694">
        <v>1842104.29</v>
      </c>
      <c r="E115" s="694">
        <v>3196990.21</v>
      </c>
      <c r="F115" s="1377">
        <f t="shared" si="46"/>
        <v>2519547.25</v>
      </c>
      <c r="G115" s="903"/>
      <c r="H115" s="903"/>
      <c r="I115" s="1320"/>
      <c r="J115" s="1377">
        <f t="shared" si="47"/>
        <v>3196990.21</v>
      </c>
      <c r="K115" s="903"/>
      <c r="L115" s="903"/>
      <c r="M115" s="1320"/>
      <c r="N115" s="1572" t="s">
        <v>1036</v>
      </c>
    </row>
    <row r="116" spans="1:18">
      <c r="A116" s="1401">
        <f t="shared" si="36"/>
        <v>11.098999999999997</v>
      </c>
      <c r="B116" s="1559" t="s">
        <v>1748</v>
      </c>
      <c r="C116" s="780"/>
      <c r="D116" s="694">
        <v>66999192.250000007</v>
      </c>
      <c r="E116" s="694">
        <v>21942684.310000002</v>
      </c>
      <c r="F116" s="1377">
        <f t="shared" si="46"/>
        <v>44470938.280000001</v>
      </c>
      <c r="G116" s="903"/>
      <c r="H116" s="903"/>
      <c r="I116" s="1320"/>
      <c r="J116" s="1377">
        <f t="shared" si="47"/>
        <v>21942684.310000002</v>
      </c>
      <c r="K116" s="903"/>
      <c r="L116" s="903"/>
      <c r="M116" s="1320"/>
      <c r="N116" s="1572" t="s">
        <v>205</v>
      </c>
    </row>
    <row r="117" spans="1:18">
      <c r="A117" s="1401">
        <f t="shared" si="36"/>
        <v>11.099999999999996</v>
      </c>
      <c r="B117" s="1559" t="s">
        <v>1749</v>
      </c>
      <c r="C117" s="780"/>
      <c r="D117" s="694">
        <v>10819770.83</v>
      </c>
      <c r="E117" s="694">
        <v>8271509.6900000013</v>
      </c>
      <c r="F117" s="1377">
        <f t="shared" si="46"/>
        <v>9545640.2600000016</v>
      </c>
      <c r="G117" s="903"/>
      <c r="H117" s="903"/>
      <c r="I117" s="1320"/>
      <c r="J117" s="1377">
        <f t="shared" si="47"/>
        <v>8271509.6900000013</v>
      </c>
      <c r="K117" s="903"/>
      <c r="L117" s="903"/>
      <c r="M117" s="1320"/>
      <c r="N117" s="1572" t="s">
        <v>205</v>
      </c>
    </row>
    <row r="118" spans="1:18" s="1387" customFormat="1" ht="13.95" customHeight="1">
      <c r="A118" s="1401">
        <f t="shared" si="36"/>
        <v>11.100999999999996</v>
      </c>
      <c r="B118" s="1581" t="s">
        <v>1750</v>
      </c>
      <c r="C118" s="780"/>
      <c r="D118" s="694">
        <v>1037083.01</v>
      </c>
      <c r="E118" s="694">
        <v>597553.80000000005</v>
      </c>
      <c r="F118" s="1377"/>
      <c r="G118" s="903"/>
      <c r="H118" s="903">
        <f t="shared" ref="H118:H125" si="48">+SUM($D118:$E118)/2</f>
        <v>817318.40500000003</v>
      </c>
      <c r="I118" s="1320"/>
      <c r="J118" s="1377"/>
      <c r="K118" s="903"/>
      <c r="L118" s="903">
        <f t="shared" ref="L118:L125" si="49">+E118</f>
        <v>597553.80000000005</v>
      </c>
      <c r="M118" s="1320"/>
      <c r="N118" s="1572" t="s">
        <v>1476</v>
      </c>
      <c r="O118" s="1400" t="s">
        <v>1295</v>
      </c>
    </row>
    <row r="119" spans="1:18" s="1387" customFormat="1" ht="13.95" customHeight="1">
      <c r="A119" s="1401">
        <f t="shared" si="36"/>
        <v>11.101999999999995</v>
      </c>
      <c r="B119" s="1581" t="s">
        <v>1751</v>
      </c>
      <c r="C119" s="780"/>
      <c r="D119" s="694">
        <v>227855.98</v>
      </c>
      <c r="E119" s="694">
        <v>218814.98</v>
      </c>
      <c r="F119" s="1377"/>
      <c r="G119" s="903"/>
      <c r="H119" s="903">
        <f t="shared" si="48"/>
        <v>223335.48</v>
      </c>
      <c r="I119" s="1320"/>
      <c r="J119" s="1377"/>
      <c r="K119" s="903"/>
      <c r="L119" s="903">
        <f t="shared" si="49"/>
        <v>218814.98</v>
      </c>
      <c r="M119" s="1320"/>
      <c r="N119" s="1572" t="s">
        <v>1476</v>
      </c>
      <c r="O119" s="1400" t="s">
        <v>1295</v>
      </c>
    </row>
    <row r="120" spans="1:18" s="1387" customFormat="1" ht="26.4">
      <c r="A120" s="1401">
        <f t="shared" ref="A120:A121" si="50">+A119+0.001</f>
        <v>11.102999999999994</v>
      </c>
      <c r="B120" s="1559" t="s">
        <v>1752</v>
      </c>
      <c r="C120" s="780"/>
      <c r="D120" s="694">
        <v>74211649</v>
      </c>
      <c r="E120" s="694">
        <v>127199074</v>
      </c>
      <c r="F120" s="1377"/>
      <c r="G120" s="903"/>
      <c r="H120" s="903">
        <f t="shared" si="48"/>
        <v>100705361.5</v>
      </c>
      <c r="I120" s="1320"/>
      <c r="J120" s="1377"/>
      <c r="K120" s="903"/>
      <c r="L120" s="903">
        <f t="shared" si="49"/>
        <v>127199074</v>
      </c>
      <c r="M120" s="1320"/>
      <c r="N120" s="1572" t="s">
        <v>1299</v>
      </c>
      <c r="O120" s="1399" t="s">
        <v>1296</v>
      </c>
    </row>
    <row r="121" spans="1:18" s="1387" customFormat="1" ht="26.4">
      <c r="A121" s="1401">
        <f t="shared" si="50"/>
        <v>11.103999999999994</v>
      </c>
      <c r="B121" s="780" t="s">
        <v>1753</v>
      </c>
      <c r="C121" s="780"/>
      <c r="D121" s="694">
        <v>62721241</v>
      </c>
      <c r="E121" s="694">
        <v>0</v>
      </c>
      <c r="F121" s="1377"/>
      <c r="G121" s="903"/>
      <c r="H121" s="903">
        <f t="shared" si="48"/>
        <v>31360620.5</v>
      </c>
      <c r="I121" s="1320"/>
      <c r="J121" s="1377"/>
      <c r="K121" s="903"/>
      <c r="L121" s="903">
        <f t="shared" si="49"/>
        <v>0</v>
      </c>
      <c r="M121" s="1320"/>
      <c r="N121" s="1572" t="s">
        <v>1300</v>
      </c>
      <c r="O121" s="1399" t="s">
        <v>1296</v>
      </c>
    </row>
    <row r="122" spans="1:18" ht="26.4">
      <c r="A122" s="1401">
        <f t="shared" si="36"/>
        <v>11.104999999999993</v>
      </c>
      <c r="B122" s="1559" t="s">
        <v>1754</v>
      </c>
      <c r="C122" s="780"/>
      <c r="D122" s="694">
        <v>1542127650.0799999</v>
      </c>
      <c r="E122" s="694">
        <v>859527548.59000003</v>
      </c>
      <c r="F122" s="1437"/>
      <c r="G122" s="1438"/>
      <c r="H122" s="903">
        <f t="shared" si="48"/>
        <v>1200827599.335</v>
      </c>
      <c r="I122" s="1320"/>
      <c r="J122" s="1377"/>
      <c r="K122" s="903"/>
      <c r="L122" s="903">
        <f t="shared" si="49"/>
        <v>859527548.59000003</v>
      </c>
      <c r="M122" s="1439"/>
      <c r="N122" s="1572" t="s">
        <v>1037</v>
      </c>
    </row>
    <row r="123" spans="1:18" s="1399" customFormat="1">
      <c r="A123" s="1401">
        <f t="shared" si="36"/>
        <v>11.105999999999993</v>
      </c>
      <c r="B123" s="1559" t="s">
        <v>1755</v>
      </c>
      <c r="C123" s="780"/>
      <c r="D123" s="694">
        <v>19697275</v>
      </c>
      <c r="E123" s="694">
        <v>31175705</v>
      </c>
      <c r="F123" s="1377"/>
      <c r="G123" s="903"/>
      <c r="H123" s="903">
        <f t="shared" si="48"/>
        <v>25436490</v>
      </c>
      <c r="I123" s="1320"/>
      <c r="J123" s="1377"/>
      <c r="K123" s="903"/>
      <c r="L123" s="903">
        <f t="shared" si="49"/>
        <v>31175705</v>
      </c>
      <c r="M123" s="1320"/>
      <c r="N123" s="1572" t="s">
        <v>1301</v>
      </c>
      <c r="O123" s="1399" t="s">
        <v>1296</v>
      </c>
    </row>
    <row r="124" spans="1:18" ht="39.6">
      <c r="A124" s="1401">
        <f t="shared" si="36"/>
        <v>11.106999999999992</v>
      </c>
      <c r="B124" s="1559" t="s">
        <v>1756</v>
      </c>
      <c r="D124" s="694"/>
      <c r="E124" s="694"/>
      <c r="F124" s="1377"/>
      <c r="G124" s="903"/>
      <c r="H124" s="903">
        <f t="shared" si="48"/>
        <v>0</v>
      </c>
      <c r="I124" s="1320"/>
      <c r="J124" s="1377"/>
      <c r="K124" s="903"/>
      <c r="L124" s="903">
        <f t="shared" si="49"/>
        <v>0</v>
      </c>
      <c r="M124" s="1320"/>
      <c r="N124" s="1572" t="s">
        <v>1038</v>
      </c>
    </row>
    <row r="125" spans="1:18" ht="39.6">
      <c r="A125" s="1401">
        <f t="shared" si="36"/>
        <v>11.107999999999992</v>
      </c>
      <c r="B125" s="1559" t="s">
        <v>1757</v>
      </c>
      <c r="C125" s="780"/>
      <c r="D125" s="694"/>
      <c r="E125" s="694"/>
      <c r="F125" s="1377"/>
      <c r="G125" s="903"/>
      <c r="H125" s="903">
        <f t="shared" si="48"/>
        <v>0</v>
      </c>
      <c r="I125" s="1320"/>
      <c r="J125" s="1377"/>
      <c r="K125" s="903"/>
      <c r="L125" s="903">
        <f t="shared" si="49"/>
        <v>0</v>
      </c>
      <c r="M125" s="1320"/>
      <c r="N125" s="1572" t="s">
        <v>1039</v>
      </c>
    </row>
    <row r="126" spans="1:18" ht="26.4">
      <c r="A126" s="1401">
        <f t="shared" si="36"/>
        <v>11.108999999999991</v>
      </c>
      <c r="B126" s="780" t="s">
        <v>1758</v>
      </c>
      <c r="C126" s="780"/>
      <c r="D126" s="694"/>
      <c r="E126" s="694"/>
      <c r="F126" s="1377">
        <f t="shared" ref="F126" si="51">+SUM(D126:E126)/2</f>
        <v>0</v>
      </c>
      <c r="G126" s="903"/>
      <c r="H126" s="903"/>
      <c r="I126" s="1320"/>
      <c r="J126" s="1377">
        <f t="shared" si="47"/>
        <v>0</v>
      </c>
      <c r="K126" s="903"/>
      <c r="L126" s="903"/>
      <c r="M126" s="1320"/>
      <c r="N126" s="1572" t="s">
        <v>206</v>
      </c>
    </row>
    <row r="127" spans="1:18">
      <c r="A127" s="1401">
        <f t="shared" si="36"/>
        <v>11.109999999999991</v>
      </c>
      <c r="B127" s="780" t="s">
        <v>1759</v>
      </c>
      <c r="C127" s="780"/>
      <c r="D127" s="694">
        <v>312621</v>
      </c>
      <c r="E127" s="694">
        <v>1683946</v>
      </c>
      <c r="F127" s="1377"/>
      <c r="G127" s="903"/>
      <c r="H127" s="903"/>
      <c r="I127" s="1320">
        <f t="shared" ref="I127" si="52">+SUM($D127:$E127)/2</f>
        <v>998283.5</v>
      </c>
      <c r="J127" s="1377"/>
      <c r="K127" s="903"/>
      <c r="L127" s="903"/>
      <c r="M127" s="1320">
        <f t="shared" ref="M127" si="53">+E127</f>
        <v>1683946</v>
      </c>
      <c r="N127" s="1572" t="s">
        <v>1040</v>
      </c>
    </row>
    <row r="128" spans="1:18" ht="26.4">
      <c r="A128" s="1401">
        <f t="shared" si="36"/>
        <v>11.11099999999999</v>
      </c>
      <c r="B128" s="780" t="s">
        <v>1760</v>
      </c>
      <c r="C128" s="780"/>
      <c r="D128" s="694"/>
      <c r="E128" s="694"/>
      <c r="F128" s="1377"/>
      <c r="G128" s="903"/>
      <c r="H128" s="903">
        <f t="shared" ref="H128:H131" si="54">+SUM($D128:$E128)/2</f>
        <v>0</v>
      </c>
      <c r="I128" s="1320"/>
      <c r="J128" s="1377"/>
      <c r="K128" s="903"/>
      <c r="L128" s="903">
        <f t="shared" ref="L128:L131" si="55">+E128</f>
        <v>0</v>
      </c>
      <c r="M128" s="1320"/>
      <c r="N128" s="1572" t="s">
        <v>418</v>
      </c>
    </row>
    <row r="129" spans="1:15" ht="26.4">
      <c r="A129" s="1401">
        <f t="shared" si="36"/>
        <v>11.111999999999989</v>
      </c>
      <c r="B129" s="780" t="s">
        <v>1761</v>
      </c>
      <c r="C129" s="780"/>
      <c r="D129" s="694">
        <v>-90222014.849999994</v>
      </c>
      <c r="E129" s="694">
        <v>-67906662</v>
      </c>
      <c r="F129" s="1377"/>
      <c r="G129" s="903"/>
      <c r="H129" s="903">
        <f t="shared" si="54"/>
        <v>-79064338.424999997</v>
      </c>
      <c r="I129" s="1320"/>
      <c r="J129" s="1377"/>
      <c r="K129" s="903"/>
      <c r="L129" s="903">
        <f t="shared" si="55"/>
        <v>-67906662</v>
      </c>
      <c r="M129" s="1320"/>
      <c r="N129" s="1572" t="s">
        <v>1041</v>
      </c>
    </row>
    <row r="130" spans="1:15" ht="39.6">
      <c r="A130" s="1401">
        <f t="shared" si="36"/>
        <v>11.112999999999989</v>
      </c>
      <c r="B130" s="780" t="s">
        <v>1762</v>
      </c>
      <c r="C130" s="780"/>
      <c r="D130" s="694"/>
      <c r="E130" s="694"/>
      <c r="F130" s="1377"/>
      <c r="G130" s="903"/>
      <c r="H130" s="903">
        <f t="shared" si="54"/>
        <v>0</v>
      </c>
      <c r="I130" s="1320"/>
      <c r="J130" s="1377"/>
      <c r="K130" s="903"/>
      <c r="L130" s="903">
        <f t="shared" si="55"/>
        <v>0</v>
      </c>
      <c r="M130" s="1320"/>
      <c r="N130" s="1572" t="s">
        <v>1038</v>
      </c>
    </row>
    <row r="131" spans="1:15" ht="39.6">
      <c r="A131" s="1401">
        <f t="shared" si="36"/>
        <v>11.113999999999988</v>
      </c>
      <c r="B131" s="780" t="s">
        <v>1763</v>
      </c>
      <c r="C131" s="780"/>
      <c r="D131" s="694">
        <v>257777219.72000003</v>
      </c>
      <c r="E131" s="694">
        <v>372735336.41000003</v>
      </c>
      <c r="F131" s="1377"/>
      <c r="G131" s="903"/>
      <c r="H131" s="903">
        <f t="shared" si="54"/>
        <v>315256278.06500006</v>
      </c>
      <c r="I131" s="1320"/>
      <c r="J131" s="1377"/>
      <c r="K131" s="903"/>
      <c r="L131" s="903">
        <f t="shared" si="55"/>
        <v>372735336.41000003</v>
      </c>
      <c r="M131" s="1320"/>
      <c r="N131" s="1572" t="s">
        <v>1039</v>
      </c>
    </row>
    <row r="132" spans="1:15" ht="26.4">
      <c r="A132" s="1401">
        <f t="shared" si="36"/>
        <v>11.114999999999988</v>
      </c>
      <c r="B132" s="780" t="s">
        <v>1764</v>
      </c>
      <c r="C132" s="780"/>
      <c r="D132" s="694">
        <v>59467.950000000012</v>
      </c>
      <c r="E132" s="694">
        <v>220789</v>
      </c>
      <c r="F132" s="1377">
        <f t="shared" ref="F132:F133" si="56">+SUM(D132:E132)/2</f>
        <v>140128.47500000001</v>
      </c>
      <c r="G132" s="903"/>
      <c r="H132" s="903"/>
      <c r="I132" s="1320"/>
      <c r="J132" s="1377">
        <f>+E132</f>
        <v>220789</v>
      </c>
      <c r="K132" s="903"/>
      <c r="L132" s="903"/>
      <c r="M132" s="1320"/>
      <c r="N132" s="1572" t="s">
        <v>206</v>
      </c>
    </row>
    <row r="133" spans="1:15">
      <c r="A133" s="1401">
        <f t="shared" si="36"/>
        <v>11.115999999999987</v>
      </c>
      <c r="B133" s="780" t="s">
        <v>1765</v>
      </c>
      <c r="C133" s="780"/>
      <c r="D133" s="694">
        <v>14974424</v>
      </c>
      <c r="E133" s="694">
        <v>18559915</v>
      </c>
      <c r="F133" s="1377">
        <f t="shared" si="56"/>
        <v>16767169.5</v>
      </c>
      <c r="G133" s="903"/>
      <c r="H133" s="903"/>
      <c r="I133" s="1320"/>
      <c r="J133" s="1377">
        <f>+E133</f>
        <v>18559915</v>
      </c>
      <c r="K133" s="903"/>
      <c r="L133" s="903"/>
      <c r="M133" s="1320"/>
      <c r="N133" s="1572" t="s">
        <v>0</v>
      </c>
    </row>
    <row r="134" spans="1:15">
      <c r="A134" s="1633">
        <f t="shared" si="36"/>
        <v>11.116999999999987</v>
      </c>
      <c r="B134" s="1634" t="s">
        <v>2207</v>
      </c>
      <c r="C134" s="1634"/>
      <c r="D134" s="1632">
        <v>0</v>
      </c>
      <c r="E134" s="1632">
        <v>-314.14999999999998</v>
      </c>
      <c r="F134" s="1635">
        <f t="shared" ref="F134:F135" si="57">+SUM(D134:E134)/2</f>
        <v>-157.07499999999999</v>
      </c>
      <c r="G134" s="1636"/>
      <c r="H134" s="1636"/>
      <c r="I134" s="1637"/>
      <c r="J134" s="1635">
        <f t="shared" ref="J134:J135" si="58">+E134</f>
        <v>-314.14999999999998</v>
      </c>
      <c r="K134" s="1636"/>
      <c r="L134" s="1636"/>
      <c r="M134" s="1637"/>
      <c r="N134" s="1638"/>
    </row>
    <row r="135" spans="1:15">
      <c r="A135" s="1633">
        <f t="shared" si="36"/>
        <v>11.117999999999986</v>
      </c>
      <c r="B135" s="1634" t="s">
        <v>2208</v>
      </c>
      <c r="C135" s="1634"/>
      <c r="D135" s="1632">
        <v>0</v>
      </c>
      <c r="E135" s="1632">
        <v>-50.74</v>
      </c>
      <c r="F135" s="1635">
        <f t="shared" si="57"/>
        <v>-25.37</v>
      </c>
      <c r="G135" s="1636"/>
      <c r="H135" s="1636"/>
      <c r="I135" s="1637"/>
      <c r="J135" s="1635">
        <f t="shared" si="58"/>
        <v>-50.74</v>
      </c>
      <c r="K135" s="1636"/>
      <c r="L135" s="1636"/>
      <c r="M135" s="1637"/>
      <c r="N135" s="1638"/>
    </row>
    <row r="136" spans="1:15">
      <c r="A136" s="1633">
        <f t="shared" si="36"/>
        <v>11.118999999999986</v>
      </c>
      <c r="B136" s="1634" t="s">
        <v>2209</v>
      </c>
      <c r="C136" s="1634"/>
      <c r="D136" s="1632">
        <v>0</v>
      </c>
      <c r="E136" s="1632">
        <v>181389318</v>
      </c>
      <c r="F136" s="1635"/>
      <c r="G136" s="1636"/>
      <c r="H136" s="1636">
        <f t="shared" ref="H136" si="59">+SUM($D136:$E136)/2</f>
        <v>90694659</v>
      </c>
      <c r="I136" s="1637"/>
      <c r="J136" s="1635"/>
      <c r="K136" s="1636"/>
      <c r="L136" s="1636">
        <f t="shared" ref="L136" si="60">+E136</f>
        <v>181389318</v>
      </c>
      <c r="M136" s="1637"/>
      <c r="N136" s="1638"/>
    </row>
    <row r="137" spans="1:15">
      <c r="A137" s="1633">
        <f t="shared" si="36"/>
        <v>11.119999999999985</v>
      </c>
      <c r="B137" s="1634"/>
      <c r="C137" s="1634" t="s">
        <v>934</v>
      </c>
      <c r="D137" s="1632">
        <f>IFERROR(+INDEX(#REF!,MATCH($B137,#REF!,0)),0)</f>
        <v>0</v>
      </c>
      <c r="E137" s="1632">
        <f>IFERROR(+INDEX(#REF!,MATCH($B137,#REF!,0)),0)</f>
        <v>0</v>
      </c>
      <c r="F137" s="1635"/>
      <c r="G137" s="1636"/>
      <c r="H137" s="1636"/>
      <c r="I137" s="1637"/>
      <c r="J137" s="1635"/>
      <c r="K137" s="1636"/>
      <c r="L137" s="1636"/>
      <c r="M137" s="1637"/>
      <c r="N137" s="1638"/>
    </row>
    <row r="138" spans="1:15">
      <c r="A138" s="1640" t="s">
        <v>925</v>
      </c>
      <c r="B138" s="1634"/>
      <c r="C138" s="1634" t="s">
        <v>934</v>
      </c>
      <c r="D138" s="1632">
        <f>IFERROR(+INDEX(#REF!,MATCH($B138,#REF!,0)),0)</f>
        <v>0</v>
      </c>
      <c r="E138" s="1632">
        <f>IFERROR(+INDEX(#REF!,MATCH($B138,#REF!,0)),0)</f>
        <v>0</v>
      </c>
      <c r="F138" s="1635"/>
      <c r="G138" s="1636"/>
      <c r="H138" s="1636"/>
      <c r="I138" s="1637"/>
      <c r="J138" s="1635"/>
      <c r="K138" s="1636"/>
      <c r="L138" s="1636"/>
      <c r="M138" s="1637"/>
      <c r="N138" s="1638"/>
    </row>
    <row r="139" spans="1:15">
      <c r="A139" s="1640" t="str">
        <f>A17&amp;".XXX"</f>
        <v>11.XXX</v>
      </c>
      <c r="B139" s="1634"/>
      <c r="C139" s="1634" t="s">
        <v>934</v>
      </c>
      <c r="D139" s="1178">
        <f>IFERROR(+INDEX(#REF!,MATCH($B139,#REF!,0)),0)</f>
        <v>0</v>
      </c>
      <c r="E139" s="1178">
        <f>IFERROR(+INDEX(#REF!,MATCH($B139,#REF!,0)),0)</f>
        <v>0</v>
      </c>
      <c r="F139" s="1641"/>
      <c r="G139" s="695"/>
      <c r="H139" s="695"/>
      <c r="I139" s="1642"/>
      <c r="J139" s="1641"/>
      <c r="K139" s="695"/>
      <c r="L139" s="695"/>
      <c r="M139" s="1642"/>
      <c r="N139" s="1638"/>
    </row>
    <row r="140" spans="1:15" ht="13.8" thickBot="1">
      <c r="A140" s="735">
        <f>+A17+1</f>
        <v>12</v>
      </c>
      <c r="B140" s="1569"/>
      <c r="C140" s="1569"/>
      <c r="D140" s="903"/>
      <c r="E140" s="903"/>
      <c r="F140" s="1440"/>
      <c r="G140" s="1441"/>
      <c r="H140" s="1441"/>
      <c r="I140" s="1442"/>
      <c r="J140" s="1440"/>
      <c r="K140" s="1441"/>
      <c r="L140" s="1441"/>
      <c r="M140" s="1442"/>
      <c r="N140" s="1572"/>
    </row>
    <row r="141" spans="1:15" s="534" customFormat="1" ht="14.4" thickBot="1">
      <c r="A141" s="735">
        <f>+A140+1</f>
        <v>13</v>
      </c>
      <c r="B141" s="1325" t="s">
        <v>526</v>
      </c>
      <c r="C141" s="1326"/>
      <c r="D141" s="1327">
        <f>SUM(D18:D140)</f>
        <v>3421434521.1499996</v>
      </c>
      <c r="E141" s="1327">
        <f>SUM(E18:E140)</f>
        <v>2565909363.8299999</v>
      </c>
      <c r="F141" s="1443">
        <f>SUM(F18:F139)</f>
        <v>693459981.87499988</v>
      </c>
      <c r="G141" s="903">
        <f>SUM(G18:G139)</f>
        <v>0</v>
      </c>
      <c r="H141" s="903">
        <f>SUM(H18:H139)</f>
        <v>2392606056.1500001</v>
      </c>
      <c r="I141" s="1320">
        <f>SUM(I18:I139)</f>
        <v>-92394095.534999996</v>
      </c>
      <c r="J141" s="1443">
        <f>SUM(J18:J140)</f>
        <v>562478973.65999997</v>
      </c>
      <c r="K141" s="903">
        <f>SUM(K18:K140)</f>
        <v>0</v>
      </c>
      <c r="L141" s="903">
        <f>SUM(L18:L140)</f>
        <v>2088967550.7700002</v>
      </c>
      <c r="M141" s="1320">
        <f>SUM(M18:M140)</f>
        <v>-85537160.600000009</v>
      </c>
      <c r="N141" s="1572" t="str">
        <f>+"Sum by Column of Line "&amp;A17&amp;" Subparts"</f>
        <v>Sum by Column of Line 11 Subparts</v>
      </c>
    </row>
    <row r="142" spans="1:15">
      <c r="A142" s="735">
        <f>+A141+1</f>
        <v>14</v>
      </c>
      <c r="B142" s="2378" t="s">
        <v>566</v>
      </c>
      <c r="C142" s="2378"/>
      <c r="D142" s="903">
        <f t="shared" ref="D142:M142" si="61">+D116+D117</f>
        <v>77818963.080000013</v>
      </c>
      <c r="E142" s="903">
        <f t="shared" si="61"/>
        <v>30214194.000000004</v>
      </c>
      <c r="F142" s="903">
        <f t="shared" si="61"/>
        <v>54016578.540000007</v>
      </c>
      <c r="G142" s="903">
        <f t="shared" si="61"/>
        <v>0</v>
      </c>
      <c r="H142" s="903">
        <f t="shared" si="61"/>
        <v>0</v>
      </c>
      <c r="I142" s="903">
        <f t="shared" si="61"/>
        <v>0</v>
      </c>
      <c r="J142" s="903">
        <f t="shared" si="61"/>
        <v>30214194.000000004</v>
      </c>
      <c r="K142" s="903">
        <f t="shared" si="61"/>
        <v>0</v>
      </c>
      <c r="L142" s="903">
        <f t="shared" si="61"/>
        <v>0</v>
      </c>
      <c r="M142" s="903">
        <f t="shared" si="61"/>
        <v>0</v>
      </c>
      <c r="N142" s="181"/>
    </row>
    <row r="143" spans="1:15" ht="15">
      <c r="A143" s="1657">
        <f>+A142+0.1</f>
        <v>14.1</v>
      </c>
      <c r="B143" s="1899" t="s">
        <v>1939</v>
      </c>
      <c r="C143" s="1899"/>
      <c r="D143" s="1917">
        <f>+'WP06 Support 2'!D144</f>
        <v>0</v>
      </c>
      <c r="E143" s="1918">
        <f>+'WP06 Support 2'!E144</f>
        <v>622390742.00999999</v>
      </c>
      <c r="F143" s="1919">
        <f>+'WP06 Support 2'!F144</f>
        <v>49385694.210000008</v>
      </c>
      <c r="G143" s="1918">
        <f>+'WP06 Support 2'!G144</f>
        <v>0</v>
      </c>
      <c r="H143" s="1918">
        <f>+'WP06 Support 2'!H144</f>
        <v>282053794.97499996</v>
      </c>
      <c r="I143" s="1920">
        <f>+'WP06 Support 2'!I144</f>
        <v>-20244118.180000003</v>
      </c>
      <c r="J143" s="1919">
        <f>+'WP06 Support 2'!J144</f>
        <v>28782088.943749987</v>
      </c>
      <c r="K143" s="1918">
        <f>+'WP06 Support 2'!K144</f>
        <v>0</v>
      </c>
      <c r="L143" s="1918">
        <f>+'WP06 Support 2'!L144</f>
        <v>384190322.13443893</v>
      </c>
      <c r="M143" s="1920">
        <f>+'WP06 Support 2'!M144</f>
        <v>-11809069.717499999</v>
      </c>
      <c r="N143" s="1895"/>
    </row>
    <row r="144" spans="1:15" ht="13.8">
      <c r="A144" s="735">
        <f>+A142+1</f>
        <v>15</v>
      </c>
      <c r="B144" s="1384" t="s">
        <v>524</v>
      </c>
      <c r="C144" s="1822"/>
      <c r="D144" s="514">
        <f>+D141-D142+D143</f>
        <v>3343615558.0699997</v>
      </c>
      <c r="E144" s="514">
        <f t="shared" ref="E144:M144" si="62">+E141-E142+E143</f>
        <v>3158085911.8400002</v>
      </c>
      <c r="F144" s="1739">
        <f t="shared" si="62"/>
        <v>688829097.54499996</v>
      </c>
      <c r="G144" s="514">
        <f t="shared" si="62"/>
        <v>0</v>
      </c>
      <c r="H144" s="514">
        <f t="shared" si="62"/>
        <v>2674659851.125</v>
      </c>
      <c r="I144" s="1823">
        <f t="shared" si="62"/>
        <v>-112638213.715</v>
      </c>
      <c r="J144" s="1739">
        <f t="shared" si="62"/>
        <v>561046868.60374999</v>
      </c>
      <c r="K144" s="514">
        <f t="shared" si="62"/>
        <v>0</v>
      </c>
      <c r="L144" s="514">
        <f t="shared" si="62"/>
        <v>2473157872.904439</v>
      </c>
      <c r="M144" s="1823">
        <f t="shared" si="62"/>
        <v>-97346230.31750001</v>
      </c>
      <c r="N144" s="1921" t="str">
        <f>+"Ln "&amp;A141&amp;" - Ln "&amp;A142&amp;" + Ln "&amp;A143</f>
        <v>Ln 13 - Ln 14 + Ln 14.1</v>
      </c>
      <c r="O144" s="173" t="s">
        <v>1555</v>
      </c>
    </row>
    <row r="145" spans="1:15" ht="13.8">
      <c r="A145" s="735">
        <f t="shared" ref="A145:A146" si="63">+A144+1</f>
        <v>16</v>
      </c>
      <c r="B145" s="1329"/>
      <c r="C145" s="1330"/>
      <c r="D145" s="903"/>
      <c r="E145" s="903"/>
      <c r="F145" s="903"/>
      <c r="G145" s="903"/>
      <c r="H145" s="903"/>
      <c r="I145" s="903"/>
      <c r="J145" s="903"/>
      <c r="K145" s="903"/>
      <c r="L145" s="903"/>
      <c r="M145" s="903"/>
      <c r="N145" s="181"/>
    </row>
    <row r="146" spans="1:15" s="1387" customFormat="1">
      <c r="A146" s="735">
        <f t="shared" si="63"/>
        <v>17</v>
      </c>
      <c r="B146" s="1329" t="s">
        <v>1143</v>
      </c>
      <c r="C146" s="1582"/>
      <c r="D146" s="1444"/>
      <c r="E146" s="1445"/>
      <c r="F146" s="2382">
        <f>F29</f>
        <v>16580962.51</v>
      </c>
      <c r="G146" s="2383"/>
      <c r="H146" s="2383"/>
      <c r="I146" s="2383"/>
      <c r="J146" s="2382">
        <f>J29</f>
        <v>17524738.149999999</v>
      </c>
      <c r="K146" s="2383"/>
      <c r="L146" s="2383"/>
      <c r="M146" s="2383"/>
      <c r="N146" s="1573" t="s">
        <v>49</v>
      </c>
      <c r="O146" s="1400" t="s">
        <v>1295</v>
      </c>
    </row>
    <row r="147" spans="1:15" s="1387" customFormat="1" ht="13.95" customHeight="1">
      <c r="A147" s="736">
        <f>+A146+0.01</f>
        <v>17.010000000000002</v>
      </c>
      <c r="B147" s="780" t="s">
        <v>1766</v>
      </c>
      <c r="C147" s="1569"/>
      <c r="D147" s="694">
        <v>-10456.85</v>
      </c>
      <c r="E147" s="694">
        <v>-9906.83</v>
      </c>
      <c r="F147" s="1446">
        <f t="shared" ref="F147:F150" si="64">+SUM(D147:E147)/2</f>
        <v>-10181.84</v>
      </c>
      <c r="G147" s="903"/>
      <c r="H147" s="903"/>
      <c r="I147" s="903"/>
      <c r="J147" s="1377">
        <f t="shared" ref="J147:J150" si="65">+E147</f>
        <v>-9906.83</v>
      </c>
      <c r="K147" s="903"/>
      <c r="L147" s="903"/>
      <c r="M147" s="903"/>
      <c r="N147" s="1574" t="s">
        <v>1136</v>
      </c>
      <c r="O147" s="1400" t="s">
        <v>1295</v>
      </c>
    </row>
    <row r="148" spans="1:15" s="1387" customFormat="1" ht="13.95" customHeight="1">
      <c r="A148" s="736">
        <f>+A147+0.01</f>
        <v>17.020000000000003</v>
      </c>
      <c r="B148" s="780" t="s">
        <v>1767</v>
      </c>
      <c r="C148" s="1569"/>
      <c r="D148" s="694">
        <v>-1688.56</v>
      </c>
      <c r="E148" s="694">
        <v>-1599.73</v>
      </c>
      <c r="F148" s="1446">
        <f t="shared" si="64"/>
        <v>-1644.145</v>
      </c>
      <c r="G148" s="903"/>
      <c r="H148" s="903"/>
      <c r="I148" s="903"/>
      <c r="J148" s="1377">
        <f t="shared" si="65"/>
        <v>-1599.73</v>
      </c>
      <c r="K148" s="903"/>
      <c r="L148" s="903"/>
      <c r="M148" s="903"/>
      <c r="N148" s="1575" t="s">
        <v>1136</v>
      </c>
      <c r="O148" s="1400" t="s">
        <v>1295</v>
      </c>
    </row>
    <row r="149" spans="1:15" s="1387" customFormat="1" ht="13.95" customHeight="1">
      <c r="A149" s="736">
        <f>+A148+0.01</f>
        <v>17.030000000000005</v>
      </c>
      <c r="B149" s="780" t="s">
        <v>1768</v>
      </c>
      <c r="C149" s="1569"/>
      <c r="D149" s="694">
        <v>-1607498.06</v>
      </c>
      <c r="E149" s="694">
        <v>-1583377</v>
      </c>
      <c r="F149" s="1446">
        <f t="shared" si="64"/>
        <v>-1595437.53</v>
      </c>
      <c r="G149" s="903"/>
      <c r="H149" s="903"/>
      <c r="I149" s="903"/>
      <c r="J149" s="1377">
        <f t="shared" si="65"/>
        <v>-1583377</v>
      </c>
      <c r="K149" s="903"/>
      <c r="L149" s="903"/>
      <c r="M149" s="903"/>
      <c r="N149" s="1575" t="s">
        <v>1136</v>
      </c>
      <c r="O149" s="1400" t="s">
        <v>1295</v>
      </c>
    </row>
    <row r="150" spans="1:15" s="1387" customFormat="1" ht="13.95" customHeight="1">
      <c r="A150" s="736">
        <f>+A149+0.01</f>
        <v>17.040000000000006</v>
      </c>
      <c r="B150" s="780" t="s">
        <v>1769</v>
      </c>
      <c r="C150" s="1569"/>
      <c r="D150" s="694">
        <v>-259605.81</v>
      </c>
      <c r="E150" s="694">
        <v>-255710.34</v>
      </c>
      <c r="F150" s="1446">
        <f t="shared" si="64"/>
        <v>-257658.07500000001</v>
      </c>
      <c r="G150" s="903"/>
      <c r="H150" s="903"/>
      <c r="I150" s="1320"/>
      <c r="J150" s="903">
        <f t="shared" si="65"/>
        <v>-255710.34</v>
      </c>
      <c r="K150" s="903"/>
      <c r="L150" s="903"/>
      <c r="M150" s="903"/>
      <c r="N150" s="1575" t="s">
        <v>1136</v>
      </c>
      <c r="O150" s="1400" t="s">
        <v>1295</v>
      </c>
    </row>
    <row r="151" spans="1:15" s="1387" customFormat="1" ht="13.95" customHeight="1">
      <c r="A151" s="1640">
        <f>+A150+0.01</f>
        <v>17.050000000000008</v>
      </c>
      <c r="B151" s="1634"/>
      <c r="C151" s="1634" t="s">
        <v>934</v>
      </c>
      <c r="D151" s="694">
        <f>IFERROR(+INDEX(#REF!,MATCH($B151,#REF!,0)),0)</f>
        <v>0</v>
      </c>
      <c r="E151" s="694">
        <f>IFERROR(+INDEX(#REF!,MATCH($B151,#REF!,0)),0)</f>
        <v>0</v>
      </c>
      <c r="F151" s="1643"/>
      <c r="G151" s="1644"/>
      <c r="H151" s="1644"/>
      <c r="I151" s="1645"/>
      <c r="J151" s="1644"/>
      <c r="K151" s="1644"/>
      <c r="L151" s="1644"/>
      <c r="M151" s="1644"/>
      <c r="N151" s="1646"/>
      <c r="O151" s="1400" t="s">
        <v>1295</v>
      </c>
    </row>
    <row r="152" spans="1:15" s="1387" customFormat="1" ht="13.95" customHeight="1">
      <c r="A152" s="1640" t="s">
        <v>925</v>
      </c>
      <c r="B152" s="1634"/>
      <c r="C152" s="1634" t="s">
        <v>934</v>
      </c>
      <c r="D152" s="694">
        <f>IFERROR(+INDEX(#REF!,MATCH($B152,#REF!,0)),0)</f>
        <v>0</v>
      </c>
      <c r="E152" s="694">
        <f>IFERROR(+INDEX(#REF!,MATCH($B152,#REF!,0)),0)</f>
        <v>0</v>
      </c>
      <c r="F152" s="1643"/>
      <c r="G152" s="1644"/>
      <c r="H152" s="1644"/>
      <c r="I152" s="1645"/>
      <c r="J152" s="1644"/>
      <c r="K152" s="1644"/>
      <c r="L152" s="1644"/>
      <c r="M152" s="1644"/>
      <c r="N152" s="1646"/>
      <c r="O152" s="1400" t="s">
        <v>1295</v>
      </c>
    </row>
    <row r="153" spans="1:15" s="1387" customFormat="1" ht="13.95" customHeight="1">
      <c r="A153" s="1640" t="str">
        <f>A146&amp;".XX"</f>
        <v>17.XX</v>
      </c>
      <c r="B153" s="1634"/>
      <c r="C153" s="1634" t="s">
        <v>934</v>
      </c>
      <c r="D153" s="695">
        <f>IFERROR(+INDEX(#REF!,MATCH($B153,#REF!,0)),0)</f>
        <v>0</v>
      </c>
      <c r="E153" s="1642">
        <f>IFERROR(+INDEX(#REF!,MATCH($B153,#REF!,0)),0)</f>
        <v>0</v>
      </c>
      <c r="F153" s="1641"/>
      <c r="G153" s="695"/>
      <c r="H153" s="695"/>
      <c r="I153" s="1642"/>
      <c r="J153" s="695"/>
      <c r="K153" s="695"/>
      <c r="L153" s="695"/>
      <c r="M153" s="695"/>
      <c r="N153" s="1647"/>
      <c r="O153" s="1400" t="s">
        <v>1295</v>
      </c>
    </row>
    <row r="154" spans="1:15" s="1387" customFormat="1" ht="13.8" thickBot="1">
      <c r="A154" s="735">
        <f>+A146+1</f>
        <v>18</v>
      </c>
      <c r="B154" s="1569"/>
      <c r="C154" s="1569"/>
      <c r="D154" s="1447"/>
      <c r="E154" s="903"/>
      <c r="F154" s="903"/>
      <c r="G154" s="903"/>
      <c r="H154" s="903"/>
      <c r="I154" s="1320"/>
      <c r="J154" s="903"/>
      <c r="K154" s="903"/>
      <c r="L154" s="903"/>
      <c r="M154" s="903"/>
      <c r="N154" s="1575"/>
      <c r="O154" s="1400" t="s">
        <v>1295</v>
      </c>
    </row>
    <row r="155" spans="1:15" s="1387" customFormat="1" ht="13.8" thickBot="1">
      <c r="A155" s="735">
        <f>+A154+1</f>
        <v>19</v>
      </c>
      <c r="B155" s="1414" t="s">
        <v>1137</v>
      </c>
      <c r="C155" s="1413"/>
      <c r="D155" s="1327">
        <f t="shared" ref="D155:J155" si="66">SUM(D147:D153)</f>
        <v>-1879249.28</v>
      </c>
      <c r="E155" s="1327">
        <f t="shared" si="66"/>
        <v>-1850593.9000000001</v>
      </c>
      <c r="F155" s="1377">
        <f t="shared" si="66"/>
        <v>-1864921.59</v>
      </c>
      <c r="G155" s="903">
        <f t="shared" si="66"/>
        <v>0</v>
      </c>
      <c r="H155" s="903">
        <f t="shared" si="66"/>
        <v>0</v>
      </c>
      <c r="I155" s="903">
        <f t="shared" si="66"/>
        <v>0</v>
      </c>
      <c r="J155" s="1377">
        <f t="shared" si="66"/>
        <v>-1850593.9000000001</v>
      </c>
      <c r="K155" s="903">
        <f t="shared" ref="K155:M155" si="67">SUM(K147:K153)</f>
        <v>0</v>
      </c>
      <c r="L155" s="903">
        <f t="shared" si="67"/>
        <v>0</v>
      </c>
      <c r="M155" s="903">
        <f t="shared" si="67"/>
        <v>0</v>
      </c>
      <c r="N155" s="1576" t="str">
        <f>+"Sum by Column of Line "&amp;A146&amp;" Subparts"</f>
        <v>Sum by Column of Line 17 Subparts</v>
      </c>
      <c r="O155" s="1400" t="s">
        <v>1295</v>
      </c>
    </row>
    <row r="156" spans="1:15" s="1387" customFormat="1">
      <c r="A156" s="735">
        <f>+A155+1</f>
        <v>20</v>
      </c>
      <c r="B156" s="1569" t="s">
        <v>525</v>
      </c>
      <c r="C156" s="173"/>
      <c r="D156" s="903">
        <v>0</v>
      </c>
      <c r="E156" s="903">
        <v>0</v>
      </c>
      <c r="F156" s="1377">
        <f>SUM(G156:J156)</f>
        <v>0</v>
      </c>
      <c r="G156" s="903">
        <v>0</v>
      </c>
      <c r="H156" s="903">
        <v>0</v>
      </c>
      <c r="I156" s="903">
        <v>0</v>
      </c>
      <c r="J156" s="1377">
        <v>0</v>
      </c>
      <c r="K156" s="903">
        <v>0</v>
      </c>
      <c r="L156" s="903">
        <v>0</v>
      </c>
      <c r="M156" s="903">
        <v>0</v>
      </c>
      <c r="N156" s="1577"/>
      <c r="O156" s="1400" t="s">
        <v>1295</v>
      </c>
    </row>
    <row r="157" spans="1:15" s="1387" customFormat="1" ht="15">
      <c r="A157" s="1657">
        <f>+A156+0.1</f>
        <v>20.100000000000001</v>
      </c>
      <c r="B157" s="1899" t="s">
        <v>1984</v>
      </c>
      <c r="C157" s="1899"/>
      <c r="D157" s="1917">
        <f>+'WP06 Support 2'!D158</f>
        <v>0</v>
      </c>
      <c r="E157" s="1918">
        <f>+'WP06 Support 2'!E158</f>
        <v>0</v>
      </c>
      <c r="F157" s="1919">
        <f>+'WP06 Support 2'!F158</f>
        <v>0</v>
      </c>
      <c r="G157" s="1918">
        <f>+'WP06 Support 2'!G158</f>
        <v>0</v>
      </c>
      <c r="H157" s="1918">
        <f>+'WP06 Support 2'!H158</f>
        <v>0</v>
      </c>
      <c r="I157" s="1920">
        <f>+'WP06 Support 2'!I158</f>
        <v>0</v>
      </c>
      <c r="J157" s="1919">
        <f>+'WP06 Support 2'!J158</f>
        <v>422417.32398397289</v>
      </c>
      <c r="K157" s="1918">
        <f>+'WP06 Support 2'!K158</f>
        <v>0</v>
      </c>
      <c r="L157" s="1918">
        <f>+'WP06 Support 2'!L158</f>
        <v>0</v>
      </c>
      <c r="M157" s="1920">
        <f>+'WP06 Support 2'!M158</f>
        <v>0</v>
      </c>
      <c r="N157" s="1821"/>
      <c r="O157" s="1400"/>
    </row>
    <row r="158" spans="1:15" s="1387" customFormat="1" ht="13.8">
      <c r="A158" s="735">
        <f>+A156+1</f>
        <v>21</v>
      </c>
      <c r="B158" s="1384" t="s">
        <v>1956</v>
      </c>
      <c r="C158" s="1822"/>
      <c r="D158" s="514">
        <f>+D155-D156+D157</f>
        <v>-1879249.28</v>
      </c>
      <c r="E158" s="514">
        <f t="shared" ref="E158:M158" si="68">+E155-E156+E157</f>
        <v>-1850593.9000000001</v>
      </c>
      <c r="F158" s="1739">
        <f t="shared" si="68"/>
        <v>-1864921.59</v>
      </c>
      <c r="G158" s="514">
        <f t="shared" si="68"/>
        <v>0</v>
      </c>
      <c r="H158" s="514">
        <f t="shared" si="68"/>
        <v>0</v>
      </c>
      <c r="I158" s="1823">
        <f t="shared" si="68"/>
        <v>0</v>
      </c>
      <c r="J158" s="1739">
        <f t="shared" si="68"/>
        <v>-1428176.5760160272</v>
      </c>
      <c r="K158" s="514">
        <f t="shared" si="68"/>
        <v>0</v>
      </c>
      <c r="L158" s="514">
        <f t="shared" si="68"/>
        <v>0</v>
      </c>
      <c r="M158" s="1823">
        <f t="shared" si="68"/>
        <v>0</v>
      </c>
      <c r="N158" s="782" t="str">
        <f>+"Ln "&amp;A155&amp;" - Ln "&amp;A156&amp;" + Ln "&amp;A157</f>
        <v>Ln 19 - Ln 20 + Ln 20.1</v>
      </c>
      <c r="O158" s="1400" t="s">
        <v>1295</v>
      </c>
    </row>
    <row r="159" spans="1:15">
      <c r="A159" s="735">
        <f>+A158+1</f>
        <v>22</v>
      </c>
      <c r="B159" s="1331"/>
      <c r="C159" s="1331"/>
      <c r="D159" s="1448"/>
      <c r="E159" s="1449"/>
      <c r="F159" s="1450"/>
      <c r="G159" s="1450"/>
      <c r="H159" s="1450"/>
      <c r="I159" s="1450"/>
      <c r="J159" s="903"/>
      <c r="K159" s="903"/>
      <c r="L159" s="1450"/>
      <c r="M159" s="1450"/>
      <c r="N159" s="1576"/>
    </row>
    <row r="160" spans="1:15" ht="16.8">
      <c r="A160" s="735">
        <f>+A159+1</f>
        <v>23</v>
      </c>
      <c r="B160" s="1329" t="s">
        <v>776</v>
      </c>
      <c r="C160" s="911"/>
      <c r="D160" s="1435"/>
      <c r="E160" s="1451"/>
      <c r="F160" s="2377" t="str">
        <f>F8</f>
        <v>Average of BOY/EOY (Col (C+D)/2)</v>
      </c>
      <c r="G160" s="2377"/>
      <c r="H160" s="2377"/>
      <c r="I160" s="2377"/>
      <c r="J160" s="2377" t="str">
        <f>J8</f>
        <v>EOY (Col D)</v>
      </c>
      <c r="K160" s="2377"/>
      <c r="L160" s="2377"/>
      <c r="M160" s="2377"/>
      <c r="N160" s="1578" t="s">
        <v>49</v>
      </c>
    </row>
    <row r="161" spans="1:15" ht="13.95" customHeight="1">
      <c r="A161" s="736">
        <f t="shared" ref="A161:A194" si="69">+A160+0.01</f>
        <v>23.01</v>
      </c>
      <c r="B161" s="1583" t="s">
        <v>1770</v>
      </c>
      <c r="C161" s="534"/>
      <c r="D161" s="694">
        <v>-1255229120.6600001</v>
      </c>
      <c r="E161" s="1637">
        <v>-1336697300.49</v>
      </c>
      <c r="F161" s="887"/>
      <c r="H161" s="887">
        <f t="shared" ref="H161:H173" si="70">+SUM($D161:$E161)/2</f>
        <v>-1295963210.575</v>
      </c>
      <c r="I161" s="1320"/>
      <c r="L161" s="887">
        <f>+E161</f>
        <v>-1336697300.49</v>
      </c>
      <c r="M161" s="1320"/>
      <c r="N161" s="1571" t="s">
        <v>1</v>
      </c>
    </row>
    <row r="162" spans="1:15" ht="13.95" customHeight="1">
      <c r="A162" s="736">
        <f t="shared" si="69"/>
        <v>23.020000000000003</v>
      </c>
      <c r="B162" s="1583" t="s">
        <v>1771</v>
      </c>
      <c r="C162" s="534"/>
      <c r="D162" s="694">
        <v>-95459437.609999999</v>
      </c>
      <c r="E162" s="1637">
        <v>-107989443.04000001</v>
      </c>
      <c r="F162" s="887"/>
      <c r="H162" s="887">
        <f t="shared" si="70"/>
        <v>-101724440.325</v>
      </c>
      <c r="I162" s="1320"/>
      <c r="L162" s="887">
        <f t="shared" ref="L162:L172" si="71">+E162</f>
        <v>-107989443.04000001</v>
      </c>
      <c r="M162" s="1320"/>
      <c r="N162" s="1571" t="s">
        <v>1</v>
      </c>
    </row>
    <row r="163" spans="1:15" s="1387" customFormat="1" ht="13.95" customHeight="1">
      <c r="A163" s="736">
        <f t="shared" si="69"/>
        <v>23.030000000000005</v>
      </c>
      <c r="B163" s="1583" t="s">
        <v>1772</v>
      </c>
      <c r="C163" s="534"/>
      <c r="D163" s="694">
        <v>-1617822.66</v>
      </c>
      <c r="E163" s="1637">
        <v>-1558961.26</v>
      </c>
      <c r="F163" s="887"/>
      <c r="G163" s="887"/>
      <c r="H163" s="887">
        <f t="shared" si="70"/>
        <v>-1588391.96</v>
      </c>
      <c r="I163" s="1320"/>
      <c r="J163" s="887"/>
      <c r="K163" s="887"/>
      <c r="L163" s="887">
        <f t="shared" ref="L163" si="72">+E163</f>
        <v>-1558961.26</v>
      </c>
      <c r="M163" s="1320"/>
      <c r="N163" s="1571" t="s">
        <v>1</v>
      </c>
      <c r="O163" s="1400" t="s">
        <v>1295</v>
      </c>
    </row>
    <row r="164" spans="1:15" ht="13.95" customHeight="1">
      <c r="A164" s="736">
        <f t="shared" si="69"/>
        <v>23.040000000000006</v>
      </c>
      <c r="B164" s="1583" t="s">
        <v>1773</v>
      </c>
      <c r="C164" s="534"/>
      <c r="D164" s="694">
        <v>3170926.34</v>
      </c>
      <c r="E164" s="1637">
        <v>1739323.87</v>
      </c>
      <c r="F164" s="887"/>
      <c r="H164" s="887">
        <f t="shared" si="70"/>
        <v>2455125.105</v>
      </c>
      <c r="I164" s="1320"/>
      <c r="L164" s="887">
        <f t="shared" si="71"/>
        <v>1739323.87</v>
      </c>
      <c r="M164" s="1320"/>
      <c r="N164" s="1571" t="s">
        <v>1</v>
      </c>
    </row>
    <row r="165" spans="1:15" s="1387" customFormat="1" ht="13.95" customHeight="1">
      <c r="A165" s="736">
        <f t="shared" si="69"/>
        <v>23.050000000000008</v>
      </c>
      <c r="B165" s="1583" t="s">
        <v>1774</v>
      </c>
      <c r="C165" s="534"/>
      <c r="D165" s="694">
        <v>-483440799.48000002</v>
      </c>
      <c r="E165" s="694">
        <v>-448712787.39999998</v>
      </c>
      <c r="F165" s="1377">
        <f t="shared" ref="F165:F166" si="73">+SUM(D165:E165)/2</f>
        <v>-466076793.44</v>
      </c>
      <c r="G165" s="903"/>
      <c r="H165" s="903"/>
      <c r="I165" s="1320"/>
      <c r="J165" s="1377">
        <f t="shared" ref="J165:J166" si="74">+E165</f>
        <v>-448712787.39999998</v>
      </c>
      <c r="K165" s="903"/>
      <c r="L165" s="903"/>
      <c r="M165" s="1320"/>
      <c r="N165" s="1571" t="s">
        <v>197</v>
      </c>
      <c r="O165" s="1399" t="s">
        <v>1296</v>
      </c>
    </row>
    <row r="166" spans="1:15" s="1387" customFormat="1" ht="13.95" customHeight="1">
      <c r="A166" s="736">
        <f>+A165+0.01</f>
        <v>23.060000000000009</v>
      </c>
      <c r="B166" s="1583" t="s">
        <v>1775</v>
      </c>
      <c r="C166" s="534"/>
      <c r="D166" s="694">
        <v>-22261101.34</v>
      </c>
      <c r="E166" s="694">
        <v>-32277066.07</v>
      </c>
      <c r="F166" s="1377">
        <f t="shared" si="73"/>
        <v>-27269083.704999998</v>
      </c>
      <c r="G166" s="903"/>
      <c r="H166" s="903"/>
      <c r="I166" s="1320"/>
      <c r="J166" s="1377">
        <f t="shared" si="74"/>
        <v>-32277066.07</v>
      </c>
      <c r="K166" s="903"/>
      <c r="L166" s="903"/>
      <c r="M166" s="1320"/>
      <c r="N166" s="1571" t="s">
        <v>197</v>
      </c>
      <c r="O166" s="1399" t="s">
        <v>1296</v>
      </c>
    </row>
    <row r="167" spans="1:15" ht="13.95" customHeight="1">
      <c r="A167" s="736">
        <f>+A166+0.01</f>
        <v>23.070000000000011</v>
      </c>
      <c r="B167" s="1583" t="s">
        <v>1776</v>
      </c>
      <c r="C167" s="534"/>
      <c r="D167" s="694">
        <v>-813812.45</v>
      </c>
      <c r="E167" s="1637">
        <v>-751512.05</v>
      </c>
      <c r="F167" s="887"/>
      <c r="H167" s="887">
        <f t="shared" si="70"/>
        <v>-782662.25</v>
      </c>
      <c r="I167" s="1320"/>
      <c r="L167" s="887">
        <f t="shared" si="71"/>
        <v>-751512.05</v>
      </c>
      <c r="M167" s="1320"/>
      <c r="N167" s="1571" t="s">
        <v>1042</v>
      </c>
    </row>
    <row r="168" spans="1:15" ht="13.95" customHeight="1">
      <c r="A168" s="736">
        <f t="shared" si="69"/>
        <v>23.080000000000013</v>
      </c>
      <c r="B168" s="1583" t="s">
        <v>1777</v>
      </c>
      <c r="C168" s="534"/>
      <c r="D168" s="694">
        <v>-97090.12</v>
      </c>
      <c r="E168" s="1637">
        <v>-89657.53</v>
      </c>
      <c r="F168" s="887"/>
      <c r="H168" s="887">
        <f t="shared" si="70"/>
        <v>-93373.824999999997</v>
      </c>
      <c r="I168" s="1320"/>
      <c r="L168" s="887">
        <f t="shared" si="71"/>
        <v>-89657.53</v>
      </c>
      <c r="M168" s="1320"/>
      <c r="N168" s="1571" t="s">
        <v>1042</v>
      </c>
    </row>
    <row r="169" spans="1:15" ht="13.95" customHeight="1">
      <c r="A169" s="736">
        <f t="shared" si="69"/>
        <v>23.090000000000014</v>
      </c>
      <c r="B169" s="1583" t="s">
        <v>1778</v>
      </c>
      <c r="C169" s="534"/>
      <c r="D169" s="694">
        <v>-1246030.05</v>
      </c>
      <c r="E169" s="1637">
        <v>-1100659.19</v>
      </c>
      <c r="F169" s="887"/>
      <c r="H169" s="887">
        <f t="shared" si="70"/>
        <v>-1173344.6200000001</v>
      </c>
      <c r="I169" s="1320"/>
      <c r="L169" s="887">
        <f t="shared" si="71"/>
        <v>-1100659.19</v>
      </c>
      <c r="M169" s="1320"/>
      <c r="N169" s="1571" t="s">
        <v>1043</v>
      </c>
    </row>
    <row r="170" spans="1:15" ht="13.95" customHeight="1">
      <c r="A170" s="736">
        <f t="shared" si="69"/>
        <v>23.100000000000016</v>
      </c>
      <c r="B170" s="1583" t="s">
        <v>1779</v>
      </c>
      <c r="C170" s="534"/>
      <c r="D170" s="694">
        <v>-148932.79999999999</v>
      </c>
      <c r="E170" s="1637">
        <v>-131557.29</v>
      </c>
      <c r="F170" s="887"/>
      <c r="H170" s="887">
        <f t="shared" si="70"/>
        <v>-140245.04499999998</v>
      </c>
      <c r="I170" s="1320"/>
      <c r="L170" s="887">
        <f t="shared" si="71"/>
        <v>-131557.29</v>
      </c>
      <c r="M170" s="1320"/>
      <c r="N170" s="1571" t="s">
        <v>1043</v>
      </c>
    </row>
    <row r="171" spans="1:15" ht="13.95" customHeight="1">
      <c r="A171" s="736">
        <f t="shared" si="69"/>
        <v>23.110000000000017</v>
      </c>
      <c r="B171" s="1583" t="s">
        <v>1780</v>
      </c>
      <c r="C171" s="534"/>
      <c r="D171" s="694">
        <v>-65600488.530000001</v>
      </c>
      <c r="E171" s="1637">
        <v>-65586392.520000003</v>
      </c>
      <c r="F171" s="887"/>
      <c r="H171" s="887">
        <f t="shared" si="70"/>
        <v>-65593440.525000006</v>
      </c>
      <c r="I171" s="1320"/>
      <c r="L171" s="887">
        <f t="shared" si="71"/>
        <v>-65586392.520000003</v>
      </c>
      <c r="M171" s="1320"/>
      <c r="N171" s="1571" t="s">
        <v>1044</v>
      </c>
    </row>
    <row r="172" spans="1:15" ht="13.95" customHeight="1">
      <c r="A172" s="736">
        <f t="shared" si="69"/>
        <v>23.120000000000019</v>
      </c>
      <c r="B172" s="1583" t="s">
        <v>1781</v>
      </c>
      <c r="C172" s="534"/>
      <c r="D172" s="694">
        <v>-10594389.32</v>
      </c>
      <c r="E172" s="1637">
        <v>-11896728.439999999</v>
      </c>
      <c r="F172" s="887"/>
      <c r="H172" s="887">
        <f t="shared" si="70"/>
        <v>-11245558.879999999</v>
      </c>
      <c r="I172" s="1320"/>
      <c r="L172" s="887">
        <f t="shared" si="71"/>
        <v>-11896728.439999999</v>
      </c>
      <c r="M172" s="1320"/>
      <c r="N172" s="1571" t="s">
        <v>1044</v>
      </c>
      <c r="O172" s="1400" t="s">
        <v>1295</v>
      </c>
    </row>
    <row r="173" spans="1:15" s="1387" customFormat="1" ht="13.95" customHeight="1">
      <c r="A173" s="736">
        <f t="shared" si="69"/>
        <v>23.13000000000002</v>
      </c>
      <c r="B173" s="1583" t="s">
        <v>1782</v>
      </c>
      <c r="C173" s="534"/>
      <c r="D173" s="694">
        <v>-1073421.02</v>
      </c>
      <c r="E173" s="1637">
        <v>-983235.97</v>
      </c>
      <c r="F173" s="887"/>
      <c r="G173" s="887"/>
      <c r="H173" s="887">
        <f t="shared" si="70"/>
        <v>-1028328.495</v>
      </c>
      <c r="I173" s="1320"/>
      <c r="J173" s="887"/>
      <c r="K173" s="887"/>
      <c r="L173" s="887">
        <f t="shared" ref="L173" si="75">+E173</f>
        <v>-983235.97</v>
      </c>
      <c r="M173" s="1320"/>
      <c r="N173" s="1571" t="s">
        <v>2</v>
      </c>
    </row>
    <row r="174" spans="1:15" ht="13.95" customHeight="1">
      <c r="A174" s="736">
        <f t="shared" si="69"/>
        <v>23.140000000000022</v>
      </c>
      <c r="B174" s="1583" t="s">
        <v>1783</v>
      </c>
      <c r="C174" s="534"/>
      <c r="D174" s="694">
        <v>-291774139.06</v>
      </c>
      <c r="E174" s="1637">
        <v>-310374535.16000003</v>
      </c>
      <c r="F174" s="887">
        <f t="shared" ref="F174:F178" si="76">+SUM($D174:$E174)/2</f>
        <v>-301074337.11000001</v>
      </c>
      <c r="I174" s="1320"/>
      <c r="J174" s="887">
        <f t="shared" ref="J174:J176" si="77">+E174</f>
        <v>-310374535.16000003</v>
      </c>
      <c r="M174" s="1320"/>
      <c r="N174" s="1571" t="s">
        <v>197</v>
      </c>
    </row>
    <row r="175" spans="1:15" ht="13.95" customHeight="1">
      <c r="A175" s="736">
        <f t="shared" si="69"/>
        <v>23.150000000000023</v>
      </c>
      <c r="B175" s="1583" t="s">
        <v>1784</v>
      </c>
      <c r="C175" s="534"/>
      <c r="D175" s="694">
        <v>677307.63</v>
      </c>
      <c r="E175" s="1637">
        <v>-3556334.46</v>
      </c>
      <c r="F175" s="887">
        <f t="shared" si="76"/>
        <v>-1439513.415</v>
      </c>
      <c r="I175" s="1320"/>
      <c r="J175" s="887">
        <f t="shared" si="77"/>
        <v>-3556334.46</v>
      </c>
      <c r="M175" s="1320"/>
      <c r="N175" s="1571" t="s">
        <v>197</v>
      </c>
    </row>
    <row r="176" spans="1:15" ht="13.95" customHeight="1">
      <c r="A176" s="736">
        <f t="shared" si="69"/>
        <v>23.160000000000025</v>
      </c>
      <c r="B176" s="1583" t="s">
        <v>1785</v>
      </c>
      <c r="C176" s="534"/>
      <c r="D176" s="694">
        <v>-1724518.23</v>
      </c>
      <c r="E176" s="1637">
        <v>-1642281.85</v>
      </c>
      <c r="F176" s="887">
        <f t="shared" si="76"/>
        <v>-1683400.04</v>
      </c>
      <c r="I176" s="1320"/>
      <c r="J176" s="887">
        <f t="shared" si="77"/>
        <v>-1642281.85</v>
      </c>
      <c r="M176" s="1320"/>
      <c r="N176" s="1571" t="s">
        <v>197</v>
      </c>
    </row>
    <row r="177" spans="1:15" ht="13.95" customHeight="1">
      <c r="A177" s="736">
        <f t="shared" si="69"/>
        <v>23.170000000000027</v>
      </c>
      <c r="B177" s="1583" t="s">
        <v>1786</v>
      </c>
      <c r="C177" s="534"/>
      <c r="D177" s="694">
        <v>-38071292.979999997</v>
      </c>
      <c r="E177" s="1637">
        <v>-17153614.280000001</v>
      </c>
      <c r="F177" s="887">
        <f t="shared" si="76"/>
        <v>-27612453.629999999</v>
      </c>
      <c r="I177" s="1320"/>
      <c r="J177" s="887">
        <f>+E177</f>
        <v>-17153614.280000001</v>
      </c>
      <c r="M177" s="1320"/>
      <c r="N177" s="1571" t="s">
        <v>197</v>
      </c>
    </row>
    <row r="178" spans="1:15" ht="13.95" customHeight="1">
      <c r="A178" s="736">
        <f t="shared" si="69"/>
        <v>23.180000000000028</v>
      </c>
      <c r="B178" s="1583" t="s">
        <v>1787</v>
      </c>
      <c r="C178" s="534"/>
      <c r="D178" s="694">
        <v>-5690765.3499999996</v>
      </c>
      <c r="E178" s="1637">
        <v>-5122199.2699999996</v>
      </c>
      <c r="F178" s="887">
        <f t="shared" si="76"/>
        <v>-5406482.3099999996</v>
      </c>
      <c r="I178" s="1320"/>
      <c r="J178" s="887">
        <f t="shared" ref="J178" si="78">+E178</f>
        <v>-5122199.2699999996</v>
      </c>
      <c r="M178" s="1320"/>
      <c r="N178" s="1571" t="s">
        <v>197</v>
      </c>
      <c r="O178" s="1400" t="s">
        <v>1295</v>
      </c>
    </row>
    <row r="179" spans="1:15" ht="13.95" customHeight="1">
      <c r="A179" s="736">
        <f t="shared" si="69"/>
        <v>23.19000000000003</v>
      </c>
      <c r="B179" s="1583" t="s">
        <v>1788</v>
      </c>
      <c r="C179" s="534"/>
      <c r="D179" s="694">
        <v>-7.0000000000000007E-2</v>
      </c>
      <c r="E179" s="1637">
        <v>0</v>
      </c>
      <c r="F179" s="887"/>
      <c r="I179" s="1320">
        <f t="shared" ref="I179:I180" si="79">+SUM($D179:$E179)/2</f>
        <v>-3.5000000000000003E-2</v>
      </c>
      <c r="M179" s="1320">
        <f>+E179</f>
        <v>0</v>
      </c>
      <c r="N179" s="1571" t="s">
        <v>1045</v>
      </c>
    </row>
    <row r="180" spans="1:15" s="1387" customFormat="1" ht="13.95" customHeight="1">
      <c r="A180" s="736">
        <f t="shared" si="69"/>
        <v>23.200000000000031</v>
      </c>
      <c r="B180" s="1583" t="s">
        <v>1789</v>
      </c>
      <c r="C180" s="534"/>
      <c r="D180" s="694">
        <v>0.32</v>
      </c>
      <c r="E180" s="1637">
        <v>0</v>
      </c>
      <c r="F180" s="887"/>
      <c r="G180" s="887"/>
      <c r="H180" s="887"/>
      <c r="I180" s="1320">
        <f t="shared" si="79"/>
        <v>0.16</v>
      </c>
      <c r="J180" s="887"/>
      <c r="K180" s="887"/>
      <c r="L180" s="887"/>
      <c r="M180" s="1320">
        <f>+E180</f>
        <v>0</v>
      </c>
      <c r="N180" s="1571" t="s">
        <v>1045</v>
      </c>
    </row>
    <row r="181" spans="1:15" ht="13.95" customHeight="1">
      <c r="A181" s="736">
        <f t="shared" si="69"/>
        <v>23.210000000000033</v>
      </c>
      <c r="B181" s="1583" t="s">
        <v>1790</v>
      </c>
      <c r="C181" s="534"/>
      <c r="D181" s="694">
        <v>-57314081.020000003</v>
      </c>
      <c r="E181" s="1637">
        <v>-54273258.409999996</v>
      </c>
      <c r="F181" s="887"/>
      <c r="H181" s="887">
        <f t="shared" ref="H181:H182" si="80">+SUM($D181:$E181)/2</f>
        <v>-55793669.715000004</v>
      </c>
      <c r="I181" s="1320"/>
      <c r="L181" s="887">
        <f>+E181</f>
        <v>-54273258.409999996</v>
      </c>
      <c r="M181" s="1320"/>
      <c r="N181" s="1571" t="s">
        <v>2</v>
      </c>
    </row>
    <row r="182" spans="1:15" ht="13.95" customHeight="1">
      <c r="A182" s="736">
        <f t="shared" si="69"/>
        <v>23.220000000000034</v>
      </c>
      <c r="B182" s="1583" t="s">
        <v>1791</v>
      </c>
      <c r="C182" s="534"/>
      <c r="D182" s="694">
        <v>-9256125.2300000004</v>
      </c>
      <c r="E182" s="1637">
        <v>-8765277.9900000002</v>
      </c>
      <c r="F182" s="887"/>
      <c r="H182" s="887">
        <f t="shared" si="80"/>
        <v>-9010701.6099999994</v>
      </c>
      <c r="I182" s="1320"/>
      <c r="L182" s="887">
        <f>+E182</f>
        <v>-8765277.9900000002</v>
      </c>
      <c r="M182" s="1320"/>
      <c r="N182" s="1571" t="s">
        <v>2</v>
      </c>
    </row>
    <row r="183" spans="1:15" ht="13.95" customHeight="1">
      <c r="A183" s="736">
        <f t="shared" si="69"/>
        <v>23.230000000000036</v>
      </c>
      <c r="B183" s="1583" t="s">
        <v>1792</v>
      </c>
      <c r="C183" s="534"/>
      <c r="D183" s="694">
        <v>-1615135.52</v>
      </c>
      <c r="E183" s="1637">
        <v>-1014989.88</v>
      </c>
      <c r="F183" s="887">
        <f t="shared" ref="F183:F184" si="81">+SUM($D183:$E183)/2</f>
        <v>-1315062.7</v>
      </c>
      <c r="I183" s="1320"/>
      <c r="J183" s="887">
        <f t="shared" ref="J183:J184" si="82">+E183</f>
        <v>-1014989.88</v>
      </c>
      <c r="M183" s="1320"/>
      <c r="N183" s="1571" t="s">
        <v>191</v>
      </c>
    </row>
    <row r="184" spans="1:15" ht="13.95" customHeight="1">
      <c r="A184" s="736">
        <f t="shared" si="69"/>
        <v>23.240000000000038</v>
      </c>
      <c r="B184" s="1583" t="s">
        <v>1793</v>
      </c>
      <c r="C184" s="534"/>
      <c r="D184" s="694">
        <v>-260831.88</v>
      </c>
      <c r="E184" s="1637">
        <v>-284023.73</v>
      </c>
      <c r="F184" s="887">
        <f t="shared" si="81"/>
        <v>-272427.80499999999</v>
      </c>
      <c r="I184" s="1320"/>
      <c r="J184" s="887">
        <f t="shared" si="82"/>
        <v>-284023.73</v>
      </c>
      <c r="M184" s="1320"/>
      <c r="N184" s="1571" t="s">
        <v>191</v>
      </c>
    </row>
    <row r="185" spans="1:15" ht="13.95" customHeight="1">
      <c r="A185" s="736">
        <f t="shared" si="69"/>
        <v>23.250000000000039</v>
      </c>
      <c r="B185" s="1583" t="s">
        <v>1794</v>
      </c>
      <c r="C185" s="534"/>
      <c r="D185" s="694">
        <v>-3188206.95</v>
      </c>
      <c r="E185" s="1637">
        <v>-2841970.1</v>
      </c>
      <c r="F185" s="887"/>
      <c r="H185" s="887">
        <f t="shared" ref="H185:H186" si="83">+SUM($D185:$E185)/2</f>
        <v>-3015088.5250000004</v>
      </c>
      <c r="I185" s="1320"/>
      <c r="L185" s="887">
        <f>+E185</f>
        <v>-2841970.1</v>
      </c>
      <c r="M185" s="1320"/>
      <c r="N185" s="1571" t="s">
        <v>2</v>
      </c>
    </row>
    <row r="186" spans="1:15" ht="13.95" customHeight="1">
      <c r="A186" s="736">
        <f t="shared" si="69"/>
        <v>23.260000000000041</v>
      </c>
      <c r="B186" s="1583" t="s">
        <v>1795</v>
      </c>
      <c r="C186" s="534"/>
      <c r="D186" s="694">
        <v>-514885.83</v>
      </c>
      <c r="E186" s="1637">
        <v>-477811.51</v>
      </c>
      <c r="F186" s="887"/>
      <c r="H186" s="887">
        <f t="shared" si="83"/>
        <v>-496348.67000000004</v>
      </c>
      <c r="I186" s="1320"/>
      <c r="L186" s="887">
        <f>+E186</f>
        <v>-477811.51</v>
      </c>
      <c r="M186" s="1320"/>
      <c r="N186" s="1571" t="s">
        <v>2</v>
      </c>
    </row>
    <row r="187" spans="1:15" s="1387" customFormat="1" ht="13.95" customHeight="1">
      <c r="A187" s="736">
        <f t="shared" si="69"/>
        <v>23.270000000000042</v>
      </c>
      <c r="B187" s="534" t="s">
        <v>1796</v>
      </c>
      <c r="C187" s="534"/>
      <c r="D187" s="694"/>
      <c r="E187" s="1637"/>
      <c r="F187" s="1377">
        <f t="shared" ref="F187:F188" si="84">+SUM(D187:E187)/2</f>
        <v>0</v>
      </c>
      <c r="G187" s="903"/>
      <c r="H187" s="903"/>
      <c r="I187" s="1320"/>
      <c r="J187" s="1377">
        <f t="shared" ref="J187:J188" si="85">+E187</f>
        <v>0</v>
      </c>
      <c r="K187" s="903"/>
      <c r="L187" s="903"/>
      <c r="M187" s="1320"/>
      <c r="N187" s="1571" t="s">
        <v>1136</v>
      </c>
      <c r="O187" s="1400" t="s">
        <v>1295</v>
      </c>
    </row>
    <row r="188" spans="1:15" s="1387" customFormat="1" ht="13.95" customHeight="1">
      <c r="A188" s="736">
        <f t="shared" si="69"/>
        <v>23.280000000000044</v>
      </c>
      <c r="B188" s="534" t="s">
        <v>1797</v>
      </c>
      <c r="C188" s="534"/>
      <c r="D188" s="694"/>
      <c r="E188" s="1637"/>
      <c r="F188" s="1377">
        <f t="shared" si="84"/>
        <v>0</v>
      </c>
      <c r="G188" s="903"/>
      <c r="H188" s="903"/>
      <c r="I188" s="1320"/>
      <c r="J188" s="1377">
        <f t="shared" si="85"/>
        <v>0</v>
      </c>
      <c r="K188" s="903"/>
      <c r="L188" s="903"/>
      <c r="M188" s="1320"/>
      <c r="N188" s="1571" t="s">
        <v>1136</v>
      </c>
      <c r="O188" s="1400" t="s">
        <v>1295</v>
      </c>
    </row>
    <row r="189" spans="1:15" ht="13.95" customHeight="1">
      <c r="A189" s="736">
        <f t="shared" si="69"/>
        <v>23.290000000000045</v>
      </c>
      <c r="B189" s="1583" t="s">
        <v>1798</v>
      </c>
      <c r="C189" s="534"/>
      <c r="D189" s="694">
        <v>-42277.79</v>
      </c>
      <c r="E189" s="1637">
        <v>-1171714.05</v>
      </c>
      <c r="F189" s="887"/>
      <c r="I189" s="1320">
        <f t="shared" ref="I189:I190" si="86">+SUM($D189:$E189)/2</f>
        <v>-606995.92000000004</v>
      </c>
      <c r="M189" s="1320">
        <f t="shared" ref="M189:M190" si="87">+E189</f>
        <v>-1171714.05</v>
      </c>
      <c r="N189" s="1571" t="s">
        <v>1046</v>
      </c>
    </row>
    <row r="190" spans="1:15" ht="13.95" customHeight="1">
      <c r="A190" s="736">
        <f t="shared" si="69"/>
        <v>23.300000000000047</v>
      </c>
      <c r="B190" s="1583" t="s">
        <v>1799</v>
      </c>
      <c r="C190" s="534"/>
      <c r="D190" s="694">
        <v>-6827.62</v>
      </c>
      <c r="E190" s="1637">
        <v>-189228.48</v>
      </c>
      <c r="F190" s="887"/>
      <c r="I190" s="1320">
        <f t="shared" si="86"/>
        <v>-98028.05</v>
      </c>
      <c r="M190" s="1320">
        <f t="shared" si="87"/>
        <v>-189228.48</v>
      </c>
      <c r="N190" s="1571" t="s">
        <v>1046</v>
      </c>
    </row>
    <row r="191" spans="1:15" ht="13.95" customHeight="1">
      <c r="A191" s="736">
        <f t="shared" si="69"/>
        <v>23.310000000000048</v>
      </c>
      <c r="B191" s="1583" t="s">
        <v>1800</v>
      </c>
      <c r="C191" s="534"/>
      <c r="D191" s="694">
        <v>40206950.579999998</v>
      </c>
      <c r="E191" s="1637">
        <v>40729863.630000003</v>
      </c>
      <c r="F191" s="887"/>
      <c r="H191" s="887">
        <f t="shared" ref="H191:H192" si="88">+SUM($D191:$E191)/2</f>
        <v>40468407.105000004</v>
      </c>
      <c r="I191" s="1320"/>
      <c r="L191" s="887">
        <f>+E191</f>
        <v>40729863.630000003</v>
      </c>
      <c r="M191" s="1320"/>
      <c r="N191" s="1571" t="s">
        <v>2</v>
      </c>
    </row>
    <row r="192" spans="1:15" ht="13.95" customHeight="1">
      <c r="A192" s="736">
        <f t="shared" si="69"/>
        <v>23.32000000000005</v>
      </c>
      <c r="B192" s="1583" t="s">
        <v>1801</v>
      </c>
      <c r="C192" s="534"/>
      <c r="D192" s="694">
        <v>6493263.7700000005</v>
      </c>
      <c r="E192" s="1637">
        <v>8112092.8200000003</v>
      </c>
      <c r="F192" s="887"/>
      <c r="H192" s="887">
        <f t="shared" si="88"/>
        <v>7302678.2949999999</v>
      </c>
      <c r="I192" s="1320"/>
      <c r="L192" s="887">
        <f>+E192</f>
        <v>8112092.8200000003</v>
      </c>
      <c r="M192" s="1320"/>
      <c r="N192" s="1571" t="s">
        <v>2</v>
      </c>
    </row>
    <row r="193" spans="1:15" ht="13.95" customHeight="1">
      <c r="A193" s="736">
        <f t="shared" si="69"/>
        <v>23.330000000000052</v>
      </c>
      <c r="B193" s="1583" t="s">
        <v>1802</v>
      </c>
      <c r="C193" s="534"/>
      <c r="D193" s="694">
        <v>2024263.76</v>
      </c>
      <c r="E193" s="1637">
        <v>1960747.23</v>
      </c>
      <c r="F193" s="887">
        <f t="shared" ref="F193:F196" si="89">+SUM($D193:$E193)/2</f>
        <v>1992505.4950000001</v>
      </c>
      <c r="I193" s="1320"/>
      <c r="J193" s="887">
        <f t="shared" ref="J193:J195" si="90">+E193</f>
        <v>1960747.23</v>
      </c>
      <c r="M193" s="1320"/>
      <c r="N193" s="1571" t="s">
        <v>197</v>
      </c>
    </row>
    <row r="194" spans="1:15" ht="13.95" customHeight="1">
      <c r="A194" s="736">
        <f t="shared" si="69"/>
        <v>23.340000000000053</v>
      </c>
      <c r="B194" s="1583" t="s">
        <v>1803</v>
      </c>
      <c r="C194" s="534"/>
      <c r="D194" s="694">
        <v>326913.74</v>
      </c>
      <c r="E194" s="1637">
        <v>316655.99</v>
      </c>
      <c r="F194" s="887">
        <f t="shared" si="89"/>
        <v>321784.86499999999</v>
      </c>
      <c r="I194" s="1320"/>
      <c r="J194" s="887">
        <f t="shared" si="90"/>
        <v>316655.99</v>
      </c>
      <c r="M194" s="1320"/>
      <c r="N194" s="1571" t="s">
        <v>197</v>
      </c>
    </row>
    <row r="195" spans="1:15" ht="13.95" customHeight="1">
      <c r="A195" s="736">
        <f t="shared" ref="A195:A223" si="91">+A194+0.01</f>
        <v>23.350000000000055</v>
      </c>
      <c r="B195" s="1583" t="s">
        <v>1804</v>
      </c>
      <c r="C195" s="534"/>
      <c r="D195" s="694">
        <v>-1190122.05</v>
      </c>
      <c r="E195" s="1637">
        <v>-1396228.53</v>
      </c>
      <c r="F195" s="887">
        <f t="shared" si="89"/>
        <v>-1293175.29</v>
      </c>
      <c r="I195" s="1320"/>
      <c r="J195" s="887">
        <f t="shared" si="90"/>
        <v>-1396228.53</v>
      </c>
      <c r="M195" s="1320"/>
      <c r="N195" s="1571" t="s">
        <v>197</v>
      </c>
      <c r="O195" s="1399" t="s">
        <v>1302</v>
      </c>
    </row>
    <row r="196" spans="1:15" ht="13.95" customHeight="1">
      <c r="A196" s="736">
        <f t="shared" si="91"/>
        <v>23.360000000000056</v>
      </c>
      <c r="B196" s="1583" t="s">
        <v>1805</v>
      </c>
      <c r="C196" s="534"/>
      <c r="D196" s="694">
        <v>-192199.76</v>
      </c>
      <c r="E196" s="1637">
        <v>-267947.3</v>
      </c>
      <c r="F196" s="887">
        <f t="shared" si="89"/>
        <v>-230073.53</v>
      </c>
      <c r="I196" s="1320"/>
      <c r="J196" s="887">
        <f>+E196</f>
        <v>-267947.3</v>
      </c>
      <c r="M196" s="1320"/>
      <c r="N196" s="1571" t="s">
        <v>197</v>
      </c>
      <c r="O196" s="1399" t="s">
        <v>1302</v>
      </c>
    </row>
    <row r="197" spans="1:15" ht="13.95" customHeight="1">
      <c r="A197" s="736">
        <f t="shared" si="91"/>
        <v>23.370000000000058</v>
      </c>
      <c r="B197" s="1583" t="s">
        <v>1806</v>
      </c>
      <c r="C197" s="534"/>
      <c r="D197" s="694">
        <v>-20290849.460000001</v>
      </c>
      <c r="E197" s="1637">
        <v>-17650292.460000001</v>
      </c>
      <c r="F197" s="887"/>
      <c r="I197" s="1320">
        <f t="shared" ref="I197:I198" si="92">+SUM($D197:$E197)/2</f>
        <v>-18970570.960000001</v>
      </c>
      <c r="M197" s="1320">
        <f t="shared" ref="M197:M198" si="93">+E197</f>
        <v>-17650292.460000001</v>
      </c>
      <c r="N197" s="1571" t="s">
        <v>3</v>
      </c>
    </row>
    <row r="198" spans="1:15" ht="13.95" customHeight="1">
      <c r="A198" s="736">
        <f t="shared" si="91"/>
        <v>23.380000000000059</v>
      </c>
      <c r="B198" s="1583" t="s">
        <v>1807</v>
      </c>
      <c r="C198" s="534"/>
      <c r="D198" s="694">
        <v>-3276870.04</v>
      </c>
      <c r="E198" s="1637">
        <v>-4031812.82</v>
      </c>
      <c r="F198" s="887"/>
      <c r="I198" s="1320">
        <f t="shared" si="92"/>
        <v>-3654341.4299999997</v>
      </c>
      <c r="M198" s="1320">
        <f t="shared" si="93"/>
        <v>-4031812.82</v>
      </c>
      <c r="N198" s="1571" t="s">
        <v>3</v>
      </c>
    </row>
    <row r="199" spans="1:15" ht="13.95" customHeight="1">
      <c r="A199" s="736">
        <f t="shared" si="91"/>
        <v>23.390000000000061</v>
      </c>
      <c r="B199" s="1583" t="s">
        <v>1808</v>
      </c>
      <c r="C199" s="534"/>
      <c r="D199" s="694">
        <v>-18245.240000000002</v>
      </c>
      <c r="E199" s="1637">
        <v>-17249.78</v>
      </c>
      <c r="F199" s="887"/>
      <c r="H199" s="887">
        <f t="shared" ref="H199:H200" si="94">+SUM($D199:$E199)/2</f>
        <v>-17747.510000000002</v>
      </c>
      <c r="I199" s="1320"/>
      <c r="L199" s="887">
        <f>+E199</f>
        <v>-17249.78</v>
      </c>
      <c r="M199" s="1320"/>
      <c r="N199" s="1571" t="s">
        <v>2</v>
      </c>
    </row>
    <row r="200" spans="1:15" ht="13.95" customHeight="1">
      <c r="A200" s="736">
        <f t="shared" si="91"/>
        <v>23.400000000000063</v>
      </c>
      <c r="B200" s="1583" t="s">
        <v>1809</v>
      </c>
      <c r="C200" s="534"/>
      <c r="D200" s="694">
        <v>-2947.54</v>
      </c>
      <c r="E200" s="1637">
        <v>-2786.78</v>
      </c>
      <c r="F200" s="887"/>
      <c r="H200" s="887">
        <f t="shared" si="94"/>
        <v>-2867.16</v>
      </c>
      <c r="I200" s="1320"/>
      <c r="L200" s="887">
        <f>+E200</f>
        <v>-2786.78</v>
      </c>
      <c r="M200" s="1320"/>
      <c r="N200" s="1571" t="s">
        <v>2</v>
      </c>
    </row>
    <row r="201" spans="1:15" ht="13.95" customHeight="1">
      <c r="A201" s="736">
        <f t="shared" si="91"/>
        <v>23.410000000000064</v>
      </c>
      <c r="B201" s="1583" t="s">
        <v>1810</v>
      </c>
      <c r="C201" s="534"/>
      <c r="D201" s="694">
        <v>218734998.5</v>
      </c>
      <c r="E201" s="1637">
        <v>125480511.09999999</v>
      </c>
      <c r="F201" s="887">
        <f t="shared" ref="F201:F202" si="95">+SUM($D201:$E201)/2</f>
        <v>172107754.80000001</v>
      </c>
      <c r="I201" s="1320"/>
      <c r="J201" s="887">
        <f t="shared" ref="J201:J212" si="96">+E201</f>
        <v>125480511.09999999</v>
      </c>
      <c r="M201" s="1320"/>
      <c r="N201" s="1571" t="s">
        <v>4</v>
      </c>
    </row>
    <row r="202" spans="1:15" ht="13.95" customHeight="1">
      <c r="A202" s="736">
        <f t="shared" si="91"/>
        <v>23.420000000000066</v>
      </c>
      <c r="B202" s="1583" t="s">
        <v>1811</v>
      </c>
      <c r="C202" s="534"/>
      <c r="D202" s="694">
        <v>35323662.799999997</v>
      </c>
      <c r="E202" s="1637">
        <v>41047453.609999999</v>
      </c>
      <c r="F202" s="887">
        <f t="shared" si="95"/>
        <v>38185558.204999998</v>
      </c>
      <c r="I202" s="1320"/>
      <c r="J202" s="887">
        <f t="shared" si="96"/>
        <v>41047453.609999999</v>
      </c>
      <c r="M202" s="1320"/>
      <c r="N202" s="1571" t="s">
        <v>4</v>
      </c>
    </row>
    <row r="203" spans="1:15" s="1387" customFormat="1" ht="13.95" customHeight="1">
      <c r="A203" s="736">
        <f t="shared" si="91"/>
        <v>23.430000000000067</v>
      </c>
      <c r="B203" s="1583" t="s">
        <v>1812</v>
      </c>
      <c r="C203" s="534"/>
      <c r="D203" s="694">
        <v>-1199799.19</v>
      </c>
      <c r="E203" s="1637">
        <v>-1150492.3600000001</v>
      </c>
      <c r="F203" s="887"/>
      <c r="G203" s="887"/>
      <c r="H203" s="887">
        <f t="shared" ref="H203" si="97">+SUM($D203:$E203)/2</f>
        <v>-1175145.7749999999</v>
      </c>
      <c r="I203" s="1320"/>
      <c r="J203" s="887"/>
      <c r="K203" s="887"/>
      <c r="L203" s="887">
        <f t="shared" ref="L203" si="98">+E203</f>
        <v>-1150492.3600000001</v>
      </c>
      <c r="M203" s="1320"/>
      <c r="N203" s="1571" t="s">
        <v>2</v>
      </c>
      <c r="O203" s="1400" t="s">
        <v>1295</v>
      </c>
    </row>
    <row r="204" spans="1:15" ht="13.95" customHeight="1">
      <c r="A204" s="736">
        <f t="shared" si="91"/>
        <v>23.440000000000069</v>
      </c>
      <c r="B204" s="1583" t="s">
        <v>1813</v>
      </c>
      <c r="C204" s="534"/>
      <c r="D204" s="694">
        <v>-385144310.94999999</v>
      </c>
      <c r="E204" s="1637">
        <v>-384923455.64999998</v>
      </c>
      <c r="F204" s="887"/>
      <c r="H204" s="887">
        <f t="shared" ref="H204:H206" si="99">+SUM($D204:$E204)/2</f>
        <v>-385033883.29999995</v>
      </c>
      <c r="I204" s="1320"/>
      <c r="L204" s="887">
        <f>+E204</f>
        <v>-384923455.64999998</v>
      </c>
      <c r="M204" s="1320"/>
      <c r="N204" s="1571" t="s">
        <v>2</v>
      </c>
    </row>
    <row r="205" spans="1:15" ht="13.95" customHeight="1">
      <c r="A205" s="736">
        <f t="shared" si="91"/>
        <v>23.45000000000007</v>
      </c>
      <c r="B205" s="1583" t="s">
        <v>1814</v>
      </c>
      <c r="C205" s="534"/>
      <c r="D205" s="694">
        <v>-62199734.259999998</v>
      </c>
      <c r="E205" s="1637">
        <v>-62164066.990000002</v>
      </c>
      <c r="F205" s="887"/>
      <c r="H205" s="887">
        <f t="shared" si="99"/>
        <v>-62181900.625</v>
      </c>
      <c r="I205" s="1320"/>
      <c r="L205" s="887">
        <f>+E205</f>
        <v>-62164066.990000002</v>
      </c>
      <c r="M205" s="1320"/>
      <c r="N205" s="1571" t="s">
        <v>2</v>
      </c>
    </row>
    <row r="206" spans="1:15" s="1387" customFormat="1" ht="13.95" customHeight="1">
      <c r="A206" s="736">
        <f t="shared" si="91"/>
        <v>23.460000000000072</v>
      </c>
      <c r="B206" s="1583" t="s">
        <v>1815</v>
      </c>
      <c r="C206" s="534"/>
      <c r="D206" s="694">
        <v>-892876.51</v>
      </c>
      <c r="E206" s="1637">
        <v>-856182.97</v>
      </c>
      <c r="F206" s="1377"/>
      <c r="G206" s="887"/>
      <c r="H206" s="887">
        <f t="shared" si="99"/>
        <v>-874529.74</v>
      </c>
      <c r="I206" s="1320"/>
      <c r="J206" s="887"/>
      <c r="K206" s="887"/>
      <c r="L206" s="887">
        <f>+E206</f>
        <v>-856182.97</v>
      </c>
      <c r="M206" s="1320"/>
      <c r="N206" s="1571" t="s">
        <v>2</v>
      </c>
      <c r="O206" s="1400" t="s">
        <v>1295</v>
      </c>
    </row>
    <row r="207" spans="1:15" s="1387" customFormat="1" ht="13.95" customHeight="1">
      <c r="A207" s="736">
        <f t="shared" si="91"/>
        <v>23.470000000000073</v>
      </c>
      <c r="B207" s="1583" t="s">
        <v>1816</v>
      </c>
      <c r="C207" s="534"/>
      <c r="D207" s="694">
        <v>6937291.79</v>
      </c>
      <c r="E207" s="1637">
        <v>6686542.9500000002</v>
      </c>
      <c r="F207" s="1377">
        <f t="shared" ref="F207" si="100">+SUM($D207:$E207)/2</f>
        <v>6811917.3700000001</v>
      </c>
      <c r="G207" s="887"/>
      <c r="H207" s="887"/>
      <c r="I207" s="1320"/>
      <c r="J207" s="887">
        <f t="shared" ref="J207" si="101">+E207</f>
        <v>6686542.9500000002</v>
      </c>
      <c r="K207" s="887"/>
      <c r="L207" s="887"/>
      <c r="M207" s="1320"/>
      <c r="N207" s="1571" t="s">
        <v>1052</v>
      </c>
      <c r="O207" s="1400" t="s">
        <v>1295</v>
      </c>
    </row>
    <row r="208" spans="1:15" ht="13.95" customHeight="1">
      <c r="A208" s="736">
        <f t="shared" si="91"/>
        <v>23.480000000000075</v>
      </c>
      <c r="B208" s="1583" t="s">
        <v>1817</v>
      </c>
      <c r="C208" s="534"/>
      <c r="D208" s="694">
        <v>-110315568.95</v>
      </c>
      <c r="E208" s="1637">
        <v>996794135.00999999</v>
      </c>
      <c r="F208" s="887">
        <f t="shared" ref="F208:F212" si="102">+SUM($D208:$E208)/2</f>
        <v>443239283.02999997</v>
      </c>
      <c r="I208" s="1320"/>
      <c r="J208" s="887">
        <f t="shared" si="96"/>
        <v>996794135.00999999</v>
      </c>
      <c r="M208" s="1320"/>
      <c r="N208" s="1571" t="s">
        <v>205</v>
      </c>
    </row>
    <row r="209" spans="1:15" ht="13.95" customHeight="1">
      <c r="A209" s="736">
        <f t="shared" si="91"/>
        <v>23.490000000000077</v>
      </c>
      <c r="B209" s="1583" t="s">
        <v>1818</v>
      </c>
      <c r="C209" s="534"/>
      <c r="D209" s="694">
        <v>-215722972.06999999</v>
      </c>
      <c r="E209" s="1637">
        <v>-316292608.29000002</v>
      </c>
      <c r="F209" s="887">
        <f t="shared" si="102"/>
        <v>-266007790.18000001</v>
      </c>
      <c r="I209" s="1320"/>
      <c r="J209" s="887">
        <f t="shared" si="96"/>
        <v>-316292608.29000002</v>
      </c>
      <c r="M209" s="1320"/>
      <c r="N209" s="1571" t="s">
        <v>205</v>
      </c>
    </row>
    <row r="210" spans="1:15" s="1387" customFormat="1" ht="13.95" customHeight="1">
      <c r="A210" s="736">
        <f t="shared" si="91"/>
        <v>23.500000000000078</v>
      </c>
      <c r="B210" s="1583" t="s">
        <v>1819</v>
      </c>
      <c r="C210" s="534"/>
      <c r="D210" s="694">
        <v>-27879694</v>
      </c>
      <c r="E210" s="1637">
        <v>-25847176</v>
      </c>
      <c r="F210" s="1377">
        <f t="shared" si="102"/>
        <v>-26863435</v>
      </c>
      <c r="G210" s="887"/>
      <c r="H210" s="887"/>
      <c r="I210" s="1320"/>
      <c r="J210" s="887">
        <f t="shared" si="96"/>
        <v>-25847176</v>
      </c>
      <c r="K210" s="903"/>
      <c r="L210" s="903"/>
      <c r="M210" s="1320"/>
      <c r="N210" s="1571" t="s">
        <v>205</v>
      </c>
      <c r="O210" s="1400" t="s">
        <v>1295</v>
      </c>
    </row>
    <row r="211" spans="1:15" s="1387" customFormat="1" ht="13.95" customHeight="1">
      <c r="A211" s="736">
        <f t="shared" si="91"/>
        <v>23.51000000000008</v>
      </c>
      <c r="B211" s="1583" t="s">
        <v>1820</v>
      </c>
      <c r="C211" s="534"/>
      <c r="D211" s="694">
        <v>-38799930</v>
      </c>
      <c r="E211" s="1637">
        <v>21429457</v>
      </c>
      <c r="F211" s="1377">
        <f t="shared" si="102"/>
        <v>-8685236.5</v>
      </c>
      <c r="G211" s="887"/>
      <c r="H211" s="887"/>
      <c r="I211" s="1320"/>
      <c r="J211" s="887">
        <f t="shared" si="96"/>
        <v>21429457</v>
      </c>
      <c r="K211" s="903"/>
      <c r="L211" s="903"/>
      <c r="M211" s="1320"/>
      <c r="N211" s="1571" t="s">
        <v>205</v>
      </c>
      <c r="O211" s="1400" t="s">
        <v>1295</v>
      </c>
    </row>
    <row r="212" spans="1:15" s="1387" customFormat="1" ht="13.95" customHeight="1">
      <c r="A212" s="736">
        <f t="shared" si="91"/>
        <v>23.520000000000081</v>
      </c>
      <c r="B212" s="1583" t="s">
        <v>1821</v>
      </c>
      <c r="C212" s="534"/>
      <c r="D212" s="694">
        <v>-21417394</v>
      </c>
      <c r="E212" s="1637">
        <v>-19463097</v>
      </c>
      <c r="F212" s="1377">
        <f t="shared" si="102"/>
        <v>-20440245.5</v>
      </c>
      <c r="G212" s="887"/>
      <c r="H212" s="887"/>
      <c r="I212" s="1320"/>
      <c r="J212" s="887">
        <f t="shared" si="96"/>
        <v>-19463097</v>
      </c>
      <c r="K212" s="903"/>
      <c r="L212" s="903"/>
      <c r="M212" s="1320"/>
      <c r="N212" s="1571" t="s">
        <v>205</v>
      </c>
      <c r="O212" s="1400" t="s">
        <v>1295</v>
      </c>
    </row>
    <row r="213" spans="1:15" ht="13.95" customHeight="1">
      <c r="A213" s="736">
        <f t="shared" si="91"/>
        <v>23.530000000000083</v>
      </c>
      <c r="B213" s="1583" t="s">
        <v>1822</v>
      </c>
      <c r="C213" s="534"/>
      <c r="D213" s="694">
        <v>-106684917.02</v>
      </c>
      <c r="E213" s="1637">
        <v>-126208413.62</v>
      </c>
      <c r="F213" s="887"/>
      <c r="H213" s="887">
        <f t="shared" ref="H213:H214" si="103">+SUM($D213:$E213)/2</f>
        <v>-116446665.31999999</v>
      </c>
      <c r="I213" s="1320"/>
      <c r="L213" s="887">
        <f t="shared" ref="L213" si="104">+E213</f>
        <v>-126208413.62</v>
      </c>
      <c r="M213" s="1320"/>
      <c r="N213" s="1571" t="s">
        <v>2</v>
      </c>
    </row>
    <row r="214" spans="1:15" ht="13.95" customHeight="1">
      <c r="A214" s="736">
        <f t="shared" si="91"/>
        <v>23.540000000000084</v>
      </c>
      <c r="B214" s="1583" t="s">
        <v>1823</v>
      </c>
      <c r="C214" s="534"/>
      <c r="D214" s="694">
        <v>-17228885.5</v>
      </c>
      <c r="E214" s="1637">
        <v>-20381876.739999998</v>
      </c>
      <c r="F214" s="887"/>
      <c r="H214" s="887">
        <f t="shared" si="103"/>
        <v>-18805381.119999997</v>
      </c>
      <c r="I214" s="1320"/>
      <c r="L214" s="887">
        <f>+$E214</f>
        <v>-20381876.739999998</v>
      </c>
      <c r="M214" s="1320"/>
      <c r="N214" s="1571" t="s">
        <v>2</v>
      </c>
    </row>
    <row r="215" spans="1:15" ht="13.95" customHeight="1">
      <c r="A215" s="736">
        <f t="shared" si="91"/>
        <v>23.550000000000086</v>
      </c>
      <c r="B215" s="1583" t="s">
        <v>1824</v>
      </c>
      <c r="C215" s="534"/>
      <c r="D215" s="694">
        <v>-283637362.55000001</v>
      </c>
      <c r="E215" s="1637">
        <v>-352173384.75</v>
      </c>
      <c r="F215" s="887">
        <f t="shared" ref="F215:F218" si="105">+SUM($D215:$E215)/2</f>
        <v>-317905373.64999998</v>
      </c>
      <c r="I215" s="1320"/>
      <c r="J215" s="887">
        <f t="shared" ref="J215:J223" si="106">+E215</f>
        <v>-352173384.75</v>
      </c>
      <c r="M215" s="1320"/>
      <c r="N215" s="1571" t="s">
        <v>197</v>
      </c>
    </row>
    <row r="216" spans="1:15" ht="13.95" customHeight="1">
      <c r="A216" s="736">
        <f t="shared" si="91"/>
        <v>23.560000000000088</v>
      </c>
      <c r="B216" s="1583" t="s">
        <v>1825</v>
      </c>
      <c r="C216" s="534"/>
      <c r="D216" s="694">
        <v>-35524660.32</v>
      </c>
      <c r="E216" s="1637">
        <v>-47766769.18</v>
      </c>
      <c r="F216" s="887">
        <f t="shared" si="105"/>
        <v>-41645714.75</v>
      </c>
      <c r="I216" s="1320"/>
      <c r="J216" s="887">
        <f t="shared" si="106"/>
        <v>-47766769.18</v>
      </c>
      <c r="M216" s="1320"/>
      <c r="N216" s="1571" t="s">
        <v>197</v>
      </c>
    </row>
    <row r="217" spans="1:15" ht="13.95" customHeight="1">
      <c r="A217" s="736">
        <f t="shared" si="91"/>
        <v>23.570000000000089</v>
      </c>
      <c r="B217" s="1583" t="s">
        <v>1826</v>
      </c>
      <c r="C217" s="534"/>
      <c r="D217" s="694">
        <v>-0.18</v>
      </c>
      <c r="E217" s="1637">
        <v>0</v>
      </c>
      <c r="F217" s="887">
        <f t="shared" si="105"/>
        <v>-0.09</v>
      </c>
      <c r="I217" s="1320"/>
      <c r="J217" s="887">
        <f t="shared" si="106"/>
        <v>0</v>
      </c>
      <c r="M217" s="1320"/>
      <c r="N217" s="1571" t="s">
        <v>197</v>
      </c>
    </row>
    <row r="218" spans="1:15" ht="13.95" customHeight="1">
      <c r="A218" s="736">
        <f t="shared" si="91"/>
        <v>23.580000000000091</v>
      </c>
      <c r="B218" s="1583" t="s">
        <v>1827</v>
      </c>
      <c r="C218" s="534"/>
      <c r="D218" s="694">
        <v>-0.06</v>
      </c>
      <c r="E218" s="1637">
        <v>0</v>
      </c>
      <c r="F218" s="887">
        <f t="shared" si="105"/>
        <v>-0.03</v>
      </c>
      <c r="I218" s="1320"/>
      <c r="J218" s="887">
        <f t="shared" si="106"/>
        <v>0</v>
      </c>
      <c r="M218" s="1320"/>
      <c r="N218" s="1571" t="s">
        <v>197</v>
      </c>
    </row>
    <row r="219" spans="1:15">
      <c r="A219" s="736">
        <f t="shared" si="91"/>
        <v>23.590000000000092</v>
      </c>
      <c r="B219" s="1583" t="s">
        <v>1828</v>
      </c>
      <c r="C219" s="534"/>
      <c r="D219" s="694">
        <v>-13387574.57</v>
      </c>
      <c r="E219" s="1637">
        <v>-9724168.0299999993</v>
      </c>
      <c r="F219" s="887"/>
      <c r="G219" s="887">
        <f t="shared" ref="G219:G220" si="107">+SUM($D219:$E219)/2</f>
        <v>-11555871.300000001</v>
      </c>
      <c r="I219" s="1320"/>
      <c r="K219" s="887">
        <f t="shared" ref="K219:K220" si="108">+$E219</f>
        <v>-9724168.0299999993</v>
      </c>
      <c r="M219" s="1320"/>
      <c r="N219" s="1571" t="s">
        <v>884</v>
      </c>
    </row>
    <row r="220" spans="1:15">
      <c r="A220" s="736">
        <f t="shared" si="91"/>
        <v>23.600000000000094</v>
      </c>
      <c r="B220" s="1583" t="s">
        <v>1829</v>
      </c>
      <c r="C220" s="534"/>
      <c r="D220" s="694">
        <v>-2162053.67</v>
      </c>
      <c r="E220" s="1637">
        <v>-1555511.58</v>
      </c>
      <c r="F220" s="887"/>
      <c r="G220" s="887">
        <f t="shared" si="107"/>
        <v>-1858782.625</v>
      </c>
      <c r="I220" s="1320"/>
      <c r="K220" s="887">
        <f t="shared" si="108"/>
        <v>-1555511.58</v>
      </c>
      <c r="M220" s="1320"/>
      <c r="N220" s="1571" t="s">
        <v>884</v>
      </c>
    </row>
    <row r="221" spans="1:15" s="1387" customFormat="1" ht="13.95" customHeight="1">
      <c r="A221" s="736">
        <f t="shared" si="91"/>
        <v>23.610000000000095</v>
      </c>
      <c r="B221" s="1583" t="s">
        <v>1830</v>
      </c>
      <c r="C221" s="534"/>
      <c r="D221" s="694">
        <v>19574003.629999999</v>
      </c>
      <c r="E221" s="694">
        <v>11362623.07</v>
      </c>
      <c r="F221" s="1377"/>
      <c r="G221" s="887"/>
      <c r="H221" s="887">
        <f t="shared" ref="H221:H224" si="109">+SUM($D221:$E221)/2</f>
        <v>15468313.35</v>
      </c>
      <c r="I221" s="1320"/>
      <c r="J221" s="887"/>
      <c r="K221" s="887"/>
      <c r="L221" s="887">
        <f>+E221</f>
        <v>11362623.07</v>
      </c>
      <c r="M221" s="1320"/>
      <c r="N221" s="1571" t="s">
        <v>1</v>
      </c>
      <c r="O221" s="1400" t="s">
        <v>1295</v>
      </c>
    </row>
    <row r="222" spans="1:15" s="1387" customFormat="1" ht="13.95" customHeight="1">
      <c r="A222" s="736">
        <f t="shared" si="91"/>
        <v>23.620000000000097</v>
      </c>
      <c r="B222" s="1583" t="s">
        <v>1831</v>
      </c>
      <c r="C222" s="534"/>
      <c r="D222" s="694">
        <v>1812816.12</v>
      </c>
      <c r="E222" s="694">
        <v>1835032.31</v>
      </c>
      <c r="F222" s="1377"/>
      <c r="G222" s="903"/>
      <c r="H222" s="903">
        <f t="shared" si="109"/>
        <v>1823924.2150000001</v>
      </c>
      <c r="I222" s="1320"/>
      <c r="J222" s="903"/>
      <c r="K222" s="903"/>
      <c r="L222" s="903">
        <f>+E222</f>
        <v>1835032.31</v>
      </c>
      <c r="M222" s="1320"/>
      <c r="N222" s="1571" t="s">
        <v>1</v>
      </c>
      <c r="O222" s="1400" t="s">
        <v>1295</v>
      </c>
    </row>
    <row r="223" spans="1:15">
      <c r="A223" s="736">
        <f t="shared" si="91"/>
        <v>23.630000000000098</v>
      </c>
      <c r="B223" s="1583" t="s">
        <v>1832</v>
      </c>
      <c r="C223" s="534"/>
      <c r="D223" s="694">
        <v>-8011262.5</v>
      </c>
      <c r="E223" s="1637">
        <v>-6678276.5</v>
      </c>
      <c r="F223" s="1377">
        <f t="shared" ref="F223:F228" si="110">+SUM($D223:$E223)/2</f>
        <v>-7344769.5</v>
      </c>
      <c r="G223" s="903"/>
      <c r="H223" s="903"/>
      <c r="I223" s="1320"/>
      <c r="J223" s="903">
        <f t="shared" si="106"/>
        <v>-6678276.5</v>
      </c>
      <c r="K223" s="903"/>
      <c r="L223" s="903"/>
      <c r="M223" s="1320"/>
      <c r="N223" s="1571" t="s">
        <v>1047</v>
      </c>
    </row>
    <row r="224" spans="1:15">
      <c r="A224" s="1640">
        <f t="shared" ref="A224:A229" si="111">+A223+0.01</f>
        <v>23.6400000000001</v>
      </c>
      <c r="B224" s="1648" t="s">
        <v>2211</v>
      </c>
      <c r="C224" s="1634"/>
      <c r="D224" s="1632">
        <v>0</v>
      </c>
      <c r="E224" s="1632">
        <v>74126950.159999996</v>
      </c>
      <c r="F224" s="1635"/>
      <c r="G224" s="1636"/>
      <c r="H224" s="1636">
        <f t="shared" si="109"/>
        <v>37063475.079999998</v>
      </c>
      <c r="I224" s="1637"/>
      <c r="J224" s="1636"/>
      <c r="K224" s="1636"/>
      <c r="L224" s="1636">
        <f>+E224</f>
        <v>74126950.159999996</v>
      </c>
      <c r="M224" s="1637"/>
      <c r="N224" s="1649" t="s">
        <v>2215</v>
      </c>
    </row>
    <row r="225" spans="1:23">
      <c r="A225" s="1640">
        <f t="shared" si="111"/>
        <v>23.650000000000102</v>
      </c>
      <c r="B225" s="1648" t="s">
        <v>2210</v>
      </c>
      <c r="C225" s="1634"/>
      <c r="D225" s="1632">
        <v>-2901797.62</v>
      </c>
      <c r="E225" s="1632">
        <v>0</v>
      </c>
      <c r="F225" s="1635">
        <f t="shared" si="110"/>
        <v>-1450898.81</v>
      </c>
      <c r="G225" s="1636"/>
      <c r="H225" s="1636"/>
      <c r="I225" s="1637"/>
      <c r="J225" s="1636">
        <f t="shared" ref="J225:J228" si="112">+E225</f>
        <v>0</v>
      </c>
      <c r="K225" s="1636"/>
      <c r="L225" s="1636"/>
      <c r="M225" s="1637"/>
      <c r="N225" s="1649" t="s">
        <v>2216</v>
      </c>
    </row>
    <row r="226" spans="1:23">
      <c r="A226" s="1640">
        <f t="shared" si="111"/>
        <v>23.660000000000103</v>
      </c>
      <c r="B226" s="1648" t="s">
        <v>2212</v>
      </c>
      <c r="C226" s="1634"/>
      <c r="D226" s="1632">
        <v>-465095.4</v>
      </c>
      <c r="E226" s="1632">
        <v>0</v>
      </c>
      <c r="F226" s="1635">
        <f t="shared" si="110"/>
        <v>-232547.7</v>
      </c>
      <c r="G226" s="1636"/>
      <c r="H226" s="1636"/>
      <c r="I226" s="1637"/>
      <c r="J226" s="1636">
        <f t="shared" si="112"/>
        <v>0</v>
      </c>
      <c r="K226" s="1636"/>
      <c r="L226" s="1636"/>
      <c r="M226" s="1637"/>
      <c r="N226" s="1649" t="s">
        <v>2216</v>
      </c>
    </row>
    <row r="227" spans="1:23">
      <c r="A227" s="1640">
        <f t="shared" si="111"/>
        <v>23.670000000000105</v>
      </c>
      <c r="B227" s="1648" t="s">
        <v>2213</v>
      </c>
      <c r="C227" s="1634"/>
      <c r="D227" s="1632">
        <v>52484.98</v>
      </c>
      <c r="E227" s="1632">
        <v>0</v>
      </c>
      <c r="F227" s="1635">
        <f t="shared" si="110"/>
        <v>26242.49</v>
      </c>
      <c r="G227" s="1636"/>
      <c r="H227" s="1636"/>
      <c r="I227" s="1637"/>
      <c r="J227" s="1636">
        <f t="shared" si="112"/>
        <v>0</v>
      </c>
      <c r="K227" s="1636"/>
      <c r="L227" s="1636"/>
      <c r="M227" s="1637"/>
      <c r="N227" s="1649" t="s">
        <v>2216</v>
      </c>
    </row>
    <row r="228" spans="1:23">
      <c r="A228" s="1640">
        <f t="shared" si="111"/>
        <v>23.680000000000106</v>
      </c>
      <c r="B228" s="1648" t="s">
        <v>2214</v>
      </c>
      <c r="C228" s="1634"/>
      <c r="D228" s="1632">
        <v>-39256.71</v>
      </c>
      <c r="E228" s="1632">
        <v>0</v>
      </c>
      <c r="F228" s="1635">
        <f t="shared" si="110"/>
        <v>-19628.355</v>
      </c>
      <c r="G228" s="1636"/>
      <c r="H228" s="1636"/>
      <c r="I228" s="1637"/>
      <c r="J228" s="1636">
        <f t="shared" si="112"/>
        <v>0</v>
      </c>
      <c r="K228" s="1636"/>
      <c r="L228" s="1636"/>
      <c r="M228" s="1637"/>
      <c r="N228" s="1649" t="s">
        <v>2216</v>
      </c>
    </row>
    <row r="229" spans="1:23">
      <c r="A229" s="1640">
        <f t="shared" si="111"/>
        <v>23.690000000000108</v>
      </c>
      <c r="B229" s="1648"/>
      <c r="C229" s="1634" t="s">
        <v>934</v>
      </c>
      <c r="D229" s="1632">
        <f>IFERROR(+INDEX(#REF!,MATCH($B229,#REF!,0)),0)</f>
        <v>0</v>
      </c>
      <c r="E229" s="1632">
        <f>IFERROR(+INDEX(#REF!,MATCH($B229,#REF!,0)),0)</f>
        <v>0</v>
      </c>
      <c r="F229" s="1635"/>
      <c r="G229" s="1636"/>
      <c r="H229" s="1636"/>
      <c r="I229" s="1637"/>
      <c r="J229" s="1636"/>
      <c r="K229" s="1636"/>
      <c r="L229" s="1636"/>
      <c r="M229" s="1637"/>
      <c r="N229" s="1649"/>
    </row>
    <row r="230" spans="1:23">
      <c r="A230" s="1640" t="s">
        <v>925</v>
      </c>
      <c r="B230" s="1648"/>
      <c r="C230" s="1634" t="s">
        <v>934</v>
      </c>
      <c r="D230" s="1632">
        <f>IFERROR(+INDEX(#REF!,MATCH($B230,#REF!,0)),0)</f>
        <v>0</v>
      </c>
      <c r="E230" s="1632">
        <f>IFERROR(+INDEX(#REF!,MATCH($B230,#REF!,0)),0)</f>
        <v>0</v>
      </c>
      <c r="F230" s="1635"/>
      <c r="G230" s="1636"/>
      <c r="H230" s="1636"/>
      <c r="I230" s="1637"/>
      <c r="J230" s="1636"/>
      <c r="K230" s="1636"/>
      <c r="L230" s="1636"/>
      <c r="M230" s="1637"/>
      <c r="N230" s="1649"/>
    </row>
    <row r="231" spans="1:23">
      <c r="A231" s="1650" t="str">
        <f>23&amp;".XX"</f>
        <v>23.XX</v>
      </c>
      <c r="B231" s="1634"/>
      <c r="C231" s="1634" t="s">
        <v>934</v>
      </c>
      <c r="D231" s="1178">
        <f>IFERROR(+INDEX(#REF!,MATCH($B231,#REF!,0)),0)</f>
        <v>0</v>
      </c>
      <c r="E231" s="1178">
        <f>IFERROR(+INDEX(#REF!,MATCH($B231,#REF!,0)),0)</f>
        <v>0</v>
      </c>
      <c r="F231" s="1641"/>
      <c r="G231" s="695"/>
      <c r="H231" s="695"/>
      <c r="I231" s="1642"/>
      <c r="J231" s="695"/>
      <c r="K231" s="695"/>
      <c r="L231" s="695"/>
      <c r="M231" s="1642"/>
      <c r="N231" s="1638"/>
    </row>
    <row r="232" spans="1:23" ht="13.8" thickBot="1">
      <c r="A232" s="735">
        <v>24</v>
      </c>
      <c r="B232" s="1569"/>
      <c r="C232" s="1569"/>
      <c r="D232" s="1486"/>
      <c r="E232" s="1442"/>
      <c r="F232" s="1440"/>
      <c r="G232" s="1441"/>
      <c r="H232" s="1441"/>
      <c r="I232" s="1442"/>
      <c r="J232" s="1440"/>
      <c r="K232" s="1441"/>
      <c r="L232" s="1441"/>
      <c r="M232" s="1442"/>
      <c r="N232" s="179"/>
    </row>
    <row r="233" spans="1:23" s="534" customFormat="1" ht="14.4" thickBot="1">
      <c r="A233" s="735">
        <f>+A232+1</f>
        <v>25</v>
      </c>
      <c r="B233" s="1325" t="s">
        <v>527</v>
      </c>
      <c r="C233" s="1326"/>
      <c r="D233" s="1327">
        <f t="shared" ref="D233:M233" si="113">SUM(D161:D231)</f>
        <v>-3370293029.7300005</v>
      </c>
      <c r="E233" s="1501">
        <f t="shared" si="113"/>
        <v>-2481572949.000001</v>
      </c>
      <c r="F233" s="903">
        <f t="shared" si="113"/>
        <v>-861583396.78499973</v>
      </c>
      <c r="G233" s="903">
        <f t="shared" si="113"/>
        <v>-13414653.925000001</v>
      </c>
      <c r="H233" s="903">
        <f t="shared" si="113"/>
        <v>-2027605002.4200003</v>
      </c>
      <c r="I233" s="1320">
        <f t="shared" si="113"/>
        <v>-23329936.234999999</v>
      </c>
      <c r="J233" s="1443">
        <f t="shared" si="113"/>
        <v>-396307816.75999987</v>
      </c>
      <c r="K233" s="903">
        <f t="shared" si="113"/>
        <v>-11279679.609999999</v>
      </c>
      <c r="L233" s="903">
        <f t="shared" si="113"/>
        <v>-2050942404.8199999</v>
      </c>
      <c r="M233" s="1320">
        <f t="shared" si="113"/>
        <v>-23043047.810000002</v>
      </c>
      <c r="N233" s="1572" t="str">
        <f>+"Sum by Column of Line "&amp;A160&amp;" Subparts"</f>
        <v>Sum by Column of Line 23 Subparts</v>
      </c>
    </row>
    <row r="234" spans="1:23" s="39" customFormat="1" ht="26.4">
      <c r="A234" s="1657">
        <f>+A233+0.1</f>
        <v>25.1</v>
      </c>
      <c r="B234" s="2378" t="s">
        <v>1451</v>
      </c>
      <c r="C234" s="2378"/>
      <c r="D234" s="903">
        <f>+'WP06 Support 1'!D35</f>
        <v>729423.97407406918</v>
      </c>
      <c r="E234" s="903">
        <f>+'WP06 Support 1'!E35</f>
        <v>697741.15662538435</v>
      </c>
      <c r="F234" s="1377"/>
      <c r="G234" s="903"/>
      <c r="H234" s="2141">
        <f t="shared" ref="H234" si="114">+SUM($D234:$E234)/2</f>
        <v>713582.5653497267</v>
      </c>
      <c r="I234" s="1320"/>
      <c r="J234" s="1377"/>
      <c r="K234" s="903"/>
      <c r="L234" s="903">
        <f>+E234</f>
        <v>697741.15662538435</v>
      </c>
      <c r="M234" s="1320"/>
      <c r="N234" s="1603" t="s">
        <v>1452</v>
      </c>
      <c r="O234" s="1552" t="s">
        <v>1548</v>
      </c>
      <c r="P234" s="1552"/>
      <c r="Q234" s="1552" t="s">
        <v>1549</v>
      </c>
      <c r="R234" s="1552"/>
      <c r="S234" s="1552"/>
      <c r="T234" s="1552"/>
      <c r="U234" s="1552"/>
      <c r="V234" s="1552"/>
      <c r="W234" s="1552"/>
    </row>
    <row r="235" spans="1:23">
      <c r="A235" s="735">
        <f>+A233+1</f>
        <v>26</v>
      </c>
      <c r="B235" s="2345" t="s">
        <v>525</v>
      </c>
      <c r="C235" s="2345"/>
      <c r="D235" s="903">
        <f t="shared" ref="D235:M235" si="115">D208+D209+D210+D211+D212</f>
        <v>-414135559.01999998</v>
      </c>
      <c r="E235" s="903">
        <f t="shared" si="115"/>
        <v>656620710.72000003</v>
      </c>
      <c r="F235" s="1860">
        <f>F208+F209+F210+F211+F212</f>
        <v>121242575.84999996</v>
      </c>
      <c r="G235" s="1860">
        <f t="shared" si="115"/>
        <v>0</v>
      </c>
      <c r="H235" s="1860">
        <f t="shared" si="115"/>
        <v>0</v>
      </c>
      <c r="I235" s="1860">
        <f t="shared" si="115"/>
        <v>0</v>
      </c>
      <c r="J235" s="1860">
        <f t="shared" si="115"/>
        <v>656620710.72000003</v>
      </c>
      <c r="K235" s="1860">
        <f t="shared" si="115"/>
        <v>0</v>
      </c>
      <c r="L235" s="1860">
        <f t="shared" si="115"/>
        <v>0</v>
      </c>
      <c r="M235" s="1860">
        <f t="shared" si="115"/>
        <v>0</v>
      </c>
      <c r="N235" s="1577"/>
    </row>
    <row r="236" spans="1:23" ht="15">
      <c r="A236" s="1657">
        <f>+A235+0.1</f>
        <v>26.1</v>
      </c>
      <c r="B236" s="780" t="s">
        <v>1940</v>
      </c>
      <c r="C236" s="780"/>
      <c r="D236" s="1922">
        <f>+'WP06 Support 2'!D235</f>
        <v>0</v>
      </c>
      <c r="E236" s="1923">
        <f>+'WP06 Support 2'!E235</f>
        <v>-9139519.3399999887</v>
      </c>
      <c r="F236" s="1924">
        <f>+'WP06 Support 2'!F235</f>
        <v>-4392056.7799999863</v>
      </c>
      <c r="G236" s="1925">
        <f>+'WP06 Support 2'!G235</f>
        <v>28410.004999999932</v>
      </c>
      <c r="H236" s="1925">
        <f>+'WP06 Support 2'!H235</f>
        <v>2044230.7600000002</v>
      </c>
      <c r="I236" s="1926">
        <f>+'WP06 Support 2'!I235</f>
        <v>-2250343.6549999998</v>
      </c>
      <c r="J236" s="1925">
        <f>+'WP06 Support 2'!J235</f>
        <v>12603059.145059675</v>
      </c>
      <c r="K236" s="1925">
        <f>+'WP06 Support 2'!K235</f>
        <v>2618557.2436616668</v>
      </c>
      <c r="L236" s="1925">
        <f>+'WP06 Support 2'!L235</f>
        <v>159887649.04683855</v>
      </c>
      <c r="M236" s="1926">
        <f>+'WP06 Support 2'!M235</f>
        <v>1786438.2807511906</v>
      </c>
      <c r="N236" s="1821"/>
    </row>
    <row r="237" spans="1:23" s="40" customFormat="1" ht="13.8">
      <c r="A237" s="735">
        <f>+A235+1</f>
        <v>27</v>
      </c>
      <c r="B237" s="1329" t="s">
        <v>1941</v>
      </c>
      <c r="C237" s="1824"/>
      <c r="D237" s="256">
        <f>+D233+D234-D235+D236</f>
        <v>-2955428046.7359266</v>
      </c>
      <c r="E237" s="256">
        <f t="shared" ref="E237:M237" si="116">+E233+E234-E235+E236</f>
        <v>-3146635437.9033756</v>
      </c>
      <c r="F237" s="823">
        <f t="shared" si="116"/>
        <v>-987218029.41499972</v>
      </c>
      <c r="G237" s="256">
        <f t="shared" si="116"/>
        <v>-13386243.92</v>
      </c>
      <c r="H237" s="256">
        <f t="shared" si="116"/>
        <v>-2024847189.0946505</v>
      </c>
      <c r="I237" s="1630">
        <f t="shared" si="116"/>
        <v>-25580279.890000001</v>
      </c>
      <c r="J237" s="823">
        <f t="shared" si="116"/>
        <v>-1040325468.3349402</v>
      </c>
      <c r="K237" s="256">
        <f t="shared" si="116"/>
        <v>-8661122.3663383331</v>
      </c>
      <c r="L237" s="256">
        <f t="shared" si="116"/>
        <v>-1890357014.6165361</v>
      </c>
      <c r="M237" s="1630">
        <f t="shared" si="116"/>
        <v>-21256609.529248811</v>
      </c>
      <c r="N237" s="782" t="str">
        <f>+"Ln "&amp;A233&amp;" + Ln "&amp;A234&amp;" - Ln "&amp;A235&amp;" + Ln "&amp;A236</f>
        <v>Ln 25 + Ln 25.1 - Ln 26 + Ln 26.1</v>
      </c>
    </row>
    <row r="238" spans="1:23">
      <c r="A238" s="735">
        <f>+A237+1</f>
        <v>28</v>
      </c>
      <c r="B238" s="1331"/>
      <c r="C238" s="1331"/>
      <c r="D238" s="1448"/>
      <c r="E238" s="1449"/>
      <c r="F238" s="1450"/>
      <c r="G238" s="1450"/>
      <c r="H238" s="1450"/>
      <c r="I238" s="1450"/>
      <c r="J238" s="903"/>
      <c r="K238" s="903"/>
      <c r="L238" s="1450"/>
      <c r="M238" s="1450"/>
      <c r="N238" s="1576"/>
    </row>
    <row r="239" spans="1:23" ht="16.8">
      <c r="A239" s="735">
        <f>+A238+1</f>
        <v>29</v>
      </c>
      <c r="B239" s="1329" t="s">
        <v>775</v>
      </c>
      <c r="C239" s="911"/>
      <c r="D239" s="1435"/>
      <c r="E239" s="1451"/>
      <c r="F239" s="2388" t="str">
        <f>F8</f>
        <v>Average of BOY/EOY (Col (C+D)/2)</v>
      </c>
      <c r="G239" s="2379"/>
      <c r="H239" s="2379"/>
      <c r="I239" s="2380"/>
      <c r="J239" s="2388" t="str">
        <f>J8</f>
        <v>EOY (Col D)</v>
      </c>
      <c r="K239" s="2379"/>
      <c r="L239" s="2379"/>
      <c r="M239" s="2380"/>
      <c r="N239" s="1579" t="s">
        <v>49</v>
      </c>
    </row>
    <row r="240" spans="1:23" ht="13.95" customHeight="1">
      <c r="A240" s="736">
        <f t="shared" ref="A240:A273" si="117">+A239+0.01</f>
        <v>29.01</v>
      </c>
      <c r="B240" s="1559" t="s">
        <v>1648</v>
      </c>
      <c r="C240" s="534"/>
      <c r="D240" s="694">
        <v>-249505.06</v>
      </c>
      <c r="E240" s="694">
        <v>-57422.080000000002</v>
      </c>
      <c r="F240" s="1377">
        <f t="shared" ref="F240:G255" si="118">+SUM($D240:$E240)/2</f>
        <v>-153463.57</v>
      </c>
      <c r="G240" s="903"/>
      <c r="H240" s="903"/>
      <c r="I240" s="1320"/>
      <c r="J240" s="1377">
        <f t="shared" ref="J240:J255" si="119">+E240</f>
        <v>-57422.080000000002</v>
      </c>
      <c r="K240" s="903"/>
      <c r="L240" s="903"/>
      <c r="M240" s="1320"/>
      <c r="N240" s="1571" t="s">
        <v>197</v>
      </c>
    </row>
    <row r="241" spans="1:15" ht="13.95" customHeight="1">
      <c r="A241" s="736">
        <f t="shared" si="117"/>
        <v>29.020000000000003</v>
      </c>
      <c r="B241" s="1559" t="s">
        <v>1649</v>
      </c>
      <c r="C241" s="534"/>
      <c r="D241" s="694">
        <v>-40292.74</v>
      </c>
      <c r="E241" s="694">
        <v>-18784.03</v>
      </c>
      <c r="F241" s="1377">
        <f t="shared" si="118"/>
        <v>-29538.384999999998</v>
      </c>
      <c r="I241" s="1320"/>
      <c r="J241" s="1377">
        <f t="shared" si="119"/>
        <v>-18784.03</v>
      </c>
      <c r="M241" s="1320"/>
      <c r="N241" s="1571" t="s">
        <v>197</v>
      </c>
    </row>
    <row r="242" spans="1:15" ht="13.95" customHeight="1">
      <c r="A242" s="736">
        <f t="shared" si="117"/>
        <v>29.030000000000005</v>
      </c>
      <c r="B242" s="1559" t="s">
        <v>1833</v>
      </c>
      <c r="C242" s="534"/>
      <c r="D242" s="694">
        <v>-12308276.529999999</v>
      </c>
      <c r="E242" s="694">
        <v>-3660577.49</v>
      </c>
      <c r="F242" s="1377">
        <f t="shared" si="118"/>
        <v>-7984427.0099999998</v>
      </c>
      <c r="I242" s="1320"/>
      <c r="J242" s="1377">
        <f t="shared" si="119"/>
        <v>-3660577.49</v>
      </c>
      <c r="M242" s="1320"/>
      <c r="N242" s="1571" t="s">
        <v>6</v>
      </c>
    </row>
    <row r="243" spans="1:15" ht="13.95" customHeight="1">
      <c r="A243" s="736">
        <f t="shared" si="117"/>
        <v>29.040000000000006</v>
      </c>
      <c r="B243" s="1559" t="s">
        <v>1834</v>
      </c>
      <c r="C243" s="534"/>
      <c r="D243" s="694">
        <v>-1987671.85</v>
      </c>
      <c r="E243" s="694">
        <v>-1197455.93</v>
      </c>
      <c r="F243" s="1377">
        <f t="shared" si="118"/>
        <v>-1592563.8900000001</v>
      </c>
      <c r="I243" s="1320"/>
      <c r="J243" s="1377">
        <f t="shared" si="119"/>
        <v>-1197455.93</v>
      </c>
      <c r="M243" s="1320"/>
      <c r="N243" s="1571" t="s">
        <v>6</v>
      </c>
    </row>
    <row r="244" spans="1:15" ht="13.95" customHeight="1">
      <c r="A244" s="736">
        <f t="shared" si="117"/>
        <v>29.050000000000008</v>
      </c>
      <c r="B244" s="1559" t="s">
        <v>1835</v>
      </c>
      <c r="C244" s="534"/>
      <c r="D244" s="694">
        <v>-29756103.370000001</v>
      </c>
      <c r="E244" s="694">
        <v>-12947057.109999999</v>
      </c>
      <c r="F244" s="1377">
        <f t="shared" si="118"/>
        <v>-21351580.240000002</v>
      </c>
      <c r="I244" s="1320"/>
      <c r="J244" s="1377">
        <f t="shared" si="119"/>
        <v>-12947057.109999999</v>
      </c>
      <c r="M244" s="1320"/>
      <c r="N244" s="1571" t="s">
        <v>197</v>
      </c>
    </row>
    <row r="245" spans="1:15" ht="13.95" customHeight="1">
      <c r="A245" s="736">
        <f t="shared" si="117"/>
        <v>29.060000000000009</v>
      </c>
      <c r="B245" s="1559" t="s">
        <v>1836</v>
      </c>
      <c r="C245" s="534"/>
      <c r="D245" s="694">
        <v>-4805172.71</v>
      </c>
      <c r="E245" s="694">
        <v>-4572735.7300000004</v>
      </c>
      <c r="F245" s="1377">
        <f t="shared" si="118"/>
        <v>-4688954.2200000007</v>
      </c>
      <c r="I245" s="1320"/>
      <c r="J245" s="1377">
        <f t="shared" si="119"/>
        <v>-4572735.7300000004</v>
      </c>
      <c r="M245" s="1320"/>
      <c r="N245" s="1571" t="s">
        <v>197</v>
      </c>
    </row>
    <row r="246" spans="1:15" ht="13.95" customHeight="1">
      <c r="A246" s="736">
        <f t="shared" si="117"/>
        <v>29.070000000000011</v>
      </c>
      <c r="B246" s="1559" t="s">
        <v>1837</v>
      </c>
      <c r="C246" s="534"/>
      <c r="D246" s="694">
        <v>1574315.43</v>
      </c>
      <c r="E246" s="694">
        <v>961172.96</v>
      </c>
      <c r="F246" s="1377">
        <f t="shared" si="118"/>
        <v>1267744.1949999998</v>
      </c>
      <c r="I246" s="1320"/>
      <c r="J246" s="1377">
        <f t="shared" si="119"/>
        <v>961172.96</v>
      </c>
      <c r="M246" s="1320"/>
      <c r="N246" s="1571" t="s">
        <v>197</v>
      </c>
    </row>
    <row r="247" spans="1:15" ht="13.95" customHeight="1">
      <c r="A247" s="736">
        <f t="shared" si="117"/>
        <v>29.080000000000013</v>
      </c>
      <c r="B247" s="1559" t="s">
        <v>1838</v>
      </c>
      <c r="C247" s="534"/>
      <c r="D247" s="694">
        <v>254237.26</v>
      </c>
      <c r="E247" s="694">
        <v>314420.95</v>
      </c>
      <c r="F247" s="1377">
        <f t="shared" si="118"/>
        <v>284329.10499999998</v>
      </c>
      <c r="I247" s="1320"/>
      <c r="J247" s="1377">
        <f t="shared" si="119"/>
        <v>314420.95</v>
      </c>
      <c r="M247" s="1320"/>
      <c r="N247" s="1571" t="s">
        <v>197</v>
      </c>
    </row>
    <row r="248" spans="1:15" ht="13.95" customHeight="1">
      <c r="A248" s="736">
        <f t="shared" si="117"/>
        <v>29.090000000000014</v>
      </c>
      <c r="B248" s="1559" t="s">
        <v>1839</v>
      </c>
      <c r="C248" s="534"/>
      <c r="D248" s="694">
        <v>-4889886.53</v>
      </c>
      <c r="E248" s="694">
        <v>-708180.39</v>
      </c>
      <c r="F248" s="1377"/>
      <c r="G248" s="887">
        <f t="shared" si="118"/>
        <v>-2799033.46</v>
      </c>
      <c r="I248" s="1320"/>
      <c r="J248" s="1377"/>
      <c r="K248" s="887">
        <f>+E248</f>
        <v>-708180.39</v>
      </c>
      <c r="M248" s="1320"/>
      <c r="N248" s="1571" t="s">
        <v>298</v>
      </c>
    </row>
    <row r="249" spans="1:15" ht="13.95" customHeight="1">
      <c r="A249" s="736">
        <f t="shared" si="117"/>
        <v>29.100000000000016</v>
      </c>
      <c r="B249" s="1559" t="s">
        <v>1840</v>
      </c>
      <c r="C249" s="534"/>
      <c r="D249" s="694">
        <v>-789671.08</v>
      </c>
      <c r="E249" s="694">
        <v>-231661.49</v>
      </c>
      <c r="F249" s="1377"/>
      <c r="G249" s="887">
        <f t="shared" si="118"/>
        <v>-510666.28499999997</v>
      </c>
      <c r="I249" s="1320"/>
      <c r="J249" s="1377"/>
      <c r="K249" s="887">
        <f>+E249</f>
        <v>-231661.49</v>
      </c>
      <c r="M249" s="1320"/>
      <c r="N249" s="1571" t="s">
        <v>298</v>
      </c>
    </row>
    <row r="250" spans="1:15" ht="13.95" customHeight="1">
      <c r="A250" s="736">
        <f t="shared" si="117"/>
        <v>29.110000000000017</v>
      </c>
      <c r="B250" s="1559" t="s">
        <v>1841</v>
      </c>
      <c r="C250" s="534"/>
      <c r="D250" s="694">
        <v>-686613.55</v>
      </c>
      <c r="E250" s="694">
        <v>-1410.3</v>
      </c>
      <c r="F250" s="1377">
        <f t="shared" si="118"/>
        <v>-344011.92500000005</v>
      </c>
      <c r="I250" s="1320"/>
      <c r="J250" s="1377">
        <f t="shared" ref="J250:J251" si="120">+E250</f>
        <v>-1410.3</v>
      </c>
      <c r="M250" s="1320"/>
      <c r="N250" s="1571" t="s">
        <v>197</v>
      </c>
      <c r="O250" s="1399" t="s">
        <v>1296</v>
      </c>
    </row>
    <row r="251" spans="1:15" ht="13.95" customHeight="1">
      <c r="A251" s="736">
        <f t="shared" si="117"/>
        <v>29.120000000000019</v>
      </c>
      <c r="B251" s="1559" t="s">
        <v>1842</v>
      </c>
      <c r="C251" s="534"/>
      <c r="D251" s="694">
        <v>-110881.69</v>
      </c>
      <c r="E251" s="694">
        <v>-461.34</v>
      </c>
      <c r="F251" s="1377">
        <f t="shared" si="118"/>
        <v>-55671.514999999999</v>
      </c>
      <c r="I251" s="1320"/>
      <c r="J251" s="1377">
        <f t="shared" si="120"/>
        <v>-461.34</v>
      </c>
      <c r="M251" s="1320"/>
      <c r="N251" s="1571" t="s">
        <v>197</v>
      </c>
      <c r="O251" s="1399" t="s">
        <v>1296</v>
      </c>
    </row>
    <row r="252" spans="1:15" ht="13.95" customHeight="1">
      <c r="A252" s="736">
        <f t="shared" si="117"/>
        <v>29.13000000000002</v>
      </c>
      <c r="B252" s="1559" t="s">
        <v>1843</v>
      </c>
      <c r="C252" s="534"/>
      <c r="D252" s="694">
        <v>-3346106.54</v>
      </c>
      <c r="E252" s="694">
        <v>-10468811.32</v>
      </c>
      <c r="F252" s="1377">
        <f t="shared" si="118"/>
        <v>-6907458.9299999997</v>
      </c>
      <c r="I252" s="1320"/>
      <c r="J252" s="1377">
        <f t="shared" si="119"/>
        <v>-10468811.32</v>
      </c>
      <c r="M252" s="1320"/>
      <c r="N252" s="1571" t="s">
        <v>197</v>
      </c>
    </row>
    <row r="253" spans="1:15" ht="13.95" customHeight="1">
      <c r="A253" s="736">
        <f t="shared" si="117"/>
        <v>29.140000000000022</v>
      </c>
      <c r="B253" s="1559" t="s">
        <v>1844</v>
      </c>
      <c r="C253" s="534"/>
      <c r="D253" s="694">
        <v>-540365.03</v>
      </c>
      <c r="E253" s="694">
        <v>-3424579.98</v>
      </c>
      <c r="F253" s="1377">
        <f t="shared" si="118"/>
        <v>-1982472.5049999999</v>
      </c>
      <c r="I253" s="1320"/>
      <c r="J253" s="1377">
        <f t="shared" si="119"/>
        <v>-3424579.98</v>
      </c>
      <c r="M253" s="1320"/>
      <c r="N253" s="1571" t="s">
        <v>197</v>
      </c>
    </row>
    <row r="254" spans="1:15" ht="13.95" customHeight="1">
      <c r="A254" s="736">
        <f t="shared" si="117"/>
        <v>29.150000000000023</v>
      </c>
      <c r="B254" s="1559" t="s">
        <v>1845</v>
      </c>
      <c r="C254" s="534"/>
      <c r="D254" s="694">
        <v>-227425457.37</v>
      </c>
      <c r="E254" s="694">
        <v>-137844061.49000001</v>
      </c>
      <c r="F254" s="1377">
        <f t="shared" si="118"/>
        <v>-182634759.43000001</v>
      </c>
      <c r="I254" s="1320"/>
      <c r="J254" s="1377">
        <f t="shared" si="119"/>
        <v>-137844061.49000001</v>
      </c>
      <c r="M254" s="1320"/>
      <c r="N254" s="1571" t="s">
        <v>196</v>
      </c>
    </row>
    <row r="255" spans="1:15" ht="13.95" customHeight="1">
      <c r="A255" s="736">
        <f t="shared" si="117"/>
        <v>29.160000000000025</v>
      </c>
      <c r="B255" s="1559" t="s">
        <v>1846</v>
      </c>
      <c r="C255" s="534"/>
      <c r="D255" s="694">
        <v>-36727090.890000001</v>
      </c>
      <c r="E255" s="694">
        <v>-45091844.700000003</v>
      </c>
      <c r="F255" s="1377">
        <f t="shared" si="118"/>
        <v>-40909467.795000002</v>
      </c>
      <c r="I255" s="1320"/>
      <c r="J255" s="1377">
        <f t="shared" si="119"/>
        <v>-45091844.700000003</v>
      </c>
      <c r="M255" s="1320"/>
      <c r="N255" s="1571" t="s">
        <v>196</v>
      </c>
    </row>
    <row r="256" spans="1:15" s="1351" customFormat="1" ht="13.95" customHeight="1">
      <c r="A256" s="736">
        <f t="shared" si="117"/>
        <v>29.170000000000027</v>
      </c>
      <c r="B256" s="1559" t="s">
        <v>1847</v>
      </c>
      <c r="C256" s="534"/>
      <c r="D256" s="694"/>
      <c r="E256" s="1637"/>
      <c r="F256" s="1377"/>
      <c r="G256" s="887"/>
      <c r="H256" s="887"/>
      <c r="I256" s="1320">
        <f t="shared" ref="I256:I257" si="121">+SUM($D256:$E256)/2</f>
        <v>0</v>
      </c>
      <c r="J256" s="887"/>
      <c r="K256" s="887"/>
      <c r="L256" s="887"/>
      <c r="M256" s="1320">
        <f t="shared" ref="M256:M257" si="122">+E256</f>
        <v>0</v>
      </c>
      <c r="N256" s="1571" t="s">
        <v>196</v>
      </c>
      <c r="O256" s="1400" t="s">
        <v>1295</v>
      </c>
    </row>
    <row r="257" spans="1:15" s="1351" customFormat="1" ht="13.95" customHeight="1">
      <c r="A257" s="736">
        <f t="shared" si="117"/>
        <v>29.180000000000028</v>
      </c>
      <c r="B257" s="1559" t="s">
        <v>1848</v>
      </c>
      <c r="C257" s="534"/>
      <c r="D257" s="694"/>
      <c r="E257" s="1637"/>
      <c r="F257" s="1377"/>
      <c r="G257" s="887"/>
      <c r="H257" s="887"/>
      <c r="I257" s="1320">
        <f t="shared" si="121"/>
        <v>0</v>
      </c>
      <c r="J257" s="887"/>
      <c r="K257" s="887"/>
      <c r="L257" s="887"/>
      <c r="M257" s="1320">
        <f t="shared" si="122"/>
        <v>0</v>
      </c>
      <c r="N257" s="1571" t="s">
        <v>196</v>
      </c>
      <c r="O257" s="1400" t="s">
        <v>1295</v>
      </c>
    </row>
    <row r="258" spans="1:15" ht="13.95" customHeight="1">
      <c r="A258" s="736">
        <f t="shared" si="117"/>
        <v>29.19000000000003</v>
      </c>
      <c r="B258" s="1559" t="s">
        <v>1849</v>
      </c>
      <c r="C258" s="534"/>
      <c r="D258" s="694">
        <v>-8954792.9399999995</v>
      </c>
      <c r="E258" s="694">
        <v>-4854819.67</v>
      </c>
      <c r="F258" s="1377"/>
      <c r="H258" s="887">
        <f t="shared" ref="H258:H259" si="123">+SUM($D258:$E258)/2</f>
        <v>-6904806.3049999997</v>
      </c>
      <c r="I258" s="1320"/>
      <c r="J258" s="1377"/>
      <c r="L258" s="887">
        <f t="shared" ref="L258:L259" si="124">+E258</f>
        <v>-4854819.67</v>
      </c>
      <c r="M258" s="1320"/>
      <c r="N258" s="1571" t="s">
        <v>279</v>
      </c>
    </row>
    <row r="259" spans="1:15" ht="13.95" customHeight="1">
      <c r="A259" s="736">
        <f t="shared" si="117"/>
        <v>29.200000000000031</v>
      </c>
      <c r="B259" s="1559" t="s">
        <v>1850</v>
      </c>
      <c r="C259" s="534"/>
      <c r="D259" s="694">
        <v>-1446115.59</v>
      </c>
      <c r="E259" s="694">
        <v>-1588119.01</v>
      </c>
      <c r="F259" s="1377"/>
      <c r="H259" s="887">
        <f t="shared" si="123"/>
        <v>-1517117.3</v>
      </c>
      <c r="I259" s="1320"/>
      <c r="J259" s="1377"/>
      <c r="L259" s="887">
        <f t="shared" si="124"/>
        <v>-1588119.01</v>
      </c>
      <c r="M259" s="1320"/>
      <c r="N259" s="1571" t="s">
        <v>279</v>
      </c>
    </row>
    <row r="260" spans="1:15" s="1351" customFormat="1" ht="26.4">
      <c r="A260" s="736">
        <f t="shared" si="117"/>
        <v>29.210000000000033</v>
      </c>
      <c r="B260" s="1559" t="s">
        <v>1851</v>
      </c>
      <c r="C260" s="534"/>
      <c r="D260" s="694">
        <v>-693422693.08000004</v>
      </c>
      <c r="E260" s="694">
        <v>-354194628.06</v>
      </c>
      <c r="F260" s="1377">
        <f t="shared" ref="F260:F261" si="125">+SUM($D260:$E260)/2</f>
        <v>-523808660.57000005</v>
      </c>
      <c r="G260" s="903"/>
      <c r="H260" s="903"/>
      <c r="I260" s="1320"/>
      <c r="J260" s="1377">
        <f t="shared" ref="J260:J261" si="126">+E260</f>
        <v>-354194628.06</v>
      </c>
      <c r="K260" s="903"/>
      <c r="L260" s="903"/>
      <c r="M260" s="1320"/>
      <c r="N260" s="1571" t="s">
        <v>1131</v>
      </c>
      <c r="O260" s="1400" t="s">
        <v>1295</v>
      </c>
    </row>
    <row r="261" spans="1:15" s="1351" customFormat="1" ht="26.4">
      <c r="A261" s="736">
        <f t="shared" si="117"/>
        <v>29.220000000000034</v>
      </c>
      <c r="B261" s="1559" t="s">
        <v>1852</v>
      </c>
      <c r="C261" s="534"/>
      <c r="D261" s="694">
        <v>-111981299.54000001</v>
      </c>
      <c r="E261" s="694">
        <v>-115864905.43000001</v>
      </c>
      <c r="F261" s="1377">
        <f t="shared" si="125"/>
        <v>-113923102.48500001</v>
      </c>
      <c r="G261" s="903"/>
      <c r="H261" s="903"/>
      <c r="I261" s="1320"/>
      <c r="J261" s="1377">
        <f t="shared" si="126"/>
        <v>-115864905.43000001</v>
      </c>
      <c r="K261" s="903"/>
      <c r="L261" s="903"/>
      <c r="M261" s="1320"/>
      <c r="N261" s="1571" t="s">
        <v>1131</v>
      </c>
      <c r="O261" s="1400" t="s">
        <v>1295</v>
      </c>
    </row>
    <row r="262" spans="1:15" ht="13.95" customHeight="1">
      <c r="A262" s="736">
        <f t="shared" si="117"/>
        <v>29.230000000000036</v>
      </c>
      <c r="B262" s="534" t="s">
        <v>1853</v>
      </c>
      <c r="C262" s="534"/>
      <c r="D262" s="694"/>
      <c r="E262" s="694"/>
      <c r="F262" s="1377">
        <f t="shared" ref="F262:F263" si="127">+SUM($D262:$E262)/2</f>
        <v>0</v>
      </c>
      <c r="I262" s="1320"/>
      <c r="J262" s="1377">
        <f t="shared" ref="J262:J263" si="128">+E262</f>
        <v>0</v>
      </c>
      <c r="M262" s="1320"/>
      <c r="N262" s="1571" t="s">
        <v>6</v>
      </c>
    </row>
    <row r="263" spans="1:15" ht="13.95" customHeight="1">
      <c r="A263" s="736">
        <f t="shared" si="117"/>
        <v>29.240000000000038</v>
      </c>
      <c r="B263" s="534" t="s">
        <v>1854</v>
      </c>
      <c r="C263" s="534"/>
      <c r="D263" s="694"/>
      <c r="E263" s="694"/>
      <c r="F263" s="1377">
        <f t="shared" si="127"/>
        <v>0</v>
      </c>
      <c r="I263" s="1320"/>
      <c r="J263" s="1377">
        <f t="shared" si="128"/>
        <v>0</v>
      </c>
      <c r="M263" s="1320"/>
      <c r="N263" s="1571" t="s">
        <v>6</v>
      </c>
    </row>
    <row r="264" spans="1:15" ht="26.4" customHeight="1">
      <c r="A264" s="736">
        <f t="shared" si="117"/>
        <v>29.250000000000039</v>
      </c>
      <c r="B264" s="1559" t="s">
        <v>1855</v>
      </c>
      <c r="C264" s="534"/>
      <c r="D264" s="694">
        <v>-5443831.4400000004</v>
      </c>
      <c r="E264" s="694">
        <v>-4763050.17</v>
      </c>
      <c r="F264" s="1377"/>
      <c r="G264" s="887">
        <f t="shared" ref="G264:G265" si="129">+SUM($D264:$E264)/2</f>
        <v>-5103440.8049999997</v>
      </c>
      <c r="I264" s="1320"/>
      <c r="J264" s="1377"/>
      <c r="K264" s="887">
        <f>+E264</f>
        <v>-4763050.17</v>
      </c>
      <c r="M264" s="1320"/>
      <c r="N264" s="1571" t="s">
        <v>7</v>
      </c>
    </row>
    <row r="265" spans="1:15" ht="26.4" customHeight="1">
      <c r="A265" s="736">
        <f t="shared" si="117"/>
        <v>29.260000000000041</v>
      </c>
      <c r="B265" s="1559" t="s">
        <v>1856</v>
      </c>
      <c r="C265" s="534"/>
      <c r="D265" s="694">
        <v>-879097.44</v>
      </c>
      <c r="E265" s="694">
        <v>-769188.19</v>
      </c>
      <c r="F265" s="1377"/>
      <c r="G265" s="887">
        <f t="shared" si="129"/>
        <v>-824142.81499999994</v>
      </c>
      <c r="I265" s="1320"/>
      <c r="J265" s="1377"/>
      <c r="K265" s="887">
        <f>+E265</f>
        <v>-769188.19</v>
      </c>
      <c r="M265" s="1320"/>
      <c r="N265" s="1571" t="s">
        <v>7</v>
      </c>
    </row>
    <row r="266" spans="1:15" ht="13.95" customHeight="1">
      <c r="A266" s="736">
        <f t="shared" si="117"/>
        <v>29.270000000000042</v>
      </c>
      <c r="B266" s="1559" t="s">
        <v>1857</v>
      </c>
      <c r="C266" s="534"/>
      <c r="D266" s="694">
        <v>-4693669.5</v>
      </c>
      <c r="E266" s="694">
        <v>-2778237.2</v>
      </c>
      <c r="F266" s="1377">
        <f t="shared" ref="F266:F279" si="130">+SUM($D266:$E266)/2</f>
        <v>-3735953.35</v>
      </c>
      <c r="I266" s="1320"/>
      <c r="J266" s="1377">
        <f t="shared" ref="J266:J279" si="131">+E266</f>
        <v>-2778237.2</v>
      </c>
      <c r="M266" s="1320"/>
      <c r="N266" s="1571" t="s">
        <v>1048</v>
      </c>
    </row>
    <row r="267" spans="1:15" ht="13.95" customHeight="1">
      <c r="A267" s="736">
        <f t="shared" si="117"/>
        <v>29.280000000000044</v>
      </c>
      <c r="B267" s="1559" t="s">
        <v>1858</v>
      </c>
      <c r="C267" s="534"/>
      <c r="D267" s="694">
        <v>-2628378.2599999998</v>
      </c>
      <c r="E267" s="694">
        <v>-2779217.12</v>
      </c>
      <c r="F267" s="1377">
        <f t="shared" si="130"/>
        <v>-2703797.69</v>
      </c>
      <c r="I267" s="1320"/>
      <c r="J267" s="1377">
        <f t="shared" si="131"/>
        <v>-2779217.12</v>
      </c>
      <c r="M267" s="1320"/>
      <c r="N267" s="1571" t="s">
        <v>1048</v>
      </c>
    </row>
    <row r="268" spans="1:15" ht="13.95" customHeight="1">
      <c r="A268" s="736">
        <f t="shared" si="117"/>
        <v>29.290000000000045</v>
      </c>
      <c r="B268" s="1559" t="s">
        <v>1859</v>
      </c>
      <c r="C268" s="534"/>
      <c r="D268" s="694">
        <v>-914688.79</v>
      </c>
      <c r="E268" s="694">
        <v>-480554.36</v>
      </c>
      <c r="F268" s="1377">
        <f t="shared" si="130"/>
        <v>-697621.57499999995</v>
      </c>
      <c r="I268" s="1320"/>
      <c r="J268" s="1377">
        <f t="shared" si="131"/>
        <v>-480554.36</v>
      </c>
      <c r="M268" s="1320"/>
      <c r="N268" s="1571" t="s">
        <v>1047</v>
      </c>
    </row>
    <row r="269" spans="1:15" ht="13.95" customHeight="1">
      <c r="A269" s="736">
        <f t="shared" si="117"/>
        <v>29.300000000000047</v>
      </c>
      <c r="B269" s="1559" t="s">
        <v>1860</v>
      </c>
      <c r="C269" s="534"/>
      <c r="D269" s="694">
        <v>-147713.70000000001</v>
      </c>
      <c r="E269" s="694">
        <v>-157199.98000000001</v>
      </c>
      <c r="F269" s="1377">
        <f t="shared" si="130"/>
        <v>-152456.84000000003</v>
      </c>
      <c r="I269" s="1320"/>
      <c r="J269" s="1377">
        <f t="shared" si="131"/>
        <v>-157199.98000000001</v>
      </c>
      <c r="M269" s="1320"/>
      <c r="N269" s="1571" t="s">
        <v>1047</v>
      </c>
    </row>
    <row r="270" spans="1:15" ht="13.95" customHeight="1">
      <c r="A270" s="736">
        <f t="shared" si="117"/>
        <v>29.310000000000048</v>
      </c>
      <c r="B270" s="1559" t="s">
        <v>1861</v>
      </c>
      <c r="C270" s="534"/>
      <c r="D270" s="694">
        <v>-121433.97</v>
      </c>
      <c r="E270" s="694">
        <v>-33292.71</v>
      </c>
      <c r="F270" s="1377">
        <f t="shared" si="130"/>
        <v>-77363.34</v>
      </c>
      <c r="I270" s="1320"/>
      <c r="J270" s="1377">
        <f t="shared" si="131"/>
        <v>-33292.71</v>
      </c>
      <c r="M270" s="1320"/>
      <c r="N270" s="1571" t="s">
        <v>1049</v>
      </c>
    </row>
    <row r="271" spans="1:15" ht="13.95" customHeight="1">
      <c r="A271" s="736">
        <f t="shared" si="117"/>
        <v>29.32000000000005</v>
      </c>
      <c r="B271" s="1559" t="s">
        <v>1862</v>
      </c>
      <c r="C271" s="534"/>
      <c r="D271" s="694">
        <v>-19610.46</v>
      </c>
      <c r="E271" s="694">
        <v>-10890.78</v>
      </c>
      <c r="F271" s="1377">
        <f t="shared" si="130"/>
        <v>-15250.619999999999</v>
      </c>
      <c r="I271" s="1320"/>
      <c r="J271" s="1377">
        <f t="shared" si="131"/>
        <v>-10890.78</v>
      </c>
      <c r="M271" s="1320"/>
      <c r="N271" s="1571" t="s">
        <v>1049</v>
      </c>
    </row>
    <row r="272" spans="1:15" ht="13.95" customHeight="1">
      <c r="A272" s="736">
        <f t="shared" si="117"/>
        <v>29.330000000000052</v>
      </c>
      <c r="B272" s="1559" t="s">
        <v>1863</v>
      </c>
      <c r="C272" s="534"/>
      <c r="D272" s="694">
        <v>-3199349.3</v>
      </c>
      <c r="E272" s="694">
        <v>-461768.18</v>
      </c>
      <c r="F272" s="1377">
        <f t="shared" si="130"/>
        <v>-1830558.74</v>
      </c>
      <c r="I272" s="1320"/>
      <c r="J272" s="1377">
        <f t="shared" si="131"/>
        <v>-461768.18</v>
      </c>
      <c r="M272" s="1320"/>
      <c r="N272" s="1571" t="s">
        <v>297</v>
      </c>
    </row>
    <row r="273" spans="1:15" ht="13.95" customHeight="1">
      <c r="A273" s="736">
        <f t="shared" si="117"/>
        <v>29.340000000000053</v>
      </c>
      <c r="B273" s="1559" t="s">
        <v>1864</v>
      </c>
      <c r="C273" s="534"/>
      <c r="D273" s="694">
        <v>-516665.09</v>
      </c>
      <c r="E273" s="694">
        <v>-151054.6</v>
      </c>
      <c r="F273" s="1377">
        <f t="shared" si="130"/>
        <v>-333859.84500000003</v>
      </c>
      <c r="I273" s="1320"/>
      <c r="J273" s="1377">
        <f t="shared" si="131"/>
        <v>-151054.6</v>
      </c>
      <c r="M273" s="1320"/>
      <c r="N273" s="1571" t="s">
        <v>297</v>
      </c>
    </row>
    <row r="274" spans="1:15" ht="13.95" customHeight="1">
      <c r="A274" s="736">
        <f t="shared" ref="A274:A306" si="132">+A273+0.01</f>
        <v>29.350000000000055</v>
      </c>
      <c r="B274" s="1559" t="s">
        <v>1865</v>
      </c>
      <c r="C274" s="534"/>
      <c r="D274" s="694"/>
      <c r="E274" s="694"/>
      <c r="F274" s="1377">
        <f t="shared" si="130"/>
        <v>0</v>
      </c>
      <c r="I274" s="1320"/>
      <c r="J274" s="1377">
        <f t="shared" si="131"/>
        <v>0</v>
      </c>
      <c r="M274" s="1320"/>
      <c r="N274" s="1571" t="s">
        <v>1050</v>
      </c>
    </row>
    <row r="275" spans="1:15" ht="13.95" customHeight="1">
      <c r="A275" s="736">
        <f t="shared" si="132"/>
        <v>29.360000000000056</v>
      </c>
      <c r="B275" s="1559" t="s">
        <v>1866</v>
      </c>
      <c r="C275" s="534"/>
      <c r="D275" s="694"/>
      <c r="E275" s="694"/>
      <c r="F275" s="1377">
        <f t="shared" si="130"/>
        <v>0</v>
      </c>
      <c r="I275" s="1320"/>
      <c r="J275" s="1377">
        <f t="shared" si="131"/>
        <v>0</v>
      </c>
      <c r="M275" s="1320"/>
      <c r="N275" s="1571" t="s">
        <v>1050</v>
      </c>
    </row>
    <row r="276" spans="1:15" ht="13.95" customHeight="1">
      <c r="A276" s="736">
        <f t="shared" si="132"/>
        <v>29.370000000000058</v>
      </c>
      <c r="B276" s="1559" t="s">
        <v>1867</v>
      </c>
      <c r="C276" s="534"/>
      <c r="D276" s="694">
        <v>-2059315.96</v>
      </c>
      <c r="E276" s="694">
        <v>-1622880.05</v>
      </c>
      <c r="F276" s="1377">
        <f t="shared" si="130"/>
        <v>-1841098.0049999999</v>
      </c>
      <c r="I276" s="1320"/>
      <c r="J276" s="1377">
        <f t="shared" si="131"/>
        <v>-1622880.05</v>
      </c>
      <c r="M276" s="1320"/>
      <c r="N276" s="1571" t="s">
        <v>1051</v>
      </c>
    </row>
    <row r="277" spans="1:15" ht="13.95" customHeight="1">
      <c r="A277" s="736">
        <f t="shared" si="132"/>
        <v>29.380000000000059</v>
      </c>
      <c r="B277" s="1559" t="s">
        <v>1868</v>
      </c>
      <c r="C277" s="534"/>
      <c r="D277" s="694">
        <v>-332560.3</v>
      </c>
      <c r="E277" s="694">
        <v>-530880</v>
      </c>
      <c r="F277" s="1377">
        <f t="shared" si="130"/>
        <v>-431720.15</v>
      </c>
      <c r="I277" s="1320"/>
      <c r="J277" s="1377">
        <f t="shared" si="131"/>
        <v>-530880</v>
      </c>
      <c r="M277" s="1320"/>
      <c r="N277" s="1571" t="s">
        <v>1051</v>
      </c>
    </row>
    <row r="278" spans="1:15" ht="13.95" customHeight="1">
      <c r="A278" s="736">
        <f t="shared" si="132"/>
        <v>29.390000000000061</v>
      </c>
      <c r="B278" s="1559" t="s">
        <v>1869</v>
      </c>
      <c r="C278" s="534"/>
      <c r="D278" s="694">
        <v>-0.03</v>
      </c>
      <c r="E278" s="694">
        <v>0</v>
      </c>
      <c r="F278" s="1377">
        <f t="shared" si="130"/>
        <v>-1.4999999999999999E-2</v>
      </c>
      <c r="I278" s="1320"/>
      <c r="J278" s="1377">
        <f t="shared" si="131"/>
        <v>0</v>
      </c>
      <c r="M278" s="1320"/>
      <c r="N278" s="1571" t="s">
        <v>1052</v>
      </c>
    </row>
    <row r="279" spans="1:15" ht="13.95" customHeight="1">
      <c r="A279" s="736">
        <f t="shared" si="132"/>
        <v>29.400000000000063</v>
      </c>
      <c r="B279" s="1559" t="s">
        <v>1870</v>
      </c>
      <c r="C279" s="534"/>
      <c r="D279" s="694">
        <v>-3613131.95</v>
      </c>
      <c r="E279" s="694">
        <v>-1701449.27</v>
      </c>
      <c r="F279" s="1377">
        <f t="shared" si="130"/>
        <v>-2657290.6100000003</v>
      </c>
      <c r="I279" s="1320"/>
      <c r="J279" s="1377">
        <f t="shared" si="131"/>
        <v>-1701449.27</v>
      </c>
      <c r="M279" s="1320"/>
      <c r="N279" s="1571" t="s">
        <v>1052</v>
      </c>
    </row>
    <row r="280" spans="1:15" s="1351" customFormat="1" ht="13.95" customHeight="1">
      <c r="A280" s="736">
        <f t="shared" si="132"/>
        <v>29.410000000000064</v>
      </c>
      <c r="B280" s="1559" t="s">
        <v>1871</v>
      </c>
      <c r="C280" s="534"/>
      <c r="D280" s="694"/>
      <c r="E280" s="694"/>
      <c r="F280" s="1452"/>
      <c r="G280" s="1453"/>
      <c r="H280" s="887">
        <f t="shared" ref="H280:H281" si="133">+SUM($D280:$E280)/2</f>
        <v>0</v>
      </c>
      <c r="I280" s="1454"/>
      <c r="J280" s="1377"/>
      <c r="K280" s="887"/>
      <c r="L280" s="887">
        <f t="shared" ref="L280:L281" si="134">+E280</f>
        <v>0</v>
      </c>
      <c r="M280" s="1455"/>
      <c r="N280" s="1571" t="s">
        <v>8</v>
      </c>
    </row>
    <row r="281" spans="1:15" s="1351" customFormat="1" ht="13.95" customHeight="1">
      <c r="A281" s="736">
        <f t="shared" si="132"/>
        <v>29.420000000000066</v>
      </c>
      <c r="B281" s="1559" t="s">
        <v>1872</v>
      </c>
      <c r="C281" s="534"/>
      <c r="D281" s="694">
        <v>-583487.13</v>
      </c>
      <c r="E281" s="694">
        <v>-556581.73</v>
      </c>
      <c r="F281" s="1452"/>
      <c r="G281" s="1453"/>
      <c r="H281" s="887">
        <f t="shared" si="133"/>
        <v>-570034.42999999993</v>
      </c>
      <c r="I281" s="1454"/>
      <c r="J281" s="1377"/>
      <c r="K281" s="887"/>
      <c r="L281" s="887">
        <f t="shared" si="134"/>
        <v>-556581.73</v>
      </c>
      <c r="M281" s="1455"/>
      <c r="N281" s="1571" t="s">
        <v>8</v>
      </c>
    </row>
    <row r="282" spans="1:15" ht="13.95" customHeight="1">
      <c r="A282" s="736">
        <f t="shared" si="132"/>
        <v>29.430000000000067</v>
      </c>
      <c r="B282" s="534" t="s">
        <v>1873</v>
      </c>
      <c r="C282" s="534"/>
      <c r="D282" s="694"/>
      <c r="E282" s="694"/>
      <c r="F282" s="1377">
        <f t="shared" ref="F282:F305" si="135">+SUM($D282:$E282)/2</f>
        <v>0</v>
      </c>
      <c r="I282" s="1320"/>
      <c r="J282" s="1377">
        <f t="shared" ref="J282:J305" si="136">+E282</f>
        <v>0</v>
      </c>
      <c r="M282" s="1320"/>
      <c r="N282" s="1571" t="s">
        <v>1047</v>
      </c>
    </row>
    <row r="283" spans="1:15" ht="13.95" customHeight="1">
      <c r="A283" s="736">
        <f t="shared" si="132"/>
        <v>29.440000000000069</v>
      </c>
      <c r="B283" s="534" t="s">
        <v>1874</v>
      </c>
      <c r="C283" s="534"/>
      <c r="D283" s="694"/>
      <c r="E283" s="694"/>
      <c r="F283" s="1377">
        <f t="shared" si="135"/>
        <v>0</v>
      </c>
      <c r="I283" s="1320"/>
      <c r="J283" s="1377">
        <f t="shared" si="136"/>
        <v>0</v>
      </c>
      <c r="M283" s="1320"/>
      <c r="N283" s="1571" t="s">
        <v>1047</v>
      </c>
    </row>
    <row r="284" spans="1:15" s="1351" customFormat="1" ht="26.4">
      <c r="A284" s="736">
        <f t="shared" si="132"/>
        <v>29.45000000000007</v>
      </c>
      <c r="B284" s="1559" t="s">
        <v>1875</v>
      </c>
      <c r="C284" s="534"/>
      <c r="D284" s="694">
        <v>-51598.87</v>
      </c>
      <c r="E284" s="694">
        <v>-48884.42</v>
      </c>
      <c r="F284" s="1377">
        <f t="shared" ref="F284:F295" si="137">+SUM($D284:$E284)/2</f>
        <v>-50241.645000000004</v>
      </c>
      <c r="G284" s="903"/>
      <c r="H284" s="903"/>
      <c r="I284" s="1320"/>
      <c r="J284" s="1377">
        <f t="shared" si="136"/>
        <v>-48884.42</v>
      </c>
      <c r="K284" s="903"/>
      <c r="L284" s="903"/>
      <c r="M284" s="1320"/>
      <c r="N284" s="1571" t="s">
        <v>1139</v>
      </c>
      <c r="O284" s="1400" t="s">
        <v>1295</v>
      </c>
    </row>
    <row r="285" spans="1:15" s="1351" customFormat="1" ht="26.4">
      <c r="A285" s="736">
        <f t="shared" si="132"/>
        <v>29.460000000000072</v>
      </c>
      <c r="B285" s="1559" t="s">
        <v>1876</v>
      </c>
      <c r="C285" s="534"/>
      <c r="D285" s="694">
        <v>-8334.2099999999991</v>
      </c>
      <c r="E285" s="694">
        <v>-7895.84</v>
      </c>
      <c r="F285" s="1377">
        <f t="shared" si="137"/>
        <v>-8115.0249999999996</v>
      </c>
      <c r="G285" s="903"/>
      <c r="H285" s="903"/>
      <c r="I285" s="1320"/>
      <c r="J285" s="1377">
        <f t="shared" si="136"/>
        <v>-7895.84</v>
      </c>
      <c r="K285" s="903"/>
      <c r="L285" s="903"/>
      <c r="M285" s="1320"/>
      <c r="N285" s="1571" t="s">
        <v>1139</v>
      </c>
      <c r="O285" s="1400" t="s">
        <v>1295</v>
      </c>
    </row>
    <row r="286" spans="1:15" s="1351" customFormat="1" ht="13.95" customHeight="1">
      <c r="A286" s="736">
        <f t="shared" si="132"/>
        <v>29.470000000000073</v>
      </c>
      <c r="B286" s="1559" t="s">
        <v>1877</v>
      </c>
      <c r="C286" s="534"/>
      <c r="D286" s="694">
        <v>-1243857.6000000001</v>
      </c>
      <c r="E286" s="694">
        <v>-1225193.07</v>
      </c>
      <c r="F286" s="1377">
        <f t="shared" si="137"/>
        <v>-1234525.335</v>
      </c>
      <c r="G286" s="903"/>
      <c r="H286" s="903"/>
      <c r="I286" s="1320"/>
      <c r="J286" s="1377">
        <f t="shared" si="136"/>
        <v>-1225193.07</v>
      </c>
      <c r="K286" s="903"/>
      <c r="L286" s="903"/>
      <c r="M286" s="1320"/>
      <c r="N286" s="1571" t="s">
        <v>1140</v>
      </c>
      <c r="O286" s="1400" t="s">
        <v>1295</v>
      </c>
    </row>
    <row r="287" spans="1:15" s="1351" customFormat="1" ht="13.95" customHeight="1">
      <c r="A287" s="736">
        <f t="shared" si="132"/>
        <v>29.480000000000075</v>
      </c>
      <c r="B287" s="1559" t="s">
        <v>1878</v>
      </c>
      <c r="C287" s="534"/>
      <c r="D287" s="694">
        <v>-200880.51</v>
      </c>
      <c r="E287" s="694">
        <v>-197866.23999999999</v>
      </c>
      <c r="F287" s="1377">
        <f t="shared" si="137"/>
        <v>-199373.375</v>
      </c>
      <c r="G287" s="903"/>
      <c r="H287" s="903"/>
      <c r="I287" s="1320"/>
      <c r="J287" s="1377">
        <f t="shared" si="136"/>
        <v>-197866.23999999999</v>
      </c>
      <c r="K287" s="903"/>
      <c r="L287" s="903"/>
      <c r="M287" s="1320"/>
      <c r="N287" s="1571" t="s">
        <v>1140</v>
      </c>
      <c r="O287" s="1400" t="s">
        <v>1295</v>
      </c>
    </row>
    <row r="288" spans="1:15" s="1351" customFormat="1" ht="26.4">
      <c r="A288" s="736">
        <f t="shared" si="132"/>
        <v>29.490000000000077</v>
      </c>
      <c r="B288" s="1559" t="s">
        <v>1879</v>
      </c>
      <c r="C288" s="534"/>
      <c r="D288" s="694"/>
      <c r="E288" s="694"/>
      <c r="F288" s="1377">
        <f t="shared" si="137"/>
        <v>0</v>
      </c>
      <c r="G288" s="903"/>
      <c r="H288" s="903"/>
      <c r="I288" s="1320"/>
      <c r="J288" s="1377">
        <f t="shared" si="136"/>
        <v>0</v>
      </c>
      <c r="K288" s="903"/>
      <c r="L288" s="903"/>
      <c r="M288" s="1320"/>
      <c r="N288" s="1571" t="s">
        <v>1141</v>
      </c>
      <c r="O288" s="1400" t="s">
        <v>1295</v>
      </c>
    </row>
    <row r="289" spans="1:15" s="1351" customFormat="1" ht="26.4">
      <c r="A289" s="736">
        <f t="shared" si="132"/>
        <v>29.500000000000078</v>
      </c>
      <c r="B289" s="1559" t="s">
        <v>1880</v>
      </c>
      <c r="C289" s="534"/>
      <c r="D289" s="694"/>
      <c r="E289" s="694"/>
      <c r="F289" s="1377">
        <f t="shared" si="137"/>
        <v>0</v>
      </c>
      <c r="G289" s="903"/>
      <c r="H289" s="903"/>
      <c r="I289" s="1320"/>
      <c r="J289" s="1377">
        <f t="shared" si="136"/>
        <v>0</v>
      </c>
      <c r="K289" s="903"/>
      <c r="L289" s="903"/>
      <c r="M289" s="1320"/>
      <c r="N289" s="1571" t="s">
        <v>1141</v>
      </c>
      <c r="O289" s="1400" t="s">
        <v>1295</v>
      </c>
    </row>
    <row r="290" spans="1:15" s="1351" customFormat="1" ht="13.95" customHeight="1">
      <c r="A290" s="736">
        <f t="shared" si="132"/>
        <v>29.51000000000008</v>
      </c>
      <c r="B290" s="1559" t="s">
        <v>1881</v>
      </c>
      <c r="C290" s="534"/>
      <c r="D290" s="694">
        <v>-149836.03</v>
      </c>
      <c r="E290" s="694">
        <v>-135114.75</v>
      </c>
      <c r="F290" s="1377">
        <f t="shared" si="137"/>
        <v>-142475.39000000001</v>
      </c>
      <c r="G290" s="903"/>
      <c r="H290" s="903"/>
      <c r="I290" s="1320"/>
      <c r="J290" s="1377">
        <f t="shared" si="136"/>
        <v>-135114.75</v>
      </c>
      <c r="K290" s="903"/>
      <c r="L290" s="903"/>
      <c r="M290" s="1320"/>
      <c r="N290" s="1571" t="s">
        <v>1138</v>
      </c>
      <c r="O290" s="1400" t="s">
        <v>1295</v>
      </c>
    </row>
    <row r="291" spans="1:15" s="1351" customFormat="1" ht="13.95" customHeight="1">
      <c r="A291" s="736">
        <f t="shared" si="132"/>
        <v>29.520000000000081</v>
      </c>
      <c r="B291" s="1559" t="s">
        <v>1882</v>
      </c>
      <c r="C291" s="534"/>
      <c r="D291" s="694">
        <v>-21480.989999999998</v>
      </c>
      <c r="E291" s="694">
        <v>-18170.25</v>
      </c>
      <c r="F291" s="1377">
        <f t="shared" si="137"/>
        <v>-19825.62</v>
      </c>
      <c r="G291" s="903"/>
      <c r="H291" s="903"/>
      <c r="I291" s="1320"/>
      <c r="J291" s="1377">
        <f t="shared" si="136"/>
        <v>-18170.25</v>
      </c>
      <c r="K291" s="903"/>
      <c r="L291" s="903"/>
      <c r="M291" s="1320"/>
      <c r="N291" s="1571" t="s">
        <v>1138</v>
      </c>
      <c r="O291" s="1400" t="s">
        <v>1295</v>
      </c>
    </row>
    <row r="292" spans="1:15" s="1351" customFormat="1" ht="13.95" customHeight="1">
      <c r="A292" s="736">
        <f t="shared" si="132"/>
        <v>29.530000000000083</v>
      </c>
      <c r="B292" s="1559" t="s">
        <v>1883</v>
      </c>
      <c r="C292" s="534"/>
      <c r="D292" s="694">
        <v>-25977.97</v>
      </c>
      <c r="E292" s="694">
        <v>0</v>
      </c>
      <c r="F292" s="1377">
        <f t="shared" si="137"/>
        <v>-12988.985000000001</v>
      </c>
      <c r="G292" s="903"/>
      <c r="H292" s="903"/>
      <c r="I292" s="1320"/>
      <c r="J292" s="1377">
        <f t="shared" si="136"/>
        <v>0</v>
      </c>
      <c r="K292" s="903"/>
      <c r="L292" s="903"/>
      <c r="M292" s="1320"/>
      <c r="N292" s="1571" t="s">
        <v>1142</v>
      </c>
      <c r="O292" s="1400" t="s">
        <v>1295</v>
      </c>
    </row>
    <row r="293" spans="1:15" s="1351" customFormat="1" ht="13.95" customHeight="1">
      <c r="A293" s="736">
        <f t="shared" si="132"/>
        <v>29.540000000000084</v>
      </c>
      <c r="B293" s="1559" t="s">
        <v>1884</v>
      </c>
      <c r="C293" s="534"/>
      <c r="D293" s="694">
        <v>-4195.2</v>
      </c>
      <c r="E293" s="694">
        <v>0</v>
      </c>
      <c r="F293" s="1377">
        <f t="shared" si="137"/>
        <v>-2097.6</v>
      </c>
      <c r="G293" s="903"/>
      <c r="H293" s="903"/>
      <c r="I293" s="1320"/>
      <c r="J293" s="1377">
        <f t="shared" si="136"/>
        <v>0</v>
      </c>
      <c r="K293" s="903"/>
      <c r="L293" s="903"/>
      <c r="M293" s="1320"/>
      <c r="N293" s="1571" t="s">
        <v>1142</v>
      </c>
      <c r="O293" s="1400" t="s">
        <v>1295</v>
      </c>
    </row>
    <row r="294" spans="1:15" s="1351" customFormat="1" ht="13.95" customHeight="1">
      <c r="A294" s="736">
        <f t="shared" si="132"/>
        <v>29.550000000000086</v>
      </c>
      <c r="B294" s="1559" t="s">
        <v>1885</v>
      </c>
      <c r="C294" s="534"/>
      <c r="D294" s="694">
        <v>-61701660.960000001</v>
      </c>
      <c r="E294" s="694">
        <v>-36493615.719999999</v>
      </c>
      <c r="F294" s="1377">
        <f t="shared" si="137"/>
        <v>-49097638.340000004</v>
      </c>
      <c r="G294" s="903"/>
      <c r="H294" s="903"/>
      <c r="I294" s="1320"/>
      <c r="J294" s="1377">
        <f t="shared" si="136"/>
        <v>-36493615.719999999</v>
      </c>
      <c r="K294" s="903"/>
      <c r="L294" s="903"/>
      <c r="M294" s="1320"/>
      <c r="N294" s="1571" t="s">
        <v>1138</v>
      </c>
      <c r="O294" s="1400" t="s">
        <v>1295</v>
      </c>
    </row>
    <row r="295" spans="1:15" s="1351" customFormat="1" ht="13.95" customHeight="1">
      <c r="A295" s="736">
        <f t="shared" si="132"/>
        <v>29.560000000000088</v>
      </c>
      <c r="B295" s="1559" t="s">
        <v>1886</v>
      </c>
      <c r="C295" s="534"/>
      <c r="D295" s="694">
        <v>-9198510.2699999996</v>
      </c>
      <c r="E295" s="694">
        <v>-10945876.529999999</v>
      </c>
      <c r="F295" s="1377">
        <f t="shared" si="137"/>
        <v>-10072193.399999999</v>
      </c>
      <c r="G295" s="903"/>
      <c r="H295" s="903"/>
      <c r="I295" s="1320"/>
      <c r="J295" s="1377">
        <f t="shared" si="136"/>
        <v>-10945876.529999999</v>
      </c>
      <c r="K295" s="903"/>
      <c r="L295" s="903"/>
      <c r="M295" s="1320"/>
      <c r="N295" s="1571" t="s">
        <v>1138</v>
      </c>
      <c r="O295" s="1400" t="s">
        <v>1295</v>
      </c>
    </row>
    <row r="296" spans="1:15" ht="26.4">
      <c r="A296" s="736">
        <f t="shared" si="132"/>
        <v>29.570000000000089</v>
      </c>
      <c r="B296" s="534" t="s">
        <v>1887</v>
      </c>
      <c r="C296" s="534"/>
      <c r="D296" s="694"/>
      <c r="E296" s="694"/>
      <c r="F296" s="1377">
        <f t="shared" si="135"/>
        <v>0</v>
      </c>
      <c r="I296" s="1320"/>
      <c r="J296" s="1377">
        <f t="shared" si="136"/>
        <v>0</v>
      </c>
      <c r="M296" s="1320"/>
      <c r="N296" s="1571" t="s">
        <v>5</v>
      </c>
    </row>
    <row r="297" spans="1:15" ht="26.4">
      <c r="A297" s="736">
        <f t="shared" si="132"/>
        <v>29.580000000000091</v>
      </c>
      <c r="B297" s="534" t="s">
        <v>1888</v>
      </c>
      <c r="C297" s="534"/>
      <c r="D297" s="694"/>
      <c r="E297" s="694"/>
      <c r="F297" s="1377">
        <f t="shared" si="135"/>
        <v>0</v>
      </c>
      <c r="I297" s="1320"/>
      <c r="J297" s="1377">
        <f t="shared" si="136"/>
        <v>0</v>
      </c>
      <c r="M297" s="1320"/>
      <c r="N297" s="1571" t="s">
        <v>5</v>
      </c>
    </row>
    <row r="298" spans="1:15" ht="13.95" customHeight="1">
      <c r="A298" s="736">
        <f t="shared" si="132"/>
        <v>29.590000000000092</v>
      </c>
      <c r="B298" s="534" t="s">
        <v>1889</v>
      </c>
      <c r="C298" s="534"/>
      <c r="D298" s="694"/>
      <c r="E298" s="694"/>
      <c r="F298" s="1377">
        <f t="shared" si="135"/>
        <v>0</v>
      </c>
      <c r="I298" s="1320"/>
      <c r="J298" s="1377">
        <f t="shared" si="136"/>
        <v>0</v>
      </c>
      <c r="M298" s="1320"/>
      <c r="N298" s="1571"/>
    </row>
    <row r="299" spans="1:15" ht="13.95" customHeight="1">
      <c r="A299" s="736">
        <f t="shared" si="132"/>
        <v>29.600000000000094</v>
      </c>
      <c r="B299" s="1559" t="s">
        <v>1890</v>
      </c>
      <c r="C299" s="534"/>
      <c r="D299" s="694">
        <v>-187821006.41999999</v>
      </c>
      <c r="E299" s="694">
        <v>0</v>
      </c>
      <c r="F299" s="1377">
        <f t="shared" si="135"/>
        <v>-93910503.209999993</v>
      </c>
      <c r="I299" s="1320"/>
      <c r="J299" s="1377">
        <f t="shared" si="136"/>
        <v>0</v>
      </c>
      <c r="M299" s="1320"/>
      <c r="N299" s="1571" t="s">
        <v>205</v>
      </c>
    </row>
    <row r="300" spans="1:15" ht="13.95" customHeight="1">
      <c r="A300" s="736">
        <f t="shared" si="132"/>
        <v>29.610000000000095</v>
      </c>
      <c r="B300" s="1559" t="s">
        <v>1891</v>
      </c>
      <c r="C300" s="534"/>
      <c r="D300" s="694">
        <v>-30884782.34</v>
      </c>
      <c r="E300" s="694">
        <v>0</v>
      </c>
      <c r="F300" s="1377">
        <f t="shared" si="135"/>
        <v>-15442391.17</v>
      </c>
      <c r="I300" s="1320"/>
      <c r="J300" s="1377">
        <f t="shared" si="136"/>
        <v>0</v>
      </c>
      <c r="M300" s="1320"/>
      <c r="N300" s="1571" t="s">
        <v>205</v>
      </c>
    </row>
    <row r="301" spans="1:15" s="1351" customFormat="1" ht="13.95" customHeight="1">
      <c r="A301" s="736">
        <f t="shared" si="132"/>
        <v>29.620000000000097</v>
      </c>
      <c r="B301" s="1559" t="s">
        <v>1892</v>
      </c>
      <c r="C301" s="534"/>
      <c r="D301" s="694">
        <v>5191878.99</v>
      </c>
      <c r="E301" s="694">
        <v>3010104.99</v>
      </c>
      <c r="F301" s="1377">
        <f t="shared" ref="F301:F302" si="138">+SUM($D301:$E301)/2</f>
        <v>4100991.99</v>
      </c>
      <c r="G301" s="903"/>
      <c r="H301" s="903"/>
      <c r="I301" s="1320"/>
      <c r="J301" s="1377">
        <f t="shared" si="136"/>
        <v>3010104.99</v>
      </c>
      <c r="K301" s="903"/>
      <c r="L301" s="903"/>
      <c r="M301" s="1320"/>
      <c r="N301" s="1571" t="s">
        <v>205</v>
      </c>
      <c r="O301" s="1400" t="s">
        <v>1295</v>
      </c>
    </row>
    <row r="302" spans="1:15" s="1351" customFormat="1" ht="13.95" customHeight="1">
      <c r="A302" s="736">
        <f t="shared" si="132"/>
        <v>29.630000000000098</v>
      </c>
      <c r="B302" s="1559" t="s">
        <v>1893</v>
      </c>
      <c r="C302" s="534"/>
      <c r="D302" s="694">
        <v>550534</v>
      </c>
      <c r="E302" s="694">
        <v>531334</v>
      </c>
      <c r="F302" s="1377">
        <f t="shared" si="138"/>
        <v>540934</v>
      </c>
      <c r="G302" s="903"/>
      <c r="H302" s="903"/>
      <c r="I302" s="1320"/>
      <c r="J302" s="1377">
        <f t="shared" si="136"/>
        <v>531334</v>
      </c>
      <c r="K302" s="903"/>
      <c r="L302" s="903"/>
      <c r="M302" s="1320"/>
      <c r="N302" s="1571" t="s">
        <v>205</v>
      </c>
      <c r="O302" s="1400" t="s">
        <v>1295</v>
      </c>
    </row>
    <row r="303" spans="1:15" s="1351" customFormat="1" ht="13.95" customHeight="1">
      <c r="A303" s="736">
        <f t="shared" si="132"/>
        <v>29.6400000000001</v>
      </c>
      <c r="B303" s="534" t="s">
        <v>1894</v>
      </c>
      <c r="C303" s="534"/>
      <c r="D303" s="694"/>
      <c r="E303" s="694"/>
      <c r="F303" s="1377"/>
      <c r="G303" s="903"/>
      <c r="H303" s="903">
        <f t="shared" ref="H303:H304" si="139">+SUM($D303:$E303)/2</f>
        <v>0</v>
      </c>
      <c r="I303" s="1320"/>
      <c r="J303" s="1377"/>
      <c r="K303" s="903"/>
      <c r="L303" s="903">
        <f t="shared" ref="L303" si="140">+E303</f>
        <v>0</v>
      </c>
      <c r="M303" s="1320"/>
      <c r="N303" s="1571" t="s">
        <v>2</v>
      </c>
      <c r="O303" s="1400" t="s">
        <v>1295</v>
      </c>
    </row>
    <row r="304" spans="1:15" ht="13.95" customHeight="1">
      <c r="A304" s="736">
        <f t="shared" si="132"/>
        <v>29.650000000000102</v>
      </c>
      <c r="B304" s="534" t="s">
        <v>1895</v>
      </c>
      <c r="C304" s="534"/>
      <c r="D304" s="694"/>
      <c r="E304" s="694"/>
      <c r="F304" s="1377"/>
      <c r="H304" s="903">
        <f t="shared" si="139"/>
        <v>0</v>
      </c>
      <c r="I304" s="1320"/>
      <c r="J304" s="1377"/>
      <c r="L304" s="887">
        <f t="shared" ref="L304" si="141">+E304</f>
        <v>0</v>
      </c>
      <c r="M304" s="1320"/>
      <c r="N304" s="1571" t="s">
        <v>2</v>
      </c>
    </row>
    <row r="305" spans="1:14" ht="13.95" customHeight="1">
      <c r="A305" s="736">
        <f t="shared" si="132"/>
        <v>29.660000000000103</v>
      </c>
      <c r="B305" s="534" t="s">
        <v>1896</v>
      </c>
      <c r="C305" s="534"/>
      <c r="D305" s="694">
        <v>-857671285.27999997</v>
      </c>
      <c r="E305" s="694">
        <v>-627597806.28999996</v>
      </c>
      <c r="F305" s="1377">
        <f t="shared" si="135"/>
        <v>-742634545.78499997</v>
      </c>
      <c r="G305" s="903"/>
      <c r="H305" s="903"/>
      <c r="I305" s="1320"/>
      <c r="J305" s="1377">
        <f t="shared" si="136"/>
        <v>-627597806.28999996</v>
      </c>
      <c r="K305" s="903"/>
      <c r="L305" s="903"/>
      <c r="M305" s="1320"/>
      <c r="N305" s="1571" t="s">
        <v>1053</v>
      </c>
    </row>
    <row r="306" spans="1:14" ht="13.95" customHeight="1">
      <c r="A306" s="1640">
        <f t="shared" si="132"/>
        <v>29.670000000000105</v>
      </c>
      <c r="B306" s="1651"/>
      <c r="C306" s="1634" t="s">
        <v>934</v>
      </c>
      <c r="D306" s="1632">
        <f>IFERROR(+INDEX(#REF!,MATCH($B306,#REF!,0)),0)</f>
        <v>0</v>
      </c>
      <c r="E306" s="1632">
        <f>IFERROR(+INDEX(#REF!,MATCH($B306,#REF!,0)),0)</f>
        <v>0</v>
      </c>
      <c r="F306" s="1652"/>
      <c r="G306" s="1653"/>
      <c r="H306" s="1653"/>
      <c r="I306" s="1654"/>
      <c r="J306" s="1652"/>
      <c r="K306" s="1653"/>
      <c r="L306" s="1653"/>
      <c r="M306" s="1654"/>
      <c r="N306" s="1655"/>
    </row>
    <row r="307" spans="1:14">
      <c r="A307" s="1650" t="s">
        <v>925</v>
      </c>
      <c r="B307" s="1651"/>
      <c r="C307" s="1634" t="s">
        <v>934</v>
      </c>
      <c r="D307" s="1632">
        <f>IFERROR(+INDEX(#REF!,MATCH($B307,#REF!,0)),0)</f>
        <v>0</v>
      </c>
      <c r="E307" s="1632">
        <f>IFERROR(+INDEX(#REF!,MATCH($B307,#REF!,0)),0)</f>
        <v>0</v>
      </c>
      <c r="F307" s="1652"/>
      <c r="G307" s="1653"/>
      <c r="H307" s="1653"/>
      <c r="I307" s="1654"/>
      <c r="J307" s="1652"/>
      <c r="K307" s="1653"/>
      <c r="L307" s="1653"/>
      <c r="M307" s="1654"/>
      <c r="N307" s="1655"/>
    </row>
    <row r="308" spans="1:14">
      <c r="A308" s="1640" t="str">
        <f>29&amp;".XX"</f>
        <v>29.XX</v>
      </c>
      <c r="B308" s="1648"/>
      <c r="C308" s="1634" t="s">
        <v>934</v>
      </c>
      <c r="D308" s="1178">
        <f>IFERROR(+INDEX(#REF!,MATCH($B308,#REF!,0)),0)</f>
        <v>0</v>
      </c>
      <c r="E308" s="1178">
        <f>IFERROR(+INDEX(#REF!,MATCH($B308,#REF!,0)),0)</f>
        <v>0</v>
      </c>
      <c r="F308" s="1635"/>
      <c r="G308" s="1636"/>
      <c r="H308" s="1636"/>
      <c r="I308" s="1637"/>
      <c r="J308" s="1635"/>
      <c r="K308" s="1636"/>
      <c r="L308" s="1636"/>
      <c r="M308" s="1637"/>
      <c r="N308" s="1649"/>
    </row>
    <row r="309" spans="1:14" ht="13.8" thickBot="1">
      <c r="A309" s="735">
        <v>30</v>
      </c>
      <c r="B309" s="1569"/>
      <c r="C309" s="1569"/>
      <c r="D309" s="903"/>
      <c r="E309" s="903"/>
      <c r="F309" s="1440"/>
      <c r="G309" s="1441"/>
      <c r="H309" s="1441"/>
      <c r="I309" s="1442"/>
      <c r="J309" s="1440"/>
      <c r="K309" s="1441"/>
      <c r="L309" s="1441"/>
      <c r="M309" s="1442"/>
      <c r="N309" s="1572"/>
    </row>
    <row r="310" spans="1:14" s="534" customFormat="1" ht="14.4" thickBot="1">
      <c r="A310" s="735">
        <f>+A309+1</f>
        <v>31</v>
      </c>
      <c r="B310" s="1325" t="s">
        <v>1957</v>
      </c>
      <c r="C310" s="1326"/>
      <c r="D310" s="1834">
        <f>SUM(D240:D308)</f>
        <v>-2306033370.3800001</v>
      </c>
      <c r="E310" s="1834">
        <f>SUM(E240:E308)</f>
        <v>-1385377150.1000001</v>
      </c>
      <c r="F310" s="823">
        <f>SUM(F240:F308)</f>
        <v>-1827476018.8400002</v>
      </c>
      <c r="G310" s="256">
        <f t="shared" ref="G310:I310" si="142">SUM(G240:G308)</f>
        <v>-9237283.3650000002</v>
      </c>
      <c r="H310" s="256">
        <f t="shared" si="142"/>
        <v>-8991958.0350000001</v>
      </c>
      <c r="I310" s="1630">
        <f t="shared" si="142"/>
        <v>0</v>
      </c>
      <c r="J310" s="823">
        <f>SUM(J240:J308)</f>
        <v>-1371905549.4500003</v>
      </c>
      <c r="K310" s="256">
        <f t="shared" ref="K310:M310" si="143">SUM(K240:K308)</f>
        <v>-6472080.2400000002</v>
      </c>
      <c r="L310" s="256">
        <f t="shared" si="143"/>
        <v>-6999520.4100000001</v>
      </c>
      <c r="M310" s="1630">
        <f t="shared" si="143"/>
        <v>0</v>
      </c>
      <c r="N310" s="1075" t="str">
        <f>+"Sum by Column of Line "&amp;A239&amp;" Subparts"</f>
        <v>Sum by Column of Line 29 Subparts</v>
      </c>
    </row>
    <row r="311" spans="1:14" s="534" customFormat="1">
      <c r="A311" s="735">
        <f t="shared" ref="A311" si="144">+A310+1</f>
        <v>32</v>
      </c>
      <c r="B311" s="2384" t="s">
        <v>567</v>
      </c>
      <c r="C311" s="2384"/>
      <c r="D311" s="146">
        <f>D299+D300+D301+D302</f>
        <v>-212963375.76999998</v>
      </c>
      <c r="E311" s="146">
        <f>E299+E300+E301+E302</f>
        <v>3541438.99</v>
      </c>
      <c r="F311" s="1842">
        <f t="shared" ref="F311:M311" si="145">F299+F300+F301+F302</f>
        <v>-104710968.39</v>
      </c>
      <c r="G311" s="146">
        <f t="shared" si="145"/>
        <v>0</v>
      </c>
      <c r="H311" s="146">
        <f t="shared" si="145"/>
        <v>0</v>
      </c>
      <c r="I311" s="1845">
        <f t="shared" si="145"/>
        <v>0</v>
      </c>
      <c r="J311" s="1842">
        <f t="shared" si="145"/>
        <v>3541438.99</v>
      </c>
      <c r="K311" s="146">
        <f t="shared" si="145"/>
        <v>0</v>
      </c>
      <c r="L311" s="146">
        <f t="shared" si="145"/>
        <v>0</v>
      </c>
      <c r="M311" s="1845">
        <f t="shared" si="145"/>
        <v>0</v>
      </c>
      <c r="N311" s="780"/>
    </row>
    <row r="312" spans="1:14" ht="15" customHeight="1">
      <c r="A312" s="1657">
        <f>+A311+0.1</f>
        <v>32.1</v>
      </c>
      <c r="B312" s="780" t="s">
        <v>1942</v>
      </c>
      <c r="C312" s="780"/>
      <c r="D312" s="1922">
        <f>+'WP06 Support 2'!D311</f>
        <v>0</v>
      </c>
      <c r="E312" s="1923">
        <f>+'WP06 Support 2'!E311</f>
        <v>-570686035.05999994</v>
      </c>
      <c r="F312" s="1924">
        <f>+'WP06 Support 2'!F311</f>
        <v>-283060468.50999999</v>
      </c>
      <c r="G312" s="1925">
        <f>+'WP06 Support 2'!G311</f>
        <v>-223431.39999999997</v>
      </c>
      <c r="H312" s="1925">
        <f>+'WP06 Support 2'!H311</f>
        <v>-2059117.6199999996</v>
      </c>
      <c r="I312" s="1934">
        <f>+'WP06 Support 2'!I311</f>
        <v>0</v>
      </c>
      <c r="J312" s="1935">
        <f>+'WP06 Support 2'!J311</f>
        <v>-539162388.8837831</v>
      </c>
      <c r="K312" s="1936">
        <f>+'WP06 Support 2'!K311</f>
        <v>-130334.98333333324</v>
      </c>
      <c r="L312" s="1936">
        <f>+'WP06 Support 2'!L311</f>
        <v>-1201152.2637499995</v>
      </c>
      <c r="M312" s="1934">
        <f>+'WP06 Support 2'!M311</f>
        <v>0</v>
      </c>
      <c r="N312" s="1825"/>
    </row>
    <row r="313" spans="1:14" ht="13.2" customHeight="1">
      <c r="A313" s="735">
        <f>+A311+1</f>
        <v>33</v>
      </c>
      <c r="B313" s="2386" t="s">
        <v>568</v>
      </c>
      <c r="C313" s="2386"/>
      <c r="D313" s="256">
        <f>+D310-D311+D312</f>
        <v>-2093069994.6100001</v>
      </c>
      <c r="E313" s="256">
        <f t="shared" ref="E313:M313" si="146">+E310-E311+E312</f>
        <v>-1959604624.1500001</v>
      </c>
      <c r="F313" s="823">
        <f t="shared" si="146"/>
        <v>-2005825518.96</v>
      </c>
      <c r="G313" s="256">
        <f t="shared" si="146"/>
        <v>-9460714.7650000006</v>
      </c>
      <c r="H313" s="256">
        <f t="shared" si="146"/>
        <v>-11051075.654999999</v>
      </c>
      <c r="I313" s="1630">
        <f t="shared" si="146"/>
        <v>0</v>
      </c>
      <c r="J313" s="823">
        <f t="shared" si="146"/>
        <v>-1914609377.3237834</v>
      </c>
      <c r="K313" s="256">
        <f t="shared" si="146"/>
        <v>-6602415.2233333336</v>
      </c>
      <c r="L313" s="256">
        <f t="shared" si="146"/>
        <v>-8200672.6737500001</v>
      </c>
      <c r="M313" s="1630">
        <f t="shared" si="146"/>
        <v>0</v>
      </c>
      <c r="N313" s="782" t="str">
        <f>+"Ln "&amp;A310&amp;" - Ln "&amp;A311&amp;" + Ln "&amp;A312</f>
        <v>Ln 31 - Ln 32 + Ln 32.1</v>
      </c>
    </row>
    <row r="314" spans="1:14">
      <c r="A314" s="735">
        <f t="shared" ref="A314:A323" si="147">+A313+1</f>
        <v>34</v>
      </c>
      <c r="B314" s="1569"/>
      <c r="C314" s="1384"/>
      <c r="D314" s="903"/>
      <c r="E314" s="903"/>
      <c r="F314" s="903"/>
      <c r="G314" s="903"/>
      <c r="H314" s="903"/>
      <c r="I314" s="903"/>
      <c r="J314" s="903"/>
      <c r="K314" s="903"/>
      <c r="L314" s="903"/>
      <c r="M314" s="903"/>
      <c r="N314" s="179"/>
    </row>
    <row r="315" spans="1:14">
      <c r="A315" s="735">
        <f t="shared" si="147"/>
        <v>35</v>
      </c>
      <c r="B315" s="2387" t="s">
        <v>436</v>
      </c>
      <c r="C315" s="2387"/>
      <c r="D315" s="2387"/>
      <c r="E315" s="2387"/>
      <c r="F315" s="2387"/>
      <c r="G315" s="2387"/>
      <c r="H315" s="2387"/>
      <c r="I315" s="903"/>
      <c r="J315" s="1456"/>
      <c r="K315" s="1456"/>
      <c r="L315" s="1456"/>
      <c r="M315" s="1456"/>
      <c r="N315" s="1572"/>
    </row>
    <row r="316" spans="1:14" ht="13.5" customHeight="1">
      <c r="A316" s="735">
        <f t="shared" si="147"/>
        <v>36</v>
      </c>
      <c r="B316" s="2345" t="str">
        <f>+"1.  ADIT items related only to Non-Electric Operations (e.g., Gas, Water, Sewer) or Production are directly assigned to Column "&amp;F$5&amp;" for True-up and Column "&amp;J$5&amp;" for Projected"</f>
        <v>1.  ADIT items related only to Non-Electric Operations (e.g., Gas, Water, Sewer) or Production are directly assigned to Column E for True-up and Column I  for Projected</v>
      </c>
      <c r="C316" s="2345"/>
      <c r="D316" s="2345"/>
      <c r="E316" s="2345"/>
      <c r="F316" s="2345"/>
      <c r="G316" s="2345"/>
      <c r="H316" s="2345"/>
      <c r="I316" s="2345"/>
      <c r="J316" s="2345"/>
      <c r="K316" s="2345"/>
      <c r="L316" s="2345"/>
      <c r="M316" s="2345"/>
      <c r="N316" s="1580"/>
    </row>
    <row r="317" spans="1:14">
      <c r="A317" s="735">
        <f t="shared" si="147"/>
        <v>37</v>
      </c>
      <c r="B317" s="2387" t="str">
        <f>+"2.  ADIT items related only to Transmission are directly assigned to Column "&amp;G$5&amp;" for True-up and Column "&amp;K$5&amp;" for Projected"</f>
        <v>2.  ADIT items related only to Transmission are directly assigned to Column F for True-up and Column J for Projected</v>
      </c>
      <c r="C317" s="2387"/>
      <c r="D317" s="2387"/>
      <c r="E317" s="2387"/>
      <c r="F317" s="2387"/>
      <c r="G317" s="2387"/>
      <c r="H317" s="2387"/>
      <c r="I317" s="903"/>
      <c r="J317" s="1456"/>
      <c r="K317" s="1456"/>
      <c r="L317" s="1456"/>
      <c r="M317" s="1456"/>
      <c r="N317" s="1075"/>
    </row>
    <row r="318" spans="1:14">
      <c r="A318" s="735">
        <f t="shared" si="147"/>
        <v>38</v>
      </c>
      <c r="B318" s="1315" t="str">
        <f>+"3.  ADIT items related to Plant and not in Columns "&amp;F5&amp;" &amp; "&amp;G5&amp;" for True-up and Columns "&amp;J5&amp;" &amp; "&amp;K5&amp;" for Projected are included in Column "&amp;H$5&amp;" for True-up and Column "&amp;L$5&amp;" for Projected"</f>
        <v>3.  ADIT items related to Plant and not in Columns E &amp; F for True-up and Columns I  &amp; J for Projected are included in Column G for True-up and Column K for Projected</v>
      </c>
      <c r="C318" s="1315"/>
      <c r="D318" s="1447"/>
      <c r="E318" s="1447"/>
      <c r="F318" s="1447"/>
      <c r="G318" s="1447"/>
      <c r="H318" s="1447"/>
      <c r="I318" s="1447"/>
      <c r="J318" s="1457"/>
      <c r="K318" s="1457"/>
      <c r="L318" s="1457"/>
      <c r="M318" s="1457"/>
      <c r="N318" s="1314"/>
    </row>
    <row r="319" spans="1:14">
      <c r="A319" s="735">
        <f t="shared" si="147"/>
        <v>39</v>
      </c>
      <c r="B319" s="1315" t="str">
        <f>+"4.  ADIT items related to labor and not in Columns "&amp;G5&amp;" &amp; "&amp;H5&amp;" for True-up and Columns "&amp;K5&amp;" &amp; "&amp;L5&amp;" for Projected  are included in Column "&amp;I$5&amp;" for True-up and Column "&amp;M$5&amp;" for Projected"</f>
        <v>4.  ADIT items related to labor and not in Columns F &amp; G for True-up and Columns J &amp; K for Projected  are included in Column H for True-up and Column L for Projected</v>
      </c>
      <c r="C319" s="1315"/>
      <c r="D319" s="1447"/>
      <c r="E319" s="1447"/>
      <c r="F319" s="1447"/>
      <c r="G319" s="1447"/>
      <c r="H319" s="1447"/>
      <c r="I319" s="1447"/>
      <c r="J319" s="1457"/>
      <c r="K319" s="1457"/>
      <c r="L319" s="1457"/>
      <c r="M319" s="1457"/>
      <c r="N319" s="1075"/>
    </row>
    <row r="320" spans="1:14" ht="12.75" customHeight="1">
      <c r="A320" s="735">
        <f t="shared" si="147"/>
        <v>40</v>
      </c>
      <c r="B320" s="2385" t="s">
        <v>1061</v>
      </c>
      <c r="C320" s="2385"/>
      <c r="D320" s="2385"/>
      <c r="E320" s="2385"/>
      <c r="F320" s="2385"/>
      <c r="G320" s="2385"/>
      <c r="H320" s="2385"/>
      <c r="I320" s="2385"/>
      <c r="J320" s="2385"/>
      <c r="K320" s="2385"/>
      <c r="L320" s="2385"/>
      <c r="M320" s="2385"/>
      <c r="N320" s="2385"/>
    </row>
    <row r="321" spans="1:14" ht="13.2" customHeight="1">
      <c r="A321" s="735">
        <f t="shared" si="147"/>
        <v>41</v>
      </c>
      <c r="B321" s="2385" t="s">
        <v>1062</v>
      </c>
      <c r="C321" s="2385"/>
      <c r="D321" s="2385"/>
      <c r="E321" s="2385"/>
      <c r="F321" s="2385"/>
      <c r="G321" s="2385"/>
      <c r="H321" s="2385"/>
      <c r="I321" s="2385"/>
      <c r="J321" s="2385"/>
      <c r="K321" s="2385"/>
      <c r="L321" s="2385"/>
      <c r="M321" s="2385"/>
      <c r="N321" s="2385"/>
    </row>
    <row r="322" spans="1:14" s="40" customFormat="1">
      <c r="A322" s="735">
        <f t="shared" si="147"/>
        <v>42</v>
      </c>
      <c r="B322" s="1631" t="s">
        <v>1453</v>
      </c>
      <c r="C322" s="180"/>
      <c r="D322" s="180"/>
      <c r="E322" s="180"/>
      <c r="F322" s="180"/>
      <c r="G322" s="41"/>
      <c r="H322" s="41"/>
      <c r="I322" s="41"/>
      <c r="J322" s="41"/>
      <c r="K322" s="41"/>
      <c r="L322" s="41"/>
      <c r="M322" s="41"/>
      <c r="N322" s="41"/>
    </row>
    <row r="323" spans="1:14" s="40" customFormat="1">
      <c r="A323" s="735">
        <f t="shared" si="147"/>
        <v>43</v>
      </c>
      <c r="B323" s="1631" t="s">
        <v>1938</v>
      </c>
      <c r="C323" s="180"/>
      <c r="D323" s="180"/>
      <c r="E323" s="180"/>
      <c r="F323" s="180"/>
      <c r="G323" s="41"/>
      <c r="H323" s="41"/>
      <c r="I323" s="41"/>
      <c r="J323" s="41"/>
      <c r="K323" s="41"/>
      <c r="L323" s="41"/>
      <c r="M323" s="41"/>
      <c r="N323" s="41"/>
    </row>
  </sheetData>
  <customSheetViews>
    <customSheetView guid="{16940A0E-2B20-4241-BF05-A4686E5A0274}" scale="75" fitToPage="1" hiddenColumns="1" showRuler="0">
      <selection activeCell="B41" sqref="B41"/>
      <rowBreaks count="9" manualBreakCount="9">
        <brk id="57" max="8" man="1"/>
        <brk id="58" max="8" man="1"/>
        <brk id="59" max="8" man="1"/>
        <brk id="61" max="8" man="1"/>
        <brk id="110" max="7" man="1"/>
        <brk id="126" max="8" man="1"/>
        <brk id="129" max="8" man="1"/>
        <brk id="138" max="8" man="1"/>
        <brk id="146" max="8" man="1"/>
      </rowBreaks>
      <pageMargins left="0.5" right="0.5" top="1" bottom="0.5" header="0.5" footer="0.5"/>
      <printOptions horizontalCentered="1"/>
      <pageSetup scale="45" fitToHeight="4" orientation="portrait" r:id="rId1"/>
      <headerFooter alignWithMargins="0">
        <oddHeader>&amp;R&amp;12Page &amp;P of &amp;N</oddHeader>
      </headerFooter>
    </customSheetView>
    <customSheetView guid="{44504B44-F20F-4B6F-B585-74D55BA74563}" scale="75" showPageBreaks="1" fitToPage="1" printArea="1" hiddenColumns="1" showRuler="0">
      <selection activeCell="B19" sqref="B19"/>
      <rowBreaks count="9" manualBreakCount="9">
        <brk id="57" max="8" man="1"/>
        <brk id="58" max="8" man="1"/>
        <brk id="59" max="8" man="1"/>
        <brk id="61" max="8" man="1"/>
        <brk id="110" max="7" man="1"/>
        <brk id="126" max="8" man="1"/>
        <brk id="129" max="8" man="1"/>
        <brk id="138" max="8" man="1"/>
        <brk id="146" max="8" man="1"/>
      </rowBreaks>
      <pageMargins left="0.5" right="0.5" top="1" bottom="0.5" header="0.5" footer="0.5"/>
      <printOptions horizontalCentered="1"/>
      <pageSetup scale="45" fitToHeight="4" orientation="portrait" r:id="rId2"/>
      <headerFooter alignWithMargins="0">
        <oddHeader>&amp;R&amp;12Page &amp;P of &amp;N</oddHeader>
      </headerFooter>
    </customSheetView>
    <customSheetView guid="{FAAD9AAC-1337-43AB-BF1F-CCF9DFCF5B78}" scale="75" showPageBreaks="1" fitToPage="1" printArea="1" hiddenColumns="1" showRuler="0" topLeftCell="A4">
      <selection activeCell="A20" sqref="A20"/>
      <rowBreaks count="7" manualBreakCount="7">
        <brk id="61" max="8" man="1"/>
        <brk id="63" max="8" man="1"/>
        <brk id="87" max="7" man="1"/>
        <brk id="146" max="7" man="1"/>
        <brk id="211" max="8" man="1"/>
        <brk id="214" max="8" man="1"/>
        <brk id="231" max="8" man="1"/>
      </rowBreaks>
      <pageMargins left="0.5" right="0.5" top="1" bottom="0.5" header="0.5" footer="0.5"/>
      <printOptions horizontalCentered="1"/>
      <pageSetup scale="43" fitToHeight="0" orientation="portrait" r:id="rId3"/>
      <headerFooter alignWithMargins="0">
        <oddHeader>&amp;R&amp;12Page &amp;P of &amp;N</oddHeader>
      </headerFooter>
    </customSheetView>
    <customSheetView guid="{71B42B22-A376-44B5-B0C1-23FC1AA3DBA2}" scale="75" showPageBreaks="1" fitToPage="1" printArea="1" hiddenColumns="1" showRuler="0">
      <selection activeCell="B42" sqref="B42"/>
      <rowBreaks count="3" manualBreakCount="3">
        <brk id="61" max="8" man="1"/>
        <brk id="87" max="7" man="1"/>
        <brk id="146" max="7" man="1"/>
      </rowBreaks>
      <pageMargins left="0.5" right="0.5" top="1" bottom="0.5" header="0.5" footer="0.5"/>
      <printOptions horizontalCentered="1"/>
      <pageSetup scale="45" fitToHeight="0" orientation="portrait" r:id="rId4"/>
      <headerFooter alignWithMargins="0">
        <oddHeader>&amp;R&amp;14Page &amp;P of &amp;N</oddHeader>
      </headerFooter>
    </customSheetView>
    <customSheetView guid="{28948E05-8F34-4F1E-96FB-A80A6A844600}" scale="75" showPageBreaks="1" fitToPage="1" printArea="1" hiddenColumns="1" showRuler="0">
      <selection sqref="A1:I1"/>
      <rowBreaks count="5" manualBreakCount="5">
        <brk id="61" max="8" man="1"/>
        <brk id="87" max="7" man="1"/>
        <brk id="146" max="7" man="1"/>
        <brk id="211" max="8" man="1"/>
        <brk id="231" max="8" man="1"/>
      </rowBreaks>
      <pageMargins left="0.5" right="0.5" top="1" bottom="0.5" header="0.5" footer="0.5"/>
      <printOptions horizontalCentered="1"/>
      <pageSetup scale="43" fitToHeight="0" orientation="portrait" r:id="rId5"/>
      <headerFooter alignWithMargins="0">
        <oddHeader>&amp;R&amp;12Page &amp;P of &amp;N</oddHeader>
      </headerFooter>
    </customSheetView>
    <customSheetView guid="{B647CB7F-C846-4278-B6B1-1EF7F3C004F5}" scale="75" showPageBreaks="1" fitToPage="1" printArea="1" hiddenColumns="1" showRuler="0" topLeftCell="A71">
      <selection activeCell="B218" sqref="B218"/>
      <rowBreaks count="5" manualBreakCount="5">
        <brk id="61" max="8" man="1"/>
        <brk id="87" max="7" man="1"/>
        <brk id="146" max="7" man="1"/>
        <brk id="211" max="8" man="1"/>
        <brk id="231" max="8" man="1"/>
      </rowBreaks>
      <pageMargins left="0.5" right="0.5" top="1" bottom="0.5" header="0.5" footer="0.5"/>
      <printOptions horizontalCentered="1"/>
      <pageSetup scale="45" fitToHeight="0" orientation="portrait" r:id="rId6"/>
      <headerFooter alignWithMargins="0">
        <oddHeader>&amp;R&amp;12Page &amp;P of &amp;N</oddHeader>
      </headerFooter>
    </customSheetView>
    <customSheetView guid="{63011E91-4609-4523-98FE-FD252E915668}" scale="60" showPageBreaks="1" fitToPage="1" printArea="1" hiddenColumns="1" view="pageBreakPreview" showRuler="0" topLeftCell="A223">
      <selection activeCell="B218" sqref="B218"/>
      <rowBreaks count="5" manualBreakCount="5">
        <brk id="61" max="8" man="1"/>
        <brk id="87" max="7" man="1"/>
        <brk id="146" max="7" man="1"/>
        <brk id="211" max="8" man="1"/>
        <brk id="231" max="8" man="1"/>
      </rowBreaks>
      <pageMargins left="0.5" right="0.5" top="1" bottom="0.5" header="0.5" footer="0.5"/>
      <printOptions horizontalCentered="1"/>
      <pageSetup scale="43" fitToHeight="0" orientation="portrait" r:id="rId7"/>
      <headerFooter alignWithMargins="0">
        <oddHeader>&amp;R&amp;12Page &amp;P of &amp;N</oddHeader>
      </headerFooter>
    </customSheetView>
    <customSheetView guid="{DC91DEF3-837B-4BB9-A81E-3B78C5914E6C}" scale="75" showPageBreaks="1" fitToPage="1" printArea="1" hiddenColumns="1" showRuler="0" topLeftCell="A55">
      <selection activeCell="I58" sqref="I58"/>
      <rowBreaks count="8" manualBreakCount="8">
        <brk id="60" max="8" man="1"/>
        <brk id="61" max="8" man="1"/>
        <brk id="63" max="8" man="1"/>
        <brk id="87" max="7" man="1"/>
        <brk id="146" max="7" man="1"/>
        <brk id="211" max="8" man="1"/>
        <brk id="214" max="8" man="1"/>
        <brk id="231" max="8" man="1"/>
      </rowBreaks>
      <pageMargins left="0.5" right="0.5" top="1" bottom="0.5" header="0.5" footer="0.5"/>
      <printOptions horizontalCentered="1"/>
      <pageSetup scale="45" fitToHeight="0" orientation="portrait" r:id="rId8"/>
      <headerFooter alignWithMargins="0">
        <oddHeader>&amp;R&amp;12Page &amp;P of &amp;N</oddHeader>
      </headerFooter>
    </customSheetView>
    <customSheetView guid="{1155D18F-BFDD-426B-8E78-817CEB25FB23}" scale="75" showPageBreaks="1" fitToPage="1" printArea="1" hiddenColumns="1" showRuler="0" topLeftCell="A206">
      <selection activeCell="E221" sqref="E221"/>
      <rowBreaks count="8" manualBreakCount="8">
        <brk id="60" max="8" man="1"/>
        <brk id="61" max="8" man="1"/>
        <brk id="63" max="8" man="1"/>
        <brk id="87" max="7" man="1"/>
        <brk id="146" max="7" man="1"/>
        <brk id="211" max="8" man="1"/>
        <brk id="214" max="8" man="1"/>
        <brk id="231" max="8" man="1"/>
      </rowBreaks>
      <pageMargins left="0.5" right="0.5" top="1" bottom="0.5" header="0.5" footer="0.5"/>
      <printOptions horizontalCentered="1"/>
      <pageSetup scale="45" fitToHeight="0" orientation="portrait" r:id="rId9"/>
      <headerFooter alignWithMargins="0">
        <oddHeader>&amp;R&amp;12Page &amp;P of &amp;N</oddHeader>
      </headerFooter>
    </customSheetView>
  </customSheetViews>
  <mergeCells count="29">
    <mergeCell ref="B311:C311"/>
    <mergeCell ref="B321:N321"/>
    <mergeCell ref="B320:N320"/>
    <mergeCell ref="B313:C313"/>
    <mergeCell ref="F8:I8"/>
    <mergeCell ref="J8:M8"/>
    <mergeCell ref="J15:M15"/>
    <mergeCell ref="F15:I15"/>
    <mergeCell ref="B235:C235"/>
    <mergeCell ref="B317:H317"/>
    <mergeCell ref="B316:M316"/>
    <mergeCell ref="F239:I239"/>
    <mergeCell ref="J239:M239"/>
    <mergeCell ref="B315:H315"/>
    <mergeCell ref="B20:C20"/>
    <mergeCell ref="B234:C234"/>
    <mergeCell ref="A1:N1"/>
    <mergeCell ref="A2:N2"/>
    <mergeCell ref="F160:I160"/>
    <mergeCell ref="J160:M160"/>
    <mergeCell ref="A3:N3"/>
    <mergeCell ref="B142:C142"/>
    <mergeCell ref="A4:A5"/>
    <mergeCell ref="F17:I17"/>
    <mergeCell ref="J17:M17"/>
    <mergeCell ref="F6:I6"/>
    <mergeCell ref="J6:M6"/>
    <mergeCell ref="F146:I146"/>
    <mergeCell ref="J146:M146"/>
  </mergeCells>
  <phoneticPr fontId="0" type="noConversion"/>
  <printOptions horizontalCentered="1"/>
  <pageMargins left="0.5" right="0.5" top="0.5" bottom="0.7" header="0.3" footer="0.5"/>
  <pageSetup scale="55" fitToHeight="0" orientation="landscape" r:id="rId10"/>
  <headerFooter>
    <oddFooter>&amp;R&amp;A</oddFooter>
  </headerFooter>
  <rowBreaks count="1" manualBreakCount="1">
    <brk id="36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topLeftCell="A19" workbookViewId="0">
      <selection activeCell="L6" sqref="L6"/>
    </sheetView>
  </sheetViews>
  <sheetFormatPr defaultRowHeight="13.2"/>
  <cols>
    <col min="1" max="1" width="5.5546875" bestFit="1" customWidth="1"/>
    <col min="2" max="3" width="16.33203125" customWidth="1"/>
    <col min="4" max="4" width="16.109375" bestFit="1" customWidth="1"/>
    <col min="5" max="5" width="14.6640625" bestFit="1" customWidth="1"/>
    <col min="6" max="6" width="28.33203125" bestFit="1" customWidth="1"/>
  </cols>
  <sheetData>
    <row r="1" spans="1:6">
      <c r="A1" s="2390" t="str">
        <f>+'MISO Cover'!C6</f>
        <v>Entergy Louisiana, LLC</v>
      </c>
      <c r="B1" s="2390"/>
      <c r="C1" s="2390"/>
      <c r="D1" s="2390"/>
      <c r="E1" s="2390"/>
      <c r="F1" s="2390"/>
    </row>
    <row r="2" spans="1:6">
      <c r="A2" s="2391" t="s">
        <v>1485</v>
      </c>
      <c r="B2" s="2391"/>
      <c r="C2" s="2391"/>
      <c r="D2" s="2391"/>
      <c r="E2" s="2391"/>
      <c r="F2" s="2391"/>
    </row>
    <row r="3" spans="1:6">
      <c r="A3" s="2390" t="str">
        <f>+'MISO Cover'!K4</f>
        <v>For  the 12 Months Ended 12/31/2017</v>
      </c>
      <c r="B3" s="2390"/>
      <c r="C3" s="2390"/>
      <c r="D3" s="2390"/>
      <c r="E3" s="2390"/>
      <c r="F3" s="2390"/>
    </row>
    <row r="5" spans="1:6">
      <c r="A5" t="s">
        <v>280</v>
      </c>
      <c r="B5" s="188" t="s">
        <v>67</v>
      </c>
      <c r="C5" s="188" t="s">
        <v>114</v>
      </c>
      <c r="D5" s="188" t="s">
        <v>55</v>
      </c>
      <c r="E5" s="188" t="s">
        <v>68</v>
      </c>
      <c r="F5" s="188" t="s">
        <v>66</v>
      </c>
    </row>
    <row r="6" spans="1:6">
      <c r="B6" s="188"/>
      <c r="C6" s="188"/>
      <c r="D6" s="188"/>
      <c r="E6" s="188"/>
      <c r="F6" s="188"/>
    </row>
    <row r="7" spans="1:6" ht="15">
      <c r="A7" s="188">
        <v>1</v>
      </c>
      <c r="B7" s="1493" t="s">
        <v>1471</v>
      </c>
      <c r="C7" s="1493" t="s">
        <v>1472</v>
      </c>
      <c r="D7" s="1494" t="s">
        <v>1473</v>
      </c>
      <c r="E7" s="1494" t="s">
        <v>1474</v>
      </c>
      <c r="F7" s="1495" t="s">
        <v>139</v>
      </c>
    </row>
    <row r="8" spans="1:6">
      <c r="A8" s="188">
        <f>+A7+1</f>
        <v>2</v>
      </c>
      <c r="B8" t="s">
        <v>414</v>
      </c>
      <c r="C8" t="s">
        <v>1475</v>
      </c>
      <c r="D8" s="1496">
        <v>448770512</v>
      </c>
      <c r="E8" s="1496">
        <v>475661329</v>
      </c>
      <c r="F8" s="1481" t="s">
        <v>535</v>
      </c>
    </row>
    <row r="9" spans="1:6">
      <c r="A9" s="188">
        <f t="shared" ref="A9:A35" si="0">+A8+1</f>
        <v>3</v>
      </c>
      <c r="C9" t="s">
        <v>1476</v>
      </c>
      <c r="D9" s="1497">
        <f>+'WP04 PIS'!C28</f>
        <v>448770512</v>
      </c>
      <c r="E9" s="1497">
        <f>+'WP04 PIS'!C40</f>
        <v>475952331.31999999</v>
      </c>
      <c r="F9" s="1481" t="s">
        <v>1477</v>
      </c>
    </row>
    <row r="10" spans="1:6">
      <c r="A10" s="188">
        <f t="shared" si="0"/>
        <v>4</v>
      </c>
      <c r="C10" t="s">
        <v>1478</v>
      </c>
      <c r="D10" s="1462">
        <f>+D8-D9</f>
        <v>0</v>
      </c>
      <c r="E10" s="1462">
        <f>+E8-E9</f>
        <v>-291002.31999999285</v>
      </c>
      <c r="F10" s="1481" t="str">
        <f>+"Ln "&amp;A8&amp;" - Ln "&amp;A9</f>
        <v>Ln 2 - Ln 3</v>
      </c>
    </row>
    <row r="11" spans="1:6">
      <c r="A11" s="188">
        <f t="shared" si="0"/>
        <v>5</v>
      </c>
      <c r="D11" s="1462"/>
      <c r="E11" s="1462"/>
      <c r="F11" s="1481"/>
    </row>
    <row r="12" spans="1:6">
      <c r="A12" s="188">
        <f t="shared" si="0"/>
        <v>6</v>
      </c>
      <c r="B12" t="s">
        <v>601</v>
      </c>
      <c r="C12" t="s">
        <v>1475</v>
      </c>
      <c r="D12" s="1496">
        <v>1065138211</v>
      </c>
      <c r="E12" s="1496">
        <v>1122013979</v>
      </c>
      <c r="F12" s="1481" t="s">
        <v>1060</v>
      </c>
    </row>
    <row r="13" spans="1:6">
      <c r="A13" s="188">
        <f t="shared" si="0"/>
        <v>7</v>
      </c>
      <c r="C13" t="s">
        <v>1476</v>
      </c>
      <c r="D13" s="1497">
        <f>+'WP04 PIS'!G28</f>
        <v>1045526805</v>
      </c>
      <c r="E13" s="1497">
        <f>+'WP04 PIS'!G40</f>
        <v>1081508377.6900001</v>
      </c>
      <c r="F13" s="1481" t="str">
        <f>+F9</f>
        <v>WP04 Ln 23 &amp; 35 (3)</v>
      </c>
    </row>
    <row r="14" spans="1:6">
      <c r="A14" s="188">
        <f t="shared" si="0"/>
        <v>8</v>
      </c>
      <c r="C14" t="s">
        <v>1478</v>
      </c>
      <c r="D14" s="1462">
        <f>+D12-D13</f>
        <v>19611406</v>
      </c>
      <c r="E14" s="1462">
        <f>+E12-E13</f>
        <v>40505601.309999943</v>
      </c>
      <c r="F14" s="1481" t="str">
        <f>+"Ln "&amp;A12&amp;" - Ln "&amp;A13</f>
        <v>Ln 6 - Ln 7</v>
      </c>
    </row>
    <row r="15" spans="1:6">
      <c r="A15" s="188">
        <f t="shared" si="0"/>
        <v>9</v>
      </c>
      <c r="D15" s="1462"/>
      <c r="E15" s="1462"/>
      <c r="F15" s="1481"/>
    </row>
    <row r="16" spans="1:6">
      <c r="A16" s="188">
        <f t="shared" si="0"/>
        <v>10</v>
      </c>
      <c r="B16" t="s">
        <v>189</v>
      </c>
      <c r="C16" t="s">
        <v>1475</v>
      </c>
      <c r="D16" s="1496">
        <v>-49709607</v>
      </c>
      <c r="E16" s="1496">
        <v>-57258905</v>
      </c>
      <c r="F16" s="1481" t="s">
        <v>536</v>
      </c>
    </row>
    <row r="17" spans="1:6">
      <c r="A17" s="188">
        <f t="shared" si="0"/>
        <v>11</v>
      </c>
      <c r="C17" t="s">
        <v>2171</v>
      </c>
      <c r="D17" s="2115">
        <f>+'WP AJ6 GPRD'!C9</f>
        <v>123989261.2</v>
      </c>
      <c r="E17" s="2115">
        <f>+'WP AJ6 GPRD'!D9</f>
        <v>115132885.40000001</v>
      </c>
      <c r="F17" s="1481" t="s">
        <v>2314</v>
      </c>
    </row>
    <row r="18" spans="1:6">
      <c r="A18" s="188">
        <f t="shared" si="0"/>
        <v>12</v>
      </c>
      <c r="C18" t="s">
        <v>1476</v>
      </c>
      <c r="D18" s="1497">
        <f>+'WP04 PIS'!K28</f>
        <v>87147621.000000015</v>
      </c>
      <c r="E18" s="1497">
        <f>+'WP04 PIS'!K40</f>
        <v>83828442.670000017</v>
      </c>
      <c r="F18" s="1481" t="str">
        <f>+F9</f>
        <v>WP04 Ln 23 &amp; 35 (3)</v>
      </c>
    </row>
    <row r="19" spans="1:6">
      <c r="A19" s="188">
        <f t="shared" si="0"/>
        <v>13</v>
      </c>
      <c r="C19" t="s">
        <v>1478</v>
      </c>
      <c r="D19" s="1462">
        <f>+D16+D17-D18</f>
        <v>-12867966.800000012</v>
      </c>
      <c r="E19" s="1462">
        <f>+E16+E17-E18</f>
        <v>-25954462.270000011</v>
      </c>
      <c r="F19" s="1481" t="str">
        <f>+"Ln "&amp;A16&amp;" + Ln "&amp;A17&amp;" - Ln "&amp;A18</f>
        <v>Ln 10 + Ln 11 - Ln 12</v>
      </c>
    </row>
    <row r="20" spans="1:6">
      <c r="A20" s="188">
        <f t="shared" si="0"/>
        <v>14</v>
      </c>
      <c r="D20" s="1462"/>
      <c r="E20" s="1462"/>
      <c r="F20" s="1481"/>
    </row>
    <row r="21" spans="1:6">
      <c r="A21" s="188">
        <f t="shared" si="0"/>
        <v>15</v>
      </c>
      <c r="B21" t="s">
        <v>413</v>
      </c>
      <c r="D21" s="2115"/>
      <c r="E21" s="2115"/>
      <c r="F21" s="1481"/>
    </row>
    <row r="22" spans="1:6">
      <c r="A22" s="188">
        <f t="shared" si="0"/>
        <v>16</v>
      </c>
      <c r="B22" s="1481" t="s">
        <v>2172</v>
      </c>
      <c r="C22" t="s">
        <v>1475</v>
      </c>
      <c r="D22" s="1496">
        <v>1246477442</v>
      </c>
      <c r="E22" s="1496">
        <v>1235669741</v>
      </c>
      <c r="F22" s="1481" t="s">
        <v>2173</v>
      </c>
    </row>
    <row r="23" spans="1:6">
      <c r="A23" s="188">
        <f t="shared" si="0"/>
        <v>17</v>
      </c>
      <c r="B23" s="1481" t="s">
        <v>1047</v>
      </c>
      <c r="C23" t="s">
        <v>1475</v>
      </c>
      <c r="D23" s="1496">
        <v>3869651164</v>
      </c>
      <c r="E23" s="1496">
        <v>3933422850</v>
      </c>
      <c r="F23" s="1481" t="s">
        <v>2174</v>
      </c>
    </row>
    <row r="24" spans="1:6">
      <c r="A24" s="188">
        <f t="shared" si="0"/>
        <v>18</v>
      </c>
      <c r="B24" s="1481" t="s">
        <v>2175</v>
      </c>
      <c r="C24" t="s">
        <v>1475</v>
      </c>
      <c r="D24" s="1496">
        <v>0</v>
      </c>
      <c r="E24" s="1496"/>
      <c r="F24" s="1481" t="s">
        <v>2176</v>
      </c>
    </row>
    <row r="25" spans="1:6">
      <c r="A25" s="188">
        <f t="shared" si="0"/>
        <v>19</v>
      </c>
      <c r="B25" s="1481" t="s">
        <v>153</v>
      </c>
      <c r="C25" t="s">
        <v>1475</v>
      </c>
      <c r="D25" s="1496">
        <v>643491907</v>
      </c>
      <c r="E25" s="1496">
        <v>687279134</v>
      </c>
      <c r="F25" s="1481" t="s">
        <v>2177</v>
      </c>
    </row>
    <row r="26" spans="1:6">
      <c r="A26" s="188">
        <f t="shared" si="0"/>
        <v>20</v>
      </c>
      <c r="C26" t="s">
        <v>1476</v>
      </c>
      <c r="D26" s="1462">
        <f>+'WP04 PIS'!F28</f>
        <v>5758541385</v>
      </c>
      <c r="E26" s="1462">
        <f>+'WP04 PIS'!F40</f>
        <v>5856768317.9200001</v>
      </c>
      <c r="F26" s="1481" t="str">
        <f>+F18</f>
        <v>WP04 Ln 23 &amp; 35 (3)</v>
      </c>
    </row>
    <row r="27" spans="1:6">
      <c r="A27" s="188">
        <f t="shared" si="0"/>
        <v>21</v>
      </c>
      <c r="C27" t="s">
        <v>1478</v>
      </c>
      <c r="D27" s="1487">
        <f>+SUM(D22:D25)-D26</f>
        <v>1079128</v>
      </c>
      <c r="E27" s="1487">
        <f>+SUM(E22:E25)-E26</f>
        <v>-396592.92000007629</v>
      </c>
      <c r="F27" s="2116" t="str">
        <f>+"Sum(Ln "&amp;A22&amp;" Thru Ln "&amp;A25&amp;") - Ln "&amp;A26</f>
        <v>Sum(Ln 16 Thru Ln 19) - Ln 20</v>
      </c>
    </row>
    <row r="28" spans="1:6">
      <c r="A28" s="188">
        <f t="shared" si="0"/>
        <v>22</v>
      </c>
      <c r="D28" s="1462"/>
      <c r="E28" s="1462"/>
      <c r="F28" s="1481"/>
    </row>
    <row r="29" spans="1:6">
      <c r="A29" s="188">
        <f t="shared" si="0"/>
        <v>23</v>
      </c>
      <c r="B29" t="s">
        <v>20</v>
      </c>
      <c r="C29" t="s">
        <v>1475</v>
      </c>
      <c r="D29" s="1496">
        <v>1319724931</v>
      </c>
      <c r="E29" s="1496">
        <v>1399141569</v>
      </c>
      <c r="F29" s="1481" t="s">
        <v>2315</v>
      </c>
    </row>
    <row r="30" spans="1:6">
      <c r="A30" s="188">
        <f t="shared" si="0"/>
        <v>24</v>
      </c>
      <c r="C30" t="s">
        <v>1476</v>
      </c>
      <c r="D30" s="1462">
        <f>+'WP04 PIS'!J28</f>
        <v>1325651776</v>
      </c>
      <c r="E30" s="1462">
        <f>+'WP04 PIS'!J40</f>
        <v>1411191732.0400002</v>
      </c>
      <c r="F30" s="1481" t="str">
        <f>+F26</f>
        <v>WP04 Ln 23 &amp; 35 (3)</v>
      </c>
    </row>
    <row r="31" spans="1:6">
      <c r="A31" s="188">
        <f t="shared" si="0"/>
        <v>25</v>
      </c>
      <c r="C31" t="s">
        <v>1478</v>
      </c>
      <c r="D31" s="1487">
        <f>D29-D30</f>
        <v>-5926845</v>
      </c>
      <c r="E31" s="1487">
        <f>E29-E30</f>
        <v>-12050163.0400002</v>
      </c>
      <c r="F31" s="1481" t="str">
        <f>+"Ln "&amp;A29&amp;" - Ln "&amp;A30</f>
        <v>Ln 23 - Ln 24</v>
      </c>
    </row>
    <row r="32" spans="1:6">
      <c r="A32" s="188">
        <f t="shared" si="0"/>
        <v>26</v>
      </c>
      <c r="D32" s="1462"/>
      <c r="E32" s="1462"/>
      <c r="F32" s="1481"/>
    </row>
    <row r="33" spans="1:6" s="641" customFormat="1" ht="26.4">
      <c r="A33" s="2245">
        <f t="shared" si="0"/>
        <v>27</v>
      </c>
      <c r="B33" s="641" t="s">
        <v>113</v>
      </c>
      <c r="D33" s="2246">
        <f>+D10+D14+D19+D27+D31</f>
        <v>1895722.1999999881</v>
      </c>
      <c r="E33" s="2246">
        <f>+E10+E14+E19+E27+E31</f>
        <v>1813380.7599996626</v>
      </c>
      <c r="F33" s="2247" t="str">
        <f>+"Ln "&amp;A10&amp;" + Ln "&amp;A14&amp;" + Ln "&amp;A19&amp;" + Ln "&amp;A27&amp;"
 + Ln "&amp;A31</f>
        <v>Ln 4 + Ln 8 + Ln 13 + Ln 21
 + Ln 25</v>
      </c>
    </row>
    <row r="34" spans="1:6">
      <c r="A34" s="188">
        <f t="shared" si="0"/>
        <v>28</v>
      </c>
      <c r="B34" t="s">
        <v>1479</v>
      </c>
      <c r="D34" s="1498">
        <v>0.38477366255144019</v>
      </c>
      <c r="E34" s="1498">
        <v>0.38477366255144019</v>
      </c>
      <c r="F34" s="1481" t="s">
        <v>1480</v>
      </c>
    </row>
    <row r="35" spans="1:6">
      <c r="A35" s="188">
        <f t="shared" si="0"/>
        <v>29</v>
      </c>
      <c r="B35" t="s">
        <v>1483</v>
      </c>
      <c r="D35" s="1462">
        <f>+D33*D34</f>
        <v>729423.97407406918</v>
      </c>
      <c r="E35" s="1462">
        <f>+E33*E34</f>
        <v>697741.15662538435</v>
      </c>
      <c r="F35" s="1481" t="str">
        <f>+"Ln "&amp;A33&amp;" * Ln "&amp;A34</f>
        <v>Ln 27 * Ln 28</v>
      </c>
    </row>
    <row r="37" spans="1:6">
      <c r="A37" t="s">
        <v>124</v>
      </c>
    </row>
    <row r="38" spans="1:6">
      <c r="A38" s="1499" t="s">
        <v>167</v>
      </c>
      <c r="B38" s="2389" t="s">
        <v>1481</v>
      </c>
      <c r="C38" s="2389"/>
      <c r="D38" s="2389"/>
      <c r="E38" s="2389"/>
      <c r="F38" s="2389"/>
    </row>
    <row r="39" spans="1:6">
      <c r="A39" s="1500" t="s">
        <v>320</v>
      </c>
      <c r="B39" t="s">
        <v>1482</v>
      </c>
    </row>
    <row r="40" spans="1:6">
      <c r="A40" s="1500" t="s">
        <v>321</v>
      </c>
      <c r="B40" t="s">
        <v>1484</v>
      </c>
    </row>
  </sheetData>
  <mergeCells count="4">
    <mergeCell ref="B38:F38"/>
    <mergeCell ref="A1:F1"/>
    <mergeCell ref="A2:F2"/>
    <mergeCell ref="A3:F3"/>
  </mergeCells>
  <printOptions horizontalCentered="1"/>
  <pageMargins left="0.45" right="0.45" top="0.75" bottom="0.75" header="0.3" footer="0.5"/>
  <pageSetup scale="95" orientation="portrait"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2"/>
  <sheetViews>
    <sheetView zoomScaleNormal="100" workbookViewId="0">
      <selection sqref="A1:N1"/>
    </sheetView>
  </sheetViews>
  <sheetFormatPr defaultColWidth="9.109375" defaultRowHeight="13.2"/>
  <cols>
    <col min="1" max="1" width="6.6640625" style="693" customWidth="1"/>
    <col min="2" max="2" width="6.88671875" style="693" customWidth="1"/>
    <col min="3" max="3" width="28.6640625" style="693" customWidth="1"/>
    <col min="4" max="4" width="14.44140625" style="1458" customWidth="1"/>
    <col min="5" max="5" width="14.44140625" style="1429" customWidth="1"/>
    <col min="6" max="6" width="15.6640625" style="1429" customWidth="1"/>
    <col min="7" max="8" width="15.6640625" style="887" customWidth="1"/>
    <col min="9" max="9" width="14" style="887" customWidth="1"/>
    <col min="10" max="12" width="15.6640625" style="887" customWidth="1"/>
    <col min="13" max="13" width="14" style="887" customWidth="1"/>
    <col min="14" max="14" width="40.6640625" style="170" hidden="1" customWidth="1"/>
    <col min="15" max="15" width="7.109375" style="1792" hidden="1" customWidth="1"/>
    <col min="16" max="16" width="15.44140625" style="1937" bestFit="1" customWidth="1"/>
    <col min="17" max="17" width="6.6640625" style="693" customWidth="1"/>
    <col min="18" max="18" width="8" style="1937" customWidth="1"/>
    <col min="19" max="19" width="28.88671875" style="496" customWidth="1"/>
    <col min="20" max="23" width="13" style="496" customWidth="1"/>
    <col min="24" max="24" width="13.6640625" style="496" bestFit="1" customWidth="1"/>
    <col min="25" max="16384" width="9.109375" style="496"/>
  </cols>
  <sheetData>
    <row r="1" spans="1:24">
      <c r="A1" s="2393" t="str">
        <f>+'MISO Cover'!C6</f>
        <v>Entergy Louisiana, LLC</v>
      </c>
      <c r="B1" s="2394"/>
      <c r="C1" s="2394"/>
      <c r="D1" s="2394"/>
      <c r="E1" s="2394"/>
      <c r="F1" s="2394"/>
      <c r="G1" s="2394"/>
      <c r="H1" s="2394"/>
      <c r="I1" s="2395"/>
      <c r="J1" s="2395"/>
      <c r="K1" s="2395"/>
      <c r="L1" s="2394"/>
      <c r="M1" s="2394"/>
      <c r="N1" s="2394"/>
      <c r="Q1" s="1937"/>
    </row>
    <row r="2" spans="1:24" s="170" customFormat="1" ht="15" customHeight="1">
      <c r="A2" s="2394" t="s">
        <v>1943</v>
      </c>
      <c r="B2" s="2394"/>
      <c r="C2" s="2394"/>
      <c r="D2" s="2394"/>
      <c r="E2" s="2394"/>
      <c r="F2" s="2394"/>
      <c r="G2" s="2394"/>
      <c r="H2" s="2394"/>
      <c r="I2" s="2394"/>
      <c r="J2" s="2394"/>
      <c r="K2" s="2394"/>
      <c r="L2" s="2394"/>
      <c r="M2" s="2394"/>
      <c r="N2" s="2394"/>
      <c r="O2" s="1938"/>
      <c r="P2" s="1939"/>
      <c r="Q2" s="1939"/>
      <c r="R2" s="1939"/>
    </row>
    <row r="3" spans="1:24">
      <c r="A3" s="2393" t="str">
        <f>+'MISO Cover'!K4</f>
        <v>For  the 12 Months Ended 12/31/2017</v>
      </c>
      <c r="B3" s="2394"/>
      <c r="C3" s="2394"/>
      <c r="D3" s="2394"/>
      <c r="E3" s="2394"/>
      <c r="F3" s="2394"/>
      <c r="G3" s="2394"/>
      <c r="H3" s="2394"/>
      <c r="I3" s="2394"/>
      <c r="J3" s="2394"/>
      <c r="K3" s="2394"/>
      <c r="L3" s="2394"/>
      <c r="M3" s="2394"/>
      <c r="N3" s="2394"/>
      <c r="O3" s="1938"/>
      <c r="P3" s="1939"/>
      <c r="Q3" s="1939"/>
      <c r="R3" s="1939"/>
    </row>
    <row r="4" spans="1:24" ht="16.8">
      <c r="A4" s="2324" t="s">
        <v>148</v>
      </c>
      <c r="B4" s="1896"/>
      <c r="C4" s="1896"/>
      <c r="D4" s="1687"/>
      <c r="F4" s="2399" t="s">
        <v>2195</v>
      </c>
      <c r="G4" s="2399"/>
      <c r="H4" s="2399"/>
      <c r="I4" s="2399"/>
      <c r="J4" s="2399" t="s">
        <v>2196</v>
      </c>
      <c r="K4" s="2399"/>
      <c r="L4" s="2399"/>
      <c r="M4" s="2399"/>
      <c r="N4" s="1427"/>
      <c r="O4" s="1938"/>
      <c r="P4" s="1939"/>
      <c r="Q4" s="2324" t="s">
        <v>148</v>
      </c>
      <c r="R4" s="1939"/>
    </row>
    <row r="5" spans="1:24" s="170" customFormat="1">
      <c r="A5" s="2324"/>
      <c r="B5" s="1688" t="s">
        <v>67</v>
      </c>
      <c r="C5" s="1688" t="s">
        <v>114</v>
      </c>
      <c r="D5" s="1689" t="s">
        <v>55</v>
      </c>
      <c r="E5" s="1689" t="s">
        <v>68</v>
      </c>
      <c r="F5" s="1430" t="s">
        <v>66</v>
      </c>
      <c r="G5" s="1430" t="s">
        <v>154</v>
      </c>
      <c r="H5" s="1430" t="s">
        <v>69</v>
      </c>
      <c r="I5" s="1430" t="s">
        <v>166</v>
      </c>
      <c r="J5" s="1430" t="s">
        <v>416</v>
      </c>
      <c r="K5" s="1430" t="s">
        <v>60</v>
      </c>
      <c r="L5" s="1430" t="s">
        <v>71</v>
      </c>
      <c r="M5" s="1430" t="s">
        <v>98</v>
      </c>
      <c r="N5" s="1828" t="s">
        <v>99</v>
      </c>
      <c r="O5" s="1938"/>
      <c r="P5" s="2151" t="s">
        <v>99</v>
      </c>
      <c r="Q5" s="2324"/>
      <c r="R5" s="2259" t="s">
        <v>67</v>
      </c>
      <c r="S5" s="2259" t="s">
        <v>114</v>
      </c>
      <c r="T5" s="2230" t="s">
        <v>155</v>
      </c>
      <c r="U5" s="2230" t="s">
        <v>221</v>
      </c>
      <c r="V5" s="2230" t="s">
        <v>222</v>
      </c>
      <c r="W5" s="2230" t="s">
        <v>223</v>
      </c>
      <c r="X5" s="2230" t="s">
        <v>224</v>
      </c>
    </row>
    <row r="6" spans="1:24" ht="16.95" customHeight="1">
      <c r="A6" s="911"/>
      <c r="B6" s="2262"/>
      <c r="C6" s="2262"/>
      <c r="D6" s="2262"/>
      <c r="E6" s="1431"/>
      <c r="F6" s="2396" t="s">
        <v>1944</v>
      </c>
      <c r="G6" s="2396"/>
      <c r="H6" s="2396"/>
      <c r="I6" s="2397"/>
      <c r="J6" s="2398" t="s">
        <v>1995</v>
      </c>
      <c r="K6" s="2396"/>
      <c r="L6" s="2396"/>
      <c r="M6" s="2397"/>
      <c r="O6" s="1938"/>
      <c r="P6" s="2157"/>
      <c r="Q6" s="911"/>
      <c r="R6" s="2157"/>
      <c r="T6" s="2398" t="s">
        <v>2242</v>
      </c>
      <c r="U6" s="2396"/>
      <c r="V6" s="2396"/>
      <c r="W6" s="2397"/>
    </row>
    <row r="7" spans="1:24" ht="33.6" customHeight="1">
      <c r="A7" s="911">
        <v>1</v>
      </c>
      <c r="B7" s="2262"/>
      <c r="C7" s="2262"/>
      <c r="D7" s="2262"/>
      <c r="E7" s="1702" t="s">
        <v>158</v>
      </c>
      <c r="F7" s="1433" t="s">
        <v>420</v>
      </c>
      <c r="G7" s="1434" t="s">
        <v>421</v>
      </c>
      <c r="H7" s="1434" t="s">
        <v>144</v>
      </c>
      <c r="I7" s="1432" t="s">
        <v>145</v>
      </c>
      <c r="J7" s="1433" t="s">
        <v>420</v>
      </c>
      <c r="K7" s="1434" t="s">
        <v>421</v>
      </c>
      <c r="L7" s="1434" t="s">
        <v>144</v>
      </c>
      <c r="M7" s="1432" t="s">
        <v>145</v>
      </c>
      <c r="N7" s="1579" t="s">
        <v>424</v>
      </c>
      <c r="O7" s="1938"/>
      <c r="P7" s="2157"/>
      <c r="Q7" s="911">
        <v>1</v>
      </c>
      <c r="R7" s="2157"/>
      <c r="T7" s="1433" t="s">
        <v>420</v>
      </c>
      <c r="U7" s="1434" t="s">
        <v>421</v>
      </c>
      <c r="V7" s="1434" t="s">
        <v>144</v>
      </c>
      <c r="W7" s="1432" t="s">
        <v>145</v>
      </c>
      <c r="X7" s="1432" t="s">
        <v>113</v>
      </c>
    </row>
    <row r="8" spans="1:24" ht="16.95" customHeight="1">
      <c r="A8" s="911">
        <f>+A7+1</f>
        <v>2</v>
      </c>
      <c r="B8" s="2262"/>
      <c r="C8" s="2262"/>
      <c r="D8" s="2262"/>
      <c r="E8" s="1436"/>
      <c r="F8" s="2379" t="s">
        <v>437</v>
      </c>
      <c r="G8" s="2379"/>
      <c r="H8" s="2379"/>
      <c r="I8" s="2380"/>
      <c r="J8" s="2379" t="s">
        <v>2255</v>
      </c>
      <c r="K8" s="2379"/>
      <c r="L8" s="2379"/>
      <c r="M8" s="2380"/>
      <c r="N8" s="496"/>
      <c r="O8" s="1938"/>
      <c r="P8" s="2157"/>
      <c r="Q8" s="911">
        <f>+Q7+1</f>
        <v>2</v>
      </c>
      <c r="R8" s="2157"/>
    </row>
    <row r="9" spans="1:24">
      <c r="A9" s="911">
        <f t="shared" ref="A9:A17" si="0">+A8+1</f>
        <v>3</v>
      </c>
      <c r="B9" s="2262"/>
      <c r="C9" s="2262"/>
      <c r="D9" s="2262"/>
      <c r="E9" s="1320" t="s">
        <v>136</v>
      </c>
      <c r="F9" s="903">
        <f t="shared" ref="F9:M9" si="1">+F144</f>
        <v>49385694.210000008</v>
      </c>
      <c r="G9" s="903">
        <f t="shared" si="1"/>
        <v>0</v>
      </c>
      <c r="H9" s="903">
        <f t="shared" si="1"/>
        <v>282053794.97499996</v>
      </c>
      <c r="I9" s="1320">
        <f t="shared" si="1"/>
        <v>-20244118.180000003</v>
      </c>
      <c r="J9" s="1377">
        <f t="shared" si="1"/>
        <v>28782088.943749987</v>
      </c>
      <c r="K9" s="903">
        <f t="shared" si="1"/>
        <v>0</v>
      </c>
      <c r="L9" s="903">
        <f t="shared" si="1"/>
        <v>384190322.13443893</v>
      </c>
      <c r="M9" s="1320">
        <f t="shared" si="1"/>
        <v>-11809069.717499999</v>
      </c>
      <c r="N9" s="256" t="str">
        <f>+"Ln "&amp;A143</f>
        <v>Ln 14.1</v>
      </c>
      <c r="O9" s="1938"/>
      <c r="P9" s="2157"/>
      <c r="Q9" s="911">
        <f t="shared" ref="Q9:Q17" si="2">+Q8+1</f>
        <v>3</v>
      </c>
      <c r="R9" s="2157"/>
      <c r="T9" s="505">
        <f>T144</f>
        <v>98808422.790000021</v>
      </c>
      <c r="U9" s="505">
        <f t="shared" ref="U9:W9" si="3">U144</f>
        <v>0</v>
      </c>
      <c r="V9" s="505">
        <f t="shared" si="3"/>
        <v>254000848.680792</v>
      </c>
      <c r="W9" s="505">
        <f t="shared" si="3"/>
        <v>-40488235.260000005</v>
      </c>
      <c r="X9" s="505">
        <f>SUM(T9:W9)</f>
        <v>312321036.21079206</v>
      </c>
    </row>
    <row r="10" spans="1:24">
      <c r="A10" s="911">
        <f t="shared" si="0"/>
        <v>4</v>
      </c>
      <c r="B10" s="2262"/>
      <c r="C10" s="2262"/>
      <c r="D10" s="2262"/>
      <c r="E10" s="1320" t="s">
        <v>220</v>
      </c>
      <c r="F10" s="887">
        <v>0</v>
      </c>
      <c r="G10" s="887">
        <v>0</v>
      </c>
      <c r="H10" s="887">
        <v>0</v>
      </c>
      <c r="I10" s="1320">
        <v>0</v>
      </c>
      <c r="J10" s="1377">
        <v>0</v>
      </c>
      <c r="K10" s="903">
        <v>0</v>
      </c>
      <c r="L10" s="903">
        <v>0</v>
      </c>
      <c r="M10" s="1320">
        <v>0</v>
      </c>
      <c r="N10" s="170" t="s">
        <v>423</v>
      </c>
      <c r="O10" s="1938"/>
      <c r="P10" s="2157"/>
      <c r="Q10" s="911">
        <f t="shared" si="2"/>
        <v>4</v>
      </c>
      <c r="R10" s="2157"/>
      <c r="T10" s="505">
        <f>T158</f>
        <v>-596353.86915384396</v>
      </c>
      <c r="U10" s="505">
        <f t="shared" ref="U10:W10" si="4">U158</f>
        <v>0</v>
      </c>
      <c r="V10" s="505">
        <f t="shared" si="4"/>
        <v>0</v>
      </c>
      <c r="W10" s="505">
        <f t="shared" si="4"/>
        <v>0</v>
      </c>
      <c r="X10" s="505">
        <f t="shared" ref="X10:X12" si="5">SUM(T10:W10)</f>
        <v>-596353.86915384396</v>
      </c>
    </row>
    <row r="11" spans="1:24">
      <c r="A11" s="911">
        <f t="shared" si="0"/>
        <v>5</v>
      </c>
      <c r="B11" s="2262"/>
      <c r="C11" s="2262"/>
      <c r="D11" s="2262"/>
      <c r="E11" s="1320" t="s">
        <v>137</v>
      </c>
      <c r="F11" s="887">
        <f>+F235</f>
        <v>-4392056.7799999863</v>
      </c>
      <c r="G11" s="887">
        <f t="shared" ref="G11:M11" si="6">+G235</f>
        <v>28410.004999999932</v>
      </c>
      <c r="H11" s="887">
        <f t="shared" si="6"/>
        <v>2044230.7600000002</v>
      </c>
      <c r="I11" s="1320">
        <f t="shared" si="6"/>
        <v>-2250343.6549999998</v>
      </c>
      <c r="J11" s="1377">
        <f t="shared" si="6"/>
        <v>12603059.145059675</v>
      </c>
      <c r="K11" s="903">
        <f t="shared" si="6"/>
        <v>2618557.2436616668</v>
      </c>
      <c r="L11" s="903">
        <f t="shared" si="6"/>
        <v>159887649.04683855</v>
      </c>
      <c r="M11" s="1320">
        <f t="shared" si="6"/>
        <v>1786438.2807511906</v>
      </c>
      <c r="N11" s="256" t="str">
        <f>+"Ln "&amp;A214</f>
        <v>Ln 23.5400000000001</v>
      </c>
      <c r="O11" s="2156"/>
      <c r="P11" s="2400" t="s">
        <v>2242</v>
      </c>
      <c r="Q11" s="911">
        <f t="shared" si="2"/>
        <v>5</v>
      </c>
      <c r="R11" s="2260"/>
      <c r="T11" s="505">
        <f>T235</f>
        <v>-30193655.583613645</v>
      </c>
      <c r="U11" s="505">
        <f t="shared" ref="U11:W11" si="7">U235</f>
        <v>-3616570.2122282358</v>
      </c>
      <c r="V11" s="505">
        <f t="shared" si="7"/>
        <v>-219951794.15553683</v>
      </c>
      <c r="W11" s="505">
        <f t="shared" si="7"/>
        <v>-8875942.0104722679</v>
      </c>
      <c r="X11" s="505">
        <f t="shared" si="5"/>
        <v>-262637961.96185097</v>
      </c>
    </row>
    <row r="12" spans="1:24" ht="15" customHeight="1">
      <c r="A12" s="911">
        <f t="shared" si="0"/>
        <v>6</v>
      </c>
      <c r="B12" s="2262"/>
      <c r="C12" s="2262"/>
      <c r="D12" s="2262"/>
      <c r="E12" s="1320" t="s">
        <v>138</v>
      </c>
      <c r="F12" s="1321">
        <f>+F311</f>
        <v>-283060468.50999999</v>
      </c>
      <c r="G12" s="1321">
        <f t="shared" ref="G12:M12" si="8">+G311</f>
        <v>-223431.39999999997</v>
      </c>
      <c r="H12" s="1321">
        <f t="shared" si="8"/>
        <v>-2059117.6199999996</v>
      </c>
      <c r="I12" s="1322">
        <f t="shared" si="8"/>
        <v>0</v>
      </c>
      <c r="J12" s="1378">
        <f t="shared" si="8"/>
        <v>-539162388.8837831</v>
      </c>
      <c r="K12" s="1328">
        <f t="shared" si="8"/>
        <v>-130334.98333333324</v>
      </c>
      <c r="L12" s="1328">
        <f t="shared" si="8"/>
        <v>-1201152.2637499995</v>
      </c>
      <c r="M12" s="1322">
        <f t="shared" si="8"/>
        <v>0</v>
      </c>
      <c r="N12" s="256" t="str">
        <f>+"Ln "&amp;A261</f>
        <v>Ln 29.24</v>
      </c>
      <c r="O12" s="2154"/>
      <c r="P12" s="2401"/>
      <c r="Q12" s="911">
        <f t="shared" si="2"/>
        <v>6</v>
      </c>
      <c r="R12" s="2260"/>
      <c r="T12" s="1322">
        <f>T311</f>
        <v>-38059126.780541494</v>
      </c>
      <c r="U12" s="1322">
        <f t="shared" ref="U12:W12" si="9">U311</f>
        <v>-446862.8</v>
      </c>
      <c r="V12" s="1322">
        <f t="shared" si="9"/>
        <v>-4118234.7899999991</v>
      </c>
      <c r="W12" s="1322">
        <f t="shared" si="9"/>
        <v>0</v>
      </c>
      <c r="X12" s="1322">
        <f t="shared" si="5"/>
        <v>-42624224.370541491</v>
      </c>
    </row>
    <row r="13" spans="1:24">
      <c r="A13" s="911">
        <f t="shared" si="0"/>
        <v>7</v>
      </c>
      <c r="B13" s="2262"/>
      <c r="C13" s="2262"/>
      <c r="D13" s="2262"/>
      <c r="E13" s="1320" t="s">
        <v>419</v>
      </c>
      <c r="F13" s="887">
        <f t="shared" ref="F13:M13" si="10">+SUM(F9:F12)</f>
        <v>-238066831.07999998</v>
      </c>
      <c r="G13" s="887">
        <f t="shared" si="10"/>
        <v>-195021.39500000002</v>
      </c>
      <c r="H13" s="887">
        <f t="shared" si="10"/>
        <v>282038908.11499995</v>
      </c>
      <c r="I13" s="1320">
        <f t="shared" si="10"/>
        <v>-22494461.835000005</v>
      </c>
      <c r="J13" s="1377">
        <f t="shared" si="10"/>
        <v>-497777240.79497343</v>
      </c>
      <c r="K13" s="903">
        <f t="shared" si="10"/>
        <v>2488222.2603283334</v>
      </c>
      <c r="L13" s="903">
        <f t="shared" si="10"/>
        <v>542876818.91752756</v>
      </c>
      <c r="M13" s="1320">
        <f t="shared" si="10"/>
        <v>-10022631.436748808</v>
      </c>
      <c r="N13" s="1830" t="str">
        <f>+"Sum of Ln "&amp;A9&amp;" + "&amp;A10&amp;" + "&amp;A11&amp;" + "&amp;A12</f>
        <v>Sum of Ln 3 + 4 + 5 + 6</v>
      </c>
      <c r="O13" s="2155"/>
      <c r="P13" s="2401"/>
      <c r="Q13" s="911">
        <f t="shared" si="2"/>
        <v>7</v>
      </c>
      <c r="R13" s="2260"/>
      <c r="T13" s="505">
        <f>SUM(T9:T12)</f>
        <v>29959286.556691036</v>
      </c>
      <c r="U13" s="505">
        <f t="shared" ref="U13:X13" si="11">SUM(U9:U12)</f>
        <v>-4063433.0122282356</v>
      </c>
      <c r="V13" s="505">
        <f t="shared" si="11"/>
        <v>29930819.735255174</v>
      </c>
      <c r="W13" s="505">
        <f t="shared" si="11"/>
        <v>-49364177.270472273</v>
      </c>
      <c r="X13" s="505">
        <f t="shared" si="11"/>
        <v>6462496.0092457458</v>
      </c>
    </row>
    <row r="14" spans="1:24">
      <c r="A14" s="911">
        <f t="shared" si="0"/>
        <v>8</v>
      </c>
      <c r="B14" s="2262"/>
      <c r="C14" s="2262"/>
      <c r="D14" s="2262"/>
      <c r="E14" s="1320"/>
      <c r="F14" s="887"/>
      <c r="I14" s="1320"/>
      <c r="J14" s="1377"/>
      <c r="K14" s="903"/>
      <c r="L14" s="903"/>
      <c r="M14" s="1320"/>
      <c r="O14" s="2155"/>
      <c r="P14" s="2401"/>
      <c r="Q14" s="911">
        <f t="shared" si="2"/>
        <v>8</v>
      </c>
      <c r="R14" s="2260"/>
    </row>
    <row r="15" spans="1:24" ht="16.95" customHeight="1">
      <c r="A15" s="911">
        <f t="shared" si="0"/>
        <v>9</v>
      </c>
      <c r="B15" s="2262"/>
      <c r="C15" s="2262"/>
      <c r="D15" s="2262"/>
      <c r="E15" s="2392" t="s">
        <v>2195</v>
      </c>
      <c r="F15" s="2396" t="str">
        <f>+F6</f>
        <v>True-up Adjustment: Avg Begin of Yr &amp; End of Yr</v>
      </c>
      <c r="G15" s="2396"/>
      <c r="H15" s="2396"/>
      <c r="I15" s="2397"/>
      <c r="J15" s="2398" t="str">
        <f>+J6</f>
        <v xml:space="preserve">Projected Adjustment: Average Unprotected Excess ADIT </v>
      </c>
      <c r="K15" s="2396"/>
      <c r="L15" s="2396"/>
      <c r="M15" s="2397"/>
      <c r="O15" s="2155"/>
      <c r="P15" s="2402"/>
      <c r="Q15" s="911">
        <f t="shared" si="2"/>
        <v>9</v>
      </c>
      <c r="R15" s="2260"/>
    </row>
    <row r="16" spans="1:24" ht="43.95" customHeight="1">
      <c r="A16" s="911">
        <f t="shared" si="0"/>
        <v>10</v>
      </c>
      <c r="C16" s="911"/>
      <c r="D16" s="1701" t="s">
        <v>163</v>
      </c>
      <c r="E16" s="2392"/>
      <c r="F16" s="1433" t="s">
        <v>420</v>
      </c>
      <c r="G16" s="1434" t="s">
        <v>421</v>
      </c>
      <c r="H16" s="1434" t="s">
        <v>144</v>
      </c>
      <c r="I16" s="1432" t="s">
        <v>145</v>
      </c>
      <c r="J16" s="1433" t="s">
        <v>420</v>
      </c>
      <c r="K16" s="1434" t="s">
        <v>421</v>
      </c>
      <c r="L16" s="1434" t="s">
        <v>144</v>
      </c>
      <c r="M16" s="1432" t="s">
        <v>145</v>
      </c>
      <c r="N16" s="1579" t="s">
        <v>49</v>
      </c>
      <c r="O16" s="1940"/>
      <c r="P16" s="2158" t="s">
        <v>146</v>
      </c>
      <c r="Q16" s="911">
        <f t="shared" si="2"/>
        <v>10</v>
      </c>
      <c r="R16" s="2261"/>
      <c r="T16" s="1433" t="s">
        <v>420</v>
      </c>
      <c r="U16" s="1434" t="s">
        <v>421</v>
      </c>
      <c r="V16" s="1434" t="s">
        <v>144</v>
      </c>
      <c r="W16" s="1432" t="s">
        <v>145</v>
      </c>
      <c r="X16" s="1432" t="s">
        <v>113</v>
      </c>
    </row>
    <row r="17" spans="1:24" ht="16.8">
      <c r="A17" s="911">
        <f t="shared" si="0"/>
        <v>11</v>
      </c>
      <c r="B17" s="911" t="s">
        <v>136</v>
      </c>
      <c r="C17" s="911"/>
      <c r="D17" s="1435"/>
      <c r="E17" s="1436"/>
      <c r="F17" s="2379" t="str">
        <f>F8</f>
        <v>Average of BOY/EOY (Col (C+D)/2)</v>
      </c>
      <c r="G17" s="2379"/>
      <c r="H17" s="2379"/>
      <c r="I17" s="2380"/>
      <c r="J17" s="2381" t="str">
        <f>J8</f>
        <v>Col D - (Col M x  29.17%) [Note 1]</v>
      </c>
      <c r="K17" s="2379"/>
      <c r="L17" s="2379"/>
      <c r="M17" s="2380"/>
      <c r="Q17" s="911">
        <f t="shared" si="2"/>
        <v>11</v>
      </c>
      <c r="R17" s="1937" t="s">
        <v>136</v>
      </c>
    </row>
    <row r="18" spans="1:24" ht="13.2" customHeight="1">
      <c r="A18" s="1401">
        <f>+A17+0.001</f>
        <v>11.000999999999999</v>
      </c>
      <c r="B18" s="534" t="s">
        <v>1650</v>
      </c>
      <c r="C18" s="534"/>
      <c r="D18" s="694">
        <v>0</v>
      </c>
      <c r="E18" s="694">
        <v>808647</v>
      </c>
      <c r="F18" s="1377">
        <f>+SUM($D18:$E18)/2</f>
        <v>404323.5</v>
      </c>
      <c r="G18" s="903"/>
      <c r="H18" s="903"/>
      <c r="I18" s="1320"/>
      <c r="J18" s="1377">
        <f>E18-$P18*$I$316</f>
        <v>235855.375</v>
      </c>
      <c r="K18" s="903"/>
      <c r="L18" s="903"/>
      <c r="M18" s="1320"/>
      <c r="N18" s="1897" t="s">
        <v>218</v>
      </c>
      <c r="O18" s="2228">
        <v>190111</v>
      </c>
      <c r="P18" s="2227">
        <v>808647</v>
      </c>
      <c r="Q18" s="1401">
        <f>+Q17+0.001</f>
        <v>11.000999999999999</v>
      </c>
      <c r="R18" s="534" t="s">
        <v>1650</v>
      </c>
      <c r="T18" s="2227">
        <f>IF(J18&lt;&gt;0,$P18,0)</f>
        <v>808647</v>
      </c>
      <c r="U18" s="2227">
        <f>IF(K18&lt;&gt;0,$P18,0)</f>
        <v>0</v>
      </c>
      <c r="V18" s="2227">
        <f>IF(L18&lt;&gt;0,$P18,0)</f>
        <v>0</v>
      </c>
      <c r="W18" s="2227">
        <f>IF(M18&lt;&gt;0,$P18,0)</f>
        <v>0</v>
      </c>
      <c r="X18" s="505">
        <f>SUM(T18:W18)</f>
        <v>808647</v>
      </c>
    </row>
    <row r="19" spans="1:24" ht="13.2" customHeight="1">
      <c r="A19" s="1401">
        <f t="shared" ref="A19:A82" si="12">+A18+0.001</f>
        <v>11.001999999999999</v>
      </c>
      <c r="B19" s="534" t="s">
        <v>1651</v>
      </c>
      <c r="C19" s="534"/>
      <c r="D19" s="694">
        <v>0</v>
      </c>
      <c r="E19" s="694">
        <v>-64691.759999999995</v>
      </c>
      <c r="F19" s="1377">
        <f t="shared" ref="F19:F29" si="13">+SUM(D19:E19)/2</f>
        <v>-32345.879999999997</v>
      </c>
      <c r="G19" s="903"/>
      <c r="H19" s="903"/>
      <c r="I19" s="1320"/>
      <c r="J19" s="1377">
        <f t="shared" ref="J19:J29" si="14">E19-$P19*$I$316</f>
        <v>-18868.429999999993</v>
      </c>
      <c r="K19" s="903"/>
      <c r="L19" s="903"/>
      <c r="M19" s="1320"/>
      <c r="N19" s="1897" t="s">
        <v>218</v>
      </c>
      <c r="O19" s="2228">
        <v>190112</v>
      </c>
      <c r="P19" s="2227">
        <v>-64691.76</v>
      </c>
      <c r="Q19" s="1401">
        <f t="shared" ref="Q19:Q82" si="15">+Q18+0.001</f>
        <v>11.001999999999999</v>
      </c>
      <c r="R19" s="534" t="s">
        <v>1651</v>
      </c>
      <c r="T19" s="2227">
        <f t="shared" ref="T19:T82" si="16">IF(J19&lt;&gt;0,$P19,0)</f>
        <v>-64691.76</v>
      </c>
      <c r="U19" s="2227">
        <f t="shared" ref="U19:U82" si="17">IF(K19&lt;&gt;0,$P19,0)</f>
        <v>0</v>
      </c>
      <c r="V19" s="2227">
        <f t="shared" ref="V19:V82" si="18">IF(L19&lt;&gt;0,$P19,0)</f>
        <v>0</v>
      </c>
      <c r="W19" s="2227">
        <f t="shared" ref="W19:W82" si="19">IF(M19&lt;&gt;0,$P19,0)</f>
        <v>0</v>
      </c>
      <c r="X19" s="505">
        <f t="shared" ref="X19:X82" si="20">SUM(T19:W19)</f>
        <v>-64691.76</v>
      </c>
    </row>
    <row r="20" spans="1:24" ht="13.2" customHeight="1">
      <c r="A20" s="1401">
        <f t="shared" si="12"/>
        <v>11.002999999999998</v>
      </c>
      <c r="B20" s="2324" t="s">
        <v>1652</v>
      </c>
      <c r="C20" s="2324"/>
      <c r="D20" s="694">
        <v>0</v>
      </c>
      <c r="E20" s="694">
        <v>2656071.6</v>
      </c>
      <c r="F20" s="1377">
        <f t="shared" si="13"/>
        <v>1328035.8</v>
      </c>
      <c r="G20" s="903"/>
      <c r="H20" s="903"/>
      <c r="I20" s="1320"/>
      <c r="J20" s="1377">
        <f t="shared" si="14"/>
        <v>774687.55000000028</v>
      </c>
      <c r="K20" s="903"/>
      <c r="L20" s="903"/>
      <c r="M20" s="1320"/>
      <c r="N20" s="1897" t="s">
        <v>191</v>
      </c>
      <c r="O20" s="2225">
        <v>190115</v>
      </c>
      <c r="P20" s="2223">
        <v>2656071.5999999996</v>
      </c>
      <c r="Q20" s="1401">
        <f t="shared" si="15"/>
        <v>11.002999999999998</v>
      </c>
      <c r="R20" s="2223" t="s">
        <v>1652</v>
      </c>
      <c r="T20" s="2227">
        <f t="shared" si="16"/>
        <v>2656071.5999999996</v>
      </c>
      <c r="U20" s="2227">
        <f t="shared" si="17"/>
        <v>0</v>
      </c>
      <c r="V20" s="2227">
        <f t="shared" si="18"/>
        <v>0</v>
      </c>
      <c r="W20" s="2227">
        <f t="shared" si="19"/>
        <v>0</v>
      </c>
      <c r="X20" s="505">
        <f t="shared" si="20"/>
        <v>2656071.5999999996</v>
      </c>
    </row>
    <row r="21" spans="1:24" ht="13.2" customHeight="1">
      <c r="A21" s="1401">
        <f t="shared" si="12"/>
        <v>11.003999999999998</v>
      </c>
      <c r="B21" s="534" t="s">
        <v>1653</v>
      </c>
      <c r="C21" s="534"/>
      <c r="D21" s="694">
        <v>0</v>
      </c>
      <c r="E21" s="694">
        <v>-212485.73</v>
      </c>
      <c r="F21" s="1377">
        <f t="shared" si="13"/>
        <v>-106242.86500000001</v>
      </c>
      <c r="G21" s="903"/>
      <c r="H21" s="903"/>
      <c r="I21" s="1320"/>
      <c r="J21" s="1377">
        <f t="shared" si="14"/>
        <v>-61975.004583333328</v>
      </c>
      <c r="K21" s="903"/>
      <c r="L21" s="903"/>
      <c r="M21" s="1320"/>
      <c r="N21" s="1897" t="s">
        <v>191</v>
      </c>
      <c r="O21" s="2225">
        <v>190116</v>
      </c>
      <c r="P21" s="2223">
        <v>-212485.73</v>
      </c>
      <c r="Q21" s="1401">
        <f t="shared" si="15"/>
        <v>11.003999999999998</v>
      </c>
      <c r="R21" s="2223" t="s">
        <v>1653</v>
      </c>
      <c r="T21" s="2227">
        <f t="shared" si="16"/>
        <v>-212485.73</v>
      </c>
      <c r="U21" s="2227">
        <f t="shared" si="17"/>
        <v>0</v>
      </c>
      <c r="V21" s="2227">
        <f t="shared" si="18"/>
        <v>0</v>
      </c>
      <c r="W21" s="2227">
        <f t="shared" si="19"/>
        <v>0</v>
      </c>
      <c r="X21" s="505">
        <f t="shared" si="20"/>
        <v>-212485.73</v>
      </c>
    </row>
    <row r="22" spans="1:24" ht="13.2" customHeight="1">
      <c r="A22" s="1401">
        <f t="shared" si="12"/>
        <v>11.004999999999997</v>
      </c>
      <c r="B22" s="534" t="s">
        <v>1654</v>
      </c>
      <c r="C22" s="534"/>
      <c r="D22" s="694">
        <v>0</v>
      </c>
      <c r="E22" s="694">
        <v>16819645.710000001</v>
      </c>
      <c r="F22" s="1377">
        <f t="shared" si="13"/>
        <v>8409822.8550000004</v>
      </c>
      <c r="G22" s="903"/>
      <c r="H22" s="903"/>
      <c r="I22" s="1320"/>
      <c r="J22" s="1377">
        <f t="shared" si="14"/>
        <v>4905729.9987499993</v>
      </c>
      <c r="K22" s="903"/>
      <c r="L22" s="903"/>
      <c r="M22" s="1320"/>
      <c r="N22" s="1897" t="s">
        <v>191</v>
      </c>
      <c r="O22" s="2225">
        <v>190143</v>
      </c>
      <c r="P22" s="2223">
        <v>16819645.710000001</v>
      </c>
      <c r="Q22" s="1401">
        <f t="shared" si="15"/>
        <v>11.004999999999997</v>
      </c>
      <c r="R22" s="2223" t="s">
        <v>1654</v>
      </c>
      <c r="T22" s="2227">
        <f t="shared" si="16"/>
        <v>16819645.710000001</v>
      </c>
      <c r="U22" s="2227">
        <f t="shared" si="17"/>
        <v>0</v>
      </c>
      <c r="V22" s="2227">
        <f t="shared" si="18"/>
        <v>0</v>
      </c>
      <c r="W22" s="2227">
        <f t="shared" si="19"/>
        <v>0</v>
      </c>
      <c r="X22" s="505">
        <f t="shared" si="20"/>
        <v>16819645.710000001</v>
      </c>
    </row>
    <row r="23" spans="1:24" ht="13.2" customHeight="1">
      <c r="A23" s="1401">
        <f t="shared" si="12"/>
        <v>11.005999999999997</v>
      </c>
      <c r="B23" s="534" t="s">
        <v>1655</v>
      </c>
      <c r="C23" s="534"/>
      <c r="D23" s="694">
        <v>0</v>
      </c>
      <c r="E23" s="694">
        <v>-1345571.6500000001</v>
      </c>
      <c r="F23" s="1377">
        <f t="shared" si="13"/>
        <v>-672785.82500000007</v>
      </c>
      <c r="G23" s="903"/>
      <c r="H23" s="903"/>
      <c r="I23" s="1320"/>
      <c r="J23" s="1377">
        <f t="shared" si="14"/>
        <v>-392458.3979166667</v>
      </c>
      <c r="K23" s="903"/>
      <c r="L23" s="903"/>
      <c r="M23" s="1320"/>
      <c r="N23" s="1897" t="s">
        <v>191</v>
      </c>
      <c r="O23" s="2225">
        <v>190144</v>
      </c>
      <c r="P23" s="2223">
        <v>-1345571.6500000001</v>
      </c>
      <c r="Q23" s="1401">
        <f t="shared" si="15"/>
        <v>11.005999999999997</v>
      </c>
      <c r="R23" s="2223" t="s">
        <v>1655</v>
      </c>
      <c r="T23" s="2227">
        <f t="shared" si="16"/>
        <v>-1345571.6500000001</v>
      </c>
      <c r="U23" s="2227">
        <f t="shared" si="17"/>
        <v>0</v>
      </c>
      <c r="V23" s="2227">
        <f t="shared" si="18"/>
        <v>0</v>
      </c>
      <c r="W23" s="2227">
        <f t="shared" si="19"/>
        <v>0</v>
      </c>
      <c r="X23" s="505">
        <f t="shared" si="20"/>
        <v>-1345571.6500000001</v>
      </c>
    </row>
    <row r="24" spans="1:24" ht="13.2" customHeight="1">
      <c r="A24" s="1401">
        <f t="shared" si="12"/>
        <v>11.006999999999996</v>
      </c>
      <c r="B24" s="534" t="s">
        <v>1656</v>
      </c>
      <c r="C24" s="534"/>
      <c r="D24" s="694">
        <v>0</v>
      </c>
      <c r="E24" s="694"/>
      <c r="F24" s="1377">
        <f t="shared" si="13"/>
        <v>0</v>
      </c>
      <c r="G24" s="903"/>
      <c r="H24" s="903"/>
      <c r="I24" s="1320"/>
      <c r="J24" s="1377">
        <f t="shared" si="14"/>
        <v>0</v>
      </c>
      <c r="K24" s="903"/>
      <c r="L24" s="903"/>
      <c r="M24" s="1320"/>
      <c r="N24" s="1897" t="s">
        <v>219</v>
      </c>
      <c r="Q24" s="1401">
        <f t="shared" si="15"/>
        <v>11.006999999999996</v>
      </c>
      <c r="R24" s="1937" t="s">
        <v>1656</v>
      </c>
      <c r="T24" s="2227">
        <f t="shared" si="16"/>
        <v>0</v>
      </c>
      <c r="U24" s="2227">
        <f t="shared" si="17"/>
        <v>0</v>
      </c>
      <c r="V24" s="2227">
        <f t="shared" si="18"/>
        <v>0</v>
      </c>
      <c r="W24" s="2227">
        <f t="shared" si="19"/>
        <v>0</v>
      </c>
      <c r="X24" s="505">
        <f t="shared" si="20"/>
        <v>0</v>
      </c>
    </row>
    <row r="25" spans="1:24" ht="13.2" customHeight="1">
      <c r="A25" s="1401">
        <f t="shared" si="12"/>
        <v>11.007999999999996</v>
      </c>
      <c r="B25" s="534" t="s">
        <v>1657</v>
      </c>
      <c r="C25" s="534"/>
      <c r="D25" s="694">
        <v>0</v>
      </c>
      <c r="E25" s="694"/>
      <c r="F25" s="1377">
        <f t="shared" si="13"/>
        <v>0</v>
      </c>
      <c r="G25" s="903"/>
      <c r="H25" s="903"/>
      <c r="I25" s="1320"/>
      <c r="J25" s="1377">
        <f t="shared" si="14"/>
        <v>0</v>
      </c>
      <c r="K25" s="903"/>
      <c r="L25" s="903"/>
      <c r="M25" s="1320"/>
      <c r="N25" s="1897" t="s">
        <v>219</v>
      </c>
      <c r="Q25" s="1401">
        <f t="shared" si="15"/>
        <v>11.007999999999996</v>
      </c>
      <c r="R25" s="1937" t="s">
        <v>1657</v>
      </c>
      <c r="T25" s="2227">
        <f t="shared" si="16"/>
        <v>0</v>
      </c>
      <c r="U25" s="2227">
        <f t="shared" si="17"/>
        <v>0</v>
      </c>
      <c r="V25" s="2227">
        <f t="shared" si="18"/>
        <v>0</v>
      </c>
      <c r="W25" s="2227">
        <f t="shared" si="19"/>
        <v>0</v>
      </c>
      <c r="X25" s="505">
        <f t="shared" si="20"/>
        <v>0</v>
      </c>
    </row>
    <row r="26" spans="1:24" ht="13.2" customHeight="1">
      <c r="A26" s="1401">
        <f t="shared" si="12"/>
        <v>11.008999999999995</v>
      </c>
      <c r="B26" s="534" t="s">
        <v>1658</v>
      </c>
      <c r="C26" s="534"/>
      <c r="D26" s="694">
        <v>0</v>
      </c>
      <c r="E26" s="694">
        <v>-9893833.9100000001</v>
      </c>
      <c r="F26" s="1377">
        <f t="shared" si="13"/>
        <v>-4946916.9550000001</v>
      </c>
      <c r="G26" s="903"/>
      <c r="H26" s="903"/>
      <c r="I26" s="1320"/>
      <c r="J26" s="1377">
        <f t="shared" si="14"/>
        <v>-2885701.4933333332</v>
      </c>
      <c r="K26" s="903"/>
      <c r="L26" s="903"/>
      <c r="M26" s="1320"/>
      <c r="N26" s="1897" t="s">
        <v>192</v>
      </c>
      <c r="O26" s="2225">
        <v>190151</v>
      </c>
      <c r="P26" s="2223">
        <v>-9893834</v>
      </c>
      <c r="Q26" s="1401">
        <f t="shared" si="15"/>
        <v>11.008999999999995</v>
      </c>
      <c r="R26" s="2223" t="s">
        <v>1658</v>
      </c>
      <c r="T26" s="2227">
        <f t="shared" si="16"/>
        <v>-9893834</v>
      </c>
      <c r="U26" s="2227">
        <f t="shared" si="17"/>
        <v>0</v>
      </c>
      <c r="V26" s="2227">
        <f t="shared" si="18"/>
        <v>0</v>
      </c>
      <c r="W26" s="2227">
        <f t="shared" si="19"/>
        <v>0</v>
      </c>
      <c r="X26" s="505">
        <f t="shared" si="20"/>
        <v>-9893834</v>
      </c>
    </row>
    <row r="27" spans="1:24" ht="13.2" customHeight="1">
      <c r="A27" s="1401">
        <f t="shared" si="12"/>
        <v>11.009999999999994</v>
      </c>
      <c r="B27" s="534" t="s">
        <v>1659</v>
      </c>
      <c r="C27" s="534"/>
      <c r="D27" s="694">
        <v>0</v>
      </c>
      <c r="E27" s="694">
        <v>791506.7</v>
      </c>
      <c r="F27" s="1377">
        <f t="shared" si="13"/>
        <v>395753.35</v>
      </c>
      <c r="G27" s="903"/>
      <c r="H27" s="903"/>
      <c r="I27" s="1320"/>
      <c r="J27" s="1377">
        <f t="shared" si="14"/>
        <v>230855.90833333321</v>
      </c>
      <c r="K27" s="903"/>
      <c r="L27" s="903"/>
      <c r="M27" s="1320"/>
      <c r="N27" s="1897" t="s">
        <v>192</v>
      </c>
      <c r="O27" s="2225">
        <v>190152</v>
      </c>
      <c r="P27" s="2223">
        <v>791507</v>
      </c>
      <c r="Q27" s="1401">
        <f t="shared" si="15"/>
        <v>11.009999999999994</v>
      </c>
      <c r="R27" s="2223" t="s">
        <v>1659</v>
      </c>
      <c r="T27" s="2227">
        <f t="shared" si="16"/>
        <v>791507</v>
      </c>
      <c r="U27" s="2227">
        <f t="shared" si="17"/>
        <v>0</v>
      </c>
      <c r="V27" s="2227">
        <f t="shared" si="18"/>
        <v>0</v>
      </c>
      <c r="W27" s="2227">
        <f t="shared" si="19"/>
        <v>0</v>
      </c>
      <c r="X27" s="505">
        <f t="shared" si="20"/>
        <v>791507</v>
      </c>
    </row>
    <row r="28" spans="1:24" ht="13.2" customHeight="1">
      <c r="A28" s="1401">
        <f t="shared" si="12"/>
        <v>11.010999999999994</v>
      </c>
      <c r="B28" s="534" t="s">
        <v>1660</v>
      </c>
      <c r="C28" s="534"/>
      <c r="D28" s="694">
        <v>0</v>
      </c>
      <c r="E28" s="694">
        <v>36775949.919999994</v>
      </c>
      <c r="F28" s="1377">
        <f t="shared" si="13"/>
        <v>18387974.959999997</v>
      </c>
      <c r="G28" s="903"/>
      <c r="H28" s="903"/>
      <c r="I28" s="1320"/>
      <c r="J28" s="1377">
        <f t="shared" si="14"/>
        <v>10726318.549583323</v>
      </c>
      <c r="K28" s="903"/>
      <c r="L28" s="903"/>
      <c r="M28" s="1320"/>
      <c r="N28" s="1897" t="s">
        <v>193</v>
      </c>
      <c r="O28" s="2225">
        <v>190161</v>
      </c>
      <c r="P28" s="2223">
        <v>36775950.170000002</v>
      </c>
      <c r="Q28" s="1401">
        <f t="shared" si="15"/>
        <v>11.010999999999994</v>
      </c>
      <c r="R28" s="2223" t="s">
        <v>1660</v>
      </c>
      <c r="T28" s="2227">
        <f t="shared" si="16"/>
        <v>36775950.170000002</v>
      </c>
      <c r="U28" s="2227">
        <f t="shared" si="17"/>
        <v>0</v>
      </c>
      <c r="V28" s="2227">
        <f t="shared" si="18"/>
        <v>0</v>
      </c>
      <c r="W28" s="2227">
        <f t="shared" si="19"/>
        <v>0</v>
      </c>
      <c r="X28" s="505">
        <f t="shared" si="20"/>
        <v>36775950.170000002</v>
      </c>
    </row>
    <row r="29" spans="1:24" ht="13.2" customHeight="1">
      <c r="A29" s="1401">
        <f t="shared" si="12"/>
        <v>11.011999999999993</v>
      </c>
      <c r="B29" s="534" t="s">
        <v>1661</v>
      </c>
      <c r="C29" s="534"/>
      <c r="D29" s="694">
        <v>0</v>
      </c>
      <c r="E29" s="694">
        <v>-2942075.98</v>
      </c>
      <c r="F29" s="1377">
        <f t="shared" si="13"/>
        <v>-1471037.99</v>
      </c>
      <c r="G29" s="903"/>
      <c r="H29" s="903"/>
      <c r="I29" s="1320"/>
      <c r="J29" s="1377">
        <f t="shared" si="14"/>
        <v>-858105.62166666635</v>
      </c>
      <c r="K29" s="903"/>
      <c r="L29" s="903"/>
      <c r="M29" s="1320"/>
      <c r="N29" s="1897" t="s">
        <v>193</v>
      </c>
      <c r="O29" s="2225">
        <v>190162</v>
      </c>
      <c r="P29" s="2223">
        <v>-2942075.8000000003</v>
      </c>
      <c r="Q29" s="1401">
        <f t="shared" si="15"/>
        <v>11.011999999999993</v>
      </c>
      <c r="R29" s="2223" t="s">
        <v>1661</v>
      </c>
      <c r="T29" s="2227">
        <f t="shared" si="16"/>
        <v>-2942075.8000000003</v>
      </c>
      <c r="U29" s="2227">
        <f t="shared" si="17"/>
        <v>0</v>
      </c>
      <c r="V29" s="2227">
        <f t="shared" si="18"/>
        <v>0</v>
      </c>
      <c r="W29" s="2227">
        <f t="shared" si="19"/>
        <v>0</v>
      </c>
      <c r="X29" s="505">
        <f t="shared" si="20"/>
        <v>-2942075.8000000003</v>
      </c>
    </row>
    <row r="30" spans="1:24" ht="13.2" customHeight="1">
      <c r="A30" s="1401">
        <f t="shared" si="12"/>
        <v>11.012999999999993</v>
      </c>
      <c r="B30" s="534" t="s">
        <v>1662</v>
      </c>
      <c r="C30" s="534"/>
      <c r="D30" s="694">
        <v>0</v>
      </c>
      <c r="E30" s="694"/>
      <c r="F30" s="1377"/>
      <c r="G30" s="903"/>
      <c r="H30" s="903">
        <f t="shared" ref="H30:H31" si="21">+SUM($D30:$E30)/2</f>
        <v>0</v>
      </c>
      <c r="I30" s="1320"/>
      <c r="J30" s="1377"/>
      <c r="K30" s="903"/>
      <c r="L30" s="903">
        <f>E30-$P30*$I$316</f>
        <v>-817313.59091410716</v>
      </c>
      <c r="M30" s="1320"/>
      <c r="N30" s="1897" t="s">
        <v>194</v>
      </c>
      <c r="O30" s="2225">
        <v>190163</v>
      </c>
      <c r="P30" s="2223">
        <v>1153854.4812905041</v>
      </c>
      <c r="Q30" s="1401">
        <f t="shared" si="15"/>
        <v>11.012999999999993</v>
      </c>
      <c r="R30" s="2223" t="s">
        <v>1662</v>
      </c>
      <c r="T30" s="2227">
        <f t="shared" si="16"/>
        <v>0</v>
      </c>
      <c r="U30" s="2227">
        <f t="shared" si="17"/>
        <v>0</v>
      </c>
      <c r="V30" s="2227">
        <f t="shared" si="18"/>
        <v>1153854.4812905041</v>
      </c>
      <c r="W30" s="2227">
        <f t="shared" si="19"/>
        <v>0</v>
      </c>
      <c r="X30" s="505">
        <f t="shared" si="20"/>
        <v>1153854.4812905041</v>
      </c>
    </row>
    <row r="31" spans="1:24" ht="13.2" customHeight="1">
      <c r="A31" s="1401">
        <f t="shared" si="12"/>
        <v>11.013999999999992</v>
      </c>
      <c r="B31" s="534" t="s">
        <v>1663</v>
      </c>
      <c r="C31" s="534"/>
      <c r="D31" s="694">
        <v>0</v>
      </c>
      <c r="E31" s="694"/>
      <c r="F31" s="1377"/>
      <c r="G31" s="903"/>
      <c r="H31" s="903">
        <f t="shared" si="21"/>
        <v>0</v>
      </c>
      <c r="I31" s="1320"/>
      <c r="J31" s="1377"/>
      <c r="K31" s="903"/>
      <c r="L31" s="903">
        <f>E31-$P31*$I$316</f>
        <v>65373.350543366687</v>
      </c>
      <c r="M31" s="1320"/>
      <c r="N31" s="1897" t="s">
        <v>194</v>
      </c>
      <c r="O31" s="2225">
        <v>190164</v>
      </c>
      <c r="P31" s="2223">
        <v>-92291.789002400023</v>
      </c>
      <c r="Q31" s="1401">
        <f t="shared" si="15"/>
        <v>11.013999999999992</v>
      </c>
      <c r="R31" s="2223" t="s">
        <v>1663</v>
      </c>
      <c r="T31" s="2227">
        <f t="shared" si="16"/>
        <v>0</v>
      </c>
      <c r="U31" s="2227">
        <f t="shared" si="17"/>
        <v>0</v>
      </c>
      <c r="V31" s="2227">
        <f t="shared" si="18"/>
        <v>-92291.789002400023</v>
      </c>
      <c r="W31" s="2227">
        <f t="shared" si="19"/>
        <v>0</v>
      </c>
      <c r="X31" s="505">
        <f t="shared" si="20"/>
        <v>-92291.789002400023</v>
      </c>
    </row>
    <row r="32" spans="1:24" ht="13.2" customHeight="1">
      <c r="A32" s="1401">
        <f t="shared" si="12"/>
        <v>11.014999999999992</v>
      </c>
      <c r="B32" s="534" t="s">
        <v>1664</v>
      </c>
      <c r="C32" s="534"/>
      <c r="D32" s="694">
        <v>0</v>
      </c>
      <c r="E32" s="694">
        <v>7447053.5599999996</v>
      </c>
      <c r="F32" s="1377">
        <f>+SUM(D32:E32)/2</f>
        <v>3723526.78</v>
      </c>
      <c r="G32" s="903"/>
      <c r="H32" s="903"/>
      <c r="I32" s="1320"/>
      <c r="J32" s="1377">
        <f t="shared" ref="J32:J33" si="22">E32-$P32*$I$316</f>
        <v>2172057.2883333331</v>
      </c>
      <c r="K32" s="903"/>
      <c r="L32" s="903"/>
      <c r="M32" s="1320"/>
      <c r="N32" s="1897" t="s">
        <v>195</v>
      </c>
      <c r="O32" s="2225">
        <v>190165</v>
      </c>
      <c r="P32" s="2223">
        <v>7447053.5599999996</v>
      </c>
      <c r="Q32" s="1401">
        <f t="shared" si="15"/>
        <v>11.014999999999992</v>
      </c>
      <c r="R32" s="2223" t="s">
        <v>1664</v>
      </c>
      <c r="T32" s="2227">
        <f t="shared" si="16"/>
        <v>7447053.5599999996</v>
      </c>
      <c r="U32" s="2227">
        <f t="shared" si="17"/>
        <v>0</v>
      </c>
      <c r="V32" s="2227">
        <f t="shared" si="18"/>
        <v>0</v>
      </c>
      <c r="W32" s="2227">
        <f t="shared" si="19"/>
        <v>0</v>
      </c>
      <c r="X32" s="505">
        <f t="shared" si="20"/>
        <v>7447053.5599999996</v>
      </c>
    </row>
    <row r="33" spans="1:24" ht="13.2" customHeight="1">
      <c r="A33" s="1401">
        <f t="shared" si="12"/>
        <v>11.015999999999991</v>
      </c>
      <c r="B33" s="534" t="s">
        <v>1665</v>
      </c>
      <c r="C33" s="534"/>
      <c r="D33" s="694">
        <v>0</v>
      </c>
      <c r="E33" s="694">
        <v>-595764.28</v>
      </c>
      <c r="F33" s="1377">
        <f>+SUM(D33:E33)/2</f>
        <v>-297882.14</v>
      </c>
      <c r="G33" s="903"/>
      <c r="H33" s="903"/>
      <c r="I33" s="1320"/>
      <c r="J33" s="1377">
        <f t="shared" si="22"/>
        <v>-173764.58166666667</v>
      </c>
      <c r="K33" s="903"/>
      <c r="L33" s="903"/>
      <c r="M33" s="1320"/>
      <c r="N33" s="1897" t="s">
        <v>195</v>
      </c>
      <c r="O33" s="2225">
        <v>190166</v>
      </c>
      <c r="P33" s="2223">
        <v>-595764.28</v>
      </c>
      <c r="Q33" s="1401">
        <f t="shared" si="15"/>
        <v>11.015999999999991</v>
      </c>
      <c r="R33" s="2223" t="s">
        <v>1665</v>
      </c>
      <c r="T33" s="2227">
        <f t="shared" si="16"/>
        <v>-595764.28</v>
      </c>
      <c r="U33" s="2227">
        <f t="shared" si="17"/>
        <v>0</v>
      </c>
      <c r="V33" s="2227">
        <f t="shared" si="18"/>
        <v>0</v>
      </c>
      <c r="W33" s="2227">
        <f t="shared" si="19"/>
        <v>0</v>
      </c>
      <c r="X33" s="505">
        <f t="shared" si="20"/>
        <v>-595764.28</v>
      </c>
    </row>
    <row r="34" spans="1:24" ht="13.2" customHeight="1">
      <c r="A34" s="1401">
        <f t="shared" si="12"/>
        <v>11.016999999999991</v>
      </c>
      <c r="B34" s="534" t="s">
        <v>1666</v>
      </c>
      <c r="C34" s="534"/>
      <c r="D34" s="694">
        <v>0</v>
      </c>
      <c r="E34" s="694">
        <v>1895662.06</v>
      </c>
      <c r="F34" s="1377"/>
      <c r="G34" s="903"/>
      <c r="H34" s="903"/>
      <c r="I34" s="1320">
        <f t="shared" ref="I34:I35" si="23">+SUM($D34:$E34)/2</f>
        <v>947831.03</v>
      </c>
      <c r="J34" s="1377"/>
      <c r="K34" s="903"/>
      <c r="L34" s="903"/>
      <c r="M34" s="1320">
        <f>E34-$P34*$I$316</f>
        <v>552901.53333333344</v>
      </c>
      <c r="N34" s="1897" t="s">
        <v>196</v>
      </c>
      <c r="O34" s="2225">
        <v>190171</v>
      </c>
      <c r="P34" s="2223">
        <v>1895661.92</v>
      </c>
      <c r="Q34" s="1401">
        <f t="shared" si="15"/>
        <v>11.016999999999991</v>
      </c>
      <c r="R34" s="2223" t="s">
        <v>1666</v>
      </c>
      <c r="T34" s="2227">
        <f t="shared" si="16"/>
        <v>0</v>
      </c>
      <c r="U34" s="2227">
        <f t="shared" si="17"/>
        <v>0</v>
      </c>
      <c r="V34" s="2227">
        <f t="shared" si="18"/>
        <v>0</v>
      </c>
      <c r="W34" s="2227">
        <f t="shared" si="19"/>
        <v>1895661.92</v>
      </c>
      <c r="X34" s="505">
        <f t="shared" si="20"/>
        <v>1895661.92</v>
      </c>
    </row>
    <row r="35" spans="1:24" ht="13.2" customHeight="1">
      <c r="A35" s="1401">
        <f t="shared" si="12"/>
        <v>11.01799999999999</v>
      </c>
      <c r="B35" s="534" t="s">
        <v>1667</v>
      </c>
      <c r="C35" s="534"/>
      <c r="D35" s="694">
        <v>0</v>
      </c>
      <c r="E35" s="694">
        <v>-151652.95000000001</v>
      </c>
      <c r="F35" s="1377"/>
      <c r="G35" s="903"/>
      <c r="H35" s="903"/>
      <c r="I35" s="1320">
        <f t="shared" si="23"/>
        <v>-75826.475000000006</v>
      </c>
      <c r="J35" s="1377"/>
      <c r="K35" s="903"/>
      <c r="L35" s="903"/>
      <c r="M35" s="1320">
        <f>E35-$P35*$I$316</f>
        <v>-44232.429166666669</v>
      </c>
      <c r="N35" s="1897" t="s">
        <v>196</v>
      </c>
      <c r="O35" s="2225">
        <v>190172</v>
      </c>
      <c r="P35" s="2223">
        <v>-151652.5</v>
      </c>
      <c r="Q35" s="1401">
        <f t="shared" si="15"/>
        <v>11.01799999999999</v>
      </c>
      <c r="R35" s="2223" t="s">
        <v>1667</v>
      </c>
      <c r="T35" s="2227">
        <f t="shared" si="16"/>
        <v>0</v>
      </c>
      <c r="U35" s="2227">
        <f t="shared" si="17"/>
        <v>0</v>
      </c>
      <c r="V35" s="2227">
        <f t="shared" si="18"/>
        <v>0</v>
      </c>
      <c r="W35" s="2227">
        <f t="shared" si="19"/>
        <v>-151652.5</v>
      </c>
      <c r="X35" s="505">
        <f t="shared" si="20"/>
        <v>-151652.5</v>
      </c>
    </row>
    <row r="36" spans="1:24" ht="13.2" customHeight="1">
      <c r="A36" s="1401">
        <f t="shared" si="12"/>
        <v>11.018999999999989</v>
      </c>
      <c r="B36" s="534" t="s">
        <v>1668</v>
      </c>
      <c r="C36" s="534"/>
      <c r="D36" s="694">
        <v>0</v>
      </c>
      <c r="E36" s="694">
        <v>180565.61</v>
      </c>
      <c r="F36" s="1377"/>
      <c r="G36" s="903"/>
      <c r="H36" s="903">
        <f t="shared" ref="H36:H37" si="24">+SUM($D36:$E36)/2</f>
        <v>90282.804999999993</v>
      </c>
      <c r="I36" s="1320"/>
      <c r="J36" s="1377"/>
      <c r="K36" s="903"/>
      <c r="L36" s="903">
        <f t="shared" ref="L36:L37" si="25">E36-$P36*$I$316</f>
        <v>-7383261.3592156945</v>
      </c>
      <c r="M36" s="1320"/>
      <c r="N36" s="1897" t="s">
        <v>196</v>
      </c>
      <c r="O36" s="2225">
        <v>190181</v>
      </c>
      <c r="P36" s="2223">
        <v>10678343.956539804</v>
      </c>
      <c r="Q36" s="1401">
        <f t="shared" si="15"/>
        <v>11.018999999999989</v>
      </c>
      <c r="R36" s="2223" t="s">
        <v>1668</v>
      </c>
      <c r="T36" s="2227">
        <f t="shared" si="16"/>
        <v>0</v>
      </c>
      <c r="U36" s="2227">
        <f t="shared" si="17"/>
        <v>0</v>
      </c>
      <c r="V36" s="2227">
        <f t="shared" si="18"/>
        <v>10678343.956539804</v>
      </c>
      <c r="W36" s="2227">
        <f t="shared" si="19"/>
        <v>0</v>
      </c>
      <c r="X36" s="505">
        <f t="shared" si="20"/>
        <v>10678343.956539804</v>
      </c>
    </row>
    <row r="37" spans="1:24" ht="13.2" customHeight="1">
      <c r="A37" s="1401">
        <f t="shared" si="12"/>
        <v>11.019999999999989</v>
      </c>
      <c r="B37" s="534" t="s">
        <v>1669</v>
      </c>
      <c r="C37" s="534"/>
      <c r="D37" s="694">
        <v>0</v>
      </c>
      <c r="E37" s="694">
        <v>-14445.270000000004</v>
      </c>
      <c r="F37" s="1377"/>
      <c r="G37" s="903"/>
      <c r="H37" s="903">
        <f t="shared" si="24"/>
        <v>-7222.635000000002</v>
      </c>
      <c r="I37" s="1320"/>
      <c r="J37" s="1377"/>
      <c r="K37" s="903"/>
      <c r="L37" s="903">
        <f t="shared" si="25"/>
        <v>578941.01019378321</v>
      </c>
      <c r="M37" s="1320"/>
      <c r="N37" s="1897" t="s">
        <v>196</v>
      </c>
      <c r="O37" s="2225">
        <v>190182</v>
      </c>
      <c r="P37" s="2223">
        <v>-837721.80733239988</v>
      </c>
      <c r="Q37" s="1401">
        <f t="shared" si="15"/>
        <v>11.019999999999989</v>
      </c>
      <c r="R37" s="2223" t="s">
        <v>1669</v>
      </c>
      <c r="T37" s="2227">
        <f t="shared" si="16"/>
        <v>0</v>
      </c>
      <c r="U37" s="2227">
        <f t="shared" si="17"/>
        <v>0</v>
      </c>
      <c r="V37" s="2227">
        <f t="shared" si="18"/>
        <v>-837721.80733239988</v>
      </c>
      <c r="W37" s="2227">
        <f t="shared" si="19"/>
        <v>0</v>
      </c>
      <c r="X37" s="505">
        <f t="shared" si="20"/>
        <v>-837721.80733239988</v>
      </c>
    </row>
    <row r="38" spans="1:24" ht="13.2" customHeight="1">
      <c r="A38" s="1401">
        <f t="shared" si="12"/>
        <v>11.020999999999988</v>
      </c>
      <c r="B38" s="534" t="s">
        <v>1670</v>
      </c>
      <c r="C38" s="534"/>
      <c r="D38" s="694">
        <v>0</v>
      </c>
      <c r="E38" s="694"/>
      <c r="F38" s="1377">
        <f t="shared" ref="F38:F49" si="26">+SUM(D38:E38)/2</f>
        <v>0</v>
      </c>
      <c r="G38" s="903"/>
      <c r="H38" s="903"/>
      <c r="I38" s="1320"/>
      <c r="J38" s="1377">
        <f t="shared" ref="J38:J39" si="27">E38-$P38*$I$316</f>
        <v>0</v>
      </c>
      <c r="K38" s="903"/>
      <c r="L38" s="903"/>
      <c r="M38" s="1320"/>
      <c r="N38" s="1897" t="s">
        <v>196</v>
      </c>
      <c r="Q38" s="1401">
        <f t="shared" si="15"/>
        <v>11.020999999999988</v>
      </c>
      <c r="R38" s="1937" t="s">
        <v>1670</v>
      </c>
      <c r="T38" s="2227">
        <f t="shared" si="16"/>
        <v>0</v>
      </c>
      <c r="U38" s="2227">
        <f t="shared" si="17"/>
        <v>0</v>
      </c>
      <c r="V38" s="2227">
        <f t="shared" si="18"/>
        <v>0</v>
      </c>
      <c r="W38" s="2227">
        <f t="shared" si="19"/>
        <v>0</v>
      </c>
      <c r="X38" s="505">
        <f t="shared" si="20"/>
        <v>0</v>
      </c>
    </row>
    <row r="39" spans="1:24" ht="13.2" customHeight="1">
      <c r="A39" s="1401">
        <f t="shared" si="12"/>
        <v>11.021999999999988</v>
      </c>
      <c r="B39" s="534" t="s">
        <v>1671</v>
      </c>
      <c r="C39" s="534"/>
      <c r="D39" s="694">
        <v>0</v>
      </c>
      <c r="E39" s="694"/>
      <c r="F39" s="1377">
        <f t="shared" si="26"/>
        <v>0</v>
      </c>
      <c r="G39" s="903"/>
      <c r="H39" s="903"/>
      <c r="I39" s="1320"/>
      <c r="J39" s="1377">
        <f t="shared" si="27"/>
        <v>0</v>
      </c>
      <c r="K39" s="903"/>
      <c r="L39" s="903"/>
      <c r="M39" s="1320"/>
      <c r="N39" s="1897" t="s">
        <v>196</v>
      </c>
      <c r="Q39" s="1401">
        <f t="shared" si="15"/>
        <v>11.021999999999988</v>
      </c>
      <c r="R39" s="1937" t="s">
        <v>1671</v>
      </c>
      <c r="T39" s="2227">
        <f t="shared" si="16"/>
        <v>0</v>
      </c>
      <c r="U39" s="2227">
        <f t="shared" si="17"/>
        <v>0</v>
      </c>
      <c r="V39" s="2227">
        <f t="shared" si="18"/>
        <v>0</v>
      </c>
      <c r="W39" s="2227">
        <f t="shared" si="19"/>
        <v>0</v>
      </c>
      <c r="X39" s="505">
        <f t="shared" si="20"/>
        <v>0</v>
      </c>
    </row>
    <row r="40" spans="1:24" ht="13.2" customHeight="1">
      <c r="A40" s="1401">
        <f t="shared" si="12"/>
        <v>11.022999999999987</v>
      </c>
      <c r="B40" s="534" t="s">
        <v>1672</v>
      </c>
      <c r="C40" s="534"/>
      <c r="D40" s="694">
        <v>0</v>
      </c>
      <c r="E40" s="694">
        <v>-50593319.460000001</v>
      </c>
      <c r="F40" s="1377"/>
      <c r="G40" s="903"/>
      <c r="H40" s="903"/>
      <c r="I40" s="1320">
        <f t="shared" ref="I40:I41" si="28">+SUM($D40:$E40)/2</f>
        <v>-25296659.73</v>
      </c>
      <c r="J40" s="1377"/>
      <c r="K40" s="903"/>
      <c r="L40" s="903"/>
      <c r="M40" s="1320">
        <f t="shared" ref="M40:M41" si="29">E40-$P40*$I$316</f>
        <v>-14756384.736249998</v>
      </c>
      <c r="N40" s="1897" t="s">
        <v>196</v>
      </c>
      <c r="O40" s="2225">
        <v>190211</v>
      </c>
      <c r="P40" s="2223">
        <v>-50593319.609999999</v>
      </c>
      <c r="Q40" s="1401">
        <f t="shared" si="15"/>
        <v>11.022999999999987</v>
      </c>
      <c r="R40" s="2223" t="s">
        <v>1672</v>
      </c>
      <c r="T40" s="2227">
        <f t="shared" si="16"/>
        <v>0</v>
      </c>
      <c r="U40" s="2227">
        <f t="shared" si="17"/>
        <v>0</v>
      </c>
      <c r="V40" s="2227">
        <f t="shared" si="18"/>
        <v>0</v>
      </c>
      <c r="W40" s="2227">
        <f t="shared" si="19"/>
        <v>-50593319.609999999</v>
      </c>
      <c r="X40" s="505">
        <f t="shared" si="20"/>
        <v>-50593319.609999999</v>
      </c>
    </row>
    <row r="41" spans="1:24" ht="13.2" customHeight="1">
      <c r="A41" s="1401">
        <f t="shared" si="12"/>
        <v>11.023999999999987</v>
      </c>
      <c r="B41" s="534" t="s">
        <v>1673</v>
      </c>
      <c r="C41" s="534"/>
      <c r="D41" s="694">
        <v>0</v>
      </c>
      <c r="E41" s="694">
        <v>4047465.56</v>
      </c>
      <c r="F41" s="1377"/>
      <c r="G41" s="903"/>
      <c r="H41" s="903"/>
      <c r="I41" s="1320">
        <f t="shared" si="28"/>
        <v>2023732.78</v>
      </c>
      <c r="J41" s="1377"/>
      <c r="K41" s="903"/>
      <c r="L41" s="903"/>
      <c r="M41" s="1320">
        <f t="shared" si="29"/>
        <v>1180510.6395833334</v>
      </c>
      <c r="N41" s="1897" t="s">
        <v>196</v>
      </c>
      <c r="O41" s="2225">
        <v>190212</v>
      </c>
      <c r="P41" s="2223">
        <v>4047465.7699999996</v>
      </c>
      <c r="Q41" s="1401">
        <f t="shared" si="15"/>
        <v>11.023999999999987</v>
      </c>
      <c r="R41" s="2223" t="s">
        <v>1673</v>
      </c>
      <c r="T41" s="2227">
        <f t="shared" si="16"/>
        <v>0</v>
      </c>
      <c r="U41" s="2227">
        <f t="shared" si="17"/>
        <v>0</v>
      </c>
      <c r="V41" s="2227">
        <f t="shared" si="18"/>
        <v>0</v>
      </c>
      <c r="W41" s="2227">
        <f t="shared" si="19"/>
        <v>4047465.7699999996</v>
      </c>
      <c r="X41" s="505">
        <f t="shared" si="20"/>
        <v>4047465.7699999996</v>
      </c>
    </row>
    <row r="42" spans="1:24" ht="13.2" customHeight="1">
      <c r="A42" s="1401">
        <f t="shared" si="12"/>
        <v>11.024999999999986</v>
      </c>
      <c r="B42" s="534" t="s">
        <v>1674</v>
      </c>
      <c r="C42" s="534"/>
      <c r="D42" s="694">
        <v>0</v>
      </c>
      <c r="E42" s="694"/>
      <c r="F42" s="1377">
        <f t="shared" si="26"/>
        <v>0</v>
      </c>
      <c r="G42" s="903"/>
      <c r="H42" s="903"/>
      <c r="I42" s="1320"/>
      <c r="J42" s="1377">
        <f t="shared" ref="J42:J43" si="30">E42-$P42*$I$316</f>
        <v>0</v>
      </c>
      <c r="K42" s="903"/>
      <c r="L42" s="903"/>
      <c r="M42" s="1320"/>
      <c r="N42" s="1897" t="s">
        <v>197</v>
      </c>
      <c r="Q42" s="1401">
        <f t="shared" si="15"/>
        <v>11.024999999999986</v>
      </c>
      <c r="R42" s="1937" t="s">
        <v>1674</v>
      </c>
      <c r="T42" s="2227">
        <f t="shared" si="16"/>
        <v>0</v>
      </c>
      <c r="U42" s="2227">
        <f t="shared" si="17"/>
        <v>0</v>
      </c>
      <c r="V42" s="2227">
        <f t="shared" si="18"/>
        <v>0</v>
      </c>
      <c r="W42" s="2227">
        <f t="shared" si="19"/>
        <v>0</v>
      </c>
      <c r="X42" s="505">
        <f t="shared" si="20"/>
        <v>0</v>
      </c>
    </row>
    <row r="43" spans="1:24" ht="13.2" customHeight="1">
      <c r="A43" s="1401">
        <f t="shared" si="12"/>
        <v>11.025999999999986</v>
      </c>
      <c r="B43" s="534" t="s">
        <v>1675</v>
      </c>
      <c r="C43" s="534"/>
      <c r="D43" s="694">
        <v>0</v>
      </c>
      <c r="E43" s="694"/>
      <c r="F43" s="1377">
        <f t="shared" si="26"/>
        <v>0</v>
      </c>
      <c r="G43" s="903"/>
      <c r="H43" s="903"/>
      <c r="I43" s="1320"/>
      <c r="J43" s="1377">
        <f t="shared" si="30"/>
        <v>0</v>
      </c>
      <c r="K43" s="903"/>
      <c r="L43" s="903"/>
      <c r="M43" s="1320"/>
      <c r="N43" s="1897" t="s">
        <v>197</v>
      </c>
      <c r="Q43" s="1401">
        <f t="shared" si="15"/>
        <v>11.025999999999986</v>
      </c>
      <c r="R43" s="1937" t="s">
        <v>1675</v>
      </c>
      <c r="T43" s="2227">
        <f t="shared" si="16"/>
        <v>0</v>
      </c>
      <c r="U43" s="2227">
        <f t="shared" si="17"/>
        <v>0</v>
      </c>
      <c r="V43" s="2227">
        <f t="shared" si="18"/>
        <v>0</v>
      </c>
      <c r="W43" s="2227">
        <f t="shared" si="19"/>
        <v>0</v>
      </c>
      <c r="X43" s="505">
        <f t="shared" si="20"/>
        <v>0</v>
      </c>
    </row>
    <row r="44" spans="1:24" ht="13.2" customHeight="1">
      <c r="A44" s="1401">
        <f t="shared" si="12"/>
        <v>11.026999999999985</v>
      </c>
      <c r="B44" s="534" t="s">
        <v>1676</v>
      </c>
      <c r="C44" s="534"/>
      <c r="D44" s="694">
        <v>0</v>
      </c>
      <c r="E44" s="1637">
        <v>267803.23</v>
      </c>
      <c r="F44" s="1377"/>
      <c r="I44" s="1320">
        <f t="shared" ref="I44:I45" si="31">+SUM($D44:$E44)/2</f>
        <v>133901.61499999999</v>
      </c>
      <c r="M44" s="1320">
        <f t="shared" ref="M44:M45" si="32">E44-$P44*$I$316</f>
        <v>78109.21166666667</v>
      </c>
      <c r="N44" s="1897" t="s">
        <v>198</v>
      </c>
      <c r="O44" s="2225">
        <v>190215</v>
      </c>
      <c r="P44" s="2223">
        <v>267803.31999999995</v>
      </c>
      <c r="Q44" s="1401">
        <f t="shared" si="15"/>
        <v>11.026999999999985</v>
      </c>
      <c r="R44" s="2223" t="s">
        <v>1676</v>
      </c>
      <c r="T44" s="2227">
        <f t="shared" si="16"/>
        <v>0</v>
      </c>
      <c r="U44" s="2227">
        <f t="shared" si="17"/>
        <v>0</v>
      </c>
      <c r="V44" s="2227">
        <f t="shared" si="18"/>
        <v>0</v>
      </c>
      <c r="W44" s="2227">
        <f t="shared" si="19"/>
        <v>267803.31999999995</v>
      </c>
      <c r="X44" s="505">
        <f t="shared" si="20"/>
        <v>267803.31999999995</v>
      </c>
    </row>
    <row r="45" spans="1:24" ht="13.2" customHeight="1">
      <c r="A45" s="1401">
        <f t="shared" si="12"/>
        <v>11.027999999999984</v>
      </c>
      <c r="B45" s="534" t="s">
        <v>1677</v>
      </c>
      <c r="C45" s="534"/>
      <c r="D45" s="694">
        <v>0</v>
      </c>
      <c r="E45" s="1637">
        <v>-21424.27</v>
      </c>
      <c r="F45" s="1377"/>
      <c r="I45" s="1320">
        <f t="shared" si="31"/>
        <v>-10712.135</v>
      </c>
      <c r="M45" s="1320">
        <f t="shared" si="32"/>
        <v>-6248.6391666666677</v>
      </c>
      <c r="N45" s="1897" t="s">
        <v>198</v>
      </c>
      <c r="O45" s="2225">
        <v>190216</v>
      </c>
      <c r="P45" s="2223">
        <v>-21424.42</v>
      </c>
      <c r="Q45" s="1401">
        <f t="shared" si="15"/>
        <v>11.027999999999984</v>
      </c>
      <c r="R45" s="2223" t="s">
        <v>1677</v>
      </c>
      <c r="T45" s="2227">
        <f t="shared" si="16"/>
        <v>0</v>
      </c>
      <c r="U45" s="2227">
        <f t="shared" si="17"/>
        <v>0</v>
      </c>
      <c r="V45" s="2227">
        <f t="shared" si="18"/>
        <v>0</v>
      </c>
      <c r="W45" s="2227">
        <f t="shared" si="19"/>
        <v>-21424.42</v>
      </c>
      <c r="X45" s="505">
        <f t="shared" si="20"/>
        <v>-21424.42</v>
      </c>
    </row>
    <row r="46" spans="1:24" ht="13.2" customHeight="1">
      <c r="A46" s="1401">
        <f t="shared" si="12"/>
        <v>11.028999999999984</v>
      </c>
      <c r="B46" s="534" t="s">
        <v>1678</v>
      </c>
      <c r="C46" s="534"/>
      <c r="D46" s="694">
        <v>0</v>
      </c>
      <c r="E46" s="694">
        <v>40722417.329999998</v>
      </c>
      <c r="F46" s="1377">
        <f t="shared" si="26"/>
        <v>20361208.664999999</v>
      </c>
      <c r="G46" s="903"/>
      <c r="H46" s="903"/>
      <c r="I46" s="1320"/>
      <c r="J46" s="1377">
        <f t="shared" ref="J46:J49" si="33">E46-$P46*$I$316</f>
        <v>11877371.91249999</v>
      </c>
      <c r="K46" s="903"/>
      <c r="L46" s="903"/>
      <c r="M46" s="1320"/>
      <c r="N46" s="1897" t="s">
        <v>191</v>
      </c>
      <c r="O46" s="2225">
        <v>190221</v>
      </c>
      <c r="P46" s="2223">
        <v>40722417.06000001</v>
      </c>
      <c r="Q46" s="1401">
        <f t="shared" si="15"/>
        <v>11.028999999999984</v>
      </c>
      <c r="R46" s="2223" t="s">
        <v>1678</v>
      </c>
      <c r="T46" s="2227">
        <f t="shared" si="16"/>
        <v>40722417.06000001</v>
      </c>
      <c r="U46" s="2227">
        <f t="shared" si="17"/>
        <v>0</v>
      </c>
      <c r="V46" s="2227">
        <f t="shared" si="18"/>
        <v>0</v>
      </c>
      <c r="W46" s="2227">
        <f t="shared" si="19"/>
        <v>0</v>
      </c>
      <c r="X46" s="505">
        <f t="shared" si="20"/>
        <v>40722417.06000001</v>
      </c>
    </row>
    <row r="47" spans="1:24" ht="13.2" customHeight="1">
      <c r="A47" s="1401">
        <f t="shared" si="12"/>
        <v>11.029999999999983</v>
      </c>
      <c r="B47" s="534" t="s">
        <v>1679</v>
      </c>
      <c r="C47" s="534"/>
      <c r="D47" s="694">
        <v>0</v>
      </c>
      <c r="E47" s="694">
        <v>-3257797</v>
      </c>
      <c r="F47" s="1377">
        <f t="shared" si="26"/>
        <v>-1628898.5</v>
      </c>
      <c r="G47" s="903"/>
      <c r="H47" s="903"/>
      <c r="I47" s="1320"/>
      <c r="J47" s="1377">
        <f t="shared" si="33"/>
        <v>-950190.95458333334</v>
      </c>
      <c r="K47" s="903"/>
      <c r="L47" s="903"/>
      <c r="M47" s="1320"/>
      <c r="N47" s="1897" t="s">
        <v>191</v>
      </c>
      <c r="O47" s="2225">
        <v>190222</v>
      </c>
      <c r="P47" s="2223">
        <v>-3257796.77</v>
      </c>
      <c r="Q47" s="1401">
        <f t="shared" si="15"/>
        <v>11.029999999999983</v>
      </c>
      <c r="R47" s="2223" t="s">
        <v>1679</v>
      </c>
      <c r="T47" s="2227">
        <f t="shared" si="16"/>
        <v>-3257796.77</v>
      </c>
      <c r="U47" s="2227">
        <f t="shared" si="17"/>
        <v>0</v>
      </c>
      <c r="V47" s="2227">
        <f t="shared" si="18"/>
        <v>0</v>
      </c>
      <c r="W47" s="2227">
        <f t="shared" si="19"/>
        <v>0</v>
      </c>
      <c r="X47" s="505">
        <f t="shared" si="20"/>
        <v>-3257796.77</v>
      </c>
    </row>
    <row r="48" spans="1:24" ht="13.2" customHeight="1">
      <c r="A48" s="1401">
        <f t="shared" si="12"/>
        <v>11.030999999999983</v>
      </c>
      <c r="B48" s="534" t="s">
        <v>1680</v>
      </c>
      <c r="C48" s="534"/>
      <c r="D48" s="694">
        <v>0</v>
      </c>
      <c r="E48" s="694">
        <v>-173078.69</v>
      </c>
      <c r="F48" s="1377">
        <f t="shared" si="26"/>
        <v>-86539.345000000001</v>
      </c>
      <c r="G48" s="903"/>
      <c r="H48" s="903"/>
      <c r="I48" s="1320"/>
      <c r="J48" s="1377">
        <f t="shared" si="33"/>
        <v>-50481.284583333341</v>
      </c>
      <c r="K48" s="903"/>
      <c r="L48" s="903"/>
      <c r="M48" s="1320"/>
      <c r="N48" s="1897" t="s">
        <v>883</v>
      </c>
      <c r="O48" s="2225">
        <v>190241</v>
      </c>
      <c r="P48" s="2223">
        <v>-173078.68999999997</v>
      </c>
      <c r="Q48" s="1401">
        <f t="shared" si="15"/>
        <v>11.030999999999983</v>
      </c>
      <c r="R48" s="2223" t="s">
        <v>1680</v>
      </c>
      <c r="T48" s="2227">
        <f t="shared" si="16"/>
        <v>-173078.68999999997</v>
      </c>
      <c r="U48" s="2227">
        <f t="shared" si="17"/>
        <v>0</v>
      </c>
      <c r="V48" s="2227">
        <f t="shared" si="18"/>
        <v>0</v>
      </c>
      <c r="W48" s="2227">
        <f t="shared" si="19"/>
        <v>0</v>
      </c>
      <c r="X48" s="505">
        <f t="shared" si="20"/>
        <v>-173078.68999999997</v>
      </c>
    </row>
    <row r="49" spans="1:24" ht="13.2" customHeight="1">
      <c r="A49" s="1401">
        <f t="shared" si="12"/>
        <v>11.031999999999982</v>
      </c>
      <c r="B49" s="534" t="s">
        <v>1681</v>
      </c>
      <c r="C49" s="534"/>
      <c r="D49" s="694">
        <v>0</v>
      </c>
      <c r="E49" s="694">
        <v>13846.3</v>
      </c>
      <c r="F49" s="1377">
        <f t="shared" si="26"/>
        <v>6923.15</v>
      </c>
      <c r="G49" s="903"/>
      <c r="H49" s="903"/>
      <c r="I49" s="1320"/>
      <c r="J49" s="1377">
        <f t="shared" si="33"/>
        <v>4038.5041666666657</v>
      </c>
      <c r="K49" s="903"/>
      <c r="L49" s="903"/>
      <c r="M49" s="1320"/>
      <c r="N49" s="1897" t="s">
        <v>883</v>
      </c>
      <c r="O49" s="2225">
        <v>190242</v>
      </c>
      <c r="P49" s="2223">
        <v>13846.3</v>
      </c>
      <c r="Q49" s="1401">
        <f t="shared" si="15"/>
        <v>11.031999999999982</v>
      </c>
      <c r="R49" s="2223" t="s">
        <v>1681</v>
      </c>
      <c r="T49" s="2227">
        <f t="shared" si="16"/>
        <v>13846.3</v>
      </c>
      <c r="U49" s="2227">
        <f t="shared" si="17"/>
        <v>0</v>
      </c>
      <c r="V49" s="2227">
        <f t="shared" si="18"/>
        <v>0</v>
      </c>
      <c r="W49" s="2227">
        <f t="shared" si="19"/>
        <v>0</v>
      </c>
      <c r="X49" s="505">
        <f t="shared" si="20"/>
        <v>13846.3</v>
      </c>
    </row>
    <row r="50" spans="1:24" ht="13.2" customHeight="1">
      <c r="A50" s="1401">
        <f t="shared" si="12"/>
        <v>11.032999999999982</v>
      </c>
      <c r="B50" s="534" t="s">
        <v>1682</v>
      </c>
      <c r="C50" s="534"/>
      <c r="D50" s="694">
        <v>0</v>
      </c>
      <c r="E50" s="694"/>
      <c r="F50" s="1377"/>
      <c r="G50" s="903"/>
      <c r="H50" s="903">
        <f t="shared" ref="H50:H51" si="34">+SUM($D50:$E50)/2</f>
        <v>0</v>
      </c>
      <c r="I50" s="1320"/>
      <c r="J50" s="1377"/>
      <c r="K50" s="903"/>
      <c r="L50" s="903">
        <f t="shared" ref="L50:L51" si="35">E50-$P50*$I$316</f>
        <v>-17222136.190907463</v>
      </c>
      <c r="M50" s="1320"/>
      <c r="N50" s="1897" t="s">
        <v>196</v>
      </c>
      <c r="O50" s="2225">
        <v>190251</v>
      </c>
      <c r="P50" s="2223">
        <v>24313604.034222301</v>
      </c>
      <c r="Q50" s="1401">
        <f t="shared" si="15"/>
        <v>11.032999999999982</v>
      </c>
      <c r="R50" s="2223" t="s">
        <v>1682</v>
      </c>
      <c r="T50" s="2227">
        <f t="shared" si="16"/>
        <v>0</v>
      </c>
      <c r="U50" s="2227">
        <f t="shared" si="17"/>
        <v>0</v>
      </c>
      <c r="V50" s="2227">
        <f t="shared" si="18"/>
        <v>24313604.034222301</v>
      </c>
      <c r="W50" s="2227">
        <f t="shared" si="19"/>
        <v>0</v>
      </c>
      <c r="X50" s="505">
        <f t="shared" si="20"/>
        <v>24313604.034222301</v>
      </c>
    </row>
    <row r="51" spans="1:24" ht="13.2" customHeight="1">
      <c r="A51" s="1401">
        <f t="shared" si="12"/>
        <v>11.033999999999981</v>
      </c>
      <c r="B51" s="534" t="s">
        <v>1683</v>
      </c>
      <c r="C51" s="534"/>
      <c r="D51" s="694">
        <v>0</v>
      </c>
      <c r="E51" s="694"/>
      <c r="F51" s="1377"/>
      <c r="G51" s="903"/>
      <c r="H51" s="903">
        <f t="shared" si="34"/>
        <v>0</v>
      </c>
      <c r="I51" s="1320"/>
      <c r="J51" s="1377"/>
      <c r="K51" s="903"/>
      <c r="L51" s="903">
        <f t="shared" si="35"/>
        <v>807805.28954280016</v>
      </c>
      <c r="M51" s="1320"/>
      <c r="N51" s="1897" t="s">
        <v>196</v>
      </c>
      <c r="O51" s="2225">
        <v>190252</v>
      </c>
      <c r="P51" s="2223">
        <v>-1140430.9970016002</v>
      </c>
      <c r="Q51" s="1401">
        <f t="shared" si="15"/>
        <v>11.033999999999981</v>
      </c>
      <c r="R51" s="2223" t="s">
        <v>1683</v>
      </c>
      <c r="T51" s="2227">
        <f t="shared" si="16"/>
        <v>0</v>
      </c>
      <c r="U51" s="2227">
        <f t="shared" si="17"/>
        <v>0</v>
      </c>
      <c r="V51" s="2227">
        <f t="shared" si="18"/>
        <v>-1140430.9970016002</v>
      </c>
      <c r="W51" s="2227">
        <f t="shared" si="19"/>
        <v>0</v>
      </c>
      <c r="X51" s="505">
        <f t="shared" si="20"/>
        <v>-1140430.9970016002</v>
      </c>
    </row>
    <row r="52" spans="1:24" ht="13.2" customHeight="1">
      <c r="A52" s="1401">
        <f t="shared" si="12"/>
        <v>11.034999999999981</v>
      </c>
      <c r="B52" s="534" t="s">
        <v>1684</v>
      </c>
      <c r="C52" s="534"/>
      <c r="D52" s="694">
        <v>0</v>
      </c>
      <c r="E52" s="694"/>
      <c r="F52" s="1377">
        <f t="shared" ref="F52:F56" si="36">+SUM(D52:E52)/2</f>
        <v>0</v>
      </c>
      <c r="G52" s="903"/>
      <c r="H52" s="903"/>
      <c r="I52" s="1320"/>
      <c r="J52" s="1377">
        <f t="shared" ref="J52:J58" si="37">E52-$P52*$I$316</f>
        <v>0</v>
      </c>
      <c r="K52" s="903"/>
      <c r="L52" s="903"/>
      <c r="M52" s="1320"/>
      <c r="N52" s="1897" t="s">
        <v>199</v>
      </c>
      <c r="Q52" s="1401">
        <f t="shared" si="15"/>
        <v>11.034999999999981</v>
      </c>
      <c r="R52" s="1937" t="s">
        <v>1684</v>
      </c>
      <c r="T52" s="2227">
        <f t="shared" si="16"/>
        <v>0</v>
      </c>
      <c r="U52" s="2227">
        <f t="shared" si="17"/>
        <v>0</v>
      </c>
      <c r="V52" s="2227">
        <f t="shared" si="18"/>
        <v>0</v>
      </c>
      <c r="W52" s="2227">
        <f t="shared" si="19"/>
        <v>0</v>
      </c>
      <c r="X52" s="505">
        <f t="shared" si="20"/>
        <v>0</v>
      </c>
    </row>
    <row r="53" spans="1:24" ht="13.2" customHeight="1">
      <c r="A53" s="1401">
        <f t="shared" si="12"/>
        <v>11.03599999999998</v>
      </c>
      <c r="B53" s="534" t="s">
        <v>1685</v>
      </c>
      <c r="C53" s="534"/>
      <c r="D53" s="694">
        <v>0</v>
      </c>
      <c r="E53" s="694">
        <v>9426109.0599999987</v>
      </c>
      <c r="F53" s="1377">
        <f t="shared" si="36"/>
        <v>4713054.5299999993</v>
      </c>
      <c r="G53" s="903"/>
      <c r="H53" s="903"/>
      <c r="I53" s="1320"/>
      <c r="J53" s="1377">
        <f t="shared" si="37"/>
        <v>2749281.8516666647</v>
      </c>
      <c r="K53" s="903"/>
      <c r="L53" s="903"/>
      <c r="M53" s="1320"/>
      <c r="N53" s="1897" t="s">
        <v>199</v>
      </c>
      <c r="O53" s="2225">
        <v>190307</v>
      </c>
      <c r="P53" s="2223">
        <v>9426109</v>
      </c>
      <c r="Q53" s="1401">
        <f t="shared" si="15"/>
        <v>11.03599999999998</v>
      </c>
      <c r="R53" s="2223" t="s">
        <v>1685</v>
      </c>
      <c r="T53" s="2227">
        <f t="shared" si="16"/>
        <v>9426109</v>
      </c>
      <c r="U53" s="2227">
        <f t="shared" si="17"/>
        <v>0</v>
      </c>
      <c r="V53" s="2227">
        <f t="shared" si="18"/>
        <v>0</v>
      </c>
      <c r="W53" s="2227">
        <f t="shared" si="19"/>
        <v>0</v>
      </c>
      <c r="X53" s="505">
        <f t="shared" si="20"/>
        <v>9426109</v>
      </c>
    </row>
    <row r="54" spans="1:24" ht="13.2" customHeight="1">
      <c r="A54" s="1401">
        <f t="shared" si="12"/>
        <v>11.036999999999979</v>
      </c>
      <c r="B54" s="534" t="s">
        <v>1686</v>
      </c>
      <c r="C54" s="534"/>
      <c r="D54" s="694">
        <v>0</v>
      </c>
      <c r="E54" s="694">
        <v>-754088.74</v>
      </c>
      <c r="F54" s="1377">
        <f t="shared" si="36"/>
        <v>-377044.37</v>
      </c>
      <c r="G54" s="903"/>
      <c r="H54" s="903"/>
      <c r="I54" s="1320"/>
      <c r="J54" s="1377">
        <f t="shared" si="37"/>
        <v>-219942.36499999999</v>
      </c>
      <c r="K54" s="903"/>
      <c r="L54" s="903"/>
      <c r="M54" s="1320"/>
      <c r="N54" s="1897" t="s">
        <v>200</v>
      </c>
      <c r="O54" s="2225">
        <v>190308</v>
      </c>
      <c r="P54" s="2223">
        <v>-754089</v>
      </c>
      <c r="Q54" s="1401">
        <f t="shared" si="15"/>
        <v>11.036999999999979</v>
      </c>
      <c r="R54" s="2223" t="s">
        <v>1686</v>
      </c>
      <c r="T54" s="2227">
        <f t="shared" si="16"/>
        <v>-754089</v>
      </c>
      <c r="U54" s="2227">
        <f t="shared" si="17"/>
        <v>0</v>
      </c>
      <c r="V54" s="2227">
        <f t="shared" si="18"/>
        <v>0</v>
      </c>
      <c r="W54" s="2227">
        <f t="shared" si="19"/>
        <v>0</v>
      </c>
      <c r="X54" s="505">
        <f t="shared" si="20"/>
        <v>-754089</v>
      </c>
    </row>
    <row r="55" spans="1:24" ht="13.2" customHeight="1">
      <c r="A55" s="1401">
        <f t="shared" si="12"/>
        <v>11.037999999999979</v>
      </c>
      <c r="B55" s="534" t="s">
        <v>1687</v>
      </c>
      <c r="C55" s="534"/>
      <c r="D55" s="694">
        <v>0</v>
      </c>
      <c r="E55" s="694"/>
      <c r="F55" s="1377">
        <f t="shared" si="36"/>
        <v>0</v>
      </c>
      <c r="G55" s="903"/>
      <c r="H55" s="903"/>
      <c r="I55" s="1320"/>
      <c r="J55" s="1377">
        <f t="shared" si="37"/>
        <v>0</v>
      </c>
      <c r="K55" s="903"/>
      <c r="L55" s="903"/>
      <c r="M55" s="1320"/>
      <c r="N55" s="1897" t="s">
        <v>200</v>
      </c>
      <c r="Q55" s="1401">
        <f t="shared" si="15"/>
        <v>11.037999999999979</v>
      </c>
      <c r="R55" s="1937" t="s">
        <v>1687</v>
      </c>
      <c r="T55" s="2227">
        <f t="shared" si="16"/>
        <v>0</v>
      </c>
      <c r="U55" s="2227">
        <f t="shared" si="17"/>
        <v>0</v>
      </c>
      <c r="V55" s="2227">
        <f t="shared" si="18"/>
        <v>0</v>
      </c>
      <c r="W55" s="2227">
        <f t="shared" si="19"/>
        <v>0</v>
      </c>
      <c r="X55" s="505">
        <f t="shared" si="20"/>
        <v>0</v>
      </c>
    </row>
    <row r="56" spans="1:24" ht="13.2" customHeight="1">
      <c r="A56" s="1401">
        <f t="shared" si="12"/>
        <v>11.038999999999978</v>
      </c>
      <c r="B56" s="534" t="s">
        <v>1688</v>
      </c>
      <c r="C56" s="534"/>
      <c r="D56" s="694">
        <v>0</v>
      </c>
      <c r="E56" s="694"/>
      <c r="F56" s="1377">
        <f t="shared" si="36"/>
        <v>0</v>
      </c>
      <c r="G56" s="903"/>
      <c r="H56" s="903"/>
      <c r="I56" s="1320"/>
      <c r="J56" s="1377">
        <f t="shared" si="37"/>
        <v>0</v>
      </c>
      <c r="K56" s="903"/>
      <c r="L56" s="903"/>
      <c r="M56" s="1320"/>
      <c r="N56" s="1897" t="s">
        <v>201</v>
      </c>
      <c r="Q56" s="1401">
        <f t="shared" si="15"/>
        <v>11.038999999999978</v>
      </c>
      <c r="R56" s="1937" t="s">
        <v>1688</v>
      </c>
      <c r="T56" s="2227">
        <f t="shared" si="16"/>
        <v>0</v>
      </c>
      <c r="U56" s="2227">
        <f t="shared" si="17"/>
        <v>0</v>
      </c>
      <c r="V56" s="2227">
        <f t="shared" si="18"/>
        <v>0</v>
      </c>
      <c r="W56" s="2227">
        <f t="shared" si="19"/>
        <v>0</v>
      </c>
      <c r="X56" s="505">
        <f t="shared" si="20"/>
        <v>0</v>
      </c>
    </row>
    <row r="57" spans="1:24" ht="13.2" customHeight="1">
      <c r="A57" s="1401">
        <f t="shared" si="12"/>
        <v>11.039999999999978</v>
      </c>
      <c r="B57" s="534" t="s">
        <v>1689</v>
      </c>
      <c r="C57" s="780"/>
      <c r="D57" s="694">
        <v>0</v>
      </c>
      <c r="E57" s="694">
        <v>26847.62999999999</v>
      </c>
      <c r="F57" s="1377">
        <f t="shared" ref="F57:F58" si="38">+SUM(D57:E57)/2</f>
        <v>13423.814999999995</v>
      </c>
      <c r="G57" s="903"/>
      <c r="H57" s="903"/>
      <c r="I57" s="1320"/>
      <c r="J57" s="1377">
        <f t="shared" si="37"/>
        <v>7830.5587500030488</v>
      </c>
      <c r="K57" s="903"/>
      <c r="L57" s="903"/>
      <c r="M57" s="1320"/>
      <c r="N57" s="1897" t="s">
        <v>201</v>
      </c>
      <c r="O57" s="2225">
        <v>190317</v>
      </c>
      <c r="P57" s="2223">
        <v>26847.629999995683</v>
      </c>
      <c r="Q57" s="1401">
        <f t="shared" si="15"/>
        <v>11.039999999999978</v>
      </c>
      <c r="R57" s="2223" t="s">
        <v>1689</v>
      </c>
      <c r="T57" s="2227">
        <f t="shared" si="16"/>
        <v>26847.629999995683</v>
      </c>
      <c r="U57" s="2227">
        <f t="shared" si="17"/>
        <v>0</v>
      </c>
      <c r="V57" s="2227">
        <f t="shared" si="18"/>
        <v>0</v>
      </c>
      <c r="W57" s="2227">
        <f t="shared" si="19"/>
        <v>0</v>
      </c>
      <c r="X57" s="505">
        <f t="shared" si="20"/>
        <v>26847.629999995683</v>
      </c>
    </row>
    <row r="58" spans="1:24" ht="13.2" customHeight="1">
      <c r="A58" s="1401">
        <f t="shared" si="12"/>
        <v>11.040999999999977</v>
      </c>
      <c r="B58" s="534" t="s">
        <v>1690</v>
      </c>
      <c r="C58" s="780"/>
      <c r="D58" s="694">
        <v>0</v>
      </c>
      <c r="E58" s="694">
        <v>-2147.8099999999995</v>
      </c>
      <c r="F58" s="1377">
        <f t="shared" si="38"/>
        <v>-1073.9049999999997</v>
      </c>
      <c r="G58" s="903"/>
      <c r="H58" s="903"/>
      <c r="I58" s="1320"/>
      <c r="J58" s="1377">
        <f t="shared" si="37"/>
        <v>-626.44458333312173</v>
      </c>
      <c r="K58" s="903"/>
      <c r="L58" s="903"/>
      <c r="M58" s="1320"/>
      <c r="N58" s="1897" t="s">
        <v>202</v>
      </c>
      <c r="O58" s="2225">
        <v>190318</v>
      </c>
      <c r="P58" s="2223">
        <v>-2147.8100000002978</v>
      </c>
      <c r="Q58" s="1401">
        <f t="shared" si="15"/>
        <v>11.040999999999977</v>
      </c>
      <c r="R58" s="2223" t="s">
        <v>1690</v>
      </c>
      <c r="T58" s="2227">
        <f t="shared" si="16"/>
        <v>-2147.8100000002978</v>
      </c>
      <c r="U58" s="2227">
        <f t="shared" si="17"/>
        <v>0</v>
      </c>
      <c r="V58" s="2227">
        <f t="shared" si="18"/>
        <v>0</v>
      </c>
      <c r="W58" s="2227">
        <f t="shared" si="19"/>
        <v>0</v>
      </c>
      <c r="X58" s="505">
        <f t="shared" si="20"/>
        <v>-2147.8100000002978</v>
      </c>
    </row>
    <row r="59" spans="1:24" ht="13.2" customHeight="1">
      <c r="A59" s="1401">
        <f t="shared" si="12"/>
        <v>11.041999999999977</v>
      </c>
      <c r="B59" s="534" t="s">
        <v>1691</v>
      </c>
      <c r="C59" s="534"/>
      <c r="D59" s="694">
        <v>0</v>
      </c>
      <c r="E59" s="694"/>
      <c r="F59" s="1377"/>
      <c r="G59" s="903"/>
      <c r="H59" s="903"/>
      <c r="I59" s="1320">
        <f t="shared" ref="I59:I62" si="39">+SUM($D59:$E59)/2</f>
        <v>0</v>
      </c>
      <c r="J59" s="1377"/>
      <c r="K59" s="903"/>
      <c r="L59" s="903"/>
      <c r="M59" s="1320">
        <f t="shared" ref="M59:M62" si="40">E59-$P59*$I$316</f>
        <v>0</v>
      </c>
      <c r="N59" s="1897" t="s">
        <v>202</v>
      </c>
      <c r="Q59" s="1401">
        <f t="shared" si="15"/>
        <v>11.041999999999977</v>
      </c>
      <c r="R59" s="1937" t="s">
        <v>1691</v>
      </c>
      <c r="T59" s="2227">
        <f t="shared" si="16"/>
        <v>0</v>
      </c>
      <c r="U59" s="2227">
        <f t="shared" si="17"/>
        <v>0</v>
      </c>
      <c r="V59" s="2227">
        <f t="shared" si="18"/>
        <v>0</v>
      </c>
      <c r="W59" s="2227">
        <f t="shared" si="19"/>
        <v>0</v>
      </c>
      <c r="X59" s="505">
        <f t="shared" si="20"/>
        <v>0</v>
      </c>
    </row>
    <row r="60" spans="1:24" ht="13.2" customHeight="1">
      <c r="A60" s="1401">
        <f t="shared" si="12"/>
        <v>11.042999999999976</v>
      </c>
      <c r="B60" s="534" t="s">
        <v>1692</v>
      </c>
      <c r="C60" s="534"/>
      <c r="D60" s="694">
        <v>0</v>
      </c>
      <c r="E60" s="694"/>
      <c r="F60" s="1377"/>
      <c r="G60" s="903"/>
      <c r="H60" s="903"/>
      <c r="I60" s="1320">
        <f t="shared" si="39"/>
        <v>0</v>
      </c>
      <c r="J60" s="1377"/>
      <c r="K60" s="903"/>
      <c r="L60" s="903"/>
      <c r="M60" s="1320">
        <f t="shared" si="40"/>
        <v>0</v>
      </c>
      <c r="N60" s="1897" t="s">
        <v>203</v>
      </c>
      <c r="Q60" s="1401">
        <f t="shared" si="15"/>
        <v>11.042999999999976</v>
      </c>
      <c r="R60" s="1937" t="s">
        <v>1692</v>
      </c>
      <c r="T60" s="2227">
        <f t="shared" si="16"/>
        <v>0</v>
      </c>
      <c r="U60" s="2227">
        <f t="shared" si="17"/>
        <v>0</v>
      </c>
      <c r="V60" s="2227">
        <f t="shared" si="18"/>
        <v>0</v>
      </c>
      <c r="W60" s="2227">
        <f t="shared" si="19"/>
        <v>0</v>
      </c>
      <c r="X60" s="505">
        <f t="shared" si="20"/>
        <v>0</v>
      </c>
    </row>
    <row r="61" spans="1:24" ht="13.2" customHeight="1">
      <c r="A61" s="1401">
        <f t="shared" si="12"/>
        <v>11.043999999999976</v>
      </c>
      <c r="B61" s="534" t="s">
        <v>1693</v>
      </c>
      <c r="C61" s="534"/>
      <c r="D61" s="694">
        <v>0</v>
      </c>
      <c r="E61" s="694">
        <v>1836316.4500000002</v>
      </c>
      <c r="F61" s="1377"/>
      <c r="G61" s="903"/>
      <c r="H61" s="903"/>
      <c r="I61" s="1320">
        <f t="shared" si="39"/>
        <v>918158.22500000009</v>
      </c>
      <c r="J61" s="1377"/>
      <c r="K61" s="903"/>
      <c r="L61" s="903"/>
      <c r="M61" s="1320">
        <f t="shared" si="40"/>
        <v>535592.2270833333</v>
      </c>
      <c r="N61" s="1897" t="s">
        <v>203</v>
      </c>
      <c r="O61" s="2225">
        <v>190331</v>
      </c>
      <c r="P61" s="2223">
        <v>1836316.55</v>
      </c>
      <c r="Q61" s="1401">
        <f t="shared" si="15"/>
        <v>11.043999999999976</v>
      </c>
      <c r="R61" s="2223" t="s">
        <v>1693</v>
      </c>
      <c r="T61" s="2227">
        <f t="shared" si="16"/>
        <v>0</v>
      </c>
      <c r="U61" s="2227">
        <f t="shared" si="17"/>
        <v>0</v>
      </c>
      <c r="V61" s="2227">
        <f t="shared" si="18"/>
        <v>0</v>
      </c>
      <c r="W61" s="2227">
        <f t="shared" si="19"/>
        <v>1836316.55</v>
      </c>
      <c r="X61" s="505">
        <f t="shared" si="20"/>
        <v>1836316.55</v>
      </c>
    </row>
    <row r="62" spans="1:24" ht="13.2" customHeight="1">
      <c r="A62" s="1401">
        <f t="shared" si="12"/>
        <v>11.044999999999975</v>
      </c>
      <c r="B62" s="534" t="s">
        <v>1694</v>
      </c>
      <c r="C62" s="534"/>
      <c r="D62" s="694">
        <v>0</v>
      </c>
      <c r="E62" s="694">
        <v>-146905.32</v>
      </c>
      <c r="F62" s="1377"/>
      <c r="G62" s="903"/>
      <c r="H62" s="903"/>
      <c r="I62" s="1320">
        <f t="shared" si="39"/>
        <v>-73452.66</v>
      </c>
      <c r="J62" s="1377"/>
      <c r="K62" s="903"/>
      <c r="L62" s="903"/>
      <c r="M62" s="1320">
        <f t="shared" si="40"/>
        <v>-42847.37791666665</v>
      </c>
      <c r="N62" s="1897" t="s">
        <v>196</v>
      </c>
      <c r="O62" s="2225">
        <v>190332</v>
      </c>
      <c r="P62" s="2223">
        <v>-146905.33000000002</v>
      </c>
      <c r="Q62" s="1401">
        <f t="shared" si="15"/>
        <v>11.044999999999975</v>
      </c>
      <c r="R62" s="2223" t="s">
        <v>1694</v>
      </c>
      <c r="T62" s="2227">
        <f t="shared" si="16"/>
        <v>0</v>
      </c>
      <c r="U62" s="2227">
        <f t="shared" si="17"/>
        <v>0</v>
      </c>
      <c r="V62" s="2227">
        <f t="shared" si="18"/>
        <v>0</v>
      </c>
      <c r="W62" s="2227">
        <f t="shared" si="19"/>
        <v>-146905.33000000002</v>
      </c>
      <c r="X62" s="505">
        <f t="shared" si="20"/>
        <v>-146905.33000000002</v>
      </c>
    </row>
    <row r="63" spans="1:24" ht="13.2" customHeight="1">
      <c r="A63" s="1401">
        <f t="shared" si="12"/>
        <v>11.045999999999975</v>
      </c>
      <c r="B63" s="534" t="s">
        <v>1695</v>
      </c>
      <c r="C63" s="534"/>
      <c r="D63" s="694">
        <v>0</v>
      </c>
      <c r="E63" s="694">
        <v>1132633.31</v>
      </c>
      <c r="F63" s="1377">
        <f t="shared" ref="F63:F64" si="41">+SUM(D63:E63)/2</f>
        <v>566316.65500000003</v>
      </c>
      <c r="G63" s="903"/>
      <c r="H63" s="903"/>
      <c r="I63" s="1320"/>
      <c r="J63" s="1377">
        <f t="shared" ref="J63:J64" si="42">E63-$P63*$I$316</f>
        <v>330351.27583333326</v>
      </c>
      <c r="K63" s="903"/>
      <c r="L63" s="903"/>
      <c r="M63" s="1320"/>
      <c r="N63" s="1897" t="s">
        <v>196</v>
      </c>
      <c r="O63" s="2225">
        <v>190351</v>
      </c>
      <c r="P63" s="2223">
        <v>1132633.4600000002</v>
      </c>
      <c r="Q63" s="1401">
        <f t="shared" si="15"/>
        <v>11.045999999999975</v>
      </c>
      <c r="R63" s="2223" t="s">
        <v>1695</v>
      </c>
      <c r="T63" s="2227">
        <f t="shared" si="16"/>
        <v>1132633.4600000002</v>
      </c>
      <c r="U63" s="2227">
        <f t="shared" si="17"/>
        <v>0</v>
      </c>
      <c r="V63" s="2227">
        <f t="shared" si="18"/>
        <v>0</v>
      </c>
      <c r="W63" s="2227">
        <f t="shared" si="19"/>
        <v>0</v>
      </c>
      <c r="X63" s="505">
        <f t="shared" si="20"/>
        <v>1132633.4600000002</v>
      </c>
    </row>
    <row r="64" spans="1:24" ht="13.2" customHeight="1">
      <c r="A64" s="1401">
        <f t="shared" si="12"/>
        <v>11.046999999999974</v>
      </c>
      <c r="B64" s="534" t="s">
        <v>1696</v>
      </c>
      <c r="C64" s="534"/>
      <c r="D64" s="694">
        <v>0</v>
      </c>
      <c r="E64" s="694">
        <v>-90610.66</v>
      </c>
      <c r="F64" s="1377">
        <f t="shared" si="41"/>
        <v>-45305.33</v>
      </c>
      <c r="G64" s="903"/>
      <c r="H64" s="903"/>
      <c r="I64" s="1320"/>
      <c r="J64" s="1377">
        <f t="shared" si="42"/>
        <v>-26428.357083333321</v>
      </c>
      <c r="K64" s="903"/>
      <c r="L64" s="903"/>
      <c r="M64" s="1320"/>
      <c r="N64" s="1897" t="s">
        <v>197</v>
      </c>
      <c r="O64" s="2224">
        <v>190352</v>
      </c>
      <c r="P64" s="2223">
        <v>-90610.310000000012</v>
      </c>
      <c r="Q64" s="1401">
        <f t="shared" si="15"/>
        <v>11.046999999999974</v>
      </c>
      <c r="R64" s="2223" t="s">
        <v>1696</v>
      </c>
      <c r="T64" s="2227">
        <f t="shared" si="16"/>
        <v>-90610.310000000012</v>
      </c>
      <c r="U64" s="2227">
        <f t="shared" si="17"/>
        <v>0</v>
      </c>
      <c r="V64" s="2227">
        <f t="shared" si="18"/>
        <v>0</v>
      </c>
      <c r="W64" s="2227">
        <f t="shared" si="19"/>
        <v>0</v>
      </c>
      <c r="X64" s="505">
        <f t="shared" si="20"/>
        <v>-90610.310000000012</v>
      </c>
    </row>
    <row r="65" spans="1:24" ht="13.2" customHeight="1">
      <c r="A65" s="1401">
        <f t="shared" si="12"/>
        <v>11.047999999999973</v>
      </c>
      <c r="B65" s="534" t="s">
        <v>1697</v>
      </c>
      <c r="C65" s="534"/>
      <c r="D65" s="694">
        <v>0</v>
      </c>
      <c r="E65" s="694">
        <v>2435644.7599999998</v>
      </c>
      <c r="F65" s="1377"/>
      <c r="G65" s="903"/>
      <c r="H65" s="903"/>
      <c r="I65" s="1320">
        <f t="shared" ref="I65:I66" si="43">+SUM($D65:$E65)/2</f>
        <v>1217822.3799999999</v>
      </c>
      <c r="J65" s="1377"/>
      <c r="K65" s="903"/>
      <c r="L65" s="903"/>
      <c r="M65" s="1320">
        <f t="shared" ref="M65:M66" si="44">E65-$P65*$I$316</f>
        <v>710396.38833333319</v>
      </c>
      <c r="N65" s="1897" t="s">
        <v>197</v>
      </c>
      <c r="O65" s="2224">
        <v>190355</v>
      </c>
      <c r="P65" s="2223">
        <v>2435644.7599999998</v>
      </c>
      <c r="Q65" s="1401">
        <f t="shared" si="15"/>
        <v>11.047999999999973</v>
      </c>
      <c r="R65" s="2223" t="s">
        <v>1697</v>
      </c>
      <c r="T65" s="2227">
        <f t="shared" si="16"/>
        <v>0</v>
      </c>
      <c r="U65" s="2227">
        <f t="shared" si="17"/>
        <v>0</v>
      </c>
      <c r="V65" s="2227">
        <f t="shared" si="18"/>
        <v>0</v>
      </c>
      <c r="W65" s="2227">
        <f t="shared" si="19"/>
        <v>2435644.7599999998</v>
      </c>
      <c r="X65" s="505">
        <f t="shared" si="20"/>
        <v>2435644.7599999998</v>
      </c>
    </row>
    <row r="66" spans="1:24" ht="13.2" customHeight="1">
      <c r="A66" s="1401">
        <f t="shared" si="12"/>
        <v>11.048999999999973</v>
      </c>
      <c r="B66" s="534" t="s">
        <v>1698</v>
      </c>
      <c r="C66" s="534"/>
      <c r="D66" s="694">
        <v>0</v>
      </c>
      <c r="E66" s="694">
        <v>-194851.58</v>
      </c>
      <c r="F66" s="1377"/>
      <c r="G66" s="903"/>
      <c r="H66" s="903"/>
      <c r="I66" s="1320">
        <f t="shared" si="43"/>
        <v>-97425.79</v>
      </c>
      <c r="J66" s="1377"/>
      <c r="K66" s="903"/>
      <c r="L66" s="903"/>
      <c r="M66" s="1320">
        <f t="shared" si="44"/>
        <v>-56831.710833333316</v>
      </c>
      <c r="N66" s="1897" t="s">
        <v>196</v>
      </c>
      <c r="O66" s="2224">
        <v>190356</v>
      </c>
      <c r="P66" s="2223">
        <v>-194851.58</v>
      </c>
      <c r="Q66" s="1401">
        <f t="shared" si="15"/>
        <v>11.048999999999973</v>
      </c>
      <c r="R66" s="2223" t="s">
        <v>1698</v>
      </c>
      <c r="T66" s="2227">
        <f t="shared" si="16"/>
        <v>0</v>
      </c>
      <c r="U66" s="2227">
        <f t="shared" si="17"/>
        <v>0</v>
      </c>
      <c r="V66" s="2227">
        <f t="shared" si="18"/>
        <v>0</v>
      </c>
      <c r="W66" s="2227">
        <f t="shared" si="19"/>
        <v>-194851.58</v>
      </c>
      <c r="X66" s="505">
        <f t="shared" si="20"/>
        <v>-194851.58</v>
      </c>
    </row>
    <row r="67" spans="1:24" ht="13.2" customHeight="1">
      <c r="A67" s="1401">
        <f t="shared" si="12"/>
        <v>11.049999999999972</v>
      </c>
      <c r="B67" s="534" t="s">
        <v>1699</v>
      </c>
      <c r="C67" s="534"/>
      <c r="D67" s="694">
        <v>0</v>
      </c>
      <c r="E67" s="694">
        <v>49122060.770000003</v>
      </c>
      <c r="F67" s="1377"/>
      <c r="G67" s="903"/>
      <c r="H67" s="903">
        <f t="shared" ref="H67:H68" si="45">+SUM($D67:$E67)/2</f>
        <v>24561030.385000002</v>
      </c>
      <c r="I67" s="1320"/>
      <c r="J67" s="1377"/>
      <c r="K67" s="903"/>
      <c r="L67" s="903">
        <f t="shared" ref="L67:L68" si="46">E67-$P67*$I$316</f>
        <v>14327267.741938725</v>
      </c>
      <c r="M67" s="1320"/>
      <c r="N67" s="1897" t="s">
        <v>196</v>
      </c>
      <c r="O67" s="2224">
        <v>190357</v>
      </c>
      <c r="P67" s="2223">
        <v>49122060.74549827</v>
      </c>
      <c r="Q67" s="1401">
        <f t="shared" si="15"/>
        <v>11.049999999999972</v>
      </c>
      <c r="R67" s="2223" t="s">
        <v>1699</v>
      </c>
      <c r="T67" s="2227">
        <f t="shared" si="16"/>
        <v>0</v>
      </c>
      <c r="U67" s="2227">
        <f t="shared" si="17"/>
        <v>0</v>
      </c>
      <c r="V67" s="2227">
        <f t="shared" si="18"/>
        <v>49122060.74549827</v>
      </c>
      <c r="W67" s="2227">
        <f t="shared" si="19"/>
        <v>0</v>
      </c>
      <c r="X67" s="505">
        <f t="shared" si="20"/>
        <v>49122060.74549827</v>
      </c>
    </row>
    <row r="68" spans="1:24" ht="13.2" customHeight="1">
      <c r="A68" s="1401">
        <f t="shared" si="12"/>
        <v>11.050999999999972</v>
      </c>
      <c r="B68" s="534" t="s">
        <v>1700</v>
      </c>
      <c r="C68" s="534"/>
      <c r="D68" s="694">
        <v>0</v>
      </c>
      <c r="E68" s="694">
        <v>-3929034.94</v>
      </c>
      <c r="F68" s="1377"/>
      <c r="G68" s="903"/>
      <c r="H68" s="903">
        <f t="shared" si="45"/>
        <v>-1964517.47</v>
      </c>
      <c r="I68" s="1320"/>
      <c r="J68" s="1377"/>
      <c r="K68" s="903"/>
      <c r="L68" s="903">
        <f t="shared" si="46"/>
        <v>-1145968.5103431162</v>
      </c>
      <c r="M68" s="1320"/>
      <c r="N68" s="1897" t="s">
        <v>196</v>
      </c>
      <c r="O68" s="2225">
        <v>190358</v>
      </c>
      <c r="P68" s="2223">
        <v>-3929034.9595156</v>
      </c>
      <c r="Q68" s="1401">
        <f t="shared" si="15"/>
        <v>11.050999999999972</v>
      </c>
      <c r="R68" s="2223" t="s">
        <v>1700</v>
      </c>
      <c r="T68" s="2227">
        <f t="shared" si="16"/>
        <v>0</v>
      </c>
      <c r="U68" s="2227">
        <f t="shared" si="17"/>
        <v>0</v>
      </c>
      <c r="V68" s="2227">
        <f t="shared" si="18"/>
        <v>-3929034.9595156</v>
      </c>
      <c r="W68" s="2227">
        <f t="shared" si="19"/>
        <v>0</v>
      </c>
      <c r="X68" s="505">
        <f t="shared" si="20"/>
        <v>-3929034.9595156</v>
      </c>
    </row>
    <row r="69" spans="1:24" ht="13.2" customHeight="1">
      <c r="A69" s="1401">
        <f t="shared" si="12"/>
        <v>11.051999999999971</v>
      </c>
      <c r="B69" s="534" t="s">
        <v>1701</v>
      </c>
      <c r="C69" s="534"/>
      <c r="D69" s="694">
        <v>0</v>
      </c>
      <c r="E69" s="694"/>
      <c r="F69" s="1377">
        <f t="shared" ref="F69:F81" si="47">+SUM(D69:E69)/2</f>
        <v>0</v>
      </c>
      <c r="G69" s="903"/>
      <c r="H69" s="903"/>
      <c r="I69" s="1320"/>
      <c r="J69" s="1377">
        <f t="shared" ref="J69:J71" si="48">E69-$P69*$I$316</f>
        <v>0</v>
      </c>
      <c r="K69" s="903"/>
      <c r="L69" s="903"/>
      <c r="M69" s="1320"/>
      <c r="N69" s="1897" t="s">
        <v>196</v>
      </c>
      <c r="Q69" s="1401">
        <f t="shared" si="15"/>
        <v>11.051999999999971</v>
      </c>
      <c r="R69" s="1937" t="s">
        <v>1701</v>
      </c>
      <c r="T69" s="2227">
        <f t="shared" si="16"/>
        <v>0</v>
      </c>
      <c r="U69" s="2227">
        <f t="shared" si="17"/>
        <v>0</v>
      </c>
      <c r="V69" s="2227">
        <f t="shared" si="18"/>
        <v>0</v>
      </c>
      <c r="W69" s="2227">
        <f t="shared" si="19"/>
        <v>0</v>
      </c>
      <c r="X69" s="505">
        <f t="shared" si="20"/>
        <v>0</v>
      </c>
    </row>
    <row r="70" spans="1:24" ht="13.2" customHeight="1">
      <c r="A70" s="1401">
        <f t="shared" si="12"/>
        <v>11.052999999999971</v>
      </c>
      <c r="B70" s="534" t="s">
        <v>1702</v>
      </c>
      <c r="C70" s="534"/>
      <c r="D70" s="694">
        <v>0</v>
      </c>
      <c r="E70" s="694"/>
      <c r="F70" s="1377">
        <f t="shared" si="47"/>
        <v>0</v>
      </c>
      <c r="G70" s="903"/>
      <c r="H70" s="903"/>
      <c r="I70" s="1320"/>
      <c r="J70" s="1377">
        <f t="shared" si="48"/>
        <v>0</v>
      </c>
      <c r="K70" s="903"/>
      <c r="L70" s="903"/>
      <c r="M70" s="1320"/>
      <c r="N70" s="1897" t="s">
        <v>196</v>
      </c>
      <c r="Q70" s="1401">
        <f t="shared" si="15"/>
        <v>11.052999999999971</v>
      </c>
      <c r="R70" s="1937" t="s">
        <v>1702</v>
      </c>
      <c r="T70" s="2227">
        <f t="shared" si="16"/>
        <v>0</v>
      </c>
      <c r="U70" s="2227">
        <f t="shared" si="17"/>
        <v>0</v>
      </c>
      <c r="V70" s="2227">
        <f t="shared" si="18"/>
        <v>0</v>
      </c>
      <c r="W70" s="2227">
        <f t="shared" si="19"/>
        <v>0</v>
      </c>
      <c r="X70" s="505">
        <f t="shared" si="20"/>
        <v>0</v>
      </c>
    </row>
    <row r="71" spans="1:24" ht="13.2" customHeight="1">
      <c r="A71" s="1401">
        <f t="shared" si="12"/>
        <v>11.05399999999997</v>
      </c>
      <c r="B71" s="534" t="s">
        <v>1703</v>
      </c>
      <c r="C71" s="534"/>
      <c r="D71" s="694">
        <v>0</v>
      </c>
      <c r="E71" s="694"/>
      <c r="F71" s="1377">
        <f t="shared" si="47"/>
        <v>0</v>
      </c>
      <c r="G71" s="903"/>
      <c r="H71" s="903"/>
      <c r="I71" s="1320"/>
      <c r="J71" s="1377">
        <f t="shared" si="48"/>
        <v>0</v>
      </c>
      <c r="K71" s="903"/>
      <c r="L71" s="903"/>
      <c r="M71" s="1320"/>
      <c r="N71" s="1897" t="s">
        <v>196</v>
      </c>
      <c r="Q71" s="1401">
        <f t="shared" si="15"/>
        <v>11.05399999999997</v>
      </c>
      <c r="R71" s="1937" t="s">
        <v>1703</v>
      </c>
      <c r="T71" s="2227">
        <f t="shared" si="16"/>
        <v>0</v>
      </c>
      <c r="U71" s="2227">
        <f t="shared" si="17"/>
        <v>0</v>
      </c>
      <c r="V71" s="2227">
        <f t="shared" si="18"/>
        <v>0</v>
      </c>
      <c r="W71" s="2227">
        <f t="shared" si="19"/>
        <v>0</v>
      </c>
      <c r="X71" s="505">
        <f t="shared" si="20"/>
        <v>0</v>
      </c>
    </row>
    <row r="72" spans="1:24" ht="13.2" customHeight="1">
      <c r="A72" s="1401">
        <f t="shared" si="12"/>
        <v>11.05499999999997</v>
      </c>
      <c r="B72" s="534" t="s">
        <v>1704</v>
      </c>
      <c r="C72" s="534"/>
      <c r="D72" s="694">
        <v>0</v>
      </c>
      <c r="E72" s="694">
        <v>178597065.15000001</v>
      </c>
      <c r="F72" s="1377"/>
      <c r="G72" s="903"/>
      <c r="H72" s="903">
        <f t="shared" ref="H72:H73" si="49">+SUM($D72:$E72)/2</f>
        <v>89298532.575000003</v>
      </c>
      <c r="I72" s="1320"/>
      <c r="J72" s="1377"/>
      <c r="K72" s="903"/>
      <c r="L72" s="903">
        <f t="shared" ref="L72:L73" si="50">E72-$P72*$I$316</f>
        <v>52090810.704645723</v>
      </c>
      <c r="M72" s="1320"/>
      <c r="N72" s="1897" t="s">
        <v>196</v>
      </c>
      <c r="O72" s="2225">
        <v>190363</v>
      </c>
      <c r="P72" s="2223">
        <v>178597065.09932369</v>
      </c>
      <c r="Q72" s="1401">
        <f t="shared" si="15"/>
        <v>11.05499999999997</v>
      </c>
      <c r="R72" s="2223" t="s">
        <v>1704</v>
      </c>
      <c r="T72" s="2227">
        <f t="shared" si="16"/>
        <v>0</v>
      </c>
      <c r="U72" s="2227">
        <f t="shared" si="17"/>
        <v>0</v>
      </c>
      <c r="V72" s="2227">
        <f t="shared" si="18"/>
        <v>178597065.09932369</v>
      </c>
      <c r="W72" s="2227">
        <f t="shared" si="19"/>
        <v>0</v>
      </c>
      <c r="X72" s="505">
        <f t="shared" si="20"/>
        <v>178597065.09932369</v>
      </c>
    </row>
    <row r="73" spans="1:24" ht="13.2" customHeight="1">
      <c r="A73" s="1401">
        <f t="shared" si="12"/>
        <v>11.055999999999969</v>
      </c>
      <c r="B73" s="534" t="s">
        <v>1705</v>
      </c>
      <c r="C73" s="534"/>
      <c r="D73" s="694">
        <v>0</v>
      </c>
      <c r="E73" s="694">
        <v>-14287936.529999999</v>
      </c>
      <c r="F73" s="1377"/>
      <c r="G73" s="903"/>
      <c r="H73" s="903">
        <f t="shared" si="49"/>
        <v>-7143968.2649999997</v>
      </c>
      <c r="I73" s="1320"/>
      <c r="J73" s="1377"/>
      <c r="K73" s="903"/>
      <c r="L73" s="903">
        <f t="shared" si="50"/>
        <v>-4167314.4902755003</v>
      </c>
      <c r="M73" s="1320"/>
      <c r="N73" s="1897" t="s">
        <v>196</v>
      </c>
      <c r="O73" s="2225">
        <v>190364</v>
      </c>
      <c r="P73" s="2223">
        <v>-14287936.997258116</v>
      </c>
      <c r="Q73" s="1401">
        <f t="shared" si="15"/>
        <v>11.055999999999969</v>
      </c>
      <c r="R73" s="2223" t="s">
        <v>1705</v>
      </c>
      <c r="T73" s="2227">
        <f t="shared" si="16"/>
        <v>0</v>
      </c>
      <c r="U73" s="2227">
        <f t="shared" si="17"/>
        <v>0</v>
      </c>
      <c r="V73" s="2227">
        <f t="shared" si="18"/>
        <v>-14287936.997258116</v>
      </c>
      <c r="W73" s="2227">
        <f t="shared" si="19"/>
        <v>0</v>
      </c>
      <c r="X73" s="505">
        <f t="shared" si="20"/>
        <v>-14287936.997258116</v>
      </c>
    </row>
    <row r="74" spans="1:24" ht="13.2" customHeight="1">
      <c r="A74" s="1401">
        <f t="shared" si="12"/>
        <v>11.056999999999968</v>
      </c>
      <c r="B74" s="534" t="s">
        <v>1706</v>
      </c>
      <c r="C74" s="534"/>
      <c r="D74" s="694">
        <v>0</v>
      </c>
      <c r="E74" s="694">
        <v>12392.66</v>
      </c>
      <c r="F74" s="1377">
        <f t="shared" si="47"/>
        <v>6196.33</v>
      </c>
      <c r="G74" s="903"/>
      <c r="H74" s="903"/>
      <c r="I74" s="1320"/>
      <c r="J74" s="1377">
        <f t="shared" ref="J74:J81" si="51">E74-$P74*$I$316</f>
        <v>3614.5258333333331</v>
      </c>
      <c r="K74" s="903"/>
      <c r="L74" s="903"/>
      <c r="M74" s="1320"/>
      <c r="N74" s="1897" t="s">
        <v>196</v>
      </c>
      <c r="O74" s="2225">
        <v>190375</v>
      </c>
      <c r="P74" s="2223">
        <v>12392.66</v>
      </c>
      <c r="Q74" s="1401">
        <f t="shared" si="15"/>
        <v>11.056999999999968</v>
      </c>
      <c r="R74" s="2223" t="s">
        <v>1706</v>
      </c>
      <c r="T74" s="2227">
        <f t="shared" si="16"/>
        <v>12392.66</v>
      </c>
      <c r="U74" s="2227">
        <f t="shared" si="17"/>
        <v>0</v>
      </c>
      <c r="V74" s="2227">
        <f t="shared" si="18"/>
        <v>0</v>
      </c>
      <c r="W74" s="2227">
        <f t="shared" si="19"/>
        <v>0</v>
      </c>
      <c r="X74" s="505">
        <f t="shared" si="20"/>
        <v>12392.66</v>
      </c>
    </row>
    <row r="75" spans="1:24" ht="13.2" customHeight="1">
      <c r="A75" s="1401">
        <f t="shared" si="12"/>
        <v>11.057999999999968</v>
      </c>
      <c r="B75" s="534" t="s">
        <v>1707</v>
      </c>
      <c r="C75" s="534"/>
      <c r="D75" s="694">
        <v>0</v>
      </c>
      <c r="E75" s="694">
        <v>-199598.22999999998</v>
      </c>
      <c r="F75" s="1377">
        <f t="shared" si="47"/>
        <v>-99799.114999999991</v>
      </c>
      <c r="G75" s="903"/>
      <c r="H75" s="903"/>
      <c r="I75" s="1320"/>
      <c r="J75" s="1377">
        <f t="shared" si="51"/>
        <v>-58216.150416666642</v>
      </c>
      <c r="K75" s="903"/>
      <c r="L75" s="903"/>
      <c r="M75" s="1320"/>
      <c r="N75" s="1897" t="s">
        <v>196</v>
      </c>
      <c r="O75" s="2225">
        <v>190376</v>
      </c>
      <c r="P75" s="2223">
        <v>-199598.23</v>
      </c>
      <c r="Q75" s="1401">
        <f t="shared" si="15"/>
        <v>11.057999999999968</v>
      </c>
      <c r="R75" s="2223" t="s">
        <v>1707</v>
      </c>
      <c r="T75" s="2227">
        <f t="shared" si="16"/>
        <v>-199598.23</v>
      </c>
      <c r="U75" s="2227">
        <f t="shared" si="17"/>
        <v>0</v>
      </c>
      <c r="V75" s="2227">
        <f t="shared" si="18"/>
        <v>0</v>
      </c>
      <c r="W75" s="2227">
        <f t="shared" si="19"/>
        <v>0</v>
      </c>
      <c r="X75" s="505">
        <f t="shared" si="20"/>
        <v>-199598.23</v>
      </c>
    </row>
    <row r="76" spans="1:24" ht="13.2" customHeight="1">
      <c r="A76" s="1401">
        <f t="shared" si="12"/>
        <v>11.058999999999967</v>
      </c>
      <c r="B76" s="534" t="s">
        <v>1708</v>
      </c>
      <c r="C76" s="534"/>
      <c r="D76" s="694">
        <v>0</v>
      </c>
      <c r="E76" s="694"/>
      <c r="F76" s="1377">
        <f t="shared" si="47"/>
        <v>0</v>
      </c>
      <c r="G76" s="903"/>
      <c r="H76" s="903"/>
      <c r="I76" s="1320"/>
      <c r="J76" s="1377">
        <f t="shared" si="51"/>
        <v>0</v>
      </c>
      <c r="K76" s="903"/>
      <c r="L76" s="903"/>
      <c r="M76" s="1320"/>
      <c r="N76" s="1897" t="s">
        <v>204</v>
      </c>
      <c r="Q76" s="1401">
        <f t="shared" si="15"/>
        <v>11.058999999999967</v>
      </c>
      <c r="R76" s="1937" t="s">
        <v>1708</v>
      </c>
      <c r="T76" s="2227">
        <f t="shared" si="16"/>
        <v>0</v>
      </c>
      <c r="U76" s="2227">
        <f t="shared" si="17"/>
        <v>0</v>
      </c>
      <c r="V76" s="2227">
        <f t="shared" si="18"/>
        <v>0</v>
      </c>
      <c r="W76" s="2227">
        <f t="shared" si="19"/>
        <v>0</v>
      </c>
      <c r="X76" s="505">
        <f t="shared" si="20"/>
        <v>0</v>
      </c>
    </row>
    <row r="77" spans="1:24" ht="13.2" customHeight="1">
      <c r="A77" s="1401">
        <f t="shared" si="12"/>
        <v>11.059999999999967</v>
      </c>
      <c r="B77" s="534" t="s">
        <v>1709</v>
      </c>
      <c r="C77" s="534"/>
      <c r="D77" s="694">
        <v>0</v>
      </c>
      <c r="E77" s="694"/>
      <c r="F77" s="1377">
        <f t="shared" si="47"/>
        <v>0</v>
      </c>
      <c r="G77" s="903"/>
      <c r="H77" s="903"/>
      <c r="I77" s="1320"/>
      <c r="J77" s="1377">
        <f t="shared" si="51"/>
        <v>0</v>
      </c>
      <c r="K77" s="903"/>
      <c r="L77" s="903"/>
      <c r="M77" s="1320"/>
      <c r="N77" s="1897" t="s">
        <v>204</v>
      </c>
      <c r="Q77" s="1401">
        <f t="shared" si="15"/>
        <v>11.059999999999967</v>
      </c>
      <c r="R77" s="1937" t="s">
        <v>1709</v>
      </c>
      <c r="T77" s="2227">
        <f t="shared" si="16"/>
        <v>0</v>
      </c>
      <c r="U77" s="2227">
        <f t="shared" si="17"/>
        <v>0</v>
      </c>
      <c r="V77" s="2227">
        <f t="shared" si="18"/>
        <v>0</v>
      </c>
      <c r="W77" s="2227">
        <f t="shared" si="19"/>
        <v>0</v>
      </c>
      <c r="X77" s="505">
        <f t="shared" si="20"/>
        <v>0</v>
      </c>
    </row>
    <row r="78" spans="1:24" ht="13.2" customHeight="1">
      <c r="A78" s="1401">
        <f t="shared" si="12"/>
        <v>11.060999999999966</v>
      </c>
      <c r="B78" s="534" t="s">
        <v>1710</v>
      </c>
      <c r="C78" s="534"/>
      <c r="D78" s="694">
        <v>0</v>
      </c>
      <c r="E78" s="694">
        <v>141413.62</v>
      </c>
      <c r="F78" s="1377">
        <f t="shared" si="47"/>
        <v>70706.81</v>
      </c>
      <c r="G78" s="903"/>
      <c r="H78" s="903"/>
      <c r="I78" s="1320"/>
      <c r="J78" s="1377">
        <f t="shared" si="51"/>
        <v>41245.63916666666</v>
      </c>
      <c r="K78" s="903"/>
      <c r="L78" s="903"/>
      <c r="M78" s="1320"/>
      <c r="N78" s="1897" t="s">
        <v>1945</v>
      </c>
      <c r="O78" s="2225">
        <v>190391</v>
      </c>
      <c r="P78" s="2223">
        <v>141413.62</v>
      </c>
      <c r="Q78" s="1401">
        <f t="shared" si="15"/>
        <v>11.060999999999966</v>
      </c>
      <c r="R78" s="2223" t="s">
        <v>1710</v>
      </c>
      <c r="T78" s="2227">
        <f t="shared" si="16"/>
        <v>141413.62</v>
      </c>
      <c r="U78" s="2227">
        <f t="shared" si="17"/>
        <v>0</v>
      </c>
      <c r="V78" s="2227">
        <f t="shared" si="18"/>
        <v>0</v>
      </c>
      <c r="W78" s="2227">
        <f t="shared" si="19"/>
        <v>0</v>
      </c>
      <c r="X78" s="505">
        <f t="shared" si="20"/>
        <v>141413.62</v>
      </c>
    </row>
    <row r="79" spans="1:24" ht="13.2" customHeight="1">
      <c r="A79" s="1401">
        <f t="shared" si="12"/>
        <v>11.061999999999966</v>
      </c>
      <c r="B79" s="534" t="s">
        <v>1711</v>
      </c>
      <c r="C79" s="534"/>
      <c r="D79" s="694">
        <v>0</v>
      </c>
      <c r="E79" s="694">
        <v>-11313.08</v>
      </c>
      <c r="F79" s="1377">
        <f t="shared" si="47"/>
        <v>-5656.54</v>
      </c>
      <c r="G79" s="903"/>
      <c r="H79" s="903"/>
      <c r="I79" s="1320"/>
      <c r="J79" s="1377">
        <f t="shared" si="51"/>
        <v>-3299.6483333333326</v>
      </c>
      <c r="K79" s="903"/>
      <c r="L79" s="903"/>
      <c r="M79" s="1320"/>
      <c r="N79" s="1897" t="s">
        <v>1945</v>
      </c>
      <c r="O79" s="2225">
        <v>190392</v>
      </c>
      <c r="P79" s="2223">
        <v>-11313.08</v>
      </c>
      <c r="Q79" s="1401">
        <f t="shared" si="15"/>
        <v>11.061999999999966</v>
      </c>
      <c r="R79" s="2223" t="s">
        <v>1711</v>
      </c>
      <c r="T79" s="2227">
        <f t="shared" si="16"/>
        <v>-11313.08</v>
      </c>
      <c r="U79" s="2227">
        <f t="shared" si="17"/>
        <v>0</v>
      </c>
      <c r="V79" s="2227">
        <f t="shared" si="18"/>
        <v>0</v>
      </c>
      <c r="W79" s="2227">
        <f t="shared" si="19"/>
        <v>0</v>
      </c>
      <c r="X79" s="505">
        <f t="shared" si="20"/>
        <v>-11313.08</v>
      </c>
    </row>
    <row r="80" spans="1:24" ht="13.2" customHeight="1">
      <c r="A80" s="1401">
        <f t="shared" si="12"/>
        <v>11.062999999999965</v>
      </c>
      <c r="B80" s="534" t="s">
        <v>1712</v>
      </c>
      <c r="C80" s="780"/>
      <c r="D80" s="694">
        <v>0</v>
      </c>
      <c r="E80" s="694">
        <v>114414.12</v>
      </c>
      <c r="F80" s="1377">
        <f t="shared" si="47"/>
        <v>57207.06</v>
      </c>
      <c r="G80" s="903"/>
      <c r="H80" s="903"/>
      <c r="I80" s="1320"/>
      <c r="J80" s="1377">
        <f t="shared" si="51"/>
        <v>33370.784999999989</v>
      </c>
      <c r="K80" s="903"/>
      <c r="L80" s="903"/>
      <c r="M80" s="1320"/>
      <c r="N80" s="1897" t="s">
        <v>197</v>
      </c>
      <c r="O80" s="2225">
        <v>190397</v>
      </c>
      <c r="P80" s="2223">
        <v>114414.12</v>
      </c>
      <c r="Q80" s="1401">
        <f t="shared" si="15"/>
        <v>11.062999999999965</v>
      </c>
      <c r="R80" s="2223" t="s">
        <v>1712</v>
      </c>
      <c r="T80" s="2227">
        <f t="shared" si="16"/>
        <v>114414.12</v>
      </c>
      <c r="U80" s="2227">
        <f t="shared" si="17"/>
        <v>0</v>
      </c>
      <c r="V80" s="2227">
        <f t="shared" si="18"/>
        <v>0</v>
      </c>
      <c r="W80" s="2227">
        <f t="shared" si="19"/>
        <v>0</v>
      </c>
      <c r="X80" s="505">
        <f t="shared" si="20"/>
        <v>114414.12</v>
      </c>
    </row>
    <row r="81" spans="1:24" ht="13.2" customHeight="1">
      <c r="A81" s="1401">
        <f t="shared" si="12"/>
        <v>11.063999999999965</v>
      </c>
      <c r="B81" s="534" t="s">
        <v>1713</v>
      </c>
      <c r="C81" s="780"/>
      <c r="D81" s="694">
        <v>0</v>
      </c>
      <c r="E81" s="694">
        <v>-9153.130000000001</v>
      </c>
      <c r="F81" s="1377">
        <f t="shared" si="47"/>
        <v>-4576.5650000000005</v>
      </c>
      <c r="G81" s="903"/>
      <c r="H81" s="903"/>
      <c r="I81" s="1320"/>
      <c r="J81" s="1377">
        <f t="shared" si="51"/>
        <v>-2669.662916666668</v>
      </c>
      <c r="K81" s="903"/>
      <c r="L81" s="903"/>
      <c r="M81" s="1320"/>
      <c r="N81" s="1897" t="s">
        <v>197</v>
      </c>
      <c r="O81" s="2225">
        <v>190398</v>
      </c>
      <c r="P81" s="2223">
        <v>-9153.1299999999992</v>
      </c>
      <c r="Q81" s="1401">
        <f t="shared" si="15"/>
        <v>11.063999999999965</v>
      </c>
      <c r="R81" s="2223" t="s">
        <v>1713</v>
      </c>
      <c r="T81" s="2227">
        <f t="shared" si="16"/>
        <v>-9153.1299999999992</v>
      </c>
      <c r="U81" s="2227">
        <f t="shared" si="17"/>
        <v>0</v>
      </c>
      <c r="V81" s="2227">
        <f t="shared" si="18"/>
        <v>0</v>
      </c>
      <c r="W81" s="2227">
        <f t="shared" si="19"/>
        <v>0</v>
      </c>
      <c r="X81" s="505">
        <f t="shared" si="20"/>
        <v>-9153.1299999999992</v>
      </c>
    </row>
    <row r="82" spans="1:24" ht="13.2" customHeight="1">
      <c r="A82" s="1401">
        <f t="shared" si="12"/>
        <v>11.064999999999964</v>
      </c>
      <c r="B82" s="534" t="s">
        <v>1714</v>
      </c>
      <c r="C82" s="534"/>
      <c r="D82" s="694">
        <v>0</v>
      </c>
      <c r="E82" s="694">
        <v>316584.82</v>
      </c>
      <c r="F82" s="1377"/>
      <c r="G82" s="903"/>
      <c r="H82" s="903">
        <f t="shared" ref="H82:H83" si="52">+SUM($D82:$E82)/2</f>
        <v>158292.41</v>
      </c>
      <c r="I82" s="1320"/>
      <c r="J82" s="1377"/>
      <c r="K82" s="903"/>
      <c r="L82" s="903">
        <f t="shared" ref="L82:L83" si="53">E82-$P82*$I$316</f>
        <v>92337.189583333326</v>
      </c>
      <c r="M82" s="1320"/>
      <c r="N82" s="1897" t="s">
        <v>296</v>
      </c>
      <c r="O82" s="2225">
        <v>190421</v>
      </c>
      <c r="P82" s="2223">
        <v>316584.89</v>
      </c>
      <c r="Q82" s="1401">
        <f t="shared" si="15"/>
        <v>11.064999999999964</v>
      </c>
      <c r="R82" s="2223" t="s">
        <v>1714</v>
      </c>
      <c r="T82" s="2227">
        <f t="shared" si="16"/>
        <v>0</v>
      </c>
      <c r="U82" s="2227">
        <f t="shared" si="17"/>
        <v>0</v>
      </c>
      <c r="V82" s="2227">
        <f t="shared" si="18"/>
        <v>316584.89</v>
      </c>
      <c r="W82" s="2227">
        <f t="shared" si="19"/>
        <v>0</v>
      </c>
      <c r="X82" s="505">
        <f t="shared" si="20"/>
        <v>316584.89</v>
      </c>
    </row>
    <row r="83" spans="1:24" ht="13.2" customHeight="1">
      <c r="A83" s="1401">
        <f t="shared" ref="A83:A135" si="54">+A82+0.001</f>
        <v>11.065999999999963</v>
      </c>
      <c r="B83" s="534" t="s">
        <v>1715</v>
      </c>
      <c r="C83" s="534"/>
      <c r="D83" s="694">
        <v>0</v>
      </c>
      <c r="E83" s="694">
        <v>-25326.780000000002</v>
      </c>
      <c r="F83" s="1377"/>
      <c r="G83" s="903"/>
      <c r="H83" s="903">
        <f t="shared" si="52"/>
        <v>-12663.390000000001</v>
      </c>
      <c r="I83" s="1320"/>
      <c r="J83" s="1377"/>
      <c r="K83" s="903"/>
      <c r="L83" s="903">
        <f t="shared" si="53"/>
        <v>-7386.6587500000023</v>
      </c>
      <c r="M83" s="1320"/>
      <c r="N83" s="1897" t="s">
        <v>296</v>
      </c>
      <c r="O83" s="2225">
        <v>190422</v>
      </c>
      <c r="P83" s="2223">
        <v>-25327.23</v>
      </c>
      <c r="Q83" s="1401">
        <f t="shared" ref="Q83:Q135" si="55">+Q82+0.001</f>
        <v>11.065999999999963</v>
      </c>
      <c r="R83" s="2223" t="s">
        <v>1715</v>
      </c>
      <c r="T83" s="2227">
        <f t="shared" ref="T83:T139" si="56">IF(J83&lt;&gt;0,$P83,0)</f>
        <v>0</v>
      </c>
      <c r="U83" s="2227">
        <f t="shared" ref="U83:U139" si="57">IF(K83&lt;&gt;0,$P83,0)</f>
        <v>0</v>
      </c>
      <c r="V83" s="2227">
        <f t="shared" ref="V83:V139" si="58">IF(L83&lt;&gt;0,$P83,0)</f>
        <v>-25327.23</v>
      </c>
      <c r="W83" s="2227">
        <f t="shared" ref="W83:W139" si="59">IF(M83&lt;&gt;0,$P83,0)</f>
        <v>0</v>
      </c>
      <c r="X83" s="505">
        <f t="shared" ref="X83:X139" si="60">SUM(T83:W83)</f>
        <v>-25327.23</v>
      </c>
    </row>
    <row r="84" spans="1:24" ht="13.2" customHeight="1">
      <c r="A84" s="1401">
        <f t="shared" si="54"/>
        <v>11.066999999999963</v>
      </c>
      <c r="B84" s="780" t="s">
        <v>1716</v>
      </c>
      <c r="C84" s="780"/>
      <c r="D84" s="694">
        <v>0</v>
      </c>
      <c r="E84" s="694"/>
      <c r="F84" s="1377">
        <f t="shared" ref="F84:F89" si="61">+SUM(D84:E84)/2</f>
        <v>0</v>
      </c>
      <c r="G84" s="903"/>
      <c r="H84" s="903"/>
      <c r="I84" s="1320"/>
      <c r="J84" s="1377">
        <f t="shared" ref="J84:J99" si="62">E84-$P84*$I$316</f>
        <v>0</v>
      </c>
      <c r="K84" s="903"/>
      <c r="L84" s="903"/>
      <c r="M84" s="1320"/>
      <c r="N84" s="1897"/>
      <c r="Q84" s="1401">
        <f t="shared" si="55"/>
        <v>11.066999999999963</v>
      </c>
      <c r="R84" s="1937" t="s">
        <v>1716</v>
      </c>
      <c r="T84" s="2227">
        <f t="shared" si="56"/>
        <v>0</v>
      </c>
      <c r="U84" s="2227">
        <f t="shared" si="57"/>
        <v>0</v>
      </c>
      <c r="V84" s="2227">
        <f t="shared" si="58"/>
        <v>0</v>
      </c>
      <c r="W84" s="2227">
        <f t="shared" si="59"/>
        <v>0</v>
      </c>
      <c r="X84" s="505">
        <f t="shared" si="60"/>
        <v>0</v>
      </c>
    </row>
    <row r="85" spans="1:24" ht="13.2" customHeight="1">
      <c r="A85" s="1401">
        <f t="shared" si="54"/>
        <v>11.067999999999962</v>
      </c>
      <c r="B85" s="780" t="s">
        <v>1717</v>
      </c>
      <c r="C85" s="780"/>
      <c r="D85" s="694">
        <v>0</v>
      </c>
      <c r="E85" s="694"/>
      <c r="F85" s="1377">
        <f t="shared" si="61"/>
        <v>0</v>
      </c>
      <c r="G85" s="903"/>
      <c r="H85" s="903"/>
      <c r="I85" s="1320"/>
      <c r="J85" s="1377">
        <f t="shared" si="62"/>
        <v>0</v>
      </c>
      <c r="K85" s="903"/>
      <c r="L85" s="903"/>
      <c r="M85" s="1320"/>
      <c r="N85" s="1897"/>
      <c r="Q85" s="1401">
        <f t="shared" si="55"/>
        <v>11.067999999999962</v>
      </c>
      <c r="R85" s="1937" t="s">
        <v>1717</v>
      </c>
      <c r="T85" s="2227">
        <f t="shared" si="56"/>
        <v>0</v>
      </c>
      <c r="U85" s="2227">
        <f t="shared" si="57"/>
        <v>0</v>
      </c>
      <c r="V85" s="2227">
        <f t="shared" si="58"/>
        <v>0</v>
      </c>
      <c r="W85" s="2227">
        <f t="shared" si="59"/>
        <v>0</v>
      </c>
      <c r="X85" s="505">
        <f t="shared" si="60"/>
        <v>0</v>
      </c>
    </row>
    <row r="86" spans="1:24" ht="13.2" customHeight="1">
      <c r="A86" s="1401">
        <f t="shared" si="54"/>
        <v>11.068999999999962</v>
      </c>
      <c r="B86" s="534" t="s">
        <v>1718</v>
      </c>
      <c r="C86" s="780"/>
      <c r="D86" s="694">
        <v>0</v>
      </c>
      <c r="E86" s="694">
        <v>155529.82</v>
      </c>
      <c r="F86" s="1377">
        <f t="shared" si="61"/>
        <v>77764.91</v>
      </c>
      <c r="G86" s="903"/>
      <c r="H86" s="903"/>
      <c r="I86" s="1320"/>
      <c r="J86" s="1377">
        <f t="shared" si="62"/>
        <v>45362.864166666666</v>
      </c>
      <c r="K86" s="903"/>
      <c r="L86" s="903"/>
      <c r="M86" s="1320"/>
      <c r="N86" s="1897" t="s">
        <v>205</v>
      </c>
      <c r="O86" s="2225">
        <v>190443</v>
      </c>
      <c r="P86" s="2223">
        <v>155529.82</v>
      </c>
      <c r="Q86" s="1401">
        <f t="shared" si="55"/>
        <v>11.068999999999962</v>
      </c>
      <c r="R86" s="2223" t="s">
        <v>1718</v>
      </c>
      <c r="T86" s="2227">
        <f t="shared" si="56"/>
        <v>155529.82</v>
      </c>
      <c r="U86" s="2227">
        <f t="shared" si="57"/>
        <v>0</v>
      </c>
      <c r="V86" s="2227">
        <f t="shared" si="58"/>
        <v>0</v>
      </c>
      <c r="W86" s="2227">
        <f t="shared" si="59"/>
        <v>0</v>
      </c>
      <c r="X86" s="505">
        <f t="shared" si="60"/>
        <v>155529.82</v>
      </c>
    </row>
    <row r="87" spans="1:24" ht="13.2" customHeight="1">
      <c r="A87" s="1401">
        <f t="shared" si="54"/>
        <v>11.069999999999961</v>
      </c>
      <c r="B87" s="534" t="s">
        <v>1719</v>
      </c>
      <c r="C87" s="780"/>
      <c r="D87" s="694">
        <v>0</v>
      </c>
      <c r="E87" s="694">
        <v>-12442.39</v>
      </c>
      <c r="F87" s="1377">
        <f t="shared" si="61"/>
        <v>-6221.1949999999997</v>
      </c>
      <c r="G87" s="903"/>
      <c r="H87" s="903"/>
      <c r="I87" s="1320"/>
      <c r="J87" s="1377">
        <f t="shared" si="62"/>
        <v>-3629.0304166666665</v>
      </c>
      <c r="K87" s="903"/>
      <c r="L87" s="903"/>
      <c r="M87" s="1320"/>
      <c r="N87" s="1897" t="s">
        <v>205</v>
      </c>
      <c r="O87" s="2225">
        <v>190444</v>
      </c>
      <c r="P87" s="2223">
        <v>-12442.39</v>
      </c>
      <c r="Q87" s="1401">
        <f t="shared" si="55"/>
        <v>11.069999999999961</v>
      </c>
      <c r="R87" s="2223" t="s">
        <v>1719</v>
      </c>
      <c r="T87" s="2227">
        <f t="shared" si="56"/>
        <v>-12442.39</v>
      </c>
      <c r="U87" s="2227">
        <f t="shared" si="57"/>
        <v>0</v>
      </c>
      <c r="V87" s="2227">
        <f t="shared" si="58"/>
        <v>0</v>
      </c>
      <c r="W87" s="2227">
        <f t="shared" si="59"/>
        <v>0</v>
      </c>
      <c r="X87" s="505">
        <f t="shared" si="60"/>
        <v>-12442.39</v>
      </c>
    </row>
    <row r="88" spans="1:24" ht="13.2" customHeight="1">
      <c r="A88" s="1401">
        <f t="shared" si="54"/>
        <v>11.070999999999961</v>
      </c>
      <c r="B88" s="534" t="s">
        <v>1720</v>
      </c>
      <c r="C88" s="780"/>
      <c r="D88" s="694">
        <v>0</v>
      </c>
      <c r="E88" s="694">
        <v>610789.23</v>
      </c>
      <c r="F88" s="1377">
        <f t="shared" si="61"/>
        <v>305394.61499999999</v>
      </c>
      <c r="G88" s="903"/>
      <c r="H88" s="903"/>
      <c r="I88" s="1320"/>
      <c r="J88" s="1377">
        <f t="shared" si="62"/>
        <v>178146.85874999996</v>
      </c>
      <c r="K88" s="903"/>
      <c r="L88" s="903"/>
      <c r="M88" s="1320"/>
      <c r="N88" s="1897" t="s">
        <v>1946</v>
      </c>
      <c r="O88" s="2225">
        <v>190445</v>
      </c>
      <c r="P88" s="2223">
        <v>610789.23</v>
      </c>
      <c r="Q88" s="1401">
        <f t="shared" si="55"/>
        <v>11.070999999999961</v>
      </c>
      <c r="R88" s="2223" t="s">
        <v>1720</v>
      </c>
      <c r="T88" s="2227">
        <f t="shared" si="56"/>
        <v>610789.23</v>
      </c>
      <c r="U88" s="2227">
        <f t="shared" si="57"/>
        <v>0</v>
      </c>
      <c r="V88" s="2227">
        <f t="shared" si="58"/>
        <v>0</v>
      </c>
      <c r="W88" s="2227">
        <f t="shared" si="59"/>
        <v>0</v>
      </c>
      <c r="X88" s="505">
        <f t="shared" si="60"/>
        <v>610789.23</v>
      </c>
    </row>
    <row r="89" spans="1:24" ht="13.2" customHeight="1">
      <c r="A89" s="1401">
        <f t="shared" si="54"/>
        <v>11.07199999999996</v>
      </c>
      <c r="B89" s="534" t="s">
        <v>1721</v>
      </c>
      <c r="C89" s="780"/>
      <c r="D89" s="694">
        <v>0</v>
      </c>
      <c r="E89" s="694">
        <v>-48863.130000000005</v>
      </c>
      <c r="F89" s="1377">
        <f t="shared" si="61"/>
        <v>-24431.565000000002</v>
      </c>
      <c r="G89" s="903"/>
      <c r="H89" s="903"/>
      <c r="I89" s="1320"/>
      <c r="J89" s="1377">
        <f t="shared" si="62"/>
        <v>-14251.746250000004</v>
      </c>
      <c r="K89" s="903"/>
      <c r="L89" s="903"/>
      <c r="M89" s="1320"/>
      <c r="N89" s="1831" t="s">
        <v>1947</v>
      </c>
      <c r="O89" s="2225">
        <v>190446</v>
      </c>
      <c r="P89" s="2223">
        <v>-48863.13</v>
      </c>
      <c r="Q89" s="1401">
        <f t="shared" si="55"/>
        <v>11.07199999999996</v>
      </c>
      <c r="R89" s="2223" t="s">
        <v>1721</v>
      </c>
      <c r="T89" s="2227">
        <f t="shared" si="56"/>
        <v>-48863.13</v>
      </c>
      <c r="U89" s="2227">
        <f t="shared" si="57"/>
        <v>0</v>
      </c>
      <c r="V89" s="2227">
        <f t="shared" si="58"/>
        <v>0</v>
      </c>
      <c r="W89" s="2227">
        <f t="shared" si="59"/>
        <v>0</v>
      </c>
      <c r="X89" s="505">
        <f t="shared" si="60"/>
        <v>-48863.13</v>
      </c>
    </row>
    <row r="90" spans="1:24" ht="13.2" customHeight="1">
      <c r="A90" s="1401">
        <f t="shared" si="54"/>
        <v>11.07299999999996</v>
      </c>
      <c r="B90" s="534" t="s">
        <v>1722</v>
      </c>
      <c r="C90" s="534"/>
      <c r="D90" s="694">
        <v>0</v>
      </c>
      <c r="E90" s="694">
        <v>1060354.44</v>
      </c>
      <c r="F90" s="1377">
        <f t="shared" ref="F90:F105" si="63">+SUM(D90:E90)/2</f>
        <v>530177.22</v>
      </c>
      <c r="G90" s="903"/>
      <c r="H90" s="903"/>
      <c r="I90" s="1320"/>
      <c r="J90" s="1377">
        <f t="shared" si="62"/>
        <v>309270.16541666654</v>
      </c>
      <c r="K90" s="903"/>
      <c r="L90" s="903"/>
      <c r="M90" s="1320"/>
      <c r="N90" s="1831" t="s">
        <v>206</v>
      </c>
      <c r="O90" s="2225">
        <v>190451</v>
      </c>
      <c r="P90" s="2223">
        <v>1060354.27</v>
      </c>
      <c r="Q90" s="1401">
        <f t="shared" si="55"/>
        <v>11.07299999999996</v>
      </c>
      <c r="R90" s="2223" t="s">
        <v>1722</v>
      </c>
      <c r="T90" s="2227">
        <f t="shared" si="56"/>
        <v>1060354.27</v>
      </c>
      <c r="U90" s="2227">
        <f t="shared" si="57"/>
        <v>0</v>
      </c>
      <c r="V90" s="2227">
        <f t="shared" si="58"/>
        <v>0</v>
      </c>
      <c r="W90" s="2227">
        <f t="shared" si="59"/>
        <v>0</v>
      </c>
      <c r="X90" s="505">
        <f t="shared" si="60"/>
        <v>1060354.27</v>
      </c>
    </row>
    <row r="91" spans="1:24" ht="13.2" customHeight="1">
      <c r="A91" s="1401">
        <f t="shared" si="54"/>
        <v>11.073999999999959</v>
      </c>
      <c r="B91" s="534" t="s">
        <v>1723</v>
      </c>
      <c r="C91" s="534"/>
      <c r="D91" s="694">
        <v>0</v>
      </c>
      <c r="E91" s="694">
        <v>-84828.35</v>
      </c>
      <c r="F91" s="1377">
        <f t="shared" si="63"/>
        <v>-42414.175000000003</v>
      </c>
      <c r="G91" s="903"/>
      <c r="H91" s="903"/>
      <c r="I91" s="1320"/>
      <c r="J91" s="1377">
        <f t="shared" si="62"/>
        <v>-24741.545416666675</v>
      </c>
      <c r="K91" s="903"/>
      <c r="L91" s="903"/>
      <c r="M91" s="1320"/>
      <c r="N91" s="1897" t="s">
        <v>1948</v>
      </c>
      <c r="O91" s="2225">
        <v>190452</v>
      </c>
      <c r="P91" s="2223">
        <v>-84828.43</v>
      </c>
      <c r="Q91" s="1401">
        <f t="shared" si="55"/>
        <v>11.073999999999959</v>
      </c>
      <c r="R91" s="2223" t="s">
        <v>1723</v>
      </c>
      <c r="T91" s="2227">
        <f t="shared" si="56"/>
        <v>-84828.43</v>
      </c>
      <c r="U91" s="2227">
        <f t="shared" si="57"/>
        <v>0</v>
      </c>
      <c r="V91" s="2227">
        <f t="shared" si="58"/>
        <v>0</v>
      </c>
      <c r="W91" s="2227">
        <f t="shared" si="59"/>
        <v>0</v>
      </c>
      <c r="X91" s="505">
        <f t="shared" si="60"/>
        <v>-84828.43</v>
      </c>
    </row>
    <row r="92" spans="1:24" ht="13.2" customHeight="1">
      <c r="A92" s="1401">
        <f t="shared" si="54"/>
        <v>11.074999999999958</v>
      </c>
      <c r="B92" s="534" t="s">
        <v>1724</v>
      </c>
      <c r="C92" s="534"/>
      <c r="D92" s="694">
        <v>0</v>
      </c>
      <c r="E92" s="694">
        <v>15728.59</v>
      </c>
      <c r="F92" s="1377">
        <f t="shared" si="63"/>
        <v>7864.2950000000001</v>
      </c>
      <c r="G92" s="903"/>
      <c r="H92" s="903"/>
      <c r="I92" s="1320"/>
      <c r="J92" s="1377">
        <f t="shared" si="62"/>
        <v>4587.5054166666669</v>
      </c>
      <c r="K92" s="903"/>
      <c r="L92" s="903"/>
      <c r="M92" s="1320"/>
      <c r="N92" s="1897" t="s">
        <v>418</v>
      </c>
      <c r="O92" s="2225">
        <v>190519</v>
      </c>
      <c r="P92" s="2223">
        <v>15728.59</v>
      </c>
      <c r="Q92" s="1401">
        <f t="shared" si="55"/>
        <v>11.074999999999958</v>
      </c>
      <c r="R92" s="2223" t="s">
        <v>1724</v>
      </c>
      <c r="T92" s="2227">
        <f t="shared" si="56"/>
        <v>15728.59</v>
      </c>
      <c r="U92" s="2227">
        <f t="shared" si="57"/>
        <v>0</v>
      </c>
      <c r="V92" s="2227">
        <f t="shared" si="58"/>
        <v>0</v>
      </c>
      <c r="W92" s="2227">
        <f t="shared" si="59"/>
        <v>0</v>
      </c>
      <c r="X92" s="505">
        <f t="shared" si="60"/>
        <v>15728.59</v>
      </c>
    </row>
    <row r="93" spans="1:24" ht="13.2" customHeight="1">
      <c r="A93" s="1401">
        <f t="shared" si="54"/>
        <v>11.075999999999958</v>
      </c>
      <c r="B93" s="534" t="s">
        <v>1725</v>
      </c>
      <c r="C93" s="534"/>
      <c r="D93" s="694">
        <v>0</v>
      </c>
      <c r="E93" s="694">
        <v>-1258.29</v>
      </c>
      <c r="F93" s="1377">
        <f t="shared" si="63"/>
        <v>-629.14499999999998</v>
      </c>
      <c r="G93" s="903"/>
      <c r="H93" s="903"/>
      <c r="I93" s="1320"/>
      <c r="J93" s="1377">
        <f t="shared" si="62"/>
        <v>-367.00124999999991</v>
      </c>
      <c r="K93" s="903"/>
      <c r="L93" s="903"/>
      <c r="M93" s="1320"/>
      <c r="N93" s="1897" t="s">
        <v>1949</v>
      </c>
      <c r="O93" s="2225">
        <v>190520</v>
      </c>
      <c r="P93" s="2223">
        <v>-1258.29</v>
      </c>
      <c r="Q93" s="1401">
        <f t="shared" si="55"/>
        <v>11.075999999999958</v>
      </c>
      <c r="R93" s="2223" t="s">
        <v>1725</v>
      </c>
      <c r="T93" s="2227">
        <f t="shared" si="56"/>
        <v>-1258.29</v>
      </c>
      <c r="U93" s="2227">
        <f t="shared" si="57"/>
        <v>0</v>
      </c>
      <c r="V93" s="2227">
        <f t="shared" si="58"/>
        <v>0</v>
      </c>
      <c r="W93" s="2227">
        <f t="shared" si="59"/>
        <v>0</v>
      </c>
      <c r="X93" s="505">
        <f t="shared" si="60"/>
        <v>-1258.29</v>
      </c>
    </row>
    <row r="94" spans="1:24" ht="13.2" customHeight="1">
      <c r="A94" s="1401">
        <f t="shared" si="54"/>
        <v>11.076999999999957</v>
      </c>
      <c r="B94" s="534" t="s">
        <v>1726</v>
      </c>
      <c r="C94" s="534"/>
      <c r="D94" s="694">
        <v>0</v>
      </c>
      <c r="E94" s="694"/>
      <c r="F94" s="1377">
        <f t="shared" si="63"/>
        <v>0</v>
      </c>
      <c r="G94" s="903"/>
      <c r="H94" s="903"/>
      <c r="I94" s="1320"/>
      <c r="J94" s="1377">
        <f t="shared" si="62"/>
        <v>0</v>
      </c>
      <c r="K94" s="903"/>
      <c r="L94" s="903"/>
      <c r="M94" s="1320"/>
      <c r="N94" s="1897" t="s">
        <v>1949</v>
      </c>
      <c r="Q94" s="1401">
        <f t="shared" si="55"/>
        <v>11.076999999999957</v>
      </c>
      <c r="R94" s="1937" t="s">
        <v>1726</v>
      </c>
      <c r="T94" s="2227">
        <f t="shared" si="56"/>
        <v>0</v>
      </c>
      <c r="U94" s="2227">
        <f t="shared" si="57"/>
        <v>0</v>
      </c>
      <c r="V94" s="2227">
        <f t="shared" si="58"/>
        <v>0</v>
      </c>
      <c r="W94" s="2227">
        <f t="shared" si="59"/>
        <v>0</v>
      </c>
      <c r="X94" s="505">
        <f t="shared" si="60"/>
        <v>0</v>
      </c>
    </row>
    <row r="95" spans="1:24" ht="13.2" customHeight="1">
      <c r="A95" s="1401">
        <f t="shared" si="54"/>
        <v>11.077999999999957</v>
      </c>
      <c r="B95" s="534" t="s">
        <v>1727</v>
      </c>
      <c r="C95" s="534"/>
      <c r="D95" s="694">
        <v>0</v>
      </c>
      <c r="E95" s="694"/>
      <c r="F95" s="1377">
        <f t="shared" si="63"/>
        <v>0</v>
      </c>
      <c r="G95" s="903"/>
      <c r="H95" s="903"/>
      <c r="I95" s="1320"/>
      <c r="J95" s="1377">
        <f t="shared" si="62"/>
        <v>0</v>
      </c>
      <c r="K95" s="903"/>
      <c r="L95" s="903"/>
      <c r="M95" s="1320"/>
      <c r="N95" s="1831" t="s">
        <v>1946</v>
      </c>
      <c r="Q95" s="1401">
        <f t="shared" si="55"/>
        <v>11.077999999999957</v>
      </c>
      <c r="R95" s="1937" t="s">
        <v>1727</v>
      </c>
      <c r="T95" s="2227">
        <f t="shared" si="56"/>
        <v>0</v>
      </c>
      <c r="U95" s="2227">
        <f t="shared" si="57"/>
        <v>0</v>
      </c>
      <c r="V95" s="2227">
        <f t="shared" si="58"/>
        <v>0</v>
      </c>
      <c r="W95" s="2227">
        <f t="shared" si="59"/>
        <v>0</v>
      </c>
      <c r="X95" s="505">
        <f t="shared" si="60"/>
        <v>0</v>
      </c>
    </row>
    <row r="96" spans="1:24" ht="13.2" customHeight="1">
      <c r="A96" s="1401">
        <f t="shared" si="54"/>
        <v>11.078999999999956</v>
      </c>
      <c r="B96" s="534" t="s">
        <v>1728</v>
      </c>
      <c r="C96" s="534"/>
      <c r="D96" s="694">
        <v>0</v>
      </c>
      <c r="E96" s="694">
        <v>47283.93</v>
      </c>
      <c r="F96" s="1377">
        <f t="shared" si="63"/>
        <v>23641.965</v>
      </c>
      <c r="G96" s="903"/>
      <c r="H96" s="903"/>
      <c r="I96" s="1320"/>
      <c r="J96" s="1377">
        <f t="shared" si="62"/>
        <v>13791.146249999998</v>
      </c>
      <c r="K96" s="903"/>
      <c r="L96" s="903"/>
      <c r="M96" s="1320"/>
      <c r="N96" s="1831" t="s">
        <v>206</v>
      </c>
      <c r="O96" s="2225">
        <v>190525</v>
      </c>
      <c r="P96" s="2223">
        <v>47283.93</v>
      </c>
      <c r="Q96" s="1401">
        <f t="shared" si="55"/>
        <v>11.078999999999956</v>
      </c>
      <c r="R96" s="2223" t="s">
        <v>1728</v>
      </c>
      <c r="T96" s="2227">
        <f t="shared" si="56"/>
        <v>47283.93</v>
      </c>
      <c r="U96" s="2227">
        <f t="shared" si="57"/>
        <v>0</v>
      </c>
      <c r="V96" s="2227">
        <f t="shared" si="58"/>
        <v>0</v>
      </c>
      <c r="W96" s="2227">
        <f t="shared" si="59"/>
        <v>0</v>
      </c>
      <c r="X96" s="505">
        <f t="shared" si="60"/>
        <v>47283.93</v>
      </c>
    </row>
    <row r="97" spans="1:24" ht="13.2" customHeight="1">
      <c r="A97" s="1401">
        <f t="shared" si="54"/>
        <v>11.079999999999956</v>
      </c>
      <c r="B97" s="534" t="s">
        <v>1729</v>
      </c>
      <c r="C97" s="534"/>
      <c r="D97" s="694">
        <v>0</v>
      </c>
      <c r="E97" s="694">
        <v>-3782.71</v>
      </c>
      <c r="F97" s="1377">
        <f t="shared" si="63"/>
        <v>-1891.355</v>
      </c>
      <c r="G97" s="903"/>
      <c r="H97" s="903"/>
      <c r="I97" s="1320"/>
      <c r="J97" s="1377">
        <f t="shared" si="62"/>
        <v>-1103.2904166666667</v>
      </c>
      <c r="K97" s="903"/>
      <c r="L97" s="903"/>
      <c r="M97" s="1320"/>
      <c r="N97" s="1831"/>
      <c r="O97" s="2225">
        <v>190526</v>
      </c>
      <c r="P97" s="2223">
        <v>-3782.71</v>
      </c>
      <c r="Q97" s="1401">
        <f t="shared" si="55"/>
        <v>11.079999999999956</v>
      </c>
      <c r="R97" s="2223" t="s">
        <v>1729</v>
      </c>
      <c r="T97" s="2227">
        <f t="shared" si="56"/>
        <v>-3782.71</v>
      </c>
      <c r="U97" s="2227">
        <f t="shared" si="57"/>
        <v>0</v>
      </c>
      <c r="V97" s="2227">
        <f t="shared" si="58"/>
        <v>0</v>
      </c>
      <c r="W97" s="2227">
        <f t="shared" si="59"/>
        <v>0</v>
      </c>
      <c r="X97" s="505">
        <f t="shared" si="60"/>
        <v>-3782.71</v>
      </c>
    </row>
    <row r="98" spans="1:24" ht="13.2" customHeight="1">
      <c r="A98" s="1401">
        <f t="shared" si="54"/>
        <v>11.080999999999955</v>
      </c>
      <c r="B98" s="1324" t="s">
        <v>1730</v>
      </c>
      <c r="C98" s="534"/>
      <c r="D98" s="694">
        <v>0</v>
      </c>
      <c r="E98" s="694"/>
      <c r="F98" s="1377">
        <f t="shared" si="63"/>
        <v>0</v>
      </c>
      <c r="G98" s="903"/>
      <c r="H98" s="903"/>
      <c r="I98" s="1320"/>
      <c r="J98" s="1377">
        <f t="shared" si="62"/>
        <v>0</v>
      </c>
      <c r="K98" s="903"/>
      <c r="L98" s="903"/>
      <c r="M98" s="1320"/>
      <c r="N98" s="1831"/>
      <c r="Q98" s="1401">
        <f t="shared" si="55"/>
        <v>11.080999999999955</v>
      </c>
      <c r="R98" s="1937" t="s">
        <v>1730</v>
      </c>
      <c r="T98" s="2227">
        <f t="shared" si="56"/>
        <v>0</v>
      </c>
      <c r="U98" s="2227">
        <f t="shared" si="57"/>
        <v>0</v>
      </c>
      <c r="V98" s="2227">
        <f t="shared" si="58"/>
        <v>0</v>
      </c>
      <c r="W98" s="2227">
        <f t="shared" si="59"/>
        <v>0</v>
      </c>
      <c r="X98" s="505">
        <f t="shared" si="60"/>
        <v>0</v>
      </c>
    </row>
    <row r="99" spans="1:24" ht="13.2" customHeight="1">
      <c r="A99" s="1401">
        <f t="shared" si="54"/>
        <v>11.081999999999955</v>
      </c>
      <c r="B99" s="534" t="s">
        <v>1731</v>
      </c>
      <c r="C99" s="534"/>
      <c r="D99" s="694">
        <v>0</v>
      </c>
      <c r="E99" s="694"/>
      <c r="F99" s="1377">
        <f t="shared" si="63"/>
        <v>0</v>
      </c>
      <c r="G99" s="903"/>
      <c r="H99" s="903"/>
      <c r="I99" s="1320"/>
      <c r="J99" s="1377">
        <f t="shared" si="62"/>
        <v>0</v>
      </c>
      <c r="K99" s="903"/>
      <c r="L99" s="903"/>
      <c r="M99" s="1320"/>
      <c r="N99" s="1831"/>
      <c r="Q99" s="1401">
        <f t="shared" si="55"/>
        <v>11.081999999999955</v>
      </c>
      <c r="R99" s="1937" t="s">
        <v>1731</v>
      </c>
      <c r="T99" s="2227">
        <f t="shared" si="56"/>
        <v>0</v>
      </c>
      <c r="U99" s="2227">
        <f t="shared" si="57"/>
        <v>0</v>
      </c>
      <c r="V99" s="2227">
        <f t="shared" si="58"/>
        <v>0</v>
      </c>
      <c r="W99" s="2227">
        <f t="shared" si="59"/>
        <v>0</v>
      </c>
      <c r="X99" s="505">
        <f t="shared" si="60"/>
        <v>0</v>
      </c>
    </row>
    <row r="100" spans="1:24" ht="13.2" customHeight="1">
      <c r="A100" s="1401">
        <f t="shared" si="54"/>
        <v>11.082999999999954</v>
      </c>
      <c r="B100" s="534" t="s">
        <v>1732</v>
      </c>
      <c r="C100" s="780"/>
      <c r="D100" s="694">
        <v>0</v>
      </c>
      <c r="E100" s="694">
        <v>148940.41</v>
      </c>
      <c r="F100" s="1377"/>
      <c r="G100" s="903"/>
      <c r="H100" s="903"/>
      <c r="I100" s="1320">
        <f t="shared" ref="I100:I101" si="64">+SUM($D100:$E100)/2</f>
        <v>74470.205000000002</v>
      </c>
      <c r="J100" s="1377"/>
      <c r="K100" s="903"/>
      <c r="L100" s="903"/>
      <c r="M100" s="1320">
        <f t="shared" ref="M100:M101" si="65">E100-$P100*$I$316</f>
        <v>43440.66250000002</v>
      </c>
      <c r="N100" s="1831"/>
      <c r="O100" s="2225">
        <v>190561</v>
      </c>
      <c r="P100" s="2223">
        <v>148940.81999999998</v>
      </c>
      <c r="Q100" s="1401">
        <f t="shared" si="55"/>
        <v>11.082999999999954</v>
      </c>
      <c r="R100" s="2223" t="s">
        <v>1732</v>
      </c>
      <c r="T100" s="2227">
        <f t="shared" si="56"/>
        <v>0</v>
      </c>
      <c r="U100" s="2227">
        <f t="shared" si="57"/>
        <v>0</v>
      </c>
      <c r="V100" s="2227">
        <f t="shared" si="58"/>
        <v>0</v>
      </c>
      <c r="W100" s="2227">
        <f t="shared" si="59"/>
        <v>148940.81999999998</v>
      </c>
      <c r="X100" s="505">
        <f t="shared" si="60"/>
        <v>148940.81999999998</v>
      </c>
    </row>
    <row r="101" spans="1:24" ht="13.2" customHeight="1">
      <c r="A101" s="1401">
        <f t="shared" si="54"/>
        <v>11.083999999999953</v>
      </c>
      <c r="B101" s="534" t="s">
        <v>1733</v>
      </c>
      <c r="C101" s="780"/>
      <c r="D101" s="694">
        <v>0</v>
      </c>
      <c r="E101" s="694">
        <v>-11915.25</v>
      </c>
      <c r="F101" s="1377"/>
      <c r="G101" s="903"/>
      <c r="H101" s="903"/>
      <c r="I101" s="1320">
        <f t="shared" si="64"/>
        <v>-5957.625</v>
      </c>
      <c r="J101" s="1377"/>
      <c r="K101" s="903"/>
      <c r="L101" s="903"/>
      <c r="M101" s="1320">
        <f t="shared" si="65"/>
        <v>-3475.4866666666658</v>
      </c>
      <c r="N101" s="1831"/>
      <c r="O101" s="2225">
        <v>190562</v>
      </c>
      <c r="P101" s="2223">
        <v>-11914.960000000001</v>
      </c>
      <c r="Q101" s="1401">
        <f t="shared" si="55"/>
        <v>11.083999999999953</v>
      </c>
      <c r="R101" s="2223" t="s">
        <v>1733</v>
      </c>
      <c r="T101" s="2227">
        <f t="shared" si="56"/>
        <v>0</v>
      </c>
      <c r="U101" s="2227">
        <f t="shared" si="57"/>
        <v>0</v>
      </c>
      <c r="V101" s="2227">
        <f t="shared" si="58"/>
        <v>0</v>
      </c>
      <c r="W101" s="2227">
        <f t="shared" si="59"/>
        <v>-11914.960000000001</v>
      </c>
      <c r="X101" s="505">
        <f t="shared" si="60"/>
        <v>-11914.960000000001</v>
      </c>
    </row>
    <row r="102" spans="1:24" ht="13.2" customHeight="1">
      <c r="A102" s="1401">
        <f t="shared" si="54"/>
        <v>11.084999999999953</v>
      </c>
      <c r="B102" s="534" t="s">
        <v>1734</v>
      </c>
      <c r="C102" s="534"/>
      <c r="D102" s="694">
        <v>0</v>
      </c>
      <c r="E102" s="694">
        <v>-290029.08</v>
      </c>
      <c r="F102" s="1377">
        <f t="shared" si="63"/>
        <v>-145014.54</v>
      </c>
      <c r="G102" s="903"/>
      <c r="H102" s="903"/>
      <c r="I102" s="1320"/>
      <c r="J102" s="1377">
        <f t="shared" ref="J102:J105" si="66">E102-$P102*$I$316</f>
        <v>-84591.815000000031</v>
      </c>
      <c r="K102" s="903"/>
      <c r="L102" s="903"/>
      <c r="M102" s="1320"/>
      <c r="N102" s="1831"/>
      <c r="O102" s="2225">
        <v>190603</v>
      </c>
      <c r="P102" s="2223">
        <v>-290029.07999999996</v>
      </c>
      <c r="Q102" s="1401">
        <f t="shared" si="55"/>
        <v>11.084999999999953</v>
      </c>
      <c r="R102" s="2223" t="s">
        <v>1734</v>
      </c>
      <c r="T102" s="2227">
        <f t="shared" si="56"/>
        <v>-290029.07999999996</v>
      </c>
      <c r="U102" s="2227">
        <f t="shared" si="57"/>
        <v>0</v>
      </c>
      <c r="V102" s="2227">
        <f t="shared" si="58"/>
        <v>0</v>
      </c>
      <c r="W102" s="2227">
        <f t="shared" si="59"/>
        <v>0</v>
      </c>
      <c r="X102" s="505">
        <f t="shared" si="60"/>
        <v>-290029.07999999996</v>
      </c>
    </row>
    <row r="103" spans="1:24" ht="13.2" customHeight="1">
      <c r="A103" s="1401">
        <f t="shared" si="54"/>
        <v>11.085999999999952</v>
      </c>
      <c r="B103" s="534" t="s">
        <v>1735</v>
      </c>
      <c r="C103" s="534"/>
      <c r="D103" s="694">
        <v>0</v>
      </c>
      <c r="E103" s="694">
        <v>23202.329999999998</v>
      </c>
      <c r="F103" s="1377">
        <f t="shared" si="63"/>
        <v>11601.164999999999</v>
      </c>
      <c r="G103" s="903"/>
      <c r="H103" s="903"/>
      <c r="I103" s="1320"/>
      <c r="J103" s="1377">
        <f t="shared" si="66"/>
        <v>6767.3462499999951</v>
      </c>
      <c r="K103" s="903"/>
      <c r="L103" s="903"/>
      <c r="M103" s="1320"/>
      <c r="N103" s="1831"/>
      <c r="O103" s="2225">
        <v>190604</v>
      </c>
      <c r="P103" s="2223">
        <v>23202.33</v>
      </c>
      <c r="Q103" s="1401">
        <f t="shared" si="55"/>
        <v>11.085999999999952</v>
      </c>
      <c r="R103" s="2223" t="s">
        <v>1735</v>
      </c>
      <c r="T103" s="2227">
        <f t="shared" si="56"/>
        <v>23202.33</v>
      </c>
      <c r="U103" s="2227">
        <f t="shared" si="57"/>
        <v>0</v>
      </c>
      <c r="V103" s="2227">
        <f t="shared" si="58"/>
        <v>0</v>
      </c>
      <c r="W103" s="2227">
        <f t="shared" si="59"/>
        <v>0</v>
      </c>
      <c r="X103" s="505">
        <f t="shared" si="60"/>
        <v>23202.33</v>
      </c>
    </row>
    <row r="104" spans="1:24" ht="13.2" customHeight="1">
      <c r="A104" s="1401">
        <f t="shared" si="54"/>
        <v>11.086999999999952</v>
      </c>
      <c r="B104" s="534" t="s">
        <v>1736</v>
      </c>
      <c r="C104" s="534"/>
      <c r="D104" s="694">
        <v>0</v>
      </c>
      <c r="E104" s="694"/>
      <c r="F104" s="1377">
        <f t="shared" si="63"/>
        <v>0</v>
      </c>
      <c r="G104" s="903"/>
      <c r="H104" s="903"/>
      <c r="I104" s="1320"/>
      <c r="J104" s="1377">
        <f t="shared" si="66"/>
        <v>0</v>
      </c>
      <c r="K104" s="903"/>
      <c r="L104" s="903"/>
      <c r="M104" s="1320"/>
      <c r="N104" s="1831"/>
      <c r="Q104" s="1401">
        <f t="shared" si="55"/>
        <v>11.086999999999952</v>
      </c>
      <c r="R104" s="1937" t="s">
        <v>1736</v>
      </c>
      <c r="T104" s="2227">
        <f t="shared" si="56"/>
        <v>0</v>
      </c>
      <c r="U104" s="2227">
        <f t="shared" si="57"/>
        <v>0</v>
      </c>
      <c r="V104" s="2227">
        <f t="shared" si="58"/>
        <v>0</v>
      </c>
      <c r="W104" s="2227">
        <f t="shared" si="59"/>
        <v>0</v>
      </c>
      <c r="X104" s="505">
        <f t="shared" si="60"/>
        <v>0</v>
      </c>
    </row>
    <row r="105" spans="1:24" ht="13.2" customHeight="1">
      <c r="A105" s="1401">
        <f t="shared" si="54"/>
        <v>11.087999999999951</v>
      </c>
      <c r="B105" s="534" t="s">
        <v>1737</v>
      </c>
      <c r="C105" s="534"/>
      <c r="D105" s="694">
        <v>0</v>
      </c>
      <c r="E105" s="694"/>
      <c r="F105" s="1377">
        <f t="shared" si="63"/>
        <v>0</v>
      </c>
      <c r="G105" s="903"/>
      <c r="H105" s="903"/>
      <c r="I105" s="1320"/>
      <c r="J105" s="1377">
        <f t="shared" si="66"/>
        <v>0</v>
      </c>
      <c r="K105" s="903"/>
      <c r="L105" s="903"/>
      <c r="M105" s="1320"/>
      <c r="N105" s="1831"/>
      <c r="Q105" s="1401">
        <f t="shared" si="55"/>
        <v>11.087999999999951</v>
      </c>
      <c r="R105" s="1937" t="s">
        <v>1737</v>
      </c>
      <c r="T105" s="2227">
        <f t="shared" si="56"/>
        <v>0</v>
      </c>
      <c r="U105" s="2227">
        <f t="shared" si="57"/>
        <v>0</v>
      </c>
      <c r="V105" s="2227">
        <f t="shared" si="58"/>
        <v>0</v>
      </c>
      <c r="W105" s="2227">
        <f t="shared" si="59"/>
        <v>0</v>
      </c>
      <c r="X105" s="505">
        <f t="shared" si="60"/>
        <v>0</v>
      </c>
    </row>
    <row r="106" spans="1:24" ht="13.2" customHeight="1">
      <c r="A106" s="1401">
        <f t="shared" si="54"/>
        <v>11.088999999999951</v>
      </c>
      <c r="B106" s="534" t="s">
        <v>1738</v>
      </c>
      <c r="C106" s="534"/>
      <c r="D106" s="694">
        <v>0</v>
      </c>
      <c r="E106" s="694"/>
      <c r="F106" s="1377"/>
      <c r="G106" s="903"/>
      <c r="H106" s="903"/>
      <c r="I106" s="1320">
        <f t="shared" ref="I106:I109" si="67">+SUM($D106:$E106)/2</f>
        <v>0</v>
      </c>
      <c r="J106" s="1377"/>
      <c r="K106" s="903"/>
      <c r="L106" s="903"/>
      <c r="M106" s="1320">
        <f t="shared" ref="M106:M109" si="68">E106-$P106*$I$316</f>
        <v>0</v>
      </c>
      <c r="N106" s="1831"/>
      <c r="Q106" s="1401">
        <f t="shared" si="55"/>
        <v>11.088999999999951</v>
      </c>
      <c r="R106" s="1937" t="s">
        <v>1738</v>
      </c>
      <c r="T106" s="2227">
        <f t="shared" si="56"/>
        <v>0</v>
      </c>
      <c r="U106" s="2227">
        <f t="shared" si="57"/>
        <v>0</v>
      </c>
      <c r="V106" s="2227">
        <f t="shared" si="58"/>
        <v>0</v>
      </c>
      <c r="W106" s="2227">
        <f t="shared" si="59"/>
        <v>0</v>
      </c>
      <c r="X106" s="505">
        <f t="shared" si="60"/>
        <v>0</v>
      </c>
    </row>
    <row r="107" spans="1:24" ht="13.2" customHeight="1">
      <c r="A107" s="1401">
        <f t="shared" si="54"/>
        <v>11.08999999999995</v>
      </c>
      <c r="B107" s="534" t="s">
        <v>1739</v>
      </c>
      <c r="C107" s="534"/>
      <c r="D107" s="694">
        <v>0</v>
      </c>
      <c r="E107" s="694"/>
      <c r="F107" s="1377"/>
      <c r="G107" s="903"/>
      <c r="H107" s="903"/>
      <c r="I107" s="1320">
        <f t="shared" si="67"/>
        <v>0</v>
      </c>
      <c r="J107" s="1377"/>
      <c r="K107" s="903"/>
      <c r="L107" s="903"/>
      <c r="M107" s="1320">
        <f t="shared" si="68"/>
        <v>0</v>
      </c>
      <c r="N107" s="1831"/>
      <c r="Q107" s="1401">
        <f t="shared" si="55"/>
        <v>11.08999999999995</v>
      </c>
      <c r="R107" s="1937" t="s">
        <v>1739</v>
      </c>
      <c r="T107" s="2227">
        <f t="shared" si="56"/>
        <v>0</v>
      </c>
      <c r="U107" s="2227">
        <f t="shared" si="57"/>
        <v>0</v>
      </c>
      <c r="V107" s="2227">
        <f t="shared" si="58"/>
        <v>0</v>
      </c>
      <c r="W107" s="2227">
        <f t="shared" si="59"/>
        <v>0</v>
      </c>
      <c r="X107" s="505">
        <f t="shared" si="60"/>
        <v>0</v>
      </c>
    </row>
    <row r="108" spans="1:24" ht="13.2" customHeight="1">
      <c r="A108" s="1401">
        <f t="shared" si="54"/>
        <v>11.09099999999995</v>
      </c>
      <c r="B108" s="534" t="s">
        <v>1740</v>
      </c>
      <c r="C108" s="534"/>
      <c r="D108" s="694">
        <v>0</v>
      </c>
      <c r="E108" s="694"/>
      <c r="F108" s="1377"/>
      <c r="G108" s="903"/>
      <c r="H108" s="903"/>
      <c r="I108" s="1320">
        <f t="shared" si="67"/>
        <v>0</v>
      </c>
      <c r="J108" s="1377"/>
      <c r="K108" s="903"/>
      <c r="L108" s="903"/>
      <c r="M108" s="1320">
        <f t="shared" si="68"/>
        <v>0</v>
      </c>
      <c r="N108" s="1831"/>
      <c r="Q108" s="1401">
        <f t="shared" si="55"/>
        <v>11.09099999999995</v>
      </c>
      <c r="R108" s="1937" t="s">
        <v>1740</v>
      </c>
      <c r="T108" s="2227">
        <f t="shared" si="56"/>
        <v>0</v>
      </c>
      <c r="U108" s="2227">
        <f t="shared" si="57"/>
        <v>0</v>
      </c>
      <c r="V108" s="2227">
        <f t="shared" si="58"/>
        <v>0</v>
      </c>
      <c r="W108" s="2227">
        <f t="shared" si="59"/>
        <v>0</v>
      </c>
      <c r="X108" s="505">
        <f t="shared" si="60"/>
        <v>0</v>
      </c>
    </row>
    <row r="109" spans="1:24" ht="13.2" customHeight="1">
      <c r="A109" s="1401">
        <f t="shared" si="54"/>
        <v>11.091999999999949</v>
      </c>
      <c r="B109" s="534" t="s">
        <v>1741</v>
      </c>
      <c r="C109" s="534"/>
      <c r="D109" s="694">
        <v>0</v>
      </c>
      <c r="E109" s="694"/>
      <c r="F109" s="1377"/>
      <c r="G109" s="903"/>
      <c r="H109" s="903"/>
      <c r="I109" s="1320">
        <f t="shared" si="67"/>
        <v>0</v>
      </c>
      <c r="J109" s="1377"/>
      <c r="K109" s="903"/>
      <c r="L109" s="903"/>
      <c r="M109" s="1320">
        <f t="shared" si="68"/>
        <v>0</v>
      </c>
      <c r="N109" s="1831"/>
      <c r="Q109" s="1401">
        <f t="shared" si="55"/>
        <v>11.091999999999949</v>
      </c>
      <c r="R109" s="1937" t="s">
        <v>1741</v>
      </c>
      <c r="T109" s="2227">
        <f t="shared" si="56"/>
        <v>0</v>
      </c>
      <c r="U109" s="2227">
        <f t="shared" si="57"/>
        <v>0</v>
      </c>
      <c r="V109" s="2227">
        <f t="shared" si="58"/>
        <v>0</v>
      </c>
      <c r="W109" s="2227">
        <f t="shared" si="59"/>
        <v>0</v>
      </c>
      <c r="X109" s="505">
        <f t="shared" si="60"/>
        <v>0</v>
      </c>
    </row>
    <row r="110" spans="1:24" ht="13.2" customHeight="1">
      <c r="A110" s="1401">
        <f t="shared" si="54"/>
        <v>11.092999999999948</v>
      </c>
      <c r="B110" s="534" t="s">
        <v>1742</v>
      </c>
      <c r="C110" s="780"/>
      <c r="D110" s="694">
        <v>0</v>
      </c>
      <c r="E110" s="694"/>
      <c r="F110" s="1377">
        <f t="shared" ref="F110:F113" si="69">+SUM(D110:E110)/2</f>
        <v>0</v>
      </c>
      <c r="G110" s="903"/>
      <c r="H110" s="903"/>
      <c r="I110" s="1320"/>
      <c r="J110" s="1377">
        <f t="shared" ref="J110:J117" si="70">E110-$P110*$I$316</f>
        <v>0</v>
      </c>
      <c r="K110" s="903"/>
      <c r="L110" s="903"/>
      <c r="M110" s="1320"/>
      <c r="N110" s="1831"/>
      <c r="Q110" s="1401">
        <f t="shared" si="55"/>
        <v>11.092999999999948</v>
      </c>
      <c r="R110" s="1937" t="s">
        <v>1742</v>
      </c>
      <c r="T110" s="2227">
        <f t="shared" si="56"/>
        <v>0</v>
      </c>
      <c r="U110" s="2227">
        <f t="shared" si="57"/>
        <v>0</v>
      </c>
      <c r="V110" s="2227">
        <f t="shared" si="58"/>
        <v>0</v>
      </c>
      <c r="W110" s="2227">
        <f t="shared" si="59"/>
        <v>0</v>
      </c>
      <c r="X110" s="505">
        <f t="shared" si="60"/>
        <v>0</v>
      </c>
    </row>
    <row r="111" spans="1:24" ht="13.2" customHeight="1">
      <c r="A111" s="1401">
        <f t="shared" si="54"/>
        <v>11.093999999999948</v>
      </c>
      <c r="B111" s="534" t="s">
        <v>1743</v>
      </c>
      <c r="C111" s="780"/>
      <c r="D111" s="694">
        <v>0</v>
      </c>
      <c r="E111" s="694"/>
      <c r="F111" s="1377">
        <f t="shared" si="69"/>
        <v>0</v>
      </c>
      <c r="G111" s="903"/>
      <c r="H111" s="903"/>
      <c r="I111" s="1320"/>
      <c r="J111" s="1377">
        <f t="shared" si="70"/>
        <v>0</v>
      </c>
      <c r="K111" s="903"/>
      <c r="L111" s="903"/>
      <c r="M111" s="1320"/>
      <c r="N111" s="1831"/>
      <c r="Q111" s="1401">
        <f t="shared" si="55"/>
        <v>11.093999999999948</v>
      </c>
      <c r="R111" s="1937" t="s">
        <v>1743</v>
      </c>
      <c r="T111" s="2227">
        <f t="shared" si="56"/>
        <v>0</v>
      </c>
      <c r="U111" s="2227">
        <f t="shared" si="57"/>
        <v>0</v>
      </c>
      <c r="V111" s="2227">
        <f t="shared" si="58"/>
        <v>0</v>
      </c>
      <c r="W111" s="2227">
        <f t="shared" si="59"/>
        <v>0</v>
      </c>
      <c r="X111" s="505">
        <f t="shared" si="60"/>
        <v>0</v>
      </c>
    </row>
    <row r="112" spans="1:24" ht="13.2" customHeight="1">
      <c r="A112" s="1401">
        <f t="shared" si="54"/>
        <v>11.094999999999947</v>
      </c>
      <c r="B112" s="534" t="s">
        <v>1744</v>
      </c>
      <c r="C112" s="780"/>
      <c r="D112" s="694">
        <v>0</v>
      </c>
      <c r="E112" s="694"/>
      <c r="F112" s="1377">
        <f t="shared" si="69"/>
        <v>0</v>
      </c>
      <c r="G112" s="903"/>
      <c r="H112" s="903"/>
      <c r="I112" s="1320"/>
      <c r="J112" s="1377">
        <f t="shared" si="70"/>
        <v>0</v>
      </c>
      <c r="K112" s="903"/>
      <c r="L112" s="903"/>
      <c r="M112" s="1320"/>
      <c r="N112" s="1831"/>
      <c r="Q112" s="1401">
        <f t="shared" si="55"/>
        <v>11.094999999999947</v>
      </c>
      <c r="R112" s="1937" t="s">
        <v>1744</v>
      </c>
      <c r="T112" s="2227">
        <f t="shared" si="56"/>
        <v>0</v>
      </c>
      <c r="U112" s="2227">
        <f t="shared" si="57"/>
        <v>0</v>
      </c>
      <c r="V112" s="2227">
        <f t="shared" si="58"/>
        <v>0</v>
      </c>
      <c r="W112" s="2227">
        <f t="shared" si="59"/>
        <v>0</v>
      </c>
      <c r="X112" s="505">
        <f t="shared" si="60"/>
        <v>0</v>
      </c>
    </row>
    <row r="113" spans="1:24" ht="13.2" customHeight="1">
      <c r="A113" s="1401">
        <f t="shared" si="54"/>
        <v>11.095999999999947</v>
      </c>
      <c r="B113" s="534" t="s">
        <v>1745</v>
      </c>
      <c r="C113" s="780"/>
      <c r="D113" s="694">
        <v>0</v>
      </c>
      <c r="E113" s="694"/>
      <c r="F113" s="1377">
        <f t="shared" si="69"/>
        <v>0</v>
      </c>
      <c r="G113" s="903"/>
      <c r="H113" s="903"/>
      <c r="I113" s="1320"/>
      <c r="J113" s="1377">
        <f t="shared" si="70"/>
        <v>0</v>
      </c>
      <c r="K113" s="903"/>
      <c r="L113" s="903"/>
      <c r="M113" s="1320"/>
      <c r="N113" s="1831"/>
      <c r="Q113" s="1401">
        <f t="shared" si="55"/>
        <v>11.095999999999947</v>
      </c>
      <c r="R113" s="1937" t="s">
        <v>1745</v>
      </c>
      <c r="T113" s="2227">
        <f t="shared" si="56"/>
        <v>0</v>
      </c>
      <c r="U113" s="2227">
        <f t="shared" si="57"/>
        <v>0</v>
      </c>
      <c r="V113" s="2227">
        <f t="shared" si="58"/>
        <v>0</v>
      </c>
      <c r="W113" s="2227">
        <f t="shared" si="59"/>
        <v>0</v>
      </c>
      <c r="X113" s="505">
        <f t="shared" si="60"/>
        <v>0</v>
      </c>
    </row>
    <row r="114" spans="1:24" ht="13.2" customHeight="1">
      <c r="A114" s="1401">
        <f t="shared" si="54"/>
        <v>11.096999999999946</v>
      </c>
      <c r="B114" s="534" t="s">
        <v>1746</v>
      </c>
      <c r="C114" s="534"/>
      <c r="D114" s="694">
        <v>0</v>
      </c>
      <c r="E114" s="694"/>
      <c r="F114" s="1377">
        <f t="shared" ref="F114:F117" si="71">+SUM(D114:E114)/2</f>
        <v>0</v>
      </c>
      <c r="G114" s="903"/>
      <c r="H114" s="903"/>
      <c r="I114" s="1320"/>
      <c r="J114" s="1377">
        <f t="shared" si="70"/>
        <v>0</v>
      </c>
      <c r="K114" s="903"/>
      <c r="L114" s="903"/>
      <c r="M114" s="1320"/>
      <c r="N114" s="1831"/>
      <c r="Q114" s="1401">
        <f t="shared" si="55"/>
        <v>11.096999999999946</v>
      </c>
      <c r="R114" s="1937" t="s">
        <v>1746</v>
      </c>
      <c r="T114" s="2227">
        <f t="shared" si="56"/>
        <v>0</v>
      </c>
      <c r="U114" s="2227">
        <f t="shared" si="57"/>
        <v>0</v>
      </c>
      <c r="V114" s="2227">
        <f t="shared" si="58"/>
        <v>0</v>
      </c>
      <c r="W114" s="2227">
        <f t="shared" si="59"/>
        <v>0</v>
      </c>
      <c r="X114" s="505">
        <f t="shared" si="60"/>
        <v>0</v>
      </c>
    </row>
    <row r="115" spans="1:24" ht="13.2" customHeight="1">
      <c r="A115" s="1401">
        <f t="shared" si="54"/>
        <v>11.097999999999946</v>
      </c>
      <c r="B115" s="534" t="s">
        <v>1747</v>
      </c>
      <c r="C115" s="780"/>
      <c r="D115" s="694">
        <v>0</v>
      </c>
      <c r="E115" s="694"/>
      <c r="F115" s="1377">
        <f t="shared" si="71"/>
        <v>0</v>
      </c>
      <c r="G115" s="903"/>
      <c r="H115" s="903"/>
      <c r="I115" s="1320"/>
      <c r="J115" s="1377">
        <f t="shared" si="70"/>
        <v>0</v>
      </c>
      <c r="K115" s="903"/>
      <c r="L115" s="903"/>
      <c r="M115" s="1320"/>
      <c r="N115" s="1831"/>
      <c r="Q115" s="1401">
        <f t="shared" si="55"/>
        <v>11.097999999999946</v>
      </c>
      <c r="R115" s="1937" t="s">
        <v>1747</v>
      </c>
      <c r="T115" s="2227">
        <f t="shared" si="56"/>
        <v>0</v>
      </c>
      <c r="U115" s="2227">
        <f t="shared" si="57"/>
        <v>0</v>
      </c>
      <c r="V115" s="2227">
        <f t="shared" si="58"/>
        <v>0</v>
      </c>
      <c r="W115" s="2227">
        <f t="shared" si="59"/>
        <v>0</v>
      </c>
      <c r="X115" s="505">
        <f t="shared" si="60"/>
        <v>0</v>
      </c>
    </row>
    <row r="116" spans="1:24" ht="13.2" customHeight="1">
      <c r="A116" s="1401">
        <f t="shared" si="54"/>
        <v>11.098999999999945</v>
      </c>
      <c r="B116" s="534" t="s">
        <v>1748</v>
      </c>
      <c r="C116" s="780"/>
      <c r="D116" s="694">
        <v>0</v>
      </c>
      <c r="E116" s="694"/>
      <c r="F116" s="1377">
        <f t="shared" si="71"/>
        <v>0</v>
      </c>
      <c r="G116" s="903"/>
      <c r="H116" s="903"/>
      <c r="I116" s="1320"/>
      <c r="J116" s="1377">
        <f t="shared" si="70"/>
        <v>0</v>
      </c>
      <c r="K116" s="903"/>
      <c r="L116" s="903"/>
      <c r="M116" s="1320"/>
      <c r="N116" s="1831"/>
      <c r="Q116" s="1401">
        <f t="shared" si="55"/>
        <v>11.098999999999945</v>
      </c>
      <c r="R116" s="1937" t="s">
        <v>1748</v>
      </c>
      <c r="T116" s="2227">
        <f t="shared" si="56"/>
        <v>0</v>
      </c>
      <c r="U116" s="2227">
        <f t="shared" si="57"/>
        <v>0</v>
      </c>
      <c r="V116" s="2227">
        <f t="shared" si="58"/>
        <v>0</v>
      </c>
      <c r="W116" s="2227">
        <f t="shared" si="59"/>
        <v>0</v>
      </c>
      <c r="X116" s="505">
        <f t="shared" si="60"/>
        <v>0</v>
      </c>
    </row>
    <row r="117" spans="1:24" ht="13.2" customHeight="1">
      <c r="A117" s="1401">
        <f t="shared" si="54"/>
        <v>11.099999999999945</v>
      </c>
      <c r="B117" s="534" t="s">
        <v>1749</v>
      </c>
      <c r="C117" s="780"/>
      <c r="D117" s="694">
        <v>0</v>
      </c>
      <c r="E117" s="694"/>
      <c r="F117" s="1377">
        <f t="shared" si="71"/>
        <v>0</v>
      </c>
      <c r="G117" s="903"/>
      <c r="H117" s="903"/>
      <c r="I117" s="1320"/>
      <c r="J117" s="1377">
        <f t="shared" si="70"/>
        <v>0</v>
      </c>
      <c r="K117" s="903"/>
      <c r="L117" s="903"/>
      <c r="M117" s="1320"/>
      <c r="N117" s="1831"/>
      <c r="Q117" s="1401">
        <f t="shared" si="55"/>
        <v>11.099999999999945</v>
      </c>
      <c r="R117" s="1937" t="s">
        <v>1749</v>
      </c>
      <c r="T117" s="2227">
        <f t="shared" si="56"/>
        <v>0</v>
      </c>
      <c r="U117" s="2227">
        <f t="shared" si="57"/>
        <v>0</v>
      </c>
      <c r="V117" s="2227">
        <f t="shared" si="58"/>
        <v>0</v>
      </c>
      <c r="W117" s="2227">
        <f t="shared" si="59"/>
        <v>0</v>
      </c>
      <c r="X117" s="505">
        <f t="shared" si="60"/>
        <v>0</v>
      </c>
    </row>
    <row r="118" spans="1:24" ht="13.2" customHeight="1">
      <c r="A118" s="1401">
        <f t="shared" si="54"/>
        <v>11.100999999999944</v>
      </c>
      <c r="B118" s="534" t="s">
        <v>1750</v>
      </c>
      <c r="C118" s="780"/>
      <c r="D118" s="694">
        <v>0</v>
      </c>
      <c r="E118" s="694">
        <v>398381.21</v>
      </c>
      <c r="F118" s="1377"/>
      <c r="G118" s="903"/>
      <c r="H118" s="903">
        <f t="shared" ref="H118:H125" si="72">+SUM($D118:$E118)/2</f>
        <v>199190.60500000001</v>
      </c>
      <c r="I118" s="1320"/>
      <c r="J118" s="1377"/>
      <c r="K118" s="903"/>
      <c r="L118" s="903">
        <f t="shared" ref="L118:L125" si="73">E118-$P118*$I$316</f>
        <v>116194.51958333334</v>
      </c>
      <c r="M118" s="1320"/>
      <c r="N118" s="1831"/>
      <c r="O118" s="2224">
        <v>190731</v>
      </c>
      <c r="P118" s="2223">
        <v>398381.21</v>
      </c>
      <c r="Q118" s="1401">
        <f t="shared" si="55"/>
        <v>11.100999999999944</v>
      </c>
      <c r="R118" s="2223" t="s">
        <v>1750</v>
      </c>
      <c r="T118" s="2227">
        <f t="shared" si="56"/>
        <v>0</v>
      </c>
      <c r="U118" s="2227">
        <f t="shared" si="57"/>
        <v>0</v>
      </c>
      <c r="V118" s="2227">
        <f t="shared" si="58"/>
        <v>398381.21</v>
      </c>
      <c r="W118" s="2227">
        <f t="shared" si="59"/>
        <v>0</v>
      </c>
      <c r="X118" s="505">
        <f t="shared" si="60"/>
        <v>398381.21</v>
      </c>
    </row>
    <row r="119" spans="1:24" ht="13.2" customHeight="1">
      <c r="A119" s="1401">
        <f t="shared" si="54"/>
        <v>11.101999999999943</v>
      </c>
      <c r="B119" s="534" t="s">
        <v>1751</v>
      </c>
      <c r="C119" s="780"/>
      <c r="D119" s="694">
        <v>0</v>
      </c>
      <c r="E119" s="694"/>
      <c r="F119" s="1377"/>
      <c r="G119" s="903"/>
      <c r="H119" s="903">
        <f t="shared" si="72"/>
        <v>0</v>
      </c>
      <c r="I119" s="1320"/>
      <c r="J119" s="1377"/>
      <c r="K119" s="903"/>
      <c r="L119" s="903">
        <f t="shared" si="73"/>
        <v>0</v>
      </c>
      <c r="M119" s="1320"/>
      <c r="N119" s="1831"/>
      <c r="Q119" s="1401">
        <f t="shared" si="55"/>
        <v>11.101999999999943</v>
      </c>
      <c r="R119" s="1937" t="s">
        <v>1751</v>
      </c>
      <c r="T119" s="2227">
        <f t="shared" si="56"/>
        <v>0</v>
      </c>
      <c r="U119" s="2227">
        <f t="shared" si="57"/>
        <v>0</v>
      </c>
      <c r="V119" s="2227">
        <f t="shared" si="58"/>
        <v>0</v>
      </c>
      <c r="W119" s="2227">
        <f t="shared" si="59"/>
        <v>0</v>
      </c>
      <c r="X119" s="505">
        <f t="shared" si="60"/>
        <v>0</v>
      </c>
    </row>
    <row r="120" spans="1:24" ht="13.2" customHeight="1">
      <c r="A120" s="1401">
        <f t="shared" si="54"/>
        <v>11.102999999999943</v>
      </c>
      <c r="B120" s="534" t="s">
        <v>1752</v>
      </c>
      <c r="C120" s="780"/>
      <c r="D120" s="694">
        <v>0</v>
      </c>
      <c r="E120" s="694">
        <v>9733816</v>
      </c>
      <c r="F120" s="1377"/>
      <c r="G120" s="903"/>
      <c r="H120" s="903">
        <f t="shared" si="72"/>
        <v>4866908</v>
      </c>
      <c r="I120" s="1320"/>
      <c r="J120" s="1377"/>
      <c r="K120" s="903"/>
      <c r="L120" s="903">
        <f t="shared" si="73"/>
        <v>2839029.928749999</v>
      </c>
      <c r="M120" s="1320"/>
      <c r="N120" s="1831"/>
      <c r="O120" s="2224">
        <v>190791</v>
      </c>
      <c r="P120" s="2223">
        <v>9733815.6300000008</v>
      </c>
      <c r="Q120" s="1401">
        <f t="shared" si="55"/>
        <v>11.102999999999943</v>
      </c>
      <c r="R120" s="2223" t="s">
        <v>1752</v>
      </c>
      <c r="T120" s="2227">
        <f t="shared" si="56"/>
        <v>0</v>
      </c>
      <c r="U120" s="2227">
        <f t="shared" si="57"/>
        <v>0</v>
      </c>
      <c r="V120" s="2227">
        <f t="shared" si="58"/>
        <v>9733815.6300000008</v>
      </c>
      <c r="W120" s="2227">
        <f t="shared" si="59"/>
        <v>0</v>
      </c>
      <c r="X120" s="505">
        <f t="shared" si="60"/>
        <v>9733815.6300000008</v>
      </c>
    </row>
    <row r="121" spans="1:24" ht="13.2" customHeight="1">
      <c r="A121" s="1401">
        <f t="shared" si="54"/>
        <v>11.103999999999942</v>
      </c>
      <c r="B121" s="780" t="s">
        <v>1753</v>
      </c>
      <c r="C121" s="780"/>
      <c r="D121" s="694">
        <v>0</v>
      </c>
      <c r="E121" s="694"/>
      <c r="F121" s="1377"/>
      <c r="G121" s="903"/>
      <c r="H121" s="903">
        <f t="shared" si="72"/>
        <v>0</v>
      </c>
      <c r="I121" s="1320"/>
      <c r="J121" s="1377"/>
      <c r="K121" s="903"/>
      <c r="L121" s="903">
        <f t="shared" si="73"/>
        <v>0</v>
      </c>
      <c r="M121" s="1320"/>
      <c r="N121" s="1831"/>
      <c r="Q121" s="1401">
        <f t="shared" si="55"/>
        <v>11.103999999999942</v>
      </c>
      <c r="R121" s="1937" t="s">
        <v>1753</v>
      </c>
      <c r="T121" s="2227">
        <f t="shared" si="56"/>
        <v>0</v>
      </c>
      <c r="U121" s="2227">
        <f t="shared" si="57"/>
        <v>0</v>
      </c>
      <c r="V121" s="2227">
        <f t="shared" si="58"/>
        <v>0</v>
      </c>
      <c r="W121" s="2227">
        <f t="shared" si="59"/>
        <v>0</v>
      </c>
      <c r="X121" s="505">
        <f t="shared" si="60"/>
        <v>0</v>
      </c>
    </row>
    <row r="122" spans="1:24" ht="13.2" customHeight="1">
      <c r="A122" s="1401">
        <f t="shared" si="54"/>
        <v>11.104999999999942</v>
      </c>
      <c r="B122" s="534" t="s">
        <v>1754</v>
      </c>
      <c r="C122" s="780"/>
      <c r="D122" s="694">
        <v>0</v>
      </c>
      <c r="E122" s="694">
        <v>605931900</v>
      </c>
      <c r="F122" s="1941"/>
      <c r="G122" s="1942"/>
      <c r="H122" s="903">
        <f t="shared" si="72"/>
        <v>302965950</v>
      </c>
      <c r="I122" s="1320"/>
      <c r="J122" s="1377"/>
      <c r="K122" s="903"/>
      <c r="L122" s="903">
        <f t="shared" si="73"/>
        <v>605931900</v>
      </c>
      <c r="M122" s="1943"/>
      <c r="N122" s="1831"/>
      <c r="O122" s="2224">
        <v>190871</v>
      </c>
      <c r="P122" s="2226"/>
      <c r="Q122" s="1401">
        <f t="shared" si="55"/>
        <v>11.104999999999942</v>
      </c>
      <c r="R122" s="2226" t="s">
        <v>1754</v>
      </c>
      <c r="T122" s="2227">
        <f t="shared" si="56"/>
        <v>0</v>
      </c>
      <c r="U122" s="2227">
        <f t="shared" si="57"/>
        <v>0</v>
      </c>
      <c r="V122" s="2227">
        <f t="shared" si="58"/>
        <v>0</v>
      </c>
      <c r="W122" s="2227">
        <f t="shared" si="59"/>
        <v>0</v>
      </c>
      <c r="X122" s="505">
        <f t="shared" si="60"/>
        <v>0</v>
      </c>
    </row>
    <row r="123" spans="1:24" ht="13.2" customHeight="1">
      <c r="A123" s="1401">
        <f t="shared" si="54"/>
        <v>11.105999999999941</v>
      </c>
      <c r="B123" s="534" t="s">
        <v>1755</v>
      </c>
      <c r="C123" s="780"/>
      <c r="D123" s="694">
        <v>0</v>
      </c>
      <c r="E123" s="694"/>
      <c r="F123" s="1377"/>
      <c r="G123" s="903"/>
      <c r="H123" s="903">
        <f t="shared" si="72"/>
        <v>0</v>
      </c>
      <c r="I123" s="1320"/>
      <c r="J123" s="1377"/>
      <c r="K123" s="903"/>
      <c r="L123" s="903">
        <f t="shared" si="73"/>
        <v>0</v>
      </c>
      <c r="M123" s="1320"/>
      <c r="N123" s="1831"/>
      <c r="Q123" s="1401">
        <f t="shared" si="55"/>
        <v>11.105999999999941</v>
      </c>
      <c r="R123" s="1937" t="s">
        <v>1755</v>
      </c>
      <c r="T123" s="2227">
        <f t="shared" si="56"/>
        <v>0</v>
      </c>
      <c r="U123" s="2227">
        <f t="shared" si="57"/>
        <v>0</v>
      </c>
      <c r="V123" s="2227">
        <f t="shared" si="58"/>
        <v>0</v>
      </c>
      <c r="W123" s="2227">
        <f t="shared" si="59"/>
        <v>0</v>
      </c>
      <c r="X123" s="505">
        <f t="shared" si="60"/>
        <v>0</v>
      </c>
    </row>
    <row r="124" spans="1:24" ht="13.2" customHeight="1">
      <c r="A124" s="1401">
        <f t="shared" si="54"/>
        <v>11.106999999999941</v>
      </c>
      <c r="B124" s="534" t="s">
        <v>1756</v>
      </c>
      <c r="D124" s="694">
        <v>0</v>
      </c>
      <c r="E124" s="694"/>
      <c r="F124" s="1377"/>
      <c r="G124" s="903"/>
      <c r="H124" s="903">
        <f t="shared" si="72"/>
        <v>0</v>
      </c>
      <c r="I124" s="1320"/>
      <c r="J124" s="1377"/>
      <c r="K124" s="903"/>
      <c r="L124" s="903">
        <f t="shared" si="73"/>
        <v>0</v>
      </c>
      <c r="M124" s="1320"/>
      <c r="N124" s="1831"/>
      <c r="Q124" s="1401">
        <f t="shared" si="55"/>
        <v>11.106999999999941</v>
      </c>
      <c r="R124" s="1937" t="s">
        <v>1756</v>
      </c>
      <c r="T124" s="2227">
        <f t="shared" si="56"/>
        <v>0</v>
      </c>
      <c r="U124" s="2227">
        <f t="shared" si="57"/>
        <v>0</v>
      </c>
      <c r="V124" s="2227">
        <f t="shared" si="58"/>
        <v>0</v>
      </c>
      <c r="W124" s="2227">
        <f t="shared" si="59"/>
        <v>0</v>
      </c>
      <c r="X124" s="505">
        <f t="shared" si="60"/>
        <v>0</v>
      </c>
    </row>
    <row r="125" spans="1:24" ht="13.2" customHeight="1">
      <c r="A125" s="1401">
        <f t="shared" si="54"/>
        <v>11.10799999999994</v>
      </c>
      <c r="B125" s="534" t="s">
        <v>1757</v>
      </c>
      <c r="C125" s="780"/>
      <c r="D125" s="694">
        <v>0</v>
      </c>
      <c r="E125" s="694"/>
      <c r="F125" s="1377"/>
      <c r="G125" s="903"/>
      <c r="H125" s="903">
        <f t="shared" si="72"/>
        <v>0</v>
      </c>
      <c r="I125" s="1320"/>
      <c r="J125" s="1377"/>
      <c r="K125" s="903"/>
      <c r="L125" s="903">
        <f t="shared" si="73"/>
        <v>0</v>
      </c>
      <c r="M125" s="1320"/>
      <c r="N125" s="1831"/>
      <c r="Q125" s="1401">
        <f t="shared" si="55"/>
        <v>11.10799999999994</v>
      </c>
      <c r="R125" s="1937" t="s">
        <v>1757</v>
      </c>
      <c r="T125" s="2227">
        <f t="shared" si="56"/>
        <v>0</v>
      </c>
      <c r="U125" s="2227">
        <f t="shared" si="57"/>
        <v>0</v>
      </c>
      <c r="V125" s="2227">
        <f t="shared" si="58"/>
        <v>0</v>
      </c>
      <c r="W125" s="2227">
        <f t="shared" si="59"/>
        <v>0</v>
      </c>
      <c r="X125" s="505">
        <f t="shared" si="60"/>
        <v>0</v>
      </c>
    </row>
    <row r="126" spans="1:24" ht="13.2" customHeight="1">
      <c r="A126" s="1401">
        <f t="shared" si="54"/>
        <v>11.10899999999994</v>
      </c>
      <c r="B126" s="780" t="s">
        <v>1758</v>
      </c>
      <c r="C126" s="780"/>
      <c r="D126" s="694">
        <v>0</v>
      </c>
      <c r="E126" s="694"/>
      <c r="F126" s="1377">
        <f t="shared" ref="F126" si="74">+SUM(D126:E126)/2</f>
        <v>0</v>
      </c>
      <c r="G126" s="903"/>
      <c r="H126" s="903"/>
      <c r="I126" s="1320"/>
      <c r="J126" s="1377">
        <f>E126-$P126*$I$316</f>
        <v>0</v>
      </c>
      <c r="K126" s="903"/>
      <c r="L126" s="903"/>
      <c r="M126" s="1320"/>
      <c r="N126" s="1831"/>
      <c r="Q126" s="1401">
        <f t="shared" si="55"/>
        <v>11.10899999999994</v>
      </c>
      <c r="R126" s="1937" t="s">
        <v>1758</v>
      </c>
      <c r="T126" s="2227">
        <f t="shared" si="56"/>
        <v>0</v>
      </c>
      <c r="U126" s="2227">
        <f t="shared" si="57"/>
        <v>0</v>
      </c>
      <c r="V126" s="2227">
        <f t="shared" si="58"/>
        <v>0</v>
      </c>
      <c r="W126" s="2227">
        <f t="shared" si="59"/>
        <v>0</v>
      </c>
      <c r="X126" s="505">
        <f t="shared" si="60"/>
        <v>0</v>
      </c>
    </row>
    <row r="127" spans="1:24" ht="13.2" customHeight="1">
      <c r="A127" s="1401">
        <f t="shared" si="54"/>
        <v>11.109999999999939</v>
      </c>
      <c r="B127" s="780" t="s">
        <v>1759</v>
      </c>
      <c r="C127" s="780"/>
      <c r="D127" s="694">
        <v>0</v>
      </c>
      <c r="E127" s="694"/>
      <c r="F127" s="1377"/>
      <c r="G127" s="903"/>
      <c r="H127" s="903"/>
      <c r="I127" s="1320">
        <f t="shared" ref="I127" si="75">+SUM($D127:$E127)/2</f>
        <v>0</v>
      </c>
      <c r="J127" s="1377"/>
      <c r="K127" s="903"/>
      <c r="L127" s="903"/>
      <c r="M127" s="1320">
        <f>E127-$P127*$I$316</f>
        <v>0</v>
      </c>
      <c r="N127" s="1831"/>
      <c r="Q127" s="1401">
        <f t="shared" si="55"/>
        <v>11.109999999999939</v>
      </c>
      <c r="R127" s="1937" t="s">
        <v>1759</v>
      </c>
      <c r="T127" s="2227">
        <f t="shared" si="56"/>
        <v>0</v>
      </c>
      <c r="U127" s="2227">
        <f t="shared" si="57"/>
        <v>0</v>
      </c>
      <c r="V127" s="2227">
        <f t="shared" si="58"/>
        <v>0</v>
      </c>
      <c r="W127" s="2227">
        <f t="shared" si="59"/>
        <v>0</v>
      </c>
      <c r="X127" s="505">
        <f t="shared" si="60"/>
        <v>0</v>
      </c>
    </row>
    <row r="128" spans="1:24" ht="13.2" customHeight="1">
      <c r="A128" s="1401">
        <f t="shared" si="54"/>
        <v>11.110999999999938</v>
      </c>
      <c r="B128" s="780" t="s">
        <v>1760</v>
      </c>
      <c r="C128" s="780"/>
      <c r="D128" s="694">
        <v>0</v>
      </c>
      <c r="E128" s="694"/>
      <c r="F128" s="1377"/>
      <c r="G128" s="903"/>
      <c r="H128" s="903">
        <f t="shared" ref="H128:H131" si="76">+SUM($D128:$E128)/2</f>
        <v>0</v>
      </c>
      <c r="I128" s="1320"/>
      <c r="J128" s="1377"/>
      <c r="K128" s="903"/>
      <c r="L128" s="903">
        <f t="shared" ref="L128:L131" si="77">E128-$P128*$I$316</f>
        <v>0</v>
      </c>
      <c r="M128" s="1320"/>
      <c r="N128" s="1831"/>
      <c r="Q128" s="1401">
        <f t="shared" si="55"/>
        <v>11.110999999999938</v>
      </c>
      <c r="R128" s="1937" t="s">
        <v>1760</v>
      </c>
      <c r="T128" s="2227">
        <f t="shared" si="56"/>
        <v>0</v>
      </c>
      <c r="U128" s="2227">
        <f t="shared" si="57"/>
        <v>0</v>
      </c>
      <c r="V128" s="2227">
        <f t="shared" si="58"/>
        <v>0</v>
      </c>
      <c r="W128" s="2227">
        <f t="shared" si="59"/>
        <v>0</v>
      </c>
      <c r="X128" s="505">
        <f t="shared" si="60"/>
        <v>0</v>
      </c>
    </row>
    <row r="129" spans="1:24" ht="13.2" customHeight="1">
      <c r="A129" s="1401">
        <f t="shared" si="54"/>
        <v>11.111999999999938</v>
      </c>
      <c r="B129" s="780" t="s">
        <v>1761</v>
      </c>
      <c r="C129" s="780"/>
      <c r="D129" s="694">
        <v>0</v>
      </c>
      <c r="E129" s="694">
        <v>-26287284.09</v>
      </c>
      <c r="F129" s="1377"/>
      <c r="G129" s="903"/>
      <c r="H129" s="903">
        <f t="shared" si="76"/>
        <v>-13143642.045</v>
      </c>
      <c r="I129" s="1320"/>
      <c r="J129" s="1377"/>
      <c r="K129" s="903"/>
      <c r="L129" s="903">
        <f t="shared" si="77"/>
        <v>-26287284.09</v>
      </c>
      <c r="M129" s="1320"/>
      <c r="N129" s="1831"/>
      <c r="O129" s="2224">
        <v>190887</v>
      </c>
      <c r="P129" s="2226"/>
      <c r="Q129" s="1401">
        <f t="shared" si="55"/>
        <v>11.111999999999938</v>
      </c>
      <c r="R129" s="2226" t="s">
        <v>1761</v>
      </c>
      <c r="T129" s="2227">
        <f t="shared" si="56"/>
        <v>0</v>
      </c>
      <c r="U129" s="2227">
        <f t="shared" si="57"/>
        <v>0</v>
      </c>
      <c r="V129" s="2227">
        <f t="shared" si="58"/>
        <v>0</v>
      </c>
      <c r="W129" s="2227">
        <f t="shared" si="59"/>
        <v>0</v>
      </c>
      <c r="X129" s="505">
        <f t="shared" si="60"/>
        <v>0</v>
      </c>
    </row>
    <row r="130" spans="1:24" ht="13.2" customHeight="1">
      <c r="A130" s="1401">
        <f t="shared" si="54"/>
        <v>11.112999999999937</v>
      </c>
      <c r="B130" s="780" t="s">
        <v>1762</v>
      </c>
      <c r="C130" s="780"/>
      <c r="D130" s="694">
        <v>0</v>
      </c>
      <c r="E130" s="694"/>
      <c r="F130" s="1377"/>
      <c r="G130" s="903"/>
      <c r="H130" s="903">
        <f t="shared" si="76"/>
        <v>0</v>
      </c>
      <c r="I130" s="1320"/>
      <c r="J130" s="1377"/>
      <c r="K130" s="903"/>
      <c r="L130" s="903">
        <f t="shared" si="77"/>
        <v>0</v>
      </c>
      <c r="M130" s="1320"/>
      <c r="N130" s="1831"/>
      <c r="Q130" s="1401">
        <f t="shared" si="55"/>
        <v>11.112999999999937</v>
      </c>
      <c r="R130" s="1937" t="s">
        <v>1762</v>
      </c>
      <c r="T130" s="2227">
        <f t="shared" si="56"/>
        <v>0</v>
      </c>
      <c r="U130" s="2227">
        <f t="shared" si="57"/>
        <v>0</v>
      </c>
      <c r="V130" s="2227">
        <f t="shared" si="58"/>
        <v>0</v>
      </c>
      <c r="W130" s="2227">
        <f t="shared" si="59"/>
        <v>0</v>
      </c>
      <c r="X130" s="505">
        <f t="shared" si="60"/>
        <v>0</v>
      </c>
    </row>
    <row r="131" spans="1:24" ht="13.2" customHeight="1">
      <c r="A131" s="1401">
        <f t="shared" si="54"/>
        <v>11.113999999999937</v>
      </c>
      <c r="B131" s="780" t="s">
        <v>1763</v>
      </c>
      <c r="C131" s="780"/>
      <c r="D131" s="694">
        <v>0</v>
      </c>
      <c r="E131" s="694">
        <v>-54239438</v>
      </c>
      <c r="F131" s="1377"/>
      <c r="G131" s="903"/>
      <c r="H131" s="903">
        <f t="shared" si="76"/>
        <v>-27119719</v>
      </c>
      <c r="I131" s="1320"/>
      <c r="J131" s="1377"/>
      <c r="K131" s="903"/>
      <c r="L131" s="903">
        <f t="shared" si="77"/>
        <v>-54239438</v>
      </c>
      <c r="M131" s="1320"/>
      <c r="N131" s="1831"/>
      <c r="O131" s="2224">
        <v>190984</v>
      </c>
      <c r="P131" s="2226"/>
      <c r="Q131" s="1401">
        <f t="shared" si="55"/>
        <v>11.113999999999937</v>
      </c>
      <c r="R131" s="2226" t="s">
        <v>1763</v>
      </c>
      <c r="T131" s="2227">
        <f t="shared" si="56"/>
        <v>0</v>
      </c>
      <c r="U131" s="2227">
        <f t="shared" si="57"/>
        <v>0</v>
      </c>
      <c r="V131" s="2227">
        <f t="shared" si="58"/>
        <v>0</v>
      </c>
      <c r="W131" s="2227">
        <f t="shared" si="59"/>
        <v>0</v>
      </c>
      <c r="X131" s="505">
        <f t="shared" si="60"/>
        <v>0</v>
      </c>
    </row>
    <row r="132" spans="1:24" ht="13.2" customHeight="1">
      <c r="A132" s="1401">
        <f t="shared" si="54"/>
        <v>11.114999999999936</v>
      </c>
      <c r="B132" s="780" t="s">
        <v>1764</v>
      </c>
      <c r="C132" s="780"/>
      <c r="D132" s="694">
        <v>0</v>
      </c>
      <c r="E132" s="694">
        <v>-37033.839999999997</v>
      </c>
      <c r="F132" s="1377">
        <f t="shared" ref="F132:F133" si="78">+SUM(D132:E132)/2</f>
        <v>-18516.919999999998</v>
      </c>
      <c r="G132" s="903"/>
      <c r="H132" s="903"/>
      <c r="I132" s="1320"/>
      <c r="J132" s="1377">
        <f t="shared" ref="J132:J133" si="79">E132-$P132*$I$316</f>
        <v>-37033.839999999997</v>
      </c>
      <c r="K132" s="903"/>
      <c r="L132" s="903"/>
      <c r="M132" s="1320"/>
      <c r="N132" s="1831"/>
      <c r="O132" s="2225">
        <v>190986</v>
      </c>
      <c r="P132" s="2223"/>
      <c r="Q132" s="1401">
        <f t="shared" si="55"/>
        <v>11.114999999999936</v>
      </c>
      <c r="R132" s="2223" t="s">
        <v>1764</v>
      </c>
      <c r="T132" s="2227">
        <f t="shared" si="56"/>
        <v>0</v>
      </c>
      <c r="U132" s="2227">
        <f t="shared" si="57"/>
        <v>0</v>
      </c>
      <c r="V132" s="2227">
        <f t="shared" si="58"/>
        <v>0</v>
      </c>
      <c r="W132" s="2227">
        <f t="shared" si="59"/>
        <v>0</v>
      </c>
      <c r="X132" s="505">
        <f t="shared" si="60"/>
        <v>0</v>
      </c>
    </row>
    <row r="133" spans="1:24" ht="13.2" customHeight="1">
      <c r="A133" s="1401">
        <f t="shared" si="54"/>
        <v>11.115999999999936</v>
      </c>
      <c r="B133" s="780" t="s">
        <v>1765</v>
      </c>
      <c r="C133" s="780"/>
      <c r="D133" s="694">
        <v>0</v>
      </c>
      <c r="E133" s="694"/>
      <c r="F133" s="1377">
        <f t="shared" si="78"/>
        <v>0</v>
      </c>
      <c r="G133" s="903"/>
      <c r="H133" s="903"/>
      <c r="I133" s="1320"/>
      <c r="J133" s="1377">
        <f t="shared" si="79"/>
        <v>0</v>
      </c>
      <c r="K133" s="903"/>
      <c r="L133" s="903"/>
      <c r="M133" s="1320"/>
      <c r="N133" s="1831" t="s">
        <v>0</v>
      </c>
      <c r="Q133" s="1401">
        <f t="shared" si="55"/>
        <v>11.115999999999936</v>
      </c>
      <c r="R133" s="1937" t="s">
        <v>1765</v>
      </c>
      <c r="T133" s="2227">
        <f t="shared" si="56"/>
        <v>0</v>
      </c>
      <c r="U133" s="2227">
        <f t="shared" si="57"/>
        <v>0</v>
      </c>
      <c r="V133" s="2227">
        <f t="shared" si="58"/>
        <v>0</v>
      </c>
      <c r="W133" s="2227">
        <f t="shared" si="59"/>
        <v>0</v>
      </c>
      <c r="X133" s="505">
        <f t="shared" si="60"/>
        <v>0</v>
      </c>
    </row>
    <row r="134" spans="1:24" ht="13.2" customHeight="1">
      <c r="A134" s="1633">
        <f t="shared" si="54"/>
        <v>11.116999999999935</v>
      </c>
      <c r="B134" s="1634" t="s">
        <v>2240</v>
      </c>
      <c r="C134" s="1634"/>
      <c r="D134" s="1632">
        <v>0</v>
      </c>
      <c r="E134" s="1632">
        <v>-181389318</v>
      </c>
      <c r="F134" s="1635"/>
      <c r="G134" s="1636"/>
      <c r="H134" s="1636">
        <f t="shared" ref="H134:H136" si="80">+SUM($D134:$E134)/2</f>
        <v>-90694659</v>
      </c>
      <c r="I134" s="1637"/>
      <c r="J134" s="1635"/>
      <c r="K134" s="1636"/>
      <c r="L134" s="1636">
        <f t="shared" ref="L134:L136" si="81">E134-$P134*$I$316</f>
        <v>-181389318</v>
      </c>
      <c r="M134" s="1637"/>
      <c r="N134" s="1832"/>
      <c r="Q134" s="1633">
        <f t="shared" si="55"/>
        <v>11.116999999999935</v>
      </c>
      <c r="R134" s="1937" t="s">
        <v>2240</v>
      </c>
      <c r="T134" s="2227">
        <f t="shared" si="56"/>
        <v>0</v>
      </c>
      <c r="U134" s="2227">
        <f t="shared" si="57"/>
        <v>0</v>
      </c>
      <c r="V134" s="2227">
        <f t="shared" si="58"/>
        <v>0</v>
      </c>
      <c r="W134" s="2227">
        <f t="shared" si="59"/>
        <v>0</v>
      </c>
      <c r="X134" s="505">
        <f t="shared" si="60"/>
        <v>0</v>
      </c>
    </row>
    <row r="135" spans="1:24" ht="13.2" customHeight="1">
      <c r="A135" s="1633">
        <f t="shared" si="54"/>
        <v>11.117999999999935</v>
      </c>
      <c r="B135" s="1634" t="s">
        <v>2207</v>
      </c>
      <c r="C135" s="1634"/>
      <c r="D135" s="1632">
        <v>0</v>
      </c>
      <c r="E135" s="1632"/>
      <c r="F135" s="1635"/>
      <c r="G135" s="1636"/>
      <c r="H135" s="1636">
        <f t="shared" si="80"/>
        <v>0</v>
      </c>
      <c r="I135" s="1637"/>
      <c r="J135" s="1635"/>
      <c r="K135" s="1636"/>
      <c r="L135" s="1636">
        <f t="shared" si="81"/>
        <v>90.527820594666665</v>
      </c>
      <c r="M135" s="1637"/>
      <c r="N135" s="1832"/>
      <c r="O135" s="2225">
        <v>190255</v>
      </c>
      <c r="P135" s="2223">
        <v>-127.80398201599999</v>
      </c>
      <c r="Q135" s="1633">
        <f t="shared" si="55"/>
        <v>11.117999999999935</v>
      </c>
      <c r="R135" s="2223" t="s">
        <v>2207</v>
      </c>
      <c r="T135" s="2227">
        <f t="shared" si="56"/>
        <v>0</v>
      </c>
      <c r="U135" s="2227">
        <f t="shared" si="57"/>
        <v>0</v>
      </c>
      <c r="V135" s="2227">
        <f t="shared" si="58"/>
        <v>-127.80398201599999</v>
      </c>
      <c r="W135" s="2227">
        <f t="shared" si="59"/>
        <v>0</v>
      </c>
      <c r="X135" s="505">
        <f t="shared" si="60"/>
        <v>-127.80398201599999</v>
      </c>
    </row>
    <row r="136" spans="1:24" ht="13.2" customHeight="1">
      <c r="A136" s="1633">
        <f>+A134+0.001</f>
        <v>11.117999999999935</v>
      </c>
      <c r="B136" s="1634" t="s">
        <v>2208</v>
      </c>
      <c r="C136" s="1634"/>
      <c r="D136" s="1632">
        <v>0</v>
      </c>
      <c r="E136" s="1632"/>
      <c r="F136" s="1635"/>
      <c r="G136" s="1636"/>
      <c r="H136" s="1636">
        <f t="shared" si="80"/>
        <v>0</v>
      </c>
      <c r="I136" s="1637"/>
      <c r="J136" s="1635"/>
      <c r="K136" s="1636"/>
      <c r="L136" s="1636">
        <f t="shared" si="81"/>
        <v>-7.2377568000000005</v>
      </c>
      <c r="M136" s="1637"/>
      <c r="N136" s="1832"/>
      <c r="O136" s="2225">
        <v>190256</v>
      </c>
      <c r="P136" s="2223">
        <v>10.2180096</v>
      </c>
      <c r="Q136" s="1633">
        <f>+Q134+0.001</f>
        <v>11.117999999999935</v>
      </c>
      <c r="R136" s="2223" t="s">
        <v>2208</v>
      </c>
      <c r="T136" s="2227">
        <f t="shared" si="56"/>
        <v>0</v>
      </c>
      <c r="U136" s="2227">
        <f t="shared" si="57"/>
        <v>0</v>
      </c>
      <c r="V136" s="2227">
        <f t="shared" si="58"/>
        <v>10.2180096</v>
      </c>
      <c r="W136" s="2227">
        <f t="shared" si="59"/>
        <v>0</v>
      </c>
      <c r="X136" s="505">
        <f t="shared" si="60"/>
        <v>10.2180096</v>
      </c>
    </row>
    <row r="137" spans="1:24" ht="13.2" customHeight="1">
      <c r="A137" s="1633">
        <f>+A135+0.001</f>
        <v>11.118999999999934</v>
      </c>
      <c r="B137" s="1634"/>
      <c r="C137" s="1634" t="s">
        <v>934</v>
      </c>
      <c r="D137" s="1632">
        <v>0</v>
      </c>
      <c r="E137" s="1632"/>
      <c r="F137" s="1635"/>
      <c r="G137" s="1636"/>
      <c r="H137" s="1636"/>
      <c r="I137" s="1637"/>
      <c r="J137" s="1635"/>
      <c r="K137" s="1636"/>
      <c r="L137" s="1636"/>
      <c r="M137" s="1637"/>
      <c r="N137" s="1832"/>
      <c r="Q137" s="1633">
        <f>+Q135+0.001</f>
        <v>11.118999999999934</v>
      </c>
      <c r="S137" s="496" t="s">
        <v>934</v>
      </c>
      <c r="T137" s="2227">
        <f t="shared" si="56"/>
        <v>0</v>
      </c>
      <c r="U137" s="2227">
        <f t="shared" si="57"/>
        <v>0</v>
      </c>
      <c r="V137" s="2227">
        <f t="shared" si="58"/>
        <v>0</v>
      </c>
      <c r="W137" s="2227">
        <f t="shared" si="59"/>
        <v>0</v>
      </c>
      <c r="X137" s="505">
        <f t="shared" si="60"/>
        <v>0</v>
      </c>
    </row>
    <row r="138" spans="1:24" ht="13.2" customHeight="1">
      <c r="A138" s="1639" t="s">
        <v>925</v>
      </c>
      <c r="B138" s="1634"/>
      <c r="C138" s="1634" t="s">
        <v>934</v>
      </c>
      <c r="D138" s="1632">
        <v>0</v>
      </c>
      <c r="E138" s="1632"/>
      <c r="F138" s="1635"/>
      <c r="G138" s="1636"/>
      <c r="H138" s="1636"/>
      <c r="I138" s="1637"/>
      <c r="J138" s="1635"/>
      <c r="K138" s="1636"/>
      <c r="L138" s="1636"/>
      <c r="M138" s="1637"/>
      <c r="N138" s="1832"/>
      <c r="Q138" s="1639" t="s">
        <v>925</v>
      </c>
      <c r="S138" s="496" t="s">
        <v>934</v>
      </c>
      <c r="T138" s="2227">
        <f t="shared" si="56"/>
        <v>0</v>
      </c>
      <c r="U138" s="2227">
        <f t="shared" si="57"/>
        <v>0</v>
      </c>
      <c r="V138" s="2227">
        <f t="shared" si="58"/>
        <v>0</v>
      </c>
      <c r="W138" s="2227">
        <f t="shared" si="59"/>
        <v>0</v>
      </c>
      <c r="X138" s="505">
        <f t="shared" si="60"/>
        <v>0</v>
      </c>
    </row>
    <row r="139" spans="1:24" ht="13.2" customHeight="1">
      <c r="A139" s="1640" t="str">
        <f>A17&amp;".XXX"</f>
        <v>11.XXX</v>
      </c>
      <c r="B139" s="1634"/>
      <c r="C139" s="1634" t="s">
        <v>934</v>
      </c>
      <c r="D139" s="1178">
        <v>0</v>
      </c>
      <c r="E139" s="1178"/>
      <c r="F139" s="1641"/>
      <c r="G139" s="695"/>
      <c r="H139" s="695"/>
      <c r="I139" s="1642"/>
      <c r="J139" s="1641"/>
      <c r="K139" s="695"/>
      <c r="L139" s="695"/>
      <c r="M139" s="1642"/>
      <c r="N139" s="1832"/>
      <c r="Q139" s="1640" t="str">
        <f>Q17&amp;".XXX"</f>
        <v>11.XXX</v>
      </c>
      <c r="S139" s="496" t="s">
        <v>934</v>
      </c>
      <c r="T139" s="2227">
        <f t="shared" si="56"/>
        <v>0</v>
      </c>
      <c r="U139" s="2227">
        <f t="shared" si="57"/>
        <v>0</v>
      </c>
      <c r="V139" s="2227">
        <f t="shared" si="58"/>
        <v>0</v>
      </c>
      <c r="W139" s="2227">
        <f t="shared" si="59"/>
        <v>0</v>
      </c>
      <c r="X139" s="505">
        <f t="shared" si="60"/>
        <v>0</v>
      </c>
    </row>
    <row r="140" spans="1:24" ht="13.2" customHeight="1" thickBot="1">
      <c r="A140" s="735">
        <f>+A17+1</f>
        <v>12</v>
      </c>
      <c r="B140" s="1899"/>
      <c r="C140" s="1899"/>
      <c r="D140" s="903"/>
      <c r="E140" s="903"/>
      <c r="F140" s="1440"/>
      <c r="G140" s="1441"/>
      <c r="H140" s="1441"/>
      <c r="I140" s="1442"/>
      <c r="J140" s="1440"/>
      <c r="K140" s="1441"/>
      <c r="L140" s="1441"/>
      <c r="M140" s="1442"/>
      <c r="N140" s="1831"/>
      <c r="Q140" s="735">
        <f>+Q17+1</f>
        <v>12</v>
      </c>
    </row>
    <row r="141" spans="1:24" s="170" customFormat="1" ht="13.2" customHeight="1" thickBot="1">
      <c r="A141" s="735">
        <f>+A140+1</f>
        <v>13</v>
      </c>
      <c r="B141" s="1325" t="s">
        <v>2316</v>
      </c>
      <c r="C141" s="1326"/>
      <c r="D141" s="1327">
        <f>SUM(D18:D140)</f>
        <v>0</v>
      </c>
      <c r="E141" s="1327">
        <f>SUM(E18:E140)</f>
        <v>622390742.00999999</v>
      </c>
      <c r="F141" s="1443">
        <f>SUM(F18:F139)</f>
        <v>49385694.210000008</v>
      </c>
      <c r="G141" s="903">
        <f>SUM(G18:G139)</f>
        <v>0</v>
      </c>
      <c r="H141" s="903">
        <f>SUM(H18:H139)</f>
        <v>282053794.97499996</v>
      </c>
      <c r="I141" s="1320">
        <f>SUM(I18:I139)</f>
        <v>-20244118.180000003</v>
      </c>
      <c r="J141" s="1443">
        <f>SUM(J18:J140)</f>
        <v>28782088.943749987</v>
      </c>
      <c r="K141" s="903">
        <f>SUM(K18:K140)</f>
        <v>0</v>
      </c>
      <c r="L141" s="903">
        <f>SUM(L18:L140)</f>
        <v>384190322.13443893</v>
      </c>
      <c r="M141" s="1320">
        <f>SUM(M18:M140)</f>
        <v>-11809069.717499999</v>
      </c>
      <c r="N141" s="1831" t="str">
        <f>+"Sum by Column of Line "&amp;A17&amp;" Subparts"</f>
        <v>Sum by Column of Line 11 Subparts</v>
      </c>
      <c r="P141" s="1956">
        <f>SUM(P18:P139)</f>
        <v>312321036.21079195</v>
      </c>
      <c r="Q141" s="735">
        <f>+Q140+1</f>
        <v>13</v>
      </c>
      <c r="R141" s="1956" t="s">
        <v>526</v>
      </c>
      <c r="T141" s="1956">
        <f t="shared" ref="T141:X141" si="82">SUM(T18:T139)</f>
        <v>98808422.790000021</v>
      </c>
      <c r="U141" s="1956">
        <f t="shared" si="82"/>
        <v>0</v>
      </c>
      <c r="V141" s="1956">
        <f t="shared" si="82"/>
        <v>254000848.680792</v>
      </c>
      <c r="W141" s="1956">
        <f t="shared" si="82"/>
        <v>-40488235.260000005</v>
      </c>
      <c r="X141" s="1956">
        <f t="shared" si="82"/>
        <v>312321036.21079195</v>
      </c>
    </row>
    <row r="142" spans="1:24" ht="13.2" customHeight="1">
      <c r="A142" s="735">
        <f>+A141+1</f>
        <v>14</v>
      </c>
      <c r="B142" s="2405" t="s">
        <v>566</v>
      </c>
      <c r="C142" s="2405"/>
      <c r="D142" s="903">
        <f t="shared" ref="D142:M142" si="83">+D116+D117</f>
        <v>0</v>
      </c>
      <c r="E142" s="903">
        <f t="shared" si="83"/>
        <v>0</v>
      </c>
      <c r="F142" s="903">
        <f t="shared" si="83"/>
        <v>0</v>
      </c>
      <c r="G142" s="903">
        <f t="shared" si="83"/>
        <v>0</v>
      </c>
      <c r="H142" s="903">
        <f t="shared" si="83"/>
        <v>0</v>
      </c>
      <c r="I142" s="903">
        <f t="shared" si="83"/>
        <v>0</v>
      </c>
      <c r="J142" s="903">
        <f t="shared" si="83"/>
        <v>0</v>
      </c>
      <c r="K142" s="903">
        <f t="shared" si="83"/>
        <v>0</v>
      </c>
      <c r="L142" s="903">
        <f t="shared" si="83"/>
        <v>0</v>
      </c>
      <c r="M142" s="903">
        <f t="shared" si="83"/>
        <v>0</v>
      </c>
      <c r="N142" s="1835"/>
      <c r="P142" s="1937">
        <f t="shared" ref="P142" si="84">+P116+P117</f>
        <v>0</v>
      </c>
      <c r="Q142" s="735">
        <f>+Q141+1</f>
        <v>14</v>
      </c>
      <c r="R142" s="1937" t="s">
        <v>566</v>
      </c>
      <c r="T142" s="496">
        <f t="shared" ref="T142:X142" si="85">+T116+T117</f>
        <v>0</v>
      </c>
      <c r="U142" s="496">
        <f t="shared" si="85"/>
        <v>0</v>
      </c>
      <c r="V142" s="496">
        <f t="shared" si="85"/>
        <v>0</v>
      </c>
      <c r="W142" s="496">
        <f t="shared" si="85"/>
        <v>0</v>
      </c>
      <c r="X142" s="496">
        <f t="shared" si="85"/>
        <v>0</v>
      </c>
    </row>
    <row r="143" spans="1:24" ht="13.2" customHeight="1">
      <c r="A143" s="1915">
        <f>+A142+0.1</f>
        <v>14.1</v>
      </c>
      <c r="B143" s="1384" t="s">
        <v>1939</v>
      </c>
      <c r="C143" s="1384"/>
      <c r="D143" s="1944">
        <v>0</v>
      </c>
      <c r="E143" s="1945">
        <v>0</v>
      </c>
      <c r="F143" s="1946">
        <v>0</v>
      </c>
      <c r="G143" s="1945">
        <v>0</v>
      </c>
      <c r="H143" s="1945">
        <v>0</v>
      </c>
      <c r="I143" s="1947">
        <v>0</v>
      </c>
      <c r="J143" s="1946">
        <v>0</v>
      </c>
      <c r="K143" s="1945">
        <v>0</v>
      </c>
      <c r="L143" s="1945">
        <v>0</v>
      </c>
      <c r="M143" s="1947">
        <v>0</v>
      </c>
      <c r="N143" s="1836" t="str">
        <f>+"Ln "&amp;A141&amp;" + Ln "&amp;A142</f>
        <v>Ln 13 + Ln 14</v>
      </c>
      <c r="Q143" s="1915">
        <f>+Q142+0.1</f>
        <v>14.1</v>
      </c>
      <c r="R143" s="1937" t="s">
        <v>1939</v>
      </c>
    </row>
    <row r="144" spans="1:24" ht="13.2" customHeight="1">
      <c r="A144" s="735">
        <f>+A142+1</f>
        <v>15</v>
      </c>
      <c r="B144" s="1384" t="s">
        <v>524</v>
      </c>
      <c r="C144" s="1822"/>
      <c r="D144" s="514">
        <f>+D141-D142+D143</f>
        <v>0</v>
      </c>
      <c r="E144" s="514">
        <f t="shared" ref="E144:M144" si="86">+E141-E142+E143</f>
        <v>622390742.00999999</v>
      </c>
      <c r="F144" s="1739">
        <f t="shared" si="86"/>
        <v>49385694.210000008</v>
      </c>
      <c r="G144" s="514">
        <f t="shared" si="86"/>
        <v>0</v>
      </c>
      <c r="H144" s="514">
        <f t="shared" si="86"/>
        <v>282053794.97499996</v>
      </c>
      <c r="I144" s="1823">
        <f t="shared" si="86"/>
        <v>-20244118.180000003</v>
      </c>
      <c r="J144" s="1739">
        <f t="shared" si="86"/>
        <v>28782088.943749987</v>
      </c>
      <c r="K144" s="514">
        <f t="shared" si="86"/>
        <v>0</v>
      </c>
      <c r="L144" s="514">
        <f t="shared" si="86"/>
        <v>384190322.13443893</v>
      </c>
      <c r="M144" s="1823">
        <f t="shared" si="86"/>
        <v>-11809069.717499999</v>
      </c>
      <c r="N144" s="1837"/>
      <c r="P144" s="1823">
        <f t="shared" ref="P144:X144" si="87">+P141-P142+P143</f>
        <v>312321036.21079195</v>
      </c>
      <c r="Q144" s="735">
        <f>+Q142+1</f>
        <v>15</v>
      </c>
      <c r="R144" s="514" t="s">
        <v>524</v>
      </c>
      <c r="T144" s="1823">
        <f t="shared" si="87"/>
        <v>98808422.790000021</v>
      </c>
      <c r="U144" s="1823">
        <f t="shared" si="87"/>
        <v>0</v>
      </c>
      <c r="V144" s="1823">
        <f t="shared" si="87"/>
        <v>254000848.680792</v>
      </c>
      <c r="W144" s="1823">
        <f t="shared" si="87"/>
        <v>-40488235.260000005</v>
      </c>
      <c r="X144" s="1823">
        <f t="shared" si="87"/>
        <v>312321036.21079195</v>
      </c>
    </row>
    <row r="145" spans="1:24" ht="13.2" customHeight="1">
      <c r="A145" s="735">
        <f t="shared" ref="A145:A146" si="88">+A144+1</f>
        <v>16</v>
      </c>
      <c r="B145" s="1329"/>
      <c r="C145" s="1330"/>
      <c r="D145" s="903"/>
      <c r="E145" s="903"/>
      <c r="F145" s="903"/>
      <c r="G145" s="903"/>
      <c r="H145" s="903"/>
      <c r="I145" s="903"/>
      <c r="J145" s="903"/>
      <c r="K145" s="903"/>
      <c r="L145" s="903"/>
      <c r="M145" s="903"/>
      <c r="N145" s="1319" t="s">
        <v>49</v>
      </c>
      <c r="Q145" s="735">
        <f t="shared" ref="Q145:Q146" si="89">+Q144+1</f>
        <v>16</v>
      </c>
    </row>
    <row r="146" spans="1:24" ht="13.2" customHeight="1">
      <c r="A146" s="735">
        <f t="shared" si="88"/>
        <v>17</v>
      </c>
      <c r="B146" s="1329" t="s">
        <v>1143</v>
      </c>
      <c r="C146" s="1582"/>
      <c r="D146" s="1444"/>
      <c r="E146" s="1445"/>
      <c r="F146" s="2382">
        <f>F29</f>
        <v>-1471037.99</v>
      </c>
      <c r="G146" s="2383"/>
      <c r="H146" s="2383"/>
      <c r="I146" s="2383"/>
      <c r="J146" s="2382">
        <f>J29</f>
        <v>-858105.62166666635</v>
      </c>
      <c r="K146" s="2383"/>
      <c r="L146" s="2383"/>
      <c r="M146" s="2383"/>
      <c r="N146" s="1838" t="s">
        <v>1</v>
      </c>
      <c r="Q146" s="735">
        <f t="shared" si="89"/>
        <v>17</v>
      </c>
      <c r="R146" s="1937" t="s">
        <v>1143</v>
      </c>
    </row>
    <row r="147" spans="1:24" ht="13.2" customHeight="1">
      <c r="A147" s="736">
        <f>+A146+0.01</f>
        <v>17.010000000000002</v>
      </c>
      <c r="B147" s="780" t="s">
        <v>1766</v>
      </c>
      <c r="C147" s="1899"/>
      <c r="D147" s="694">
        <v>0</v>
      </c>
      <c r="E147" s="694"/>
      <c r="F147" s="1446">
        <f t="shared" ref="F147:F150" si="90">+SUM(D147:E147)/2</f>
        <v>0</v>
      </c>
      <c r="G147" s="903"/>
      <c r="H147" s="903"/>
      <c r="I147" s="903"/>
      <c r="J147" s="1377">
        <f t="shared" ref="J147:J150" si="91">E147-$P147*$I$316</f>
        <v>2854.4880475173331</v>
      </c>
      <c r="K147" s="903"/>
      <c r="L147" s="903"/>
      <c r="M147" s="903"/>
      <c r="N147" s="1838" t="s">
        <v>1</v>
      </c>
      <c r="P147" s="1937">
        <v>-4029.8654788479998</v>
      </c>
      <c r="Q147" s="736">
        <f>+Q146+0.01</f>
        <v>17.010000000000002</v>
      </c>
      <c r="R147" s="1937" t="s">
        <v>1766</v>
      </c>
      <c r="T147" s="2227">
        <f t="shared" ref="T147:T153" si="92">IF(J147&lt;&gt;0,$P147,0)</f>
        <v>-4029.8654788479998</v>
      </c>
      <c r="U147" s="2227">
        <f t="shared" ref="U147:U153" si="93">IF(K147&lt;&gt;0,$P147,0)</f>
        <v>0</v>
      </c>
      <c r="V147" s="2227">
        <f t="shared" ref="V147:V153" si="94">IF(L147&lt;&gt;0,$P147,0)</f>
        <v>0</v>
      </c>
      <c r="W147" s="2227">
        <f t="shared" ref="W147:W153" si="95">IF(M147&lt;&gt;0,$P147,0)</f>
        <v>0</v>
      </c>
      <c r="X147" s="505">
        <f t="shared" ref="X147:X153" si="96">SUM(T147:W147)</f>
        <v>-4029.8654788479998</v>
      </c>
    </row>
    <row r="148" spans="1:24" ht="13.2" customHeight="1">
      <c r="A148" s="736">
        <f>+A147+0.01</f>
        <v>17.020000000000003</v>
      </c>
      <c r="B148" s="780" t="s">
        <v>1767</v>
      </c>
      <c r="C148" s="1899"/>
      <c r="D148" s="694">
        <v>0</v>
      </c>
      <c r="E148" s="694"/>
      <c r="F148" s="1446">
        <f t="shared" si="90"/>
        <v>0</v>
      </c>
      <c r="G148" s="903"/>
      <c r="H148" s="903"/>
      <c r="I148" s="903"/>
      <c r="J148" s="1377">
        <f t="shared" si="91"/>
        <v>-228.31262706666669</v>
      </c>
      <c r="K148" s="903"/>
      <c r="L148" s="903"/>
      <c r="M148" s="903"/>
      <c r="N148" s="1838" t="s">
        <v>1</v>
      </c>
      <c r="P148" s="1937">
        <v>322.32370880000002</v>
      </c>
      <c r="Q148" s="736">
        <f>+Q147+0.01</f>
        <v>17.020000000000003</v>
      </c>
      <c r="R148" s="1937" t="s">
        <v>1767</v>
      </c>
      <c r="T148" s="2227">
        <f t="shared" si="92"/>
        <v>322.32370880000002</v>
      </c>
      <c r="U148" s="2227">
        <f t="shared" si="93"/>
        <v>0</v>
      </c>
      <c r="V148" s="2227">
        <f t="shared" si="94"/>
        <v>0</v>
      </c>
      <c r="W148" s="2227">
        <f t="shared" si="95"/>
        <v>0</v>
      </c>
      <c r="X148" s="505">
        <f t="shared" si="96"/>
        <v>322.32370880000002</v>
      </c>
    </row>
    <row r="149" spans="1:24" ht="13.2" customHeight="1">
      <c r="A149" s="736">
        <f>+A148+0.01</f>
        <v>17.030000000000005</v>
      </c>
      <c r="B149" s="780" t="s">
        <v>1768</v>
      </c>
      <c r="C149" s="1899"/>
      <c r="D149" s="694">
        <v>0</v>
      </c>
      <c r="E149" s="694"/>
      <c r="F149" s="1446">
        <f t="shared" si="90"/>
        <v>0</v>
      </c>
      <c r="G149" s="903"/>
      <c r="H149" s="903"/>
      <c r="I149" s="903"/>
      <c r="J149" s="1377">
        <f t="shared" si="91"/>
        <v>456287.71146307222</v>
      </c>
      <c r="K149" s="903"/>
      <c r="L149" s="903"/>
      <c r="M149" s="903"/>
      <c r="N149" s="1838" t="s">
        <v>1</v>
      </c>
      <c r="O149" s="2225">
        <v>281123</v>
      </c>
      <c r="P149" s="2223">
        <v>-644170.88677139604</v>
      </c>
      <c r="Q149" s="736">
        <f>+Q148+0.01</f>
        <v>17.030000000000005</v>
      </c>
      <c r="R149" s="2223" t="s">
        <v>1768</v>
      </c>
      <c r="T149" s="2227">
        <f t="shared" si="92"/>
        <v>-644170.88677139604</v>
      </c>
      <c r="U149" s="2227">
        <f t="shared" si="93"/>
        <v>0</v>
      </c>
      <c r="V149" s="2227">
        <f t="shared" si="94"/>
        <v>0</v>
      </c>
      <c r="W149" s="2227">
        <f t="shared" si="95"/>
        <v>0</v>
      </c>
      <c r="X149" s="505">
        <f t="shared" si="96"/>
        <v>-644170.88677139604</v>
      </c>
    </row>
    <row r="150" spans="1:24" ht="13.2" customHeight="1">
      <c r="A150" s="736">
        <f>+A149+0.01</f>
        <v>17.040000000000006</v>
      </c>
      <c r="B150" s="780" t="s">
        <v>1769</v>
      </c>
      <c r="C150" s="1899"/>
      <c r="D150" s="694">
        <v>0</v>
      </c>
      <c r="E150" s="694"/>
      <c r="F150" s="1446">
        <f t="shared" si="90"/>
        <v>0</v>
      </c>
      <c r="G150" s="903"/>
      <c r="H150" s="903"/>
      <c r="I150" s="1320"/>
      <c r="J150" s="1377">
        <f t="shared" si="91"/>
        <v>-36496.562899550001</v>
      </c>
      <c r="K150" s="903"/>
      <c r="L150" s="903"/>
      <c r="M150" s="903"/>
      <c r="N150" s="1838" t="s">
        <v>197</v>
      </c>
      <c r="O150" s="2225">
        <v>281124</v>
      </c>
      <c r="P150" s="2223">
        <v>51524.559387599998</v>
      </c>
      <c r="Q150" s="736">
        <f>+Q149+0.01</f>
        <v>17.040000000000006</v>
      </c>
      <c r="R150" s="2223" t="s">
        <v>1769</v>
      </c>
      <c r="T150" s="2227">
        <f t="shared" si="92"/>
        <v>51524.559387599998</v>
      </c>
      <c r="U150" s="2227">
        <f t="shared" si="93"/>
        <v>0</v>
      </c>
      <c r="V150" s="2227">
        <f t="shared" si="94"/>
        <v>0</v>
      </c>
      <c r="W150" s="2227">
        <f t="shared" si="95"/>
        <v>0</v>
      </c>
      <c r="X150" s="505">
        <f t="shared" si="96"/>
        <v>51524.559387599998</v>
      </c>
    </row>
    <row r="151" spans="1:24" ht="13.2" customHeight="1">
      <c r="A151" s="1640">
        <f>+A150+0.01</f>
        <v>17.050000000000008</v>
      </c>
      <c r="B151" s="1634"/>
      <c r="C151" s="1634" t="s">
        <v>934</v>
      </c>
      <c r="D151" s="694">
        <v>0</v>
      </c>
      <c r="E151" s="694"/>
      <c r="F151" s="1643"/>
      <c r="G151" s="1644"/>
      <c r="H151" s="1644"/>
      <c r="I151" s="1645"/>
      <c r="J151" s="1644"/>
      <c r="K151" s="1644"/>
      <c r="L151" s="1644"/>
      <c r="M151" s="1644"/>
      <c r="N151" s="1838" t="s">
        <v>197</v>
      </c>
      <c r="Q151" s="1640">
        <f>+Q150+0.01</f>
        <v>17.050000000000008</v>
      </c>
      <c r="S151" s="496" t="s">
        <v>934</v>
      </c>
      <c r="T151" s="2227">
        <f t="shared" si="92"/>
        <v>0</v>
      </c>
      <c r="U151" s="2227">
        <f t="shared" si="93"/>
        <v>0</v>
      </c>
      <c r="V151" s="2227">
        <f t="shared" si="94"/>
        <v>0</v>
      </c>
      <c r="W151" s="2227">
        <f t="shared" si="95"/>
        <v>0</v>
      </c>
      <c r="X151" s="505">
        <f t="shared" si="96"/>
        <v>0</v>
      </c>
    </row>
    <row r="152" spans="1:24" ht="13.2" customHeight="1">
      <c r="A152" s="1639" t="s">
        <v>925</v>
      </c>
      <c r="B152" s="1634"/>
      <c r="C152" s="1634" t="s">
        <v>934</v>
      </c>
      <c r="D152" s="694">
        <v>0</v>
      </c>
      <c r="E152" s="694"/>
      <c r="F152" s="1643"/>
      <c r="G152" s="1644"/>
      <c r="H152" s="1644"/>
      <c r="I152" s="1645"/>
      <c r="J152" s="1644"/>
      <c r="K152" s="1644"/>
      <c r="L152" s="1644"/>
      <c r="M152" s="1644"/>
      <c r="N152" s="1838" t="s">
        <v>197</v>
      </c>
      <c r="Q152" s="1639" t="s">
        <v>925</v>
      </c>
      <c r="S152" s="496" t="s">
        <v>934</v>
      </c>
      <c r="T152" s="2227">
        <f t="shared" si="92"/>
        <v>0</v>
      </c>
      <c r="U152" s="2227">
        <f t="shared" si="93"/>
        <v>0</v>
      </c>
      <c r="V152" s="2227">
        <f t="shared" si="94"/>
        <v>0</v>
      </c>
      <c r="W152" s="2227">
        <f t="shared" si="95"/>
        <v>0</v>
      </c>
      <c r="X152" s="505">
        <f t="shared" si="96"/>
        <v>0</v>
      </c>
    </row>
    <row r="153" spans="1:24" ht="13.2" customHeight="1">
      <c r="A153" s="1640" t="str">
        <f>A146&amp;".XX"</f>
        <v>17.XX</v>
      </c>
      <c r="B153" s="1634"/>
      <c r="C153" s="1634" t="s">
        <v>934</v>
      </c>
      <c r="D153" s="695">
        <v>0</v>
      </c>
      <c r="E153" s="1642"/>
      <c r="F153" s="1641"/>
      <c r="G153" s="695"/>
      <c r="H153" s="695"/>
      <c r="I153" s="1642"/>
      <c r="J153" s="695"/>
      <c r="K153" s="695"/>
      <c r="L153" s="695"/>
      <c r="M153" s="695"/>
      <c r="N153" s="1838" t="s">
        <v>197</v>
      </c>
      <c r="Q153" s="1640" t="str">
        <f>Q146&amp;".XX"</f>
        <v>17.XX</v>
      </c>
      <c r="S153" s="496" t="s">
        <v>934</v>
      </c>
      <c r="T153" s="2227">
        <f t="shared" si="92"/>
        <v>0</v>
      </c>
      <c r="U153" s="2227">
        <f t="shared" si="93"/>
        <v>0</v>
      </c>
      <c r="V153" s="2227">
        <f t="shared" si="94"/>
        <v>0</v>
      </c>
      <c r="W153" s="2227">
        <f t="shared" si="95"/>
        <v>0</v>
      </c>
      <c r="X153" s="505">
        <f t="shared" si="96"/>
        <v>0</v>
      </c>
    </row>
    <row r="154" spans="1:24" ht="13.2" customHeight="1" thickBot="1">
      <c r="A154" s="735">
        <f>+A146+1</f>
        <v>18</v>
      </c>
      <c r="B154" s="1899"/>
      <c r="C154" s="1899"/>
      <c r="D154" s="1447"/>
      <c r="E154" s="903"/>
      <c r="F154" s="903"/>
      <c r="G154" s="903"/>
      <c r="H154" s="903"/>
      <c r="I154" s="1320"/>
      <c r="J154" s="903"/>
      <c r="K154" s="903"/>
      <c r="L154" s="903"/>
      <c r="M154" s="903"/>
      <c r="N154" s="1838" t="s">
        <v>2</v>
      </c>
      <c r="Q154" s="735">
        <f>+Q146+1</f>
        <v>18</v>
      </c>
    </row>
    <row r="155" spans="1:24" ht="13.2" customHeight="1" thickBot="1">
      <c r="A155" s="735">
        <f>+A154+1</f>
        <v>19</v>
      </c>
      <c r="B155" s="1325" t="s">
        <v>2316</v>
      </c>
      <c r="C155" s="1413"/>
      <c r="D155" s="1327">
        <f t="shared" ref="D155:J155" si="97">SUM(D147:D153)</f>
        <v>0</v>
      </c>
      <c r="E155" s="1327">
        <f t="shared" si="97"/>
        <v>0</v>
      </c>
      <c r="F155" s="1377">
        <f t="shared" si="97"/>
        <v>0</v>
      </c>
      <c r="G155" s="903">
        <f t="shared" si="97"/>
        <v>0</v>
      </c>
      <c r="H155" s="903">
        <f t="shared" si="97"/>
        <v>0</v>
      </c>
      <c r="I155" s="903">
        <f t="shared" si="97"/>
        <v>0</v>
      </c>
      <c r="J155" s="1377">
        <f t="shared" si="97"/>
        <v>422417.32398397289</v>
      </c>
      <c r="K155" s="903">
        <f t="shared" ref="K155:M155" si="98">SUM(K147:K153)</f>
        <v>0</v>
      </c>
      <c r="L155" s="903">
        <f t="shared" si="98"/>
        <v>0</v>
      </c>
      <c r="M155" s="903">
        <f t="shared" si="98"/>
        <v>0</v>
      </c>
      <c r="N155" s="1838" t="s">
        <v>2</v>
      </c>
      <c r="P155" s="1937">
        <f>SUM(P147:P154)</f>
        <v>-596353.86915384396</v>
      </c>
      <c r="Q155" s="735">
        <f>+Q154+1</f>
        <v>19</v>
      </c>
      <c r="R155" s="1937" t="s">
        <v>1137</v>
      </c>
      <c r="T155" s="1937">
        <f t="shared" ref="T155:X155" si="99">SUM(T147:T154)</f>
        <v>-596353.86915384396</v>
      </c>
      <c r="U155" s="1937">
        <f t="shared" si="99"/>
        <v>0</v>
      </c>
      <c r="V155" s="1937">
        <f t="shared" si="99"/>
        <v>0</v>
      </c>
      <c r="W155" s="1937">
        <f t="shared" si="99"/>
        <v>0</v>
      </c>
      <c r="X155" s="1937">
        <f t="shared" si="99"/>
        <v>-596353.86915384396</v>
      </c>
    </row>
    <row r="156" spans="1:24" ht="13.2" customHeight="1">
      <c r="A156" s="735">
        <f>+A155+1</f>
        <v>20</v>
      </c>
      <c r="B156" s="1899" t="s">
        <v>525</v>
      </c>
      <c r="C156" s="173"/>
      <c r="D156" s="903">
        <v>0</v>
      </c>
      <c r="E156" s="903">
        <v>0</v>
      </c>
      <c r="F156" s="1377">
        <f>SUM(G156:J156)</f>
        <v>0</v>
      </c>
      <c r="G156" s="903">
        <v>0</v>
      </c>
      <c r="H156" s="903">
        <v>0</v>
      </c>
      <c r="I156" s="903">
        <v>0</v>
      </c>
      <c r="J156" s="1377">
        <v>0</v>
      </c>
      <c r="K156" s="903">
        <v>0</v>
      </c>
      <c r="L156" s="903">
        <v>0</v>
      </c>
      <c r="M156" s="903">
        <v>0</v>
      </c>
      <c r="N156" s="1838" t="s">
        <v>2</v>
      </c>
      <c r="Q156" s="735">
        <f>+Q155+1</f>
        <v>20</v>
      </c>
      <c r="R156" s="1937" t="s">
        <v>525</v>
      </c>
    </row>
    <row r="157" spans="1:24" ht="13.2" customHeight="1">
      <c r="A157" s="1915">
        <f>+A156+0.1</f>
        <v>20.100000000000001</v>
      </c>
      <c r="B157" s="1384" t="s">
        <v>1984</v>
      </c>
      <c r="C157" s="1384"/>
      <c r="D157" s="1944">
        <v>0</v>
      </c>
      <c r="E157" s="1945">
        <v>0</v>
      </c>
      <c r="F157" s="1946">
        <v>0</v>
      </c>
      <c r="G157" s="1945">
        <v>0</v>
      </c>
      <c r="H157" s="1945">
        <v>0</v>
      </c>
      <c r="I157" s="1947">
        <v>0</v>
      </c>
      <c r="J157" s="1946">
        <v>0</v>
      </c>
      <c r="K157" s="1945">
        <v>0</v>
      </c>
      <c r="L157" s="1945">
        <v>0</v>
      </c>
      <c r="M157" s="1947">
        <v>0</v>
      </c>
      <c r="N157" s="1838" t="s">
        <v>2</v>
      </c>
      <c r="Q157" s="1915">
        <f>+Q156+0.1</f>
        <v>20.100000000000001</v>
      </c>
      <c r="R157" s="1937" t="s">
        <v>1984</v>
      </c>
    </row>
    <row r="158" spans="1:24" ht="13.2" customHeight="1">
      <c r="A158" s="735">
        <f>+A156+1</f>
        <v>21</v>
      </c>
      <c r="B158" s="1384" t="s">
        <v>1956</v>
      </c>
      <c r="C158" s="1822"/>
      <c r="D158" s="514">
        <f>+D155-D156+D157</f>
        <v>0</v>
      </c>
      <c r="E158" s="514">
        <f t="shared" ref="E158:M158" si="100">+E155-E156+E157</f>
        <v>0</v>
      </c>
      <c r="F158" s="1739">
        <f t="shared" si="100"/>
        <v>0</v>
      </c>
      <c r="G158" s="514">
        <f t="shared" si="100"/>
        <v>0</v>
      </c>
      <c r="H158" s="514">
        <f t="shared" si="100"/>
        <v>0</v>
      </c>
      <c r="I158" s="1823">
        <f t="shared" si="100"/>
        <v>0</v>
      </c>
      <c r="J158" s="1739">
        <f t="shared" si="100"/>
        <v>422417.32398397289</v>
      </c>
      <c r="K158" s="514">
        <f t="shared" si="100"/>
        <v>0</v>
      </c>
      <c r="L158" s="514">
        <f t="shared" si="100"/>
        <v>0</v>
      </c>
      <c r="M158" s="1823">
        <f t="shared" si="100"/>
        <v>0</v>
      </c>
      <c r="N158" s="1838" t="s">
        <v>197</v>
      </c>
      <c r="P158" s="514">
        <f t="shared" ref="P158" si="101">+P155-P156+P157</f>
        <v>-596353.86915384396</v>
      </c>
      <c r="Q158" s="735">
        <f>+Q156+1</f>
        <v>21</v>
      </c>
      <c r="R158" s="514" t="s">
        <v>1956</v>
      </c>
      <c r="T158" s="514">
        <f t="shared" ref="T158:X158" si="102">+T155-T156+T157</f>
        <v>-596353.86915384396</v>
      </c>
      <c r="U158" s="514">
        <f t="shared" si="102"/>
        <v>0</v>
      </c>
      <c r="V158" s="514">
        <f t="shared" si="102"/>
        <v>0</v>
      </c>
      <c r="W158" s="514">
        <f t="shared" si="102"/>
        <v>0</v>
      </c>
      <c r="X158" s="514">
        <f t="shared" si="102"/>
        <v>-596353.86915384396</v>
      </c>
    </row>
    <row r="159" spans="1:24" ht="13.2" customHeight="1">
      <c r="A159" s="735">
        <f>+A158+1</f>
        <v>22</v>
      </c>
      <c r="B159" s="1331"/>
      <c r="C159" s="1331"/>
      <c r="D159" s="1448"/>
      <c r="E159" s="1449"/>
      <c r="F159" s="1450"/>
      <c r="G159" s="1450"/>
      <c r="H159" s="1450"/>
      <c r="I159" s="1450"/>
      <c r="J159" s="903"/>
      <c r="K159" s="903"/>
      <c r="L159" s="1450"/>
      <c r="M159" s="1450"/>
      <c r="N159" s="1838" t="s">
        <v>197</v>
      </c>
      <c r="Q159" s="735">
        <f>+Q158+1</f>
        <v>22</v>
      </c>
    </row>
    <row r="160" spans="1:24" ht="13.2" customHeight="1">
      <c r="A160" s="735">
        <f>+A159+1</f>
        <v>23</v>
      </c>
      <c r="B160" s="1329" t="s">
        <v>776</v>
      </c>
      <c r="C160" s="911"/>
      <c r="D160" s="1435"/>
      <c r="E160" s="1451"/>
      <c r="F160" s="2377" t="str">
        <f>F8</f>
        <v>Average of BOY/EOY (Col (C+D)/2)</v>
      </c>
      <c r="G160" s="2377"/>
      <c r="H160" s="2377"/>
      <c r="I160" s="2377"/>
      <c r="J160" s="2377" t="str">
        <f>J8</f>
        <v>Col D - (Col M x  29.17%) [Note 1]</v>
      </c>
      <c r="K160" s="2377"/>
      <c r="L160" s="2377"/>
      <c r="M160" s="2377"/>
      <c r="N160" s="1838" t="s">
        <v>197</v>
      </c>
      <c r="Q160" s="735">
        <f>+Q159+1</f>
        <v>23</v>
      </c>
      <c r="R160" s="1937" t="s">
        <v>776</v>
      </c>
    </row>
    <row r="161" spans="1:24" ht="13.2" customHeight="1">
      <c r="A161" s="736">
        <f t="shared" ref="A161:A223" si="103">+A160+0.01</f>
        <v>23.01</v>
      </c>
      <c r="B161" s="173" t="s">
        <v>1770</v>
      </c>
      <c r="C161" s="534"/>
      <c r="D161" s="694">
        <v>0</v>
      </c>
      <c r="E161" s="1637">
        <v>3465635.39</v>
      </c>
      <c r="F161" s="887"/>
      <c r="H161" s="887">
        <f t="shared" ref="H161:H173" si="104">+SUM($D161:$E161)/2</f>
        <v>1732817.6950000001</v>
      </c>
      <c r="I161" s="1320"/>
      <c r="L161" s="887">
        <f t="shared" ref="L161:L164" si="105">E161-$P161*$I$316</f>
        <v>3465635.39</v>
      </c>
      <c r="M161" s="1320"/>
      <c r="N161" s="1838" t="s">
        <v>197</v>
      </c>
      <c r="O161" s="2229"/>
      <c r="P161" s="243"/>
      <c r="Q161" s="736">
        <f t="shared" ref="Q161:Q223" si="106">+Q160+0.01</f>
        <v>23.01</v>
      </c>
      <c r="R161" s="243" t="s">
        <v>1770</v>
      </c>
      <c r="T161" s="2227">
        <f t="shared" ref="T161:T224" si="107">IF(J161&lt;&gt;0,$P161,0)</f>
        <v>0</v>
      </c>
      <c r="U161" s="2227">
        <f t="shared" ref="U161:U224" si="108">IF(K161&lt;&gt;0,$P161,0)</f>
        <v>0</v>
      </c>
      <c r="V161" s="2227">
        <f t="shared" ref="V161:V224" si="109">IF(L161&lt;&gt;0,$P161,0)</f>
        <v>0</v>
      </c>
      <c r="W161" s="2227">
        <f t="shared" ref="W161:W224" si="110">IF(M161&lt;&gt;0,$P161,0)</f>
        <v>0</v>
      </c>
      <c r="X161" s="505">
        <f t="shared" ref="X161:X224" si="111">SUM(T161:W161)</f>
        <v>0</v>
      </c>
    </row>
    <row r="162" spans="1:24" ht="13.2" customHeight="1">
      <c r="A162" s="736">
        <f t="shared" si="103"/>
        <v>23.020000000000003</v>
      </c>
      <c r="B162" s="173" t="s">
        <v>1771</v>
      </c>
      <c r="C162" s="534"/>
      <c r="D162" s="694">
        <v>0</v>
      </c>
      <c r="E162" s="1637">
        <v>-277250.82</v>
      </c>
      <c r="F162" s="887"/>
      <c r="H162" s="887">
        <f t="shared" si="104"/>
        <v>-138625.41</v>
      </c>
      <c r="I162" s="1320"/>
      <c r="L162" s="887">
        <f t="shared" si="105"/>
        <v>-277250.82</v>
      </c>
      <c r="M162" s="1320"/>
      <c r="N162" s="1838" t="s">
        <v>1950</v>
      </c>
      <c r="O162" s="2229"/>
      <c r="P162" s="243"/>
      <c r="Q162" s="736">
        <f t="shared" si="106"/>
        <v>23.020000000000003</v>
      </c>
      <c r="R162" s="243" t="s">
        <v>1771</v>
      </c>
      <c r="T162" s="2227">
        <f t="shared" si="107"/>
        <v>0</v>
      </c>
      <c r="U162" s="2227">
        <f t="shared" si="108"/>
        <v>0</v>
      </c>
      <c r="V162" s="2227">
        <f t="shared" si="109"/>
        <v>0</v>
      </c>
      <c r="W162" s="2227">
        <f t="shared" si="110"/>
        <v>0</v>
      </c>
      <c r="X162" s="505">
        <f t="shared" si="111"/>
        <v>0</v>
      </c>
    </row>
    <row r="163" spans="1:24" ht="13.2" customHeight="1">
      <c r="A163" s="736">
        <f t="shared" si="103"/>
        <v>23.030000000000005</v>
      </c>
      <c r="B163" s="173" t="s">
        <v>1772</v>
      </c>
      <c r="C163" s="534"/>
      <c r="D163" s="694">
        <v>0</v>
      </c>
      <c r="E163" s="1637"/>
      <c r="F163" s="887"/>
      <c r="H163" s="887">
        <f t="shared" si="104"/>
        <v>0</v>
      </c>
      <c r="I163" s="1320"/>
      <c r="L163" s="887">
        <f t="shared" si="105"/>
        <v>0</v>
      </c>
      <c r="M163" s="1320"/>
      <c r="N163" s="1838" t="s">
        <v>1950</v>
      </c>
      <c r="Q163" s="736">
        <f t="shared" si="106"/>
        <v>23.030000000000005</v>
      </c>
      <c r="R163" s="1937" t="s">
        <v>1772</v>
      </c>
      <c r="T163" s="2227">
        <f t="shared" si="107"/>
        <v>0</v>
      </c>
      <c r="U163" s="2227">
        <f t="shared" si="108"/>
        <v>0</v>
      </c>
      <c r="V163" s="2227">
        <f t="shared" si="109"/>
        <v>0</v>
      </c>
      <c r="W163" s="2227">
        <f t="shared" si="110"/>
        <v>0</v>
      </c>
      <c r="X163" s="505">
        <f t="shared" si="111"/>
        <v>0</v>
      </c>
    </row>
    <row r="164" spans="1:24" ht="13.2" customHeight="1">
      <c r="A164" s="736">
        <f t="shared" si="103"/>
        <v>23.040000000000006</v>
      </c>
      <c r="B164" s="173" t="s">
        <v>1773</v>
      </c>
      <c r="C164" s="534"/>
      <c r="D164" s="694">
        <v>0</v>
      </c>
      <c r="E164" s="1637">
        <v>97404.58</v>
      </c>
      <c r="F164" s="887"/>
      <c r="H164" s="887">
        <f t="shared" si="104"/>
        <v>48702.29</v>
      </c>
      <c r="I164" s="1320"/>
      <c r="L164" s="887">
        <f t="shared" si="105"/>
        <v>28409.669166666659</v>
      </c>
      <c r="M164" s="1320"/>
      <c r="N164" s="1838" t="s">
        <v>2</v>
      </c>
      <c r="O164" s="2225">
        <v>282117</v>
      </c>
      <c r="P164" s="2223">
        <v>97404.58</v>
      </c>
      <c r="Q164" s="736">
        <f t="shared" si="106"/>
        <v>23.040000000000006</v>
      </c>
      <c r="R164" s="2223" t="s">
        <v>1773</v>
      </c>
      <c r="T164" s="2227">
        <f t="shared" si="107"/>
        <v>0</v>
      </c>
      <c r="U164" s="2227">
        <f t="shared" si="108"/>
        <v>0</v>
      </c>
      <c r="V164" s="2227">
        <f t="shared" si="109"/>
        <v>97404.58</v>
      </c>
      <c r="W164" s="2227">
        <f t="shared" si="110"/>
        <v>0</v>
      </c>
      <c r="X164" s="505">
        <f t="shared" si="111"/>
        <v>97404.58</v>
      </c>
    </row>
    <row r="165" spans="1:24" ht="13.2" customHeight="1">
      <c r="A165" s="736">
        <f t="shared" si="103"/>
        <v>23.050000000000008</v>
      </c>
      <c r="B165" s="173" t="s">
        <v>1774</v>
      </c>
      <c r="C165" s="534"/>
      <c r="D165" s="694">
        <v>0</v>
      </c>
      <c r="E165" s="694"/>
      <c r="F165" s="1377">
        <f t="shared" ref="F165:F166" si="112">+SUM(D165:E165)/2</f>
        <v>0</v>
      </c>
      <c r="G165" s="903"/>
      <c r="H165" s="903"/>
      <c r="I165" s="1320"/>
      <c r="J165" s="1377">
        <f t="shared" ref="J165:J166" si="113">E165-$P165*$I$316</f>
        <v>0</v>
      </c>
      <c r="K165" s="903"/>
      <c r="L165" s="903"/>
      <c r="M165" s="1320"/>
      <c r="N165" s="1838" t="s">
        <v>2</v>
      </c>
      <c r="O165" s="2225"/>
      <c r="P165" s="2223"/>
      <c r="Q165" s="736">
        <f t="shared" si="106"/>
        <v>23.050000000000008</v>
      </c>
      <c r="R165" s="2223" t="s">
        <v>1774</v>
      </c>
      <c r="T165" s="2227">
        <f t="shared" si="107"/>
        <v>0</v>
      </c>
      <c r="U165" s="2227">
        <f t="shared" si="108"/>
        <v>0</v>
      </c>
      <c r="V165" s="2227">
        <f t="shared" si="109"/>
        <v>0</v>
      </c>
      <c r="W165" s="2227">
        <f t="shared" si="110"/>
        <v>0</v>
      </c>
      <c r="X165" s="505">
        <f t="shared" si="111"/>
        <v>0</v>
      </c>
    </row>
    <row r="166" spans="1:24" ht="13.2" customHeight="1">
      <c r="A166" s="736">
        <f>+A165+0.01</f>
        <v>23.060000000000009</v>
      </c>
      <c r="B166" s="173" t="s">
        <v>1775</v>
      </c>
      <c r="C166" s="534"/>
      <c r="D166" s="694">
        <v>0</v>
      </c>
      <c r="E166" s="694"/>
      <c r="F166" s="1377">
        <f t="shared" si="112"/>
        <v>0</v>
      </c>
      <c r="G166" s="903"/>
      <c r="H166" s="903"/>
      <c r="I166" s="1320"/>
      <c r="J166" s="1377">
        <f t="shared" si="113"/>
        <v>0</v>
      </c>
      <c r="K166" s="903"/>
      <c r="L166" s="903"/>
      <c r="M166" s="1320"/>
      <c r="N166" s="1838" t="s">
        <v>191</v>
      </c>
      <c r="O166" s="2225"/>
      <c r="P166" s="2223"/>
      <c r="Q166" s="736">
        <f>+Q165+0.01</f>
        <v>23.060000000000009</v>
      </c>
      <c r="R166" s="2223" t="s">
        <v>1775</v>
      </c>
      <c r="T166" s="2227">
        <f t="shared" si="107"/>
        <v>0</v>
      </c>
      <c r="U166" s="2227">
        <f t="shared" si="108"/>
        <v>0</v>
      </c>
      <c r="V166" s="2227">
        <f t="shared" si="109"/>
        <v>0</v>
      </c>
      <c r="W166" s="2227">
        <f t="shared" si="110"/>
        <v>0</v>
      </c>
      <c r="X166" s="505">
        <f t="shared" si="111"/>
        <v>0</v>
      </c>
    </row>
    <row r="167" spans="1:24" ht="13.2" customHeight="1">
      <c r="A167" s="736">
        <f>+A166+0.01</f>
        <v>23.070000000000011</v>
      </c>
      <c r="B167" s="173" t="s">
        <v>1776</v>
      </c>
      <c r="C167" s="534"/>
      <c r="D167" s="694">
        <v>0</v>
      </c>
      <c r="E167" s="1637"/>
      <c r="F167" s="887"/>
      <c r="H167" s="887">
        <f t="shared" si="104"/>
        <v>0</v>
      </c>
      <c r="I167" s="1320"/>
      <c r="L167" s="887">
        <f t="shared" ref="L167:L173" si="114">E167-$P167*$I$316</f>
        <v>287765.43593260983</v>
      </c>
      <c r="M167" s="1320"/>
      <c r="N167" s="1838" t="s">
        <v>191</v>
      </c>
      <c r="O167" s="2225">
        <v>282151</v>
      </c>
      <c r="P167" s="2223">
        <v>-406257.08602250798</v>
      </c>
      <c r="Q167" s="736">
        <f>+Q166+0.01</f>
        <v>23.070000000000011</v>
      </c>
      <c r="R167" s="2223" t="s">
        <v>1776</v>
      </c>
      <c r="T167" s="2227">
        <f t="shared" si="107"/>
        <v>0</v>
      </c>
      <c r="U167" s="2227">
        <f t="shared" si="108"/>
        <v>0</v>
      </c>
      <c r="V167" s="2227">
        <f t="shared" si="109"/>
        <v>-406257.08602250798</v>
      </c>
      <c r="W167" s="2227">
        <f t="shared" si="110"/>
        <v>0</v>
      </c>
      <c r="X167" s="505">
        <f t="shared" si="111"/>
        <v>-406257.08602250798</v>
      </c>
    </row>
    <row r="168" spans="1:24" ht="13.2" customHeight="1">
      <c r="A168" s="736">
        <f t="shared" si="103"/>
        <v>23.080000000000013</v>
      </c>
      <c r="B168" s="173" t="s">
        <v>1777</v>
      </c>
      <c r="C168" s="534"/>
      <c r="D168" s="694">
        <v>0</v>
      </c>
      <c r="E168" s="1637"/>
      <c r="F168" s="887"/>
      <c r="H168" s="887">
        <f t="shared" si="104"/>
        <v>0</v>
      </c>
      <c r="I168" s="1320"/>
      <c r="L168" s="887">
        <f t="shared" si="114"/>
        <v>-16492.556484650002</v>
      </c>
      <c r="M168" s="1320"/>
      <c r="N168" s="1838" t="s">
        <v>2</v>
      </c>
      <c r="O168" s="2225">
        <v>282152</v>
      </c>
      <c r="P168" s="2223">
        <v>23283.6091548</v>
      </c>
      <c r="Q168" s="736">
        <f t="shared" si="106"/>
        <v>23.080000000000013</v>
      </c>
      <c r="R168" s="2223" t="s">
        <v>1777</v>
      </c>
      <c r="T168" s="2227">
        <f t="shared" si="107"/>
        <v>0</v>
      </c>
      <c r="U168" s="2227">
        <f t="shared" si="108"/>
        <v>0</v>
      </c>
      <c r="V168" s="2227">
        <f t="shared" si="109"/>
        <v>23283.6091548</v>
      </c>
      <c r="W168" s="2227">
        <f t="shared" si="110"/>
        <v>0</v>
      </c>
      <c r="X168" s="505">
        <f t="shared" si="111"/>
        <v>23283.6091548</v>
      </c>
    </row>
    <row r="169" spans="1:24" ht="13.2" customHeight="1">
      <c r="A169" s="736">
        <f t="shared" si="103"/>
        <v>23.090000000000014</v>
      </c>
      <c r="B169" s="173" t="s">
        <v>1778</v>
      </c>
      <c r="C169" s="534"/>
      <c r="D169" s="694">
        <v>0</v>
      </c>
      <c r="E169" s="1637"/>
      <c r="F169" s="887"/>
      <c r="H169" s="887">
        <f t="shared" si="104"/>
        <v>0</v>
      </c>
      <c r="I169" s="1320"/>
      <c r="L169" s="887">
        <f t="shared" si="114"/>
        <v>426365.32872364961</v>
      </c>
      <c r="M169" s="1320"/>
      <c r="N169" s="1838" t="s">
        <v>2</v>
      </c>
      <c r="O169" s="2225">
        <v>282161</v>
      </c>
      <c r="P169" s="2223">
        <v>-601927.52290397591</v>
      </c>
      <c r="Q169" s="736">
        <f t="shared" si="106"/>
        <v>23.090000000000014</v>
      </c>
      <c r="R169" s="2223" t="s">
        <v>1778</v>
      </c>
      <c r="T169" s="2227">
        <f t="shared" si="107"/>
        <v>0</v>
      </c>
      <c r="U169" s="2227">
        <f t="shared" si="108"/>
        <v>0</v>
      </c>
      <c r="V169" s="2227">
        <f t="shared" si="109"/>
        <v>-601927.52290397591</v>
      </c>
      <c r="W169" s="2227">
        <f t="shared" si="110"/>
        <v>0</v>
      </c>
      <c r="X169" s="505">
        <f t="shared" si="111"/>
        <v>-601927.52290397591</v>
      </c>
    </row>
    <row r="170" spans="1:24" ht="13.2" customHeight="1">
      <c r="A170" s="736">
        <f t="shared" si="103"/>
        <v>23.100000000000016</v>
      </c>
      <c r="B170" s="173" t="s">
        <v>1779</v>
      </c>
      <c r="C170" s="534"/>
      <c r="D170" s="694">
        <v>0</v>
      </c>
      <c r="E170" s="1637"/>
      <c r="F170" s="887"/>
      <c r="H170" s="887">
        <f t="shared" si="104"/>
        <v>0</v>
      </c>
      <c r="I170" s="1320"/>
      <c r="L170" s="887">
        <f t="shared" si="114"/>
        <v>-22375.553485633332</v>
      </c>
      <c r="M170" s="1320"/>
      <c r="N170" s="1838" t="s">
        <v>197</v>
      </c>
      <c r="O170" s="2225">
        <v>282162</v>
      </c>
      <c r="P170" s="2223">
        <v>31589.0166856</v>
      </c>
      <c r="Q170" s="736">
        <f t="shared" si="106"/>
        <v>23.100000000000016</v>
      </c>
      <c r="R170" s="2223" t="s">
        <v>1779</v>
      </c>
      <c r="T170" s="2227">
        <f t="shared" si="107"/>
        <v>0</v>
      </c>
      <c r="U170" s="2227">
        <f t="shared" si="108"/>
        <v>0</v>
      </c>
      <c r="V170" s="2227">
        <f t="shared" si="109"/>
        <v>31589.0166856</v>
      </c>
      <c r="W170" s="2227">
        <f t="shared" si="110"/>
        <v>0</v>
      </c>
      <c r="X170" s="505">
        <f t="shared" si="111"/>
        <v>31589.0166856</v>
      </c>
    </row>
    <row r="171" spans="1:24" ht="13.2" customHeight="1">
      <c r="A171" s="736">
        <f t="shared" si="103"/>
        <v>23.110000000000017</v>
      </c>
      <c r="B171" s="173" t="s">
        <v>1780</v>
      </c>
      <c r="C171" s="534"/>
      <c r="D171" s="694">
        <v>0</v>
      </c>
      <c r="E171" s="1637">
        <v>-5402338.46</v>
      </c>
      <c r="F171" s="887"/>
      <c r="H171" s="887">
        <f t="shared" si="104"/>
        <v>-2701169.23</v>
      </c>
      <c r="I171" s="1320"/>
      <c r="L171" s="887">
        <f t="shared" si="114"/>
        <v>15129059.045107011</v>
      </c>
      <c r="M171" s="1320"/>
      <c r="N171" s="1838" t="s">
        <v>197</v>
      </c>
      <c r="O171" s="2225">
        <v>282171</v>
      </c>
      <c r="P171" s="2223">
        <v>-28985502.360151075</v>
      </c>
      <c r="Q171" s="736">
        <f t="shared" si="106"/>
        <v>23.110000000000017</v>
      </c>
      <c r="R171" s="2223" t="s">
        <v>1780</v>
      </c>
      <c r="T171" s="2227">
        <f t="shared" si="107"/>
        <v>0</v>
      </c>
      <c r="U171" s="2227">
        <f t="shared" si="108"/>
        <v>0</v>
      </c>
      <c r="V171" s="2227">
        <f t="shared" si="109"/>
        <v>-28985502.360151075</v>
      </c>
      <c r="W171" s="2227">
        <f t="shared" si="110"/>
        <v>0</v>
      </c>
      <c r="X171" s="505">
        <f t="shared" si="111"/>
        <v>-28985502.360151075</v>
      </c>
    </row>
    <row r="172" spans="1:24" ht="13.2" customHeight="1">
      <c r="A172" s="736">
        <f t="shared" si="103"/>
        <v>23.120000000000019</v>
      </c>
      <c r="B172" s="173" t="s">
        <v>1781</v>
      </c>
      <c r="C172" s="534"/>
      <c r="D172" s="694">
        <v>0</v>
      </c>
      <c r="E172" s="1637">
        <v>432187.07</v>
      </c>
      <c r="F172" s="887"/>
      <c r="H172" s="887">
        <f t="shared" si="104"/>
        <v>216093.535</v>
      </c>
      <c r="I172" s="1320"/>
      <c r="L172" s="887">
        <f t="shared" si="114"/>
        <v>-1204707.9075624833</v>
      </c>
      <c r="M172" s="1320"/>
      <c r="N172" s="1838" t="s">
        <v>3</v>
      </c>
      <c r="O172" s="2225">
        <v>282172</v>
      </c>
      <c r="P172" s="2223">
        <v>2310910.5565587999</v>
      </c>
      <c r="Q172" s="736">
        <f t="shared" si="106"/>
        <v>23.120000000000019</v>
      </c>
      <c r="R172" s="2223" t="s">
        <v>1781</v>
      </c>
      <c r="T172" s="2227">
        <f t="shared" si="107"/>
        <v>0</v>
      </c>
      <c r="U172" s="2227">
        <f t="shared" si="108"/>
        <v>0</v>
      </c>
      <c r="V172" s="2227">
        <f t="shared" si="109"/>
        <v>2310910.5565587999</v>
      </c>
      <c r="W172" s="2227">
        <f t="shared" si="110"/>
        <v>0</v>
      </c>
      <c r="X172" s="505">
        <f t="shared" si="111"/>
        <v>2310910.5565587999</v>
      </c>
    </row>
    <row r="173" spans="1:24" ht="13.2" customHeight="1">
      <c r="A173" s="736">
        <f t="shared" si="103"/>
        <v>23.13000000000002</v>
      </c>
      <c r="B173" s="173" t="s">
        <v>1782</v>
      </c>
      <c r="C173" s="534"/>
      <c r="D173" s="694">
        <v>0</v>
      </c>
      <c r="E173" s="1637"/>
      <c r="F173" s="887"/>
      <c r="H173" s="887">
        <f t="shared" si="104"/>
        <v>0</v>
      </c>
      <c r="I173" s="1320"/>
      <c r="L173" s="887">
        <f t="shared" si="114"/>
        <v>148203.06541383368</v>
      </c>
      <c r="M173" s="1320"/>
      <c r="N173" s="1838" t="s">
        <v>3</v>
      </c>
      <c r="O173" s="2225">
        <v>282185</v>
      </c>
      <c r="P173" s="2223">
        <v>-209227.85705482401</v>
      </c>
      <c r="Q173" s="736">
        <f t="shared" si="106"/>
        <v>23.13000000000002</v>
      </c>
      <c r="R173" s="2223" t="s">
        <v>1782</v>
      </c>
      <c r="T173" s="2227">
        <f t="shared" si="107"/>
        <v>0</v>
      </c>
      <c r="U173" s="2227">
        <f t="shared" si="108"/>
        <v>0</v>
      </c>
      <c r="V173" s="2227">
        <f t="shared" si="109"/>
        <v>-209227.85705482401</v>
      </c>
      <c r="W173" s="2227">
        <f t="shared" si="110"/>
        <v>0</v>
      </c>
      <c r="X173" s="505">
        <f t="shared" si="111"/>
        <v>-209227.85705482401</v>
      </c>
    </row>
    <row r="174" spans="1:24" ht="13.2" customHeight="1">
      <c r="A174" s="736">
        <f t="shared" si="103"/>
        <v>23.140000000000022</v>
      </c>
      <c r="B174" s="173" t="s">
        <v>1783</v>
      </c>
      <c r="C174" s="534"/>
      <c r="D174" s="694">
        <v>0</v>
      </c>
      <c r="E174" s="1637"/>
      <c r="F174" s="887">
        <f t="shared" ref="F174:F178" si="115">+SUM($D174:$E174)/2</f>
        <v>0</v>
      </c>
      <c r="I174" s="1320"/>
      <c r="J174" s="1377">
        <f t="shared" ref="J174:J178" si="116">E174-$P174*$I$316</f>
        <v>0</v>
      </c>
      <c r="M174" s="1320"/>
      <c r="N174" s="1838" t="s">
        <v>197</v>
      </c>
      <c r="Q174" s="736">
        <f t="shared" si="106"/>
        <v>23.140000000000022</v>
      </c>
      <c r="R174" s="1937" t="s">
        <v>1783</v>
      </c>
      <c r="T174" s="2227">
        <f t="shared" si="107"/>
        <v>0</v>
      </c>
      <c r="U174" s="2227">
        <f t="shared" si="108"/>
        <v>0</v>
      </c>
      <c r="V174" s="2227">
        <f t="shared" si="109"/>
        <v>0</v>
      </c>
      <c r="W174" s="2227">
        <f t="shared" si="110"/>
        <v>0</v>
      </c>
      <c r="X174" s="505">
        <f t="shared" si="111"/>
        <v>0</v>
      </c>
    </row>
    <row r="175" spans="1:24" ht="13.2" customHeight="1">
      <c r="A175" s="736">
        <f t="shared" si="103"/>
        <v>23.150000000000023</v>
      </c>
      <c r="B175" s="173" t="s">
        <v>1784</v>
      </c>
      <c r="C175" s="534"/>
      <c r="D175" s="694">
        <v>0</v>
      </c>
      <c r="E175" s="1637"/>
      <c r="F175" s="887">
        <f t="shared" si="115"/>
        <v>0</v>
      </c>
      <c r="I175" s="1320"/>
      <c r="J175" s="1377">
        <f t="shared" si="116"/>
        <v>0</v>
      </c>
      <c r="M175" s="1320"/>
      <c r="N175" s="1838" t="s">
        <v>197</v>
      </c>
      <c r="Q175" s="736">
        <f t="shared" si="106"/>
        <v>23.150000000000023</v>
      </c>
      <c r="R175" s="1937" t="s">
        <v>1784</v>
      </c>
      <c r="T175" s="2227">
        <f t="shared" si="107"/>
        <v>0</v>
      </c>
      <c r="U175" s="2227">
        <f t="shared" si="108"/>
        <v>0</v>
      </c>
      <c r="V175" s="2227">
        <f t="shared" si="109"/>
        <v>0</v>
      </c>
      <c r="W175" s="2227">
        <f t="shared" si="110"/>
        <v>0</v>
      </c>
      <c r="X175" s="505">
        <f t="shared" si="111"/>
        <v>0</v>
      </c>
    </row>
    <row r="176" spans="1:24" ht="13.2" customHeight="1">
      <c r="A176" s="736">
        <f t="shared" si="103"/>
        <v>23.160000000000025</v>
      </c>
      <c r="B176" s="173" t="s">
        <v>1785</v>
      </c>
      <c r="C176" s="534"/>
      <c r="D176" s="694">
        <v>0</v>
      </c>
      <c r="E176" s="1637"/>
      <c r="F176" s="887">
        <f t="shared" si="115"/>
        <v>0</v>
      </c>
      <c r="I176" s="1320"/>
      <c r="J176" s="1377">
        <f t="shared" si="116"/>
        <v>0</v>
      </c>
      <c r="M176" s="1320"/>
      <c r="N176" s="1838" t="s">
        <v>2</v>
      </c>
      <c r="Q176" s="736">
        <f t="shared" si="106"/>
        <v>23.160000000000025</v>
      </c>
      <c r="R176" s="1937" t="s">
        <v>1785</v>
      </c>
      <c r="T176" s="2227">
        <f t="shared" si="107"/>
        <v>0</v>
      </c>
      <c r="U176" s="2227">
        <f t="shared" si="108"/>
        <v>0</v>
      </c>
      <c r="V176" s="2227">
        <f t="shared" si="109"/>
        <v>0</v>
      </c>
      <c r="W176" s="2227">
        <f t="shared" si="110"/>
        <v>0</v>
      </c>
      <c r="X176" s="505">
        <f t="shared" si="111"/>
        <v>0</v>
      </c>
    </row>
    <row r="177" spans="1:24" ht="13.2" customHeight="1">
      <c r="A177" s="736">
        <f t="shared" si="103"/>
        <v>23.170000000000027</v>
      </c>
      <c r="B177" s="173" t="s">
        <v>1786</v>
      </c>
      <c r="C177" s="534"/>
      <c r="D177" s="694">
        <v>0</v>
      </c>
      <c r="E177" s="1637">
        <v>-11765167.59</v>
      </c>
      <c r="F177" s="887">
        <f t="shared" si="115"/>
        <v>-5882583.7949999999</v>
      </c>
      <c r="I177" s="1320"/>
      <c r="J177" s="1377">
        <f t="shared" si="116"/>
        <v>-12128178.506666666</v>
      </c>
      <c r="M177" s="1320"/>
      <c r="N177" s="1838" t="s">
        <v>2</v>
      </c>
      <c r="O177" s="2225">
        <v>282211</v>
      </c>
      <c r="P177" s="2223">
        <v>512486</v>
      </c>
      <c r="Q177" s="736">
        <f t="shared" si="106"/>
        <v>23.170000000000027</v>
      </c>
      <c r="R177" s="2223" t="s">
        <v>1786</v>
      </c>
      <c r="T177" s="2227">
        <f t="shared" si="107"/>
        <v>512486</v>
      </c>
      <c r="U177" s="2227">
        <f t="shared" si="108"/>
        <v>0</v>
      </c>
      <c r="V177" s="2227">
        <f t="shared" si="109"/>
        <v>0</v>
      </c>
      <c r="W177" s="2227">
        <f t="shared" si="110"/>
        <v>0</v>
      </c>
      <c r="X177" s="505">
        <f t="shared" si="111"/>
        <v>512486</v>
      </c>
    </row>
    <row r="178" spans="1:24" ht="13.2" customHeight="1">
      <c r="A178" s="736">
        <f t="shared" si="103"/>
        <v>23.180000000000028</v>
      </c>
      <c r="B178" s="173" t="s">
        <v>1787</v>
      </c>
      <c r="C178" s="534"/>
      <c r="D178" s="694">
        <v>0</v>
      </c>
      <c r="E178" s="1637">
        <v>941213.47</v>
      </c>
      <c r="F178" s="887">
        <f t="shared" si="115"/>
        <v>470606.73499999999</v>
      </c>
      <c r="I178" s="1320"/>
      <c r="J178" s="1377">
        <f t="shared" si="116"/>
        <v>970255.41999999993</v>
      </c>
      <c r="M178" s="1320"/>
      <c r="N178" s="1838" t="s">
        <v>2</v>
      </c>
      <c r="O178" s="2225">
        <v>282212</v>
      </c>
      <c r="P178" s="2223">
        <v>-41000.400000000001</v>
      </c>
      <c r="Q178" s="736">
        <f t="shared" si="106"/>
        <v>23.180000000000028</v>
      </c>
      <c r="R178" s="2223" t="s">
        <v>1787</v>
      </c>
      <c r="T178" s="2227">
        <f t="shared" si="107"/>
        <v>-41000.400000000001</v>
      </c>
      <c r="U178" s="2227">
        <f t="shared" si="108"/>
        <v>0</v>
      </c>
      <c r="V178" s="2227">
        <f t="shared" si="109"/>
        <v>0</v>
      </c>
      <c r="W178" s="2227">
        <f t="shared" si="110"/>
        <v>0</v>
      </c>
      <c r="X178" s="505">
        <f t="shared" si="111"/>
        <v>-41000.400000000001</v>
      </c>
    </row>
    <row r="179" spans="1:24" ht="13.2" customHeight="1">
      <c r="A179" s="736">
        <f t="shared" si="103"/>
        <v>23.19000000000003</v>
      </c>
      <c r="B179" s="173" t="s">
        <v>1788</v>
      </c>
      <c r="C179" s="534"/>
      <c r="D179" s="694">
        <v>0</v>
      </c>
      <c r="E179" s="1637"/>
      <c r="F179" s="887"/>
      <c r="I179" s="1320">
        <f t="shared" ref="I179:I180" si="117">+SUM($D179:$E179)/2</f>
        <v>0</v>
      </c>
      <c r="M179" s="1320">
        <f>-$P179*$I$316</f>
        <v>0</v>
      </c>
      <c r="N179" s="1838" t="s">
        <v>2</v>
      </c>
      <c r="O179" s="2225">
        <v>282221</v>
      </c>
      <c r="P179" s="2223">
        <v>0</v>
      </c>
      <c r="Q179" s="736">
        <f t="shared" si="106"/>
        <v>23.19000000000003</v>
      </c>
      <c r="R179" s="2223" t="s">
        <v>1788</v>
      </c>
      <c r="T179" s="2227">
        <f t="shared" si="107"/>
        <v>0</v>
      </c>
      <c r="U179" s="2227">
        <f t="shared" si="108"/>
        <v>0</v>
      </c>
      <c r="V179" s="2227">
        <f t="shared" si="109"/>
        <v>0</v>
      </c>
      <c r="W179" s="2227">
        <f t="shared" si="110"/>
        <v>0</v>
      </c>
      <c r="X179" s="505">
        <f t="shared" si="111"/>
        <v>0</v>
      </c>
    </row>
    <row r="180" spans="1:24" ht="13.2" customHeight="1">
      <c r="A180" s="736">
        <f t="shared" si="103"/>
        <v>23.200000000000031</v>
      </c>
      <c r="B180" s="173" t="s">
        <v>1789</v>
      </c>
      <c r="C180" s="534"/>
      <c r="D180" s="694">
        <v>0</v>
      </c>
      <c r="E180" s="1637"/>
      <c r="F180" s="887"/>
      <c r="I180" s="1320">
        <f t="shared" si="117"/>
        <v>0</v>
      </c>
      <c r="M180" s="1320">
        <f>-$P180*$I$316</f>
        <v>0</v>
      </c>
      <c r="N180" s="1838" t="s">
        <v>197</v>
      </c>
      <c r="O180" s="2225">
        <v>282222</v>
      </c>
      <c r="P180" s="2223">
        <v>0</v>
      </c>
      <c r="Q180" s="736">
        <f t="shared" si="106"/>
        <v>23.200000000000031</v>
      </c>
      <c r="R180" s="2223" t="s">
        <v>1789</v>
      </c>
      <c r="T180" s="2227">
        <f t="shared" si="107"/>
        <v>0</v>
      </c>
      <c r="U180" s="2227">
        <f t="shared" si="108"/>
        <v>0</v>
      </c>
      <c r="V180" s="2227">
        <f t="shared" si="109"/>
        <v>0</v>
      </c>
      <c r="W180" s="2227">
        <f t="shared" si="110"/>
        <v>0</v>
      </c>
      <c r="X180" s="505">
        <f t="shared" si="111"/>
        <v>0</v>
      </c>
    </row>
    <row r="181" spans="1:24" ht="13.2" customHeight="1">
      <c r="A181" s="736">
        <f t="shared" si="103"/>
        <v>23.210000000000033</v>
      </c>
      <c r="B181" s="173" t="s">
        <v>1790</v>
      </c>
      <c r="C181" s="534"/>
      <c r="D181" s="694">
        <v>0</v>
      </c>
      <c r="E181" s="1637">
        <v>-1007.03</v>
      </c>
      <c r="F181" s="887"/>
      <c r="H181" s="887">
        <f t="shared" ref="H181:H182" si="118">+SUM($D181:$E181)/2</f>
        <v>-503.51499999999999</v>
      </c>
      <c r="I181" s="1320"/>
      <c r="L181" s="887">
        <f t="shared" ref="L181:L182" si="119">E181-$P181*$I$316</f>
        <v>17012101.197696041</v>
      </c>
      <c r="M181" s="1320"/>
      <c r="N181" s="1838" t="s">
        <v>197</v>
      </c>
      <c r="O181" s="2225">
        <v>282223</v>
      </c>
      <c r="P181" s="2223">
        <v>-24018505.73321794</v>
      </c>
      <c r="Q181" s="736">
        <f t="shared" si="106"/>
        <v>23.210000000000033</v>
      </c>
      <c r="R181" s="2223" t="s">
        <v>1790</v>
      </c>
      <c r="T181" s="2227">
        <f t="shared" si="107"/>
        <v>0</v>
      </c>
      <c r="U181" s="2227">
        <f t="shared" si="108"/>
        <v>0</v>
      </c>
      <c r="V181" s="2227">
        <f t="shared" si="109"/>
        <v>-24018505.73321794</v>
      </c>
      <c r="W181" s="2227">
        <f t="shared" si="110"/>
        <v>0</v>
      </c>
      <c r="X181" s="505">
        <f t="shared" si="111"/>
        <v>-24018505.73321794</v>
      </c>
    </row>
    <row r="182" spans="1:24" ht="13.2" customHeight="1">
      <c r="A182" s="736">
        <f t="shared" si="103"/>
        <v>23.220000000000034</v>
      </c>
      <c r="B182" s="173" t="s">
        <v>1791</v>
      </c>
      <c r="C182" s="534"/>
      <c r="D182" s="694">
        <v>0</v>
      </c>
      <c r="E182" s="1637">
        <v>80.559999999999988</v>
      </c>
      <c r="F182" s="887"/>
      <c r="H182" s="887">
        <f t="shared" si="118"/>
        <v>40.279999999999994</v>
      </c>
      <c r="I182" s="1320"/>
      <c r="L182" s="887">
        <f t="shared" si="119"/>
        <v>-1360708.3692470335</v>
      </c>
      <c r="M182" s="1320"/>
      <c r="N182" s="1838" t="s">
        <v>197</v>
      </c>
      <c r="O182" s="2225">
        <v>282224</v>
      </c>
      <c r="P182" s="2223">
        <v>1921113.7824664002</v>
      </c>
      <c r="Q182" s="736">
        <f t="shared" si="106"/>
        <v>23.220000000000034</v>
      </c>
      <c r="R182" s="2223" t="s">
        <v>1791</v>
      </c>
      <c r="T182" s="2227">
        <f t="shared" si="107"/>
        <v>0</v>
      </c>
      <c r="U182" s="2227">
        <f t="shared" si="108"/>
        <v>0</v>
      </c>
      <c r="V182" s="2227">
        <f t="shared" si="109"/>
        <v>1921113.7824664002</v>
      </c>
      <c r="W182" s="2227">
        <f t="shared" si="110"/>
        <v>0</v>
      </c>
      <c r="X182" s="505">
        <f t="shared" si="111"/>
        <v>1921113.7824664002</v>
      </c>
    </row>
    <row r="183" spans="1:24" ht="13.2" customHeight="1">
      <c r="A183" s="736">
        <f t="shared" si="103"/>
        <v>23.230000000000036</v>
      </c>
      <c r="B183" s="173" t="s">
        <v>1792</v>
      </c>
      <c r="C183" s="534"/>
      <c r="D183" s="694">
        <v>0</v>
      </c>
      <c r="E183" s="1637">
        <v>-497367.03</v>
      </c>
      <c r="F183" s="887">
        <f t="shared" ref="F183:F184" si="120">+SUM($D183:$E183)/2</f>
        <v>-248683.51500000001</v>
      </c>
      <c r="I183" s="1320"/>
      <c r="J183" s="1377">
        <f t="shared" ref="J183:J184" si="121">E183-$P183*$I$316</f>
        <v>-1072700.155</v>
      </c>
      <c r="M183" s="1320"/>
      <c r="N183" s="1838" t="s">
        <v>197</v>
      </c>
      <c r="O183" s="2225">
        <v>282241</v>
      </c>
      <c r="P183" s="2223">
        <v>812235</v>
      </c>
      <c r="Q183" s="736">
        <f t="shared" si="106"/>
        <v>23.230000000000036</v>
      </c>
      <c r="R183" s="2223" t="s">
        <v>1792</v>
      </c>
      <c r="T183" s="2227">
        <f t="shared" si="107"/>
        <v>812235</v>
      </c>
      <c r="U183" s="2227">
        <f t="shared" si="108"/>
        <v>0</v>
      </c>
      <c r="V183" s="2227">
        <f t="shared" si="109"/>
        <v>0</v>
      </c>
      <c r="W183" s="2227">
        <f t="shared" si="110"/>
        <v>0</v>
      </c>
      <c r="X183" s="505">
        <f t="shared" si="111"/>
        <v>812235</v>
      </c>
    </row>
    <row r="184" spans="1:24" ht="13.2" customHeight="1">
      <c r="A184" s="736">
        <f t="shared" si="103"/>
        <v>23.240000000000038</v>
      </c>
      <c r="B184" s="173" t="s">
        <v>1793</v>
      </c>
      <c r="C184" s="534"/>
      <c r="D184" s="694">
        <v>0</v>
      </c>
      <c r="E184" s="1637">
        <v>39789.360000000001</v>
      </c>
      <c r="F184" s="887">
        <f t="shared" si="120"/>
        <v>19894.68</v>
      </c>
      <c r="I184" s="1320"/>
      <c r="J184" s="1377">
        <f t="shared" si="121"/>
        <v>79825.776666666672</v>
      </c>
      <c r="M184" s="1320"/>
      <c r="N184" s="1838" t="s">
        <v>2</v>
      </c>
      <c r="O184" s="2225">
        <v>282242</v>
      </c>
      <c r="P184" s="2223">
        <v>-56522</v>
      </c>
      <c r="Q184" s="736">
        <f t="shared" si="106"/>
        <v>23.240000000000038</v>
      </c>
      <c r="R184" s="2223" t="s">
        <v>1793</v>
      </c>
      <c r="T184" s="2227">
        <f t="shared" si="107"/>
        <v>-56522</v>
      </c>
      <c r="U184" s="2227">
        <f t="shared" si="108"/>
        <v>0</v>
      </c>
      <c r="V184" s="2227">
        <f t="shared" si="109"/>
        <v>0</v>
      </c>
      <c r="W184" s="2227">
        <f t="shared" si="110"/>
        <v>0</v>
      </c>
      <c r="X184" s="505">
        <f t="shared" si="111"/>
        <v>-56522</v>
      </c>
    </row>
    <row r="185" spans="1:24" ht="13.2" customHeight="1">
      <c r="A185" s="736">
        <f t="shared" si="103"/>
        <v>23.250000000000039</v>
      </c>
      <c r="B185" s="173" t="s">
        <v>1794</v>
      </c>
      <c r="C185" s="534"/>
      <c r="D185" s="694">
        <v>0</v>
      </c>
      <c r="E185" s="1637">
        <v>-78021.400000000009</v>
      </c>
      <c r="F185" s="887"/>
      <c r="H185" s="887">
        <f t="shared" ref="H185:H186" si="122">+SUM($D185:$E185)/2</f>
        <v>-39010.700000000004</v>
      </c>
      <c r="I185" s="1320"/>
      <c r="L185" s="887">
        <f t="shared" ref="L185:L186" si="123">E185-$P185*$I$316</f>
        <v>763443.52369793213</v>
      </c>
      <c r="M185" s="1320"/>
      <c r="N185" s="1838" t="s">
        <v>2</v>
      </c>
      <c r="O185" s="2225">
        <v>282245</v>
      </c>
      <c r="P185" s="2223">
        <v>-1187950.4805147278</v>
      </c>
      <c r="Q185" s="736">
        <f t="shared" si="106"/>
        <v>23.250000000000039</v>
      </c>
      <c r="R185" s="2223" t="s">
        <v>1794</v>
      </c>
      <c r="T185" s="2227">
        <f t="shared" si="107"/>
        <v>0</v>
      </c>
      <c r="U185" s="2227">
        <f t="shared" si="108"/>
        <v>0</v>
      </c>
      <c r="V185" s="2227">
        <f t="shared" si="109"/>
        <v>-1187950.4805147278</v>
      </c>
      <c r="W185" s="2227">
        <f t="shared" si="110"/>
        <v>0</v>
      </c>
      <c r="X185" s="505">
        <f t="shared" si="111"/>
        <v>-1187950.4805147278</v>
      </c>
    </row>
    <row r="186" spans="1:24" ht="13.2" customHeight="1">
      <c r="A186" s="736">
        <f t="shared" si="103"/>
        <v>23.260000000000041</v>
      </c>
      <c r="B186" s="173" t="s">
        <v>1795</v>
      </c>
      <c r="C186" s="534"/>
      <c r="D186" s="694">
        <v>0</v>
      </c>
      <c r="E186" s="1637">
        <v>6241.71</v>
      </c>
      <c r="F186" s="887"/>
      <c r="H186" s="887">
        <f t="shared" si="122"/>
        <v>3120.855</v>
      </c>
      <c r="I186" s="1320"/>
      <c r="L186" s="887">
        <f t="shared" si="123"/>
        <v>-61064.645188566668</v>
      </c>
      <c r="M186" s="1320"/>
      <c r="N186" s="1838" t="s">
        <v>3</v>
      </c>
      <c r="O186" s="2225">
        <v>282246</v>
      </c>
      <c r="P186" s="2223">
        <v>95020.736736799998</v>
      </c>
      <c r="Q186" s="736">
        <f t="shared" si="106"/>
        <v>23.260000000000041</v>
      </c>
      <c r="R186" s="2223" t="s">
        <v>1795</v>
      </c>
      <c r="T186" s="2227">
        <f t="shared" si="107"/>
        <v>0</v>
      </c>
      <c r="U186" s="2227">
        <f t="shared" si="108"/>
        <v>0</v>
      </c>
      <c r="V186" s="2227">
        <f t="shared" si="109"/>
        <v>95020.736736799998</v>
      </c>
      <c r="W186" s="2227">
        <f t="shared" si="110"/>
        <v>0</v>
      </c>
      <c r="X186" s="505">
        <f t="shared" si="111"/>
        <v>95020.736736799998</v>
      </c>
    </row>
    <row r="187" spans="1:24" ht="13.2" customHeight="1">
      <c r="A187" s="736">
        <f t="shared" si="103"/>
        <v>23.270000000000042</v>
      </c>
      <c r="B187" s="534" t="s">
        <v>1796</v>
      </c>
      <c r="C187" s="534"/>
      <c r="D187" s="694">
        <v>0</v>
      </c>
      <c r="E187" s="1637"/>
      <c r="F187" s="1377">
        <f t="shared" ref="F187:F188" si="124">+SUM(D187:E187)/2</f>
        <v>0</v>
      </c>
      <c r="G187" s="903"/>
      <c r="H187" s="903"/>
      <c r="I187" s="1320"/>
      <c r="J187" s="1377">
        <f t="shared" ref="J187:J188" si="125">E187-$P187*$I$316</f>
        <v>0</v>
      </c>
      <c r="K187" s="903"/>
      <c r="L187" s="903"/>
      <c r="M187" s="1320"/>
      <c r="N187" s="1838" t="s">
        <v>3</v>
      </c>
      <c r="Q187" s="736">
        <f t="shared" si="106"/>
        <v>23.270000000000042</v>
      </c>
      <c r="R187" s="1937" t="s">
        <v>1796</v>
      </c>
      <c r="T187" s="2227">
        <f t="shared" si="107"/>
        <v>0</v>
      </c>
      <c r="U187" s="2227">
        <f t="shared" si="108"/>
        <v>0</v>
      </c>
      <c r="V187" s="2227">
        <f t="shared" si="109"/>
        <v>0</v>
      </c>
      <c r="W187" s="2227">
        <f t="shared" si="110"/>
        <v>0</v>
      </c>
      <c r="X187" s="505">
        <f t="shared" si="111"/>
        <v>0</v>
      </c>
    </row>
    <row r="188" spans="1:24" ht="13.2" customHeight="1">
      <c r="A188" s="736">
        <f t="shared" si="103"/>
        <v>23.280000000000044</v>
      </c>
      <c r="B188" s="534" t="s">
        <v>1797</v>
      </c>
      <c r="C188" s="534"/>
      <c r="D188" s="694">
        <v>0</v>
      </c>
      <c r="E188" s="1637"/>
      <c r="F188" s="1377">
        <f t="shared" si="124"/>
        <v>0</v>
      </c>
      <c r="G188" s="903"/>
      <c r="H188" s="903"/>
      <c r="I188" s="1320"/>
      <c r="J188" s="1377">
        <f t="shared" si="125"/>
        <v>0</v>
      </c>
      <c r="K188" s="903"/>
      <c r="L188" s="903"/>
      <c r="M188" s="1320"/>
      <c r="N188" s="1838" t="s">
        <v>197</v>
      </c>
      <c r="Q188" s="736">
        <f t="shared" si="106"/>
        <v>23.280000000000044</v>
      </c>
      <c r="R188" s="1937" t="s">
        <v>1797</v>
      </c>
      <c r="T188" s="2227">
        <f t="shared" si="107"/>
        <v>0</v>
      </c>
      <c r="U188" s="2227">
        <f t="shared" si="108"/>
        <v>0</v>
      </c>
      <c r="V188" s="2227">
        <f t="shared" si="109"/>
        <v>0</v>
      </c>
      <c r="W188" s="2227">
        <f t="shared" si="110"/>
        <v>0</v>
      </c>
      <c r="X188" s="505">
        <f t="shared" si="111"/>
        <v>0</v>
      </c>
    </row>
    <row r="189" spans="1:24" ht="13.2" customHeight="1">
      <c r="A189" s="736">
        <f t="shared" si="103"/>
        <v>23.290000000000045</v>
      </c>
      <c r="B189" s="173" t="s">
        <v>1798</v>
      </c>
      <c r="C189" s="534"/>
      <c r="D189" s="694">
        <v>0</v>
      </c>
      <c r="E189" s="1637"/>
      <c r="F189" s="887"/>
      <c r="I189" s="1320">
        <f t="shared" ref="I189:I190" si="126">+SUM($D189:$E189)/2</f>
        <v>0</v>
      </c>
      <c r="M189" s="1320">
        <f t="shared" ref="M189:M190" si="127">E189-$P189*$I$316</f>
        <v>337657.15851650736</v>
      </c>
      <c r="N189" s="1838" t="s">
        <v>197</v>
      </c>
      <c r="O189" s="2225">
        <v>282331</v>
      </c>
      <c r="P189" s="2223">
        <v>-476692.45908212801</v>
      </c>
      <c r="Q189" s="736">
        <f t="shared" si="106"/>
        <v>23.290000000000045</v>
      </c>
      <c r="R189" s="2223" t="s">
        <v>1798</v>
      </c>
      <c r="T189" s="2227">
        <f t="shared" si="107"/>
        <v>0</v>
      </c>
      <c r="U189" s="2227">
        <f t="shared" si="108"/>
        <v>0</v>
      </c>
      <c r="V189" s="2227">
        <f t="shared" si="109"/>
        <v>0</v>
      </c>
      <c r="W189" s="2227">
        <f t="shared" si="110"/>
        <v>-476692.45908212801</v>
      </c>
      <c r="X189" s="505">
        <f t="shared" si="111"/>
        <v>-476692.45908212801</v>
      </c>
    </row>
    <row r="190" spans="1:24" ht="13.2" customHeight="1">
      <c r="A190" s="736">
        <f t="shared" si="103"/>
        <v>23.300000000000047</v>
      </c>
      <c r="B190" s="173" t="s">
        <v>1799</v>
      </c>
      <c r="C190" s="534"/>
      <c r="D190" s="694">
        <v>0</v>
      </c>
      <c r="E190" s="1637"/>
      <c r="F190" s="887"/>
      <c r="I190" s="1320">
        <f t="shared" si="126"/>
        <v>0</v>
      </c>
      <c r="M190" s="1320">
        <f t="shared" si="127"/>
        <v>-27007.782896066663</v>
      </c>
      <c r="N190" s="1838" t="s">
        <v>4</v>
      </c>
      <c r="O190" s="2225">
        <v>282332</v>
      </c>
      <c r="P190" s="2223">
        <v>38128.634676799993</v>
      </c>
      <c r="Q190" s="736">
        <f t="shared" si="106"/>
        <v>23.300000000000047</v>
      </c>
      <c r="R190" s="2223" t="s">
        <v>1799</v>
      </c>
      <c r="T190" s="2227">
        <f t="shared" si="107"/>
        <v>0</v>
      </c>
      <c r="U190" s="2227">
        <f t="shared" si="108"/>
        <v>0</v>
      </c>
      <c r="V190" s="2227">
        <f t="shared" si="109"/>
        <v>0</v>
      </c>
      <c r="W190" s="2227">
        <f t="shared" si="110"/>
        <v>38128.634676799993</v>
      </c>
      <c r="X190" s="505">
        <f t="shared" si="111"/>
        <v>38128.634676799993</v>
      </c>
    </row>
    <row r="191" spans="1:24" ht="13.2" customHeight="1">
      <c r="A191" s="736">
        <f t="shared" si="103"/>
        <v>23.310000000000048</v>
      </c>
      <c r="B191" s="173" t="s">
        <v>1800</v>
      </c>
      <c r="C191" s="534"/>
      <c r="D191" s="694">
        <v>0</v>
      </c>
      <c r="E191" s="1637">
        <v>6353836.8700000001</v>
      </c>
      <c r="F191" s="887"/>
      <c r="H191" s="887">
        <f t="shared" ref="H191:H192" si="128">+SUM($D191:$E191)/2</f>
        <v>3176918.4350000001</v>
      </c>
      <c r="I191" s="1320"/>
      <c r="L191" s="887">
        <f t="shared" ref="L191:L192" si="129">E191-$P191*$I$316</f>
        <v>-7214465.6652225452</v>
      </c>
      <c r="M191" s="1320"/>
      <c r="N191" s="1838" t="s">
        <v>4</v>
      </c>
      <c r="O191" s="2225">
        <v>282351</v>
      </c>
      <c r="P191" s="2223">
        <v>19155250.637961239</v>
      </c>
      <c r="Q191" s="736">
        <f t="shared" si="106"/>
        <v>23.310000000000048</v>
      </c>
      <c r="R191" s="2223" t="s">
        <v>1800</v>
      </c>
      <c r="T191" s="2227">
        <f t="shared" si="107"/>
        <v>0</v>
      </c>
      <c r="U191" s="2227">
        <f t="shared" si="108"/>
        <v>0</v>
      </c>
      <c r="V191" s="2227">
        <f t="shared" si="109"/>
        <v>19155250.637961239</v>
      </c>
      <c r="W191" s="2227">
        <f t="shared" si="110"/>
        <v>0</v>
      </c>
      <c r="X191" s="505">
        <f t="shared" si="111"/>
        <v>19155250.637961239</v>
      </c>
    </row>
    <row r="192" spans="1:24" ht="13.2" customHeight="1">
      <c r="A192" s="736">
        <f t="shared" si="103"/>
        <v>23.32000000000005</v>
      </c>
      <c r="B192" s="173" t="s">
        <v>1801</v>
      </c>
      <c r="C192" s="534"/>
      <c r="D192" s="694">
        <v>0</v>
      </c>
      <c r="E192" s="1637">
        <v>-508306.95</v>
      </c>
      <c r="F192" s="887"/>
      <c r="H192" s="887">
        <f t="shared" si="128"/>
        <v>-254153.47500000001</v>
      </c>
      <c r="I192" s="1320"/>
      <c r="L192" s="887">
        <f t="shared" si="129"/>
        <v>577029.92937321682</v>
      </c>
      <c r="M192" s="1320"/>
      <c r="N192" s="1838" t="s">
        <v>197</v>
      </c>
      <c r="O192" s="2225">
        <v>282352</v>
      </c>
      <c r="P192" s="2223">
        <v>-1532240.3002916002</v>
      </c>
      <c r="Q192" s="736">
        <f t="shared" si="106"/>
        <v>23.32000000000005</v>
      </c>
      <c r="R192" s="2223" t="s">
        <v>1801</v>
      </c>
      <c r="T192" s="2227">
        <f t="shared" si="107"/>
        <v>0</v>
      </c>
      <c r="U192" s="2227">
        <f t="shared" si="108"/>
        <v>0</v>
      </c>
      <c r="V192" s="2227">
        <f t="shared" si="109"/>
        <v>-1532240.3002916002</v>
      </c>
      <c r="W192" s="2227">
        <f t="shared" si="110"/>
        <v>0</v>
      </c>
      <c r="X192" s="505">
        <f t="shared" si="111"/>
        <v>-1532240.3002916002</v>
      </c>
    </row>
    <row r="193" spans="1:24" ht="13.2" customHeight="1">
      <c r="A193" s="736">
        <f t="shared" si="103"/>
        <v>23.330000000000052</v>
      </c>
      <c r="B193" s="173" t="s">
        <v>1802</v>
      </c>
      <c r="C193" s="534"/>
      <c r="D193" s="694">
        <v>0</v>
      </c>
      <c r="E193" s="1637"/>
      <c r="F193" s="887">
        <f t="shared" ref="F193:F196" si="130">+SUM($D193:$E193)/2</f>
        <v>0</v>
      </c>
      <c r="I193" s="1320"/>
      <c r="J193" s="1377">
        <f t="shared" ref="J193:J196" si="131">E193-$P193*$I$316</f>
        <v>-565035.91370709252</v>
      </c>
      <c r="M193" s="1320"/>
      <c r="N193" s="1838" t="s">
        <v>197</v>
      </c>
      <c r="O193" s="2225">
        <v>282451</v>
      </c>
      <c r="P193" s="2223">
        <v>797697.76052766002</v>
      </c>
      <c r="Q193" s="736">
        <f t="shared" si="106"/>
        <v>23.330000000000052</v>
      </c>
      <c r="R193" s="2223" t="s">
        <v>1802</v>
      </c>
      <c r="T193" s="2227">
        <f t="shared" si="107"/>
        <v>797697.76052766002</v>
      </c>
      <c r="U193" s="2227">
        <f t="shared" si="108"/>
        <v>0</v>
      </c>
      <c r="V193" s="2227">
        <f t="shared" si="109"/>
        <v>0</v>
      </c>
      <c r="W193" s="2227">
        <f t="shared" si="110"/>
        <v>0</v>
      </c>
      <c r="X193" s="505">
        <f t="shared" si="111"/>
        <v>797697.76052766002</v>
      </c>
    </row>
    <row r="194" spans="1:24" ht="13.2" customHeight="1">
      <c r="A194" s="736">
        <f t="shared" si="103"/>
        <v>23.340000000000053</v>
      </c>
      <c r="B194" s="173" t="s">
        <v>1803</v>
      </c>
      <c r="C194" s="534"/>
      <c r="D194" s="694">
        <v>0</v>
      </c>
      <c r="E194" s="1637"/>
      <c r="F194" s="887">
        <f t="shared" si="130"/>
        <v>0</v>
      </c>
      <c r="I194" s="1320"/>
      <c r="J194" s="1377">
        <f t="shared" si="131"/>
        <v>45194.900807583341</v>
      </c>
      <c r="M194" s="1320"/>
      <c r="N194" s="1838" t="s">
        <v>2</v>
      </c>
      <c r="O194" s="2225">
        <v>282452</v>
      </c>
      <c r="P194" s="2223">
        <v>-63804.565846000005</v>
      </c>
      <c r="Q194" s="736">
        <f t="shared" si="106"/>
        <v>23.340000000000053</v>
      </c>
      <c r="R194" s="2223" t="s">
        <v>1803</v>
      </c>
      <c r="T194" s="2227">
        <f t="shared" si="107"/>
        <v>-63804.565846000005</v>
      </c>
      <c r="U194" s="2227">
        <f t="shared" si="108"/>
        <v>0</v>
      </c>
      <c r="V194" s="2227">
        <f t="shared" si="109"/>
        <v>0</v>
      </c>
      <c r="W194" s="2227">
        <f t="shared" si="110"/>
        <v>0</v>
      </c>
      <c r="X194" s="505">
        <f t="shared" si="111"/>
        <v>-63804.565846000005</v>
      </c>
    </row>
    <row r="195" spans="1:24" ht="13.2" customHeight="1">
      <c r="A195" s="736">
        <f t="shared" si="103"/>
        <v>23.350000000000055</v>
      </c>
      <c r="B195" s="173" t="s">
        <v>1804</v>
      </c>
      <c r="C195" s="534"/>
      <c r="D195" s="694">
        <v>0</v>
      </c>
      <c r="E195" s="1637">
        <v>-175827.35</v>
      </c>
      <c r="F195" s="887">
        <f t="shared" si="130"/>
        <v>-87913.675000000003</v>
      </c>
      <c r="I195" s="1320"/>
      <c r="J195" s="1377">
        <f t="shared" si="131"/>
        <v>277198.17282972368</v>
      </c>
      <c r="M195" s="1320"/>
      <c r="N195" s="1838" t="s">
        <v>2</v>
      </c>
      <c r="O195" s="2225">
        <v>282455</v>
      </c>
      <c r="P195" s="2223">
        <v>-639565.44399490405</v>
      </c>
      <c r="Q195" s="736">
        <f t="shared" si="106"/>
        <v>23.350000000000055</v>
      </c>
      <c r="R195" s="2223" t="s">
        <v>1804</v>
      </c>
      <c r="T195" s="2227">
        <f t="shared" si="107"/>
        <v>-639565.44399490405</v>
      </c>
      <c r="U195" s="2227">
        <f t="shared" si="108"/>
        <v>0</v>
      </c>
      <c r="V195" s="2227">
        <f t="shared" si="109"/>
        <v>0</v>
      </c>
      <c r="W195" s="2227">
        <f t="shared" si="110"/>
        <v>0</v>
      </c>
      <c r="X195" s="505">
        <f t="shared" si="111"/>
        <v>-639565.44399490405</v>
      </c>
    </row>
    <row r="196" spans="1:24" ht="13.2" customHeight="1">
      <c r="A196" s="736">
        <f t="shared" si="103"/>
        <v>23.360000000000056</v>
      </c>
      <c r="B196" s="173" t="s">
        <v>1805</v>
      </c>
      <c r="C196" s="534"/>
      <c r="D196" s="694">
        <v>0</v>
      </c>
      <c r="E196" s="1637">
        <v>14066.18</v>
      </c>
      <c r="F196" s="887">
        <f t="shared" si="130"/>
        <v>7033.09</v>
      </c>
      <c r="I196" s="1320"/>
      <c r="J196" s="1377">
        <f t="shared" si="131"/>
        <v>-22171.20178836667</v>
      </c>
      <c r="M196" s="1320"/>
      <c r="N196" s="1838" t="s">
        <v>205</v>
      </c>
      <c r="O196" s="2225">
        <v>282456</v>
      </c>
      <c r="P196" s="2223">
        <v>51158.656642400005</v>
      </c>
      <c r="Q196" s="736">
        <f t="shared" si="106"/>
        <v>23.360000000000056</v>
      </c>
      <c r="R196" s="2223" t="s">
        <v>1805</v>
      </c>
      <c r="T196" s="2227">
        <f t="shared" si="107"/>
        <v>51158.656642400005</v>
      </c>
      <c r="U196" s="2227">
        <f t="shared" si="108"/>
        <v>0</v>
      </c>
      <c r="V196" s="2227">
        <f t="shared" si="109"/>
        <v>0</v>
      </c>
      <c r="W196" s="2227">
        <f t="shared" si="110"/>
        <v>0</v>
      </c>
      <c r="X196" s="505">
        <f t="shared" si="111"/>
        <v>51158.656642400005</v>
      </c>
    </row>
    <row r="197" spans="1:24" ht="13.2" customHeight="1">
      <c r="A197" s="736">
        <f t="shared" si="103"/>
        <v>23.370000000000058</v>
      </c>
      <c r="B197" s="173" t="s">
        <v>1806</v>
      </c>
      <c r="C197" s="534"/>
      <c r="D197" s="694">
        <v>0</v>
      </c>
      <c r="E197" s="1637">
        <v>-4892051.42</v>
      </c>
      <c r="F197" s="887"/>
      <c r="I197" s="1320">
        <f t="shared" ref="I197:I198" si="132">+SUM($D197:$E197)/2</f>
        <v>-2446025.71</v>
      </c>
      <c r="M197" s="1320">
        <f t="shared" ref="M197:M198" si="133">E197-$P197*$I$316</f>
        <v>1604072.0555823334</v>
      </c>
      <c r="N197" s="1838" t="s">
        <v>205</v>
      </c>
      <c r="O197" s="2225">
        <v>282461</v>
      </c>
      <c r="P197" s="2223">
        <v>-9170997.8478809409</v>
      </c>
      <c r="Q197" s="736">
        <f t="shared" si="106"/>
        <v>23.370000000000058</v>
      </c>
      <c r="R197" s="2223" t="s">
        <v>1806</v>
      </c>
      <c r="T197" s="2227">
        <f t="shared" si="107"/>
        <v>0</v>
      </c>
      <c r="U197" s="2227">
        <f t="shared" si="108"/>
        <v>0</v>
      </c>
      <c r="V197" s="2227">
        <f t="shared" si="109"/>
        <v>0</v>
      </c>
      <c r="W197" s="2227">
        <f t="shared" si="110"/>
        <v>-9170997.8478809409</v>
      </c>
      <c r="X197" s="505">
        <f t="shared" si="111"/>
        <v>-9170997.8478809409</v>
      </c>
    </row>
    <row r="198" spans="1:24" ht="13.2" customHeight="1">
      <c r="A198" s="736">
        <f t="shared" si="103"/>
        <v>23.380000000000059</v>
      </c>
      <c r="B198" s="173" t="s">
        <v>1807</v>
      </c>
      <c r="C198" s="534"/>
      <c r="D198" s="694">
        <v>0</v>
      </c>
      <c r="E198" s="1637">
        <v>391364.11</v>
      </c>
      <c r="F198" s="887"/>
      <c r="I198" s="1320">
        <f t="shared" si="132"/>
        <v>195682.05499999999</v>
      </c>
      <c r="M198" s="1320">
        <f t="shared" si="133"/>
        <v>-128283.15045158338</v>
      </c>
      <c r="N198" s="1838" t="s">
        <v>2</v>
      </c>
      <c r="O198" s="2225">
        <v>282462</v>
      </c>
      <c r="P198" s="2223">
        <v>733619.66181399999</v>
      </c>
      <c r="Q198" s="736">
        <f t="shared" si="106"/>
        <v>23.380000000000059</v>
      </c>
      <c r="R198" s="2223" t="s">
        <v>1807</v>
      </c>
      <c r="T198" s="2227">
        <f t="shared" si="107"/>
        <v>0</v>
      </c>
      <c r="U198" s="2227">
        <f t="shared" si="108"/>
        <v>0</v>
      </c>
      <c r="V198" s="2227">
        <f t="shared" si="109"/>
        <v>0</v>
      </c>
      <c r="W198" s="2227">
        <f t="shared" si="110"/>
        <v>733619.66181399999</v>
      </c>
      <c r="X198" s="505">
        <f t="shared" si="111"/>
        <v>733619.66181399999</v>
      </c>
    </row>
    <row r="199" spans="1:24" ht="13.2" customHeight="1">
      <c r="A199" s="736">
        <f t="shared" si="103"/>
        <v>23.390000000000061</v>
      </c>
      <c r="B199" s="173" t="s">
        <v>1808</v>
      </c>
      <c r="C199" s="534"/>
      <c r="D199" s="694">
        <v>0</v>
      </c>
      <c r="E199" s="1637"/>
      <c r="F199" s="887"/>
      <c r="H199" s="887">
        <f t="shared" ref="H199:H200" si="134">+SUM($D199:$E199)/2</f>
        <v>0</v>
      </c>
      <c r="I199" s="1320"/>
      <c r="L199" s="887">
        <f t="shared" ref="L199:L200" si="135">E199-$P199*$I$316</f>
        <v>4959.6769589191672</v>
      </c>
      <c r="M199" s="1320"/>
      <c r="N199" s="1838" t="s">
        <v>2</v>
      </c>
      <c r="O199" s="2225">
        <v>282469</v>
      </c>
      <c r="P199" s="2223">
        <v>-7001.8968831800003</v>
      </c>
      <c r="Q199" s="736">
        <f t="shared" si="106"/>
        <v>23.390000000000061</v>
      </c>
      <c r="R199" s="2223" t="s">
        <v>1808</v>
      </c>
      <c r="T199" s="2227">
        <f t="shared" si="107"/>
        <v>0</v>
      </c>
      <c r="U199" s="2227">
        <f t="shared" si="108"/>
        <v>0</v>
      </c>
      <c r="V199" s="2227">
        <f t="shared" si="109"/>
        <v>-7001.8968831800003</v>
      </c>
      <c r="W199" s="2227">
        <f t="shared" si="110"/>
        <v>0</v>
      </c>
      <c r="X199" s="505">
        <f t="shared" si="111"/>
        <v>-7001.8968831800003</v>
      </c>
    </row>
    <row r="200" spans="1:24" ht="13.2" customHeight="1">
      <c r="A200" s="736">
        <f t="shared" si="103"/>
        <v>23.400000000000063</v>
      </c>
      <c r="B200" s="173" t="s">
        <v>1809</v>
      </c>
      <c r="C200" s="534"/>
      <c r="D200" s="694">
        <v>0</v>
      </c>
      <c r="E200" s="1637"/>
      <c r="F200" s="887"/>
      <c r="H200" s="887">
        <f t="shared" si="134"/>
        <v>0</v>
      </c>
      <c r="I200" s="1320"/>
      <c r="L200" s="887">
        <f t="shared" si="135"/>
        <v>-401.51532025</v>
      </c>
      <c r="M200" s="1320"/>
      <c r="N200" s="1838" t="s">
        <v>197</v>
      </c>
      <c r="O200" s="2225">
        <v>282470</v>
      </c>
      <c r="P200" s="2223">
        <v>566.84515799999997</v>
      </c>
      <c r="Q200" s="736">
        <f t="shared" si="106"/>
        <v>23.400000000000063</v>
      </c>
      <c r="R200" s="2223" t="s">
        <v>1809</v>
      </c>
      <c r="T200" s="2227">
        <f t="shared" si="107"/>
        <v>0</v>
      </c>
      <c r="U200" s="2227">
        <f t="shared" si="108"/>
        <v>0</v>
      </c>
      <c r="V200" s="2227">
        <f t="shared" si="109"/>
        <v>566.84515799999997</v>
      </c>
      <c r="W200" s="2227">
        <f t="shared" si="110"/>
        <v>0</v>
      </c>
      <c r="X200" s="505">
        <f t="shared" si="111"/>
        <v>566.84515799999997</v>
      </c>
    </row>
    <row r="201" spans="1:24" ht="13.2" customHeight="1">
      <c r="A201" s="736">
        <f t="shared" si="103"/>
        <v>23.410000000000064</v>
      </c>
      <c r="B201" s="173" t="s">
        <v>1810</v>
      </c>
      <c r="C201" s="534"/>
      <c r="D201" s="694">
        <v>0</v>
      </c>
      <c r="E201" s="1637">
        <v>86063451.260000005</v>
      </c>
      <c r="F201" s="887">
        <f t="shared" ref="F201:F202" si="136">+SUM($D201:$E201)/2</f>
        <v>43031725.630000003</v>
      </c>
      <c r="I201" s="1320"/>
      <c r="J201" s="1377">
        <f t="shared" ref="J201:J202" si="137">E201-$P201*$I$316</f>
        <v>24750528.05166667</v>
      </c>
      <c r="M201" s="1320"/>
      <c r="N201" s="1838" t="s">
        <v>197</v>
      </c>
      <c r="O201" s="2225">
        <v>282475</v>
      </c>
      <c r="P201" s="2223">
        <v>86559421</v>
      </c>
      <c r="Q201" s="736">
        <f t="shared" si="106"/>
        <v>23.410000000000064</v>
      </c>
      <c r="R201" s="2223" t="s">
        <v>1810</v>
      </c>
      <c r="T201" s="2227">
        <f t="shared" si="107"/>
        <v>86559421</v>
      </c>
      <c r="U201" s="2227">
        <f t="shared" si="108"/>
        <v>0</v>
      </c>
      <c r="V201" s="2227">
        <f t="shared" si="109"/>
        <v>0</v>
      </c>
      <c r="W201" s="2227">
        <f t="shared" si="110"/>
        <v>0</v>
      </c>
      <c r="X201" s="505">
        <f t="shared" si="111"/>
        <v>86559421</v>
      </c>
    </row>
    <row r="202" spans="1:24" ht="13.2" customHeight="1">
      <c r="A202" s="736">
        <f t="shared" si="103"/>
        <v>23.420000000000066</v>
      </c>
      <c r="B202" s="173" t="s">
        <v>1811</v>
      </c>
      <c r="C202" s="534"/>
      <c r="D202" s="694">
        <v>0</v>
      </c>
      <c r="E202" s="1637">
        <v>-6885076.1000000006</v>
      </c>
      <c r="F202" s="887">
        <f t="shared" si="136"/>
        <v>-3442538.0500000003</v>
      </c>
      <c r="I202" s="1320"/>
      <c r="J202" s="1377">
        <f t="shared" si="137"/>
        <v>-2008147.2666666666</v>
      </c>
      <c r="M202" s="1320"/>
      <c r="N202" s="1838" t="s">
        <v>197</v>
      </c>
      <c r="O202" s="2225">
        <v>282476</v>
      </c>
      <c r="P202" s="2223">
        <v>-6885076</v>
      </c>
      <c r="Q202" s="736">
        <f t="shared" si="106"/>
        <v>23.420000000000066</v>
      </c>
      <c r="R202" s="2223" t="s">
        <v>1811</v>
      </c>
      <c r="T202" s="2227">
        <f t="shared" si="107"/>
        <v>-6885076</v>
      </c>
      <c r="U202" s="2227">
        <f t="shared" si="108"/>
        <v>0</v>
      </c>
      <c r="V202" s="2227">
        <f t="shared" si="109"/>
        <v>0</v>
      </c>
      <c r="W202" s="2227">
        <f t="shared" si="110"/>
        <v>0</v>
      </c>
      <c r="X202" s="505">
        <f t="shared" si="111"/>
        <v>-6885076</v>
      </c>
    </row>
    <row r="203" spans="1:24" ht="13.2" customHeight="1">
      <c r="A203" s="736">
        <f t="shared" si="103"/>
        <v>23.430000000000067</v>
      </c>
      <c r="B203" s="173" t="s">
        <v>1812</v>
      </c>
      <c r="C203" s="534"/>
      <c r="D203" s="694">
        <v>0</v>
      </c>
      <c r="E203" s="1637"/>
      <c r="F203" s="887"/>
      <c r="H203" s="887">
        <f t="shared" ref="H203" si="138">+SUM($D203:$E203)/2</f>
        <v>0</v>
      </c>
      <c r="I203" s="1320"/>
      <c r="L203" s="887">
        <f>E203-$P203*$I$316</f>
        <v>0</v>
      </c>
      <c r="M203" s="1320"/>
      <c r="N203" s="1838" t="s">
        <v>197</v>
      </c>
      <c r="Q203" s="736">
        <f t="shared" si="106"/>
        <v>23.430000000000067</v>
      </c>
      <c r="R203" s="1937" t="s">
        <v>1812</v>
      </c>
      <c r="T203" s="2227">
        <f t="shared" si="107"/>
        <v>0</v>
      </c>
      <c r="U203" s="2227">
        <f t="shared" si="108"/>
        <v>0</v>
      </c>
      <c r="V203" s="2227">
        <f t="shared" si="109"/>
        <v>0</v>
      </c>
      <c r="W203" s="2227">
        <f t="shared" si="110"/>
        <v>0</v>
      </c>
      <c r="X203" s="505">
        <f t="shared" si="111"/>
        <v>0</v>
      </c>
    </row>
    <row r="204" spans="1:24" ht="13.2" customHeight="1">
      <c r="A204" s="736">
        <f t="shared" si="103"/>
        <v>23.440000000000069</v>
      </c>
      <c r="B204" s="173" t="s">
        <v>1813</v>
      </c>
      <c r="C204" s="534"/>
      <c r="D204" s="694">
        <v>0</v>
      </c>
      <c r="E204" s="1637">
        <v>0</v>
      </c>
      <c r="F204" s="887"/>
      <c r="H204" s="887">
        <f t="shared" ref="H204:H206" si="139">+SUM($D204:$E204)/2</f>
        <v>0</v>
      </c>
      <c r="I204" s="1320"/>
      <c r="L204" s="887">
        <f t="shared" ref="L204:L205" si="140">E204-$P204*$I$316</f>
        <v>110924986.91264212</v>
      </c>
      <c r="M204" s="1320"/>
      <c r="N204" s="1838" t="s">
        <v>884</v>
      </c>
      <c r="O204" s="2225">
        <v>282533</v>
      </c>
      <c r="P204" s="2223">
        <v>-156599981.52373004</v>
      </c>
      <c r="Q204" s="736">
        <f t="shared" si="106"/>
        <v>23.440000000000069</v>
      </c>
      <c r="R204" s="2223" t="s">
        <v>1813</v>
      </c>
      <c r="T204" s="2227">
        <f t="shared" si="107"/>
        <v>0</v>
      </c>
      <c r="U204" s="2227">
        <f t="shared" si="108"/>
        <v>0</v>
      </c>
      <c r="V204" s="2227">
        <f t="shared" si="109"/>
        <v>-156599981.52373004</v>
      </c>
      <c r="W204" s="2227">
        <f t="shared" si="110"/>
        <v>0</v>
      </c>
      <c r="X204" s="505">
        <f t="shared" si="111"/>
        <v>-156599981.52373004</v>
      </c>
    </row>
    <row r="205" spans="1:24" ht="13.2" customHeight="1">
      <c r="A205" s="736">
        <f t="shared" si="103"/>
        <v>23.45000000000007</v>
      </c>
      <c r="B205" s="173" t="s">
        <v>1814</v>
      </c>
      <c r="C205" s="534"/>
      <c r="D205" s="694">
        <v>0</v>
      </c>
      <c r="E205" s="1637">
        <v>0</v>
      </c>
      <c r="F205" s="887"/>
      <c r="H205" s="887">
        <f t="shared" si="139"/>
        <v>0</v>
      </c>
      <c r="I205" s="1320"/>
      <c r="L205" s="887">
        <f t="shared" si="140"/>
        <v>-8872385.0716093816</v>
      </c>
      <c r="M205" s="1320"/>
      <c r="N205" s="1838" t="s">
        <v>884</v>
      </c>
      <c r="O205" s="2225">
        <v>282534</v>
      </c>
      <c r="P205" s="2223">
        <v>12525720.101095598</v>
      </c>
      <c r="Q205" s="736">
        <f t="shared" si="106"/>
        <v>23.45000000000007</v>
      </c>
      <c r="R205" s="2223" t="s">
        <v>1814</v>
      </c>
      <c r="T205" s="2227">
        <f t="shared" si="107"/>
        <v>0</v>
      </c>
      <c r="U205" s="2227">
        <f t="shared" si="108"/>
        <v>0</v>
      </c>
      <c r="V205" s="2227">
        <f t="shared" si="109"/>
        <v>12525720.101095598</v>
      </c>
      <c r="W205" s="2227">
        <f t="shared" si="110"/>
        <v>0</v>
      </c>
      <c r="X205" s="505">
        <f t="shared" si="111"/>
        <v>12525720.101095598</v>
      </c>
    </row>
    <row r="206" spans="1:24" ht="13.2" customHeight="1">
      <c r="A206" s="736">
        <f t="shared" si="103"/>
        <v>23.460000000000072</v>
      </c>
      <c r="B206" s="173" t="s">
        <v>1815</v>
      </c>
      <c r="C206" s="534"/>
      <c r="D206" s="694">
        <v>0</v>
      </c>
      <c r="E206" s="1637"/>
      <c r="F206" s="1377"/>
      <c r="H206" s="887">
        <f t="shared" si="139"/>
        <v>0</v>
      </c>
      <c r="I206" s="1320"/>
      <c r="L206" s="887">
        <f>E206-$P206*$I$316</f>
        <v>0</v>
      </c>
      <c r="M206" s="1320"/>
      <c r="N206" s="1838" t="s">
        <v>1</v>
      </c>
      <c r="Q206" s="736">
        <f t="shared" si="106"/>
        <v>23.460000000000072</v>
      </c>
      <c r="R206" s="1937" t="s">
        <v>1815</v>
      </c>
      <c r="T206" s="2227">
        <f t="shared" si="107"/>
        <v>0</v>
      </c>
      <c r="U206" s="2227">
        <f t="shared" si="108"/>
        <v>0</v>
      </c>
      <c r="V206" s="2227">
        <f t="shared" si="109"/>
        <v>0</v>
      </c>
      <c r="W206" s="2227">
        <f t="shared" si="110"/>
        <v>0</v>
      </c>
      <c r="X206" s="505">
        <f t="shared" si="111"/>
        <v>0</v>
      </c>
    </row>
    <row r="207" spans="1:24" ht="13.2" customHeight="1">
      <c r="A207" s="736">
        <f t="shared" si="103"/>
        <v>23.470000000000073</v>
      </c>
      <c r="B207" s="173" t="s">
        <v>1816</v>
      </c>
      <c r="C207" s="534"/>
      <c r="D207" s="694">
        <v>0</v>
      </c>
      <c r="E207" s="1637"/>
      <c r="F207" s="1377">
        <f t="shared" ref="F207" si="141">+SUM($D207:$E207)/2</f>
        <v>0</v>
      </c>
      <c r="I207" s="1320"/>
      <c r="J207" s="1377">
        <f t="shared" ref="J207:J212" si="142">E207-$P207*$I$316</f>
        <v>-1007863.3168321833</v>
      </c>
      <c r="M207" s="1320"/>
      <c r="N207" s="1837" t="s">
        <v>1</v>
      </c>
      <c r="O207" s="2225">
        <v>282543</v>
      </c>
      <c r="P207" s="2223">
        <v>1422865.8590571999</v>
      </c>
      <c r="Q207" s="736">
        <f t="shared" si="106"/>
        <v>23.470000000000073</v>
      </c>
      <c r="R207" s="2223" t="s">
        <v>1816</v>
      </c>
      <c r="T207" s="2227">
        <f t="shared" si="107"/>
        <v>1422865.8590571999</v>
      </c>
      <c r="U207" s="2227">
        <f t="shared" si="108"/>
        <v>0</v>
      </c>
      <c r="V207" s="2227">
        <f t="shared" si="109"/>
        <v>0</v>
      </c>
      <c r="W207" s="2227">
        <f t="shared" si="110"/>
        <v>0</v>
      </c>
      <c r="X207" s="505">
        <f t="shared" si="111"/>
        <v>1422865.8590571999</v>
      </c>
    </row>
    <row r="208" spans="1:24" ht="13.2" customHeight="1">
      <c r="A208" s="736">
        <f t="shared" si="103"/>
        <v>23.480000000000075</v>
      </c>
      <c r="B208" s="173" t="s">
        <v>1817</v>
      </c>
      <c r="C208" s="534"/>
      <c r="D208" s="694">
        <v>0</v>
      </c>
      <c r="E208" s="1637"/>
      <c r="F208" s="887">
        <f t="shared" ref="F208:F212" si="143">+SUM($D208:$E208)/2</f>
        <v>0</v>
      </c>
      <c r="I208" s="1320"/>
      <c r="J208" s="1377">
        <f t="shared" si="142"/>
        <v>0</v>
      </c>
      <c r="M208" s="1320"/>
      <c r="N208" s="1839"/>
      <c r="Q208" s="736">
        <f t="shared" si="106"/>
        <v>23.480000000000075</v>
      </c>
      <c r="R208" s="1937" t="s">
        <v>1817</v>
      </c>
      <c r="T208" s="2227">
        <f t="shared" si="107"/>
        <v>0</v>
      </c>
      <c r="U208" s="2227">
        <f t="shared" si="108"/>
        <v>0</v>
      </c>
      <c r="V208" s="2227">
        <f t="shared" si="109"/>
        <v>0</v>
      </c>
      <c r="W208" s="2227">
        <f t="shared" si="110"/>
        <v>0</v>
      </c>
      <c r="X208" s="505">
        <f t="shared" si="111"/>
        <v>0</v>
      </c>
    </row>
    <row r="209" spans="1:24" ht="13.2" customHeight="1">
      <c r="A209" s="736">
        <f t="shared" si="103"/>
        <v>23.490000000000077</v>
      </c>
      <c r="B209" s="173" t="s">
        <v>1818</v>
      </c>
      <c r="C209" s="534"/>
      <c r="D209" s="694">
        <v>0</v>
      </c>
      <c r="E209" s="1637"/>
      <c r="F209" s="887">
        <f t="shared" si="143"/>
        <v>0</v>
      </c>
      <c r="I209" s="1320"/>
      <c r="J209" s="1377">
        <f t="shared" si="142"/>
        <v>0</v>
      </c>
      <c r="M209" s="1320"/>
      <c r="N209" s="1839"/>
      <c r="Q209" s="736">
        <f t="shared" si="106"/>
        <v>23.490000000000077</v>
      </c>
      <c r="R209" s="1937" t="s">
        <v>1818</v>
      </c>
      <c r="T209" s="2227">
        <f t="shared" si="107"/>
        <v>0</v>
      </c>
      <c r="U209" s="2227">
        <f t="shared" si="108"/>
        <v>0</v>
      </c>
      <c r="V209" s="2227">
        <f t="shared" si="109"/>
        <v>0</v>
      </c>
      <c r="W209" s="2227">
        <f t="shared" si="110"/>
        <v>0</v>
      </c>
      <c r="X209" s="505">
        <f t="shared" si="111"/>
        <v>0</v>
      </c>
    </row>
    <row r="210" spans="1:24" ht="13.2" customHeight="1">
      <c r="A210" s="736">
        <f t="shared" si="103"/>
        <v>23.500000000000078</v>
      </c>
      <c r="B210" s="173" t="s">
        <v>1819</v>
      </c>
      <c r="C210" s="534"/>
      <c r="D210" s="694">
        <v>0</v>
      </c>
      <c r="E210" s="1637">
        <v>-1059978</v>
      </c>
      <c r="F210" s="1377">
        <f t="shared" si="143"/>
        <v>-529989</v>
      </c>
      <c r="I210" s="1320"/>
      <c r="J210" s="1377">
        <f t="shared" si="142"/>
        <v>-309160.25</v>
      </c>
      <c r="K210" s="903"/>
      <c r="L210" s="903"/>
      <c r="M210" s="1320"/>
      <c r="N210" s="1840"/>
      <c r="O210" s="2225">
        <v>282713</v>
      </c>
      <c r="P210" s="2223">
        <v>-1059978</v>
      </c>
      <c r="Q210" s="736">
        <f t="shared" si="106"/>
        <v>23.500000000000078</v>
      </c>
      <c r="R210" s="2223" t="s">
        <v>1819</v>
      </c>
      <c r="T210" s="2227">
        <f t="shared" si="107"/>
        <v>-1059978</v>
      </c>
      <c r="U210" s="2227">
        <f t="shared" si="108"/>
        <v>0</v>
      </c>
      <c r="V210" s="2227">
        <f t="shared" si="109"/>
        <v>0</v>
      </c>
      <c r="W210" s="2227">
        <f t="shared" si="110"/>
        <v>0</v>
      </c>
      <c r="X210" s="505">
        <f t="shared" si="111"/>
        <v>-1059978</v>
      </c>
    </row>
    <row r="211" spans="1:24" ht="13.2" customHeight="1">
      <c r="A211" s="736">
        <f t="shared" si="103"/>
        <v>23.51000000000008</v>
      </c>
      <c r="B211" s="173" t="s">
        <v>1820</v>
      </c>
      <c r="C211" s="534"/>
      <c r="D211" s="694">
        <v>0</v>
      </c>
      <c r="E211" s="1637">
        <v>-58875895</v>
      </c>
      <c r="F211" s="1377">
        <f t="shared" si="143"/>
        <v>-29437947.5</v>
      </c>
      <c r="I211" s="1320"/>
      <c r="J211" s="1377">
        <f t="shared" si="142"/>
        <v>-63320261.666666664</v>
      </c>
      <c r="K211" s="903"/>
      <c r="L211" s="903"/>
      <c r="M211" s="1320"/>
      <c r="N211" s="1792"/>
      <c r="O211" s="2224">
        <v>282723</v>
      </c>
      <c r="P211" s="2223">
        <v>6274400</v>
      </c>
      <c r="Q211" s="736">
        <f t="shared" si="106"/>
        <v>23.51000000000008</v>
      </c>
      <c r="R211" s="2223" t="s">
        <v>1820</v>
      </c>
      <c r="T211" s="2227">
        <f t="shared" si="107"/>
        <v>6274400</v>
      </c>
      <c r="U211" s="2227">
        <f t="shared" si="108"/>
        <v>0</v>
      </c>
      <c r="V211" s="2227">
        <f t="shared" si="109"/>
        <v>0</v>
      </c>
      <c r="W211" s="2227">
        <f t="shared" si="110"/>
        <v>0</v>
      </c>
      <c r="X211" s="505">
        <f t="shared" si="111"/>
        <v>6274400</v>
      </c>
    </row>
    <row r="212" spans="1:24" s="170" customFormat="1" ht="13.2" customHeight="1">
      <c r="A212" s="736">
        <f t="shared" si="103"/>
        <v>23.520000000000081</v>
      </c>
      <c r="B212" s="173" t="s">
        <v>1821</v>
      </c>
      <c r="C212" s="534"/>
      <c r="D212" s="694">
        <v>0</v>
      </c>
      <c r="E212" s="1637">
        <v>-1207177</v>
      </c>
      <c r="F212" s="1377">
        <f t="shared" si="143"/>
        <v>-603588.5</v>
      </c>
      <c r="G212" s="887"/>
      <c r="H212" s="887"/>
      <c r="I212" s="1320"/>
      <c r="J212" s="1377">
        <f t="shared" si="142"/>
        <v>-352093.29166666663</v>
      </c>
      <c r="K212" s="903"/>
      <c r="L212" s="903"/>
      <c r="M212" s="1320"/>
      <c r="N212" s="1837" t="str">
        <f>+"Sum by Column of Line "&amp;A145&amp;" Subparts"</f>
        <v>Sum by Column of Line 16 Subparts</v>
      </c>
      <c r="O212" s="2225">
        <v>282733</v>
      </c>
      <c r="P212" s="2223">
        <v>-1207177</v>
      </c>
      <c r="Q212" s="736">
        <f t="shared" si="106"/>
        <v>23.520000000000081</v>
      </c>
      <c r="R212" s="2223" t="s">
        <v>1821</v>
      </c>
      <c r="T212" s="2227">
        <f t="shared" si="107"/>
        <v>-1207177</v>
      </c>
      <c r="U212" s="2227">
        <f t="shared" si="108"/>
        <v>0</v>
      </c>
      <c r="V212" s="2227">
        <f t="shared" si="109"/>
        <v>0</v>
      </c>
      <c r="W212" s="2227">
        <f t="shared" si="110"/>
        <v>0</v>
      </c>
      <c r="X212" s="505">
        <f t="shared" si="111"/>
        <v>-1207177</v>
      </c>
    </row>
    <row r="213" spans="1:24" ht="13.2" customHeight="1">
      <c r="A213" s="736">
        <f t="shared" si="103"/>
        <v>23.530000000000083</v>
      </c>
      <c r="B213" s="173" t="s">
        <v>1822</v>
      </c>
      <c r="C213" s="534"/>
      <c r="D213" s="694">
        <v>0</v>
      </c>
      <c r="E213" s="1637"/>
      <c r="F213" s="887"/>
      <c r="H213" s="887">
        <f t="shared" ref="H213:H214" si="144">+SUM($D213:$E213)/2</f>
        <v>0</v>
      </c>
      <c r="I213" s="1320"/>
      <c r="L213" s="887">
        <f t="shared" ref="L213:L214" si="145">E213-$P213*$I$316</f>
        <v>36071120.200000003</v>
      </c>
      <c r="M213" s="1320"/>
      <c r="N213" s="1833"/>
      <c r="O213" s="2225">
        <v>282901</v>
      </c>
      <c r="P213" s="2223">
        <v>-50923934.399999999</v>
      </c>
      <c r="Q213" s="736">
        <f t="shared" si="106"/>
        <v>23.530000000000083</v>
      </c>
      <c r="R213" s="2223" t="s">
        <v>1822</v>
      </c>
      <c r="T213" s="2227">
        <f t="shared" si="107"/>
        <v>0</v>
      </c>
      <c r="U213" s="2227">
        <f t="shared" si="108"/>
        <v>0</v>
      </c>
      <c r="V213" s="2227">
        <f t="shared" si="109"/>
        <v>-50923934.399999999</v>
      </c>
      <c r="W213" s="2227">
        <f t="shared" si="110"/>
        <v>0</v>
      </c>
      <c r="X213" s="505">
        <f t="shared" si="111"/>
        <v>-50923934.399999999</v>
      </c>
    </row>
    <row r="214" spans="1:24" s="1841" customFormat="1" ht="13.2" customHeight="1">
      <c r="A214" s="736">
        <f t="shared" si="103"/>
        <v>23.540000000000084</v>
      </c>
      <c r="B214" s="173" t="s">
        <v>1823</v>
      </c>
      <c r="C214" s="534"/>
      <c r="D214" s="694">
        <v>0</v>
      </c>
      <c r="E214" s="1637"/>
      <c r="F214" s="887"/>
      <c r="G214" s="887"/>
      <c r="H214" s="887">
        <f t="shared" si="144"/>
        <v>0</v>
      </c>
      <c r="I214" s="1320"/>
      <c r="J214" s="887"/>
      <c r="K214" s="887"/>
      <c r="L214" s="887">
        <f t="shared" si="145"/>
        <v>-2909074.5456620338</v>
      </c>
      <c r="M214" s="1320"/>
      <c r="N214" s="1833" t="str">
        <f>+"Ln "&amp;A212&amp;" + Ln "&amp;A213</f>
        <v>Ln 23.5200000000001 + Ln 23.5300000000001</v>
      </c>
      <c r="O214" s="2225">
        <v>282902</v>
      </c>
      <c r="P214" s="2223">
        <v>4106928.7703464003</v>
      </c>
      <c r="Q214" s="736">
        <f t="shared" si="106"/>
        <v>23.540000000000084</v>
      </c>
      <c r="R214" s="2223" t="s">
        <v>1823</v>
      </c>
      <c r="T214" s="2227">
        <f t="shared" si="107"/>
        <v>0</v>
      </c>
      <c r="U214" s="2227">
        <f t="shared" si="108"/>
        <v>0</v>
      </c>
      <c r="V214" s="2227">
        <f t="shared" si="109"/>
        <v>4106928.7703464003</v>
      </c>
      <c r="W214" s="2227">
        <f t="shared" si="110"/>
        <v>0</v>
      </c>
      <c r="X214" s="505">
        <f t="shared" si="111"/>
        <v>4106928.7703464003</v>
      </c>
    </row>
    <row r="215" spans="1:24" ht="13.2" customHeight="1">
      <c r="A215" s="736">
        <f t="shared" si="103"/>
        <v>23.550000000000086</v>
      </c>
      <c r="B215" s="173" t="s">
        <v>1824</v>
      </c>
      <c r="C215" s="534"/>
      <c r="D215" s="694">
        <v>0</v>
      </c>
      <c r="E215" s="1637">
        <v>-2600267.1299999952</v>
      </c>
      <c r="F215" s="887">
        <f t="shared" ref="F215:F218" si="146">+SUM($D215:$E215)/2</f>
        <v>-1300133.5649999976</v>
      </c>
      <c r="I215" s="1320"/>
      <c r="J215" s="1377">
        <f t="shared" ref="J215:J218" si="147">E215-$P215*$I$316</f>
        <v>91175504.036666676</v>
      </c>
      <c r="M215" s="1320"/>
      <c r="N215" s="1837"/>
      <c r="O215" s="2225">
        <v>282903</v>
      </c>
      <c r="P215" s="2223">
        <v>-132389324</v>
      </c>
      <c r="Q215" s="736">
        <f t="shared" si="106"/>
        <v>23.550000000000086</v>
      </c>
      <c r="R215" s="2223" t="s">
        <v>1824</v>
      </c>
      <c r="T215" s="2227">
        <f t="shared" si="107"/>
        <v>-132389324</v>
      </c>
      <c r="U215" s="2227">
        <f t="shared" si="108"/>
        <v>0</v>
      </c>
      <c r="V215" s="2227">
        <f t="shared" si="109"/>
        <v>0</v>
      </c>
      <c r="W215" s="2227">
        <f t="shared" si="110"/>
        <v>0</v>
      </c>
      <c r="X215" s="505">
        <f t="shared" si="111"/>
        <v>-132389324</v>
      </c>
    </row>
    <row r="216" spans="1:24" ht="13.2" customHeight="1">
      <c r="A216" s="736">
        <f t="shared" si="103"/>
        <v>23.560000000000088</v>
      </c>
      <c r="B216" s="173" t="s">
        <v>1825</v>
      </c>
      <c r="C216" s="534"/>
      <c r="D216" s="694">
        <v>0</v>
      </c>
      <c r="E216" s="1637">
        <v>208021.37000000011</v>
      </c>
      <c r="F216" s="887">
        <f t="shared" si="146"/>
        <v>104010.68500000006</v>
      </c>
      <c r="I216" s="1320"/>
      <c r="J216" s="1377">
        <f t="shared" si="147"/>
        <v>-13695255.088333335</v>
      </c>
      <c r="M216" s="1320"/>
      <c r="N216" s="1319" t="s">
        <v>49</v>
      </c>
      <c r="O216" s="2225">
        <v>282904</v>
      </c>
      <c r="P216" s="2223">
        <v>19628155</v>
      </c>
      <c r="Q216" s="736">
        <f t="shared" si="106"/>
        <v>23.560000000000088</v>
      </c>
      <c r="R216" s="2223" t="s">
        <v>1825</v>
      </c>
      <c r="T216" s="2227">
        <f t="shared" si="107"/>
        <v>19628155</v>
      </c>
      <c r="U216" s="2227">
        <f t="shared" si="108"/>
        <v>0</v>
      </c>
      <c r="V216" s="2227">
        <f t="shared" si="109"/>
        <v>0</v>
      </c>
      <c r="W216" s="2227">
        <f t="shared" si="110"/>
        <v>0</v>
      </c>
      <c r="X216" s="505">
        <f t="shared" si="111"/>
        <v>19628155</v>
      </c>
    </row>
    <row r="217" spans="1:24" ht="13.2" customHeight="1">
      <c r="A217" s="736">
        <f t="shared" si="103"/>
        <v>23.570000000000089</v>
      </c>
      <c r="B217" s="173" t="s">
        <v>1826</v>
      </c>
      <c r="C217" s="534"/>
      <c r="D217" s="694">
        <v>0</v>
      </c>
      <c r="E217" s="1637"/>
      <c r="F217" s="887">
        <f t="shared" si="146"/>
        <v>0</v>
      </c>
      <c r="I217" s="1320"/>
      <c r="J217" s="1377">
        <f t="shared" si="147"/>
        <v>0</v>
      </c>
      <c r="M217" s="1320"/>
      <c r="N217" s="1838" t="s">
        <v>1951</v>
      </c>
      <c r="Q217" s="736">
        <f t="shared" si="106"/>
        <v>23.570000000000089</v>
      </c>
      <c r="R217" s="1937" t="s">
        <v>1826</v>
      </c>
      <c r="T217" s="2227">
        <f t="shared" si="107"/>
        <v>0</v>
      </c>
      <c r="U217" s="2227">
        <f t="shared" si="108"/>
        <v>0</v>
      </c>
      <c r="V217" s="2227">
        <f t="shared" si="109"/>
        <v>0</v>
      </c>
      <c r="W217" s="2227">
        <f t="shared" si="110"/>
        <v>0</v>
      </c>
      <c r="X217" s="505">
        <f t="shared" si="111"/>
        <v>0</v>
      </c>
    </row>
    <row r="218" spans="1:24" ht="13.2" customHeight="1">
      <c r="A218" s="736">
        <f t="shared" si="103"/>
        <v>23.580000000000091</v>
      </c>
      <c r="B218" s="173" t="s">
        <v>1827</v>
      </c>
      <c r="C218" s="534"/>
      <c r="D218" s="694">
        <v>0</v>
      </c>
      <c r="E218" s="1637"/>
      <c r="F218" s="887">
        <f t="shared" si="146"/>
        <v>0</v>
      </c>
      <c r="I218" s="1320"/>
      <c r="J218" s="1377">
        <f t="shared" si="147"/>
        <v>0</v>
      </c>
      <c r="M218" s="1320"/>
      <c r="N218" s="1838" t="s">
        <v>1951</v>
      </c>
      <c r="Q218" s="736">
        <f t="shared" si="106"/>
        <v>23.580000000000091</v>
      </c>
      <c r="R218" s="1937" t="s">
        <v>1827</v>
      </c>
      <c r="T218" s="2227">
        <f t="shared" si="107"/>
        <v>0</v>
      </c>
      <c r="U218" s="2227">
        <f t="shared" si="108"/>
        <v>0</v>
      </c>
      <c r="V218" s="2227">
        <f t="shared" si="109"/>
        <v>0</v>
      </c>
      <c r="W218" s="2227">
        <f t="shared" si="110"/>
        <v>0</v>
      </c>
      <c r="X218" s="505">
        <f t="shared" si="111"/>
        <v>0</v>
      </c>
    </row>
    <row r="219" spans="1:24" ht="13.2" customHeight="1">
      <c r="A219" s="736">
        <f t="shared" si="103"/>
        <v>23.590000000000092</v>
      </c>
      <c r="B219" s="173" t="s">
        <v>1828</v>
      </c>
      <c r="C219" s="534"/>
      <c r="D219" s="694">
        <v>0</v>
      </c>
      <c r="E219" s="1637">
        <v>61760.85999999987</v>
      </c>
      <c r="F219" s="887"/>
      <c r="G219" s="887">
        <f t="shared" ref="G219:G220" si="148">+SUM($D219:$E219)/2</f>
        <v>30880.429999999935</v>
      </c>
      <c r="I219" s="1320"/>
      <c r="K219" s="887">
        <f>E219-$P219*$I$316</f>
        <v>2846214.6183357169</v>
      </c>
      <c r="M219" s="1320"/>
      <c r="N219" s="1838" t="s">
        <v>298</v>
      </c>
      <c r="O219" s="2225">
        <v>282907</v>
      </c>
      <c r="P219" s="2223">
        <v>-3930993.5411798358</v>
      </c>
      <c r="Q219" s="736">
        <f t="shared" si="106"/>
        <v>23.590000000000092</v>
      </c>
      <c r="R219" s="2223" t="s">
        <v>1828</v>
      </c>
      <c r="T219" s="2227">
        <f t="shared" si="107"/>
        <v>0</v>
      </c>
      <c r="U219" s="2227">
        <f t="shared" si="108"/>
        <v>-3930993.5411798358</v>
      </c>
      <c r="V219" s="2227">
        <f t="shared" si="109"/>
        <v>0</v>
      </c>
      <c r="W219" s="2227">
        <f t="shared" si="110"/>
        <v>0</v>
      </c>
      <c r="X219" s="505">
        <f t="shared" si="111"/>
        <v>-3930993.5411798358</v>
      </c>
    </row>
    <row r="220" spans="1:24" ht="13.2" customHeight="1">
      <c r="A220" s="736">
        <f t="shared" si="103"/>
        <v>23.600000000000094</v>
      </c>
      <c r="B220" s="173" t="s">
        <v>1829</v>
      </c>
      <c r="C220" s="534"/>
      <c r="D220" s="694">
        <v>0</v>
      </c>
      <c r="E220" s="1637">
        <v>-4940.8500000000058</v>
      </c>
      <c r="F220" s="887"/>
      <c r="G220" s="887">
        <f t="shared" si="148"/>
        <v>-2470.4250000000029</v>
      </c>
      <c r="I220" s="1320"/>
      <c r="K220" s="887">
        <f>E220-$P220*$I$316</f>
        <v>-227657.37467405002</v>
      </c>
      <c r="M220" s="1320"/>
      <c r="N220" s="1838" t="s">
        <v>298</v>
      </c>
      <c r="O220" s="2225">
        <v>282908</v>
      </c>
      <c r="P220" s="2223">
        <v>314423.32895160001</v>
      </c>
      <c r="Q220" s="736">
        <f t="shared" si="106"/>
        <v>23.600000000000094</v>
      </c>
      <c r="R220" s="2223" t="s">
        <v>1829</v>
      </c>
      <c r="T220" s="2227">
        <f t="shared" si="107"/>
        <v>0</v>
      </c>
      <c r="U220" s="2227">
        <f t="shared" si="108"/>
        <v>314423.32895160001</v>
      </c>
      <c r="V220" s="2227">
        <f t="shared" si="109"/>
        <v>0</v>
      </c>
      <c r="W220" s="2227">
        <f t="shared" si="110"/>
        <v>0</v>
      </c>
      <c r="X220" s="505">
        <f t="shared" si="111"/>
        <v>314423.32895160001</v>
      </c>
    </row>
    <row r="221" spans="1:24" ht="13.2" customHeight="1">
      <c r="A221" s="736">
        <f t="shared" si="103"/>
        <v>23.610000000000095</v>
      </c>
      <c r="B221" s="173" t="s">
        <v>1830</v>
      </c>
      <c r="C221" s="534"/>
      <c r="D221" s="694">
        <v>0</v>
      </c>
      <c r="E221" s="694"/>
      <c r="F221" s="1377"/>
      <c r="H221" s="887">
        <f t="shared" ref="H221:H222" si="149">+SUM($D221:$E221)/2</f>
        <v>0</v>
      </c>
      <c r="I221" s="1320"/>
      <c r="L221" s="887">
        <f t="shared" ref="L221:L222" si="150">E221-$P221*$I$316</f>
        <v>-3274410.2504547555</v>
      </c>
      <c r="M221" s="1320"/>
      <c r="N221" s="1838" t="s">
        <v>1952</v>
      </c>
      <c r="O221" s="2225">
        <v>282975</v>
      </c>
      <c r="P221" s="2223">
        <v>4622696.8241714193</v>
      </c>
      <c r="Q221" s="736">
        <f t="shared" si="106"/>
        <v>23.610000000000095</v>
      </c>
      <c r="R221" s="2223" t="s">
        <v>1830</v>
      </c>
      <c r="T221" s="2227">
        <f t="shared" si="107"/>
        <v>0</v>
      </c>
      <c r="U221" s="2227">
        <f t="shared" si="108"/>
        <v>0</v>
      </c>
      <c r="V221" s="2227">
        <f t="shared" si="109"/>
        <v>4622696.8241714193</v>
      </c>
      <c r="W221" s="2227">
        <f t="shared" si="110"/>
        <v>0</v>
      </c>
      <c r="X221" s="505">
        <f t="shared" si="111"/>
        <v>4622696.8241714193</v>
      </c>
    </row>
    <row r="222" spans="1:24" ht="13.2" customHeight="1">
      <c r="A222" s="736">
        <f t="shared" si="103"/>
        <v>23.620000000000097</v>
      </c>
      <c r="B222" s="173" t="s">
        <v>1831</v>
      </c>
      <c r="C222" s="534"/>
      <c r="D222" s="694">
        <v>0</v>
      </c>
      <c r="E222" s="694"/>
      <c r="F222" s="1377"/>
      <c r="G222" s="903"/>
      <c r="H222" s="903">
        <f t="shared" si="149"/>
        <v>0</v>
      </c>
      <c r="I222" s="1320"/>
      <c r="J222" s="903"/>
      <c r="K222" s="903"/>
      <c r="L222" s="903">
        <f t="shared" si="150"/>
        <v>261906.57236391667</v>
      </c>
      <c r="M222" s="1320"/>
      <c r="N222" s="1838" t="s">
        <v>1952</v>
      </c>
      <c r="O222" s="2225">
        <v>282976</v>
      </c>
      <c r="P222" s="2223">
        <v>-369750.45510199998</v>
      </c>
      <c r="Q222" s="736">
        <f t="shared" si="106"/>
        <v>23.620000000000097</v>
      </c>
      <c r="R222" s="2223" t="s">
        <v>1831</v>
      </c>
      <c r="T222" s="2227">
        <f t="shared" si="107"/>
        <v>0</v>
      </c>
      <c r="U222" s="2227">
        <f t="shared" si="108"/>
        <v>0</v>
      </c>
      <c r="V222" s="2227">
        <f t="shared" si="109"/>
        <v>-369750.45510199998</v>
      </c>
      <c r="W222" s="2227">
        <f t="shared" si="110"/>
        <v>0</v>
      </c>
      <c r="X222" s="505">
        <f t="shared" si="111"/>
        <v>-369750.45510199998</v>
      </c>
    </row>
    <row r="223" spans="1:24" ht="13.2" customHeight="1">
      <c r="A223" s="736">
        <f t="shared" si="103"/>
        <v>23.630000000000098</v>
      </c>
      <c r="B223" s="173" t="s">
        <v>1832</v>
      </c>
      <c r="C223" s="534"/>
      <c r="D223" s="694">
        <v>0</v>
      </c>
      <c r="E223" s="1637"/>
      <c r="F223" s="1377">
        <f t="shared" ref="F223:F226" si="151">+SUM($D223:$E223)/2</f>
        <v>0</v>
      </c>
      <c r="G223" s="903"/>
      <c r="H223" s="903"/>
      <c r="I223" s="1320"/>
      <c r="J223" s="1377">
        <f t="shared" ref="J223:J226" si="152">E223-$P223*$I$316</f>
        <v>0</v>
      </c>
      <c r="K223" s="903"/>
      <c r="L223" s="903"/>
      <c r="M223" s="1320"/>
      <c r="N223" s="1838" t="s">
        <v>1952</v>
      </c>
      <c r="Q223" s="736">
        <f t="shared" si="106"/>
        <v>23.630000000000098</v>
      </c>
      <c r="R223" s="1937" t="s">
        <v>1832</v>
      </c>
      <c r="T223" s="2227">
        <f t="shared" si="107"/>
        <v>0</v>
      </c>
      <c r="U223" s="2227">
        <f t="shared" si="108"/>
        <v>0</v>
      </c>
      <c r="V223" s="2227">
        <f t="shared" si="109"/>
        <v>0</v>
      </c>
      <c r="W223" s="2227">
        <f t="shared" si="110"/>
        <v>0</v>
      </c>
      <c r="X223" s="505">
        <f t="shared" si="111"/>
        <v>0</v>
      </c>
    </row>
    <row r="224" spans="1:24" ht="13.2" customHeight="1">
      <c r="A224" s="1640">
        <f>+A223+0.01</f>
        <v>23.6400000000001</v>
      </c>
      <c r="B224" s="1648" t="s">
        <v>2241</v>
      </c>
      <c r="C224" s="1634"/>
      <c r="D224" s="1632">
        <v>0</v>
      </c>
      <c r="E224" s="1632">
        <v>-74126950</v>
      </c>
      <c r="F224" s="1635">
        <f t="shared" si="151"/>
        <v>-37063475</v>
      </c>
      <c r="G224" s="1636"/>
      <c r="H224" s="1636"/>
      <c r="I224" s="1637"/>
      <c r="J224" s="1377">
        <f t="shared" si="152"/>
        <v>-74126950</v>
      </c>
      <c r="K224" s="1636"/>
      <c r="L224" s="1636"/>
      <c r="M224" s="1637"/>
      <c r="N224" s="1838" t="s">
        <v>1952</v>
      </c>
      <c r="Q224" s="1640">
        <f>+Q223+0.01</f>
        <v>23.6400000000001</v>
      </c>
      <c r="R224" s="1937" t="s">
        <v>2241</v>
      </c>
      <c r="T224" s="2227">
        <f t="shared" si="107"/>
        <v>0</v>
      </c>
      <c r="U224" s="2227">
        <f t="shared" si="108"/>
        <v>0</v>
      </c>
      <c r="V224" s="2227">
        <f t="shared" si="109"/>
        <v>0</v>
      </c>
      <c r="W224" s="2227">
        <f t="shared" si="110"/>
        <v>0</v>
      </c>
      <c r="X224" s="505">
        <f t="shared" si="111"/>
        <v>0</v>
      </c>
    </row>
    <row r="225" spans="1:24" ht="13.2" customHeight="1">
      <c r="A225" s="1640">
        <f>+A224+0.01</f>
        <v>23.650000000000102</v>
      </c>
      <c r="B225" s="1648" t="s">
        <v>2210</v>
      </c>
      <c r="C225" s="1634"/>
      <c r="D225" s="1632">
        <v>0</v>
      </c>
      <c r="E225" s="1632"/>
      <c r="F225" s="1635">
        <f t="shared" si="151"/>
        <v>0</v>
      </c>
      <c r="G225" s="1636"/>
      <c r="H225" s="1636"/>
      <c r="I225" s="1637"/>
      <c r="J225" s="1377">
        <f t="shared" si="152"/>
        <v>-76207.458333333343</v>
      </c>
      <c r="K225" s="1636"/>
      <c r="L225" s="1636"/>
      <c r="M225" s="1637"/>
      <c r="N225" s="1838" t="s">
        <v>1952</v>
      </c>
      <c r="O225" s="2225">
        <v>282537</v>
      </c>
      <c r="P225" s="2223">
        <v>107587</v>
      </c>
      <c r="Q225" s="1640">
        <f>+Q224+0.01</f>
        <v>23.650000000000102</v>
      </c>
      <c r="R225" s="2223" t="s">
        <v>2210</v>
      </c>
      <c r="T225" s="2227">
        <f t="shared" ref="T225:T229" si="153">IF(J225&lt;&gt;0,$P225,0)</f>
        <v>107587</v>
      </c>
      <c r="U225" s="2227">
        <f t="shared" ref="U225:U229" si="154">IF(K225&lt;&gt;0,$P225,0)</f>
        <v>0</v>
      </c>
      <c r="V225" s="2227">
        <f t="shared" ref="V225:V229" si="155">IF(L225&lt;&gt;0,$P225,0)</f>
        <v>0</v>
      </c>
      <c r="W225" s="2227">
        <f t="shared" ref="W225:W229" si="156">IF(M225&lt;&gt;0,$P225,0)</f>
        <v>0</v>
      </c>
      <c r="X225" s="505">
        <f t="shared" ref="X225:X229" si="157">SUM(T225:W225)</f>
        <v>107587</v>
      </c>
    </row>
    <row r="226" spans="1:24" ht="13.2" customHeight="1">
      <c r="A226" s="1640">
        <f>+A225+0.01</f>
        <v>23.660000000000103</v>
      </c>
      <c r="B226" s="1648" t="s">
        <v>2212</v>
      </c>
      <c r="C226" s="1634"/>
      <c r="D226" s="1632">
        <v>0</v>
      </c>
      <c r="E226" s="1632"/>
      <c r="F226" s="1635">
        <f t="shared" si="151"/>
        <v>0</v>
      </c>
      <c r="G226" s="1636"/>
      <c r="H226" s="1636"/>
      <c r="I226" s="1637"/>
      <c r="J226" s="1377">
        <f t="shared" si="152"/>
        <v>7061.6937500000013</v>
      </c>
      <c r="K226" s="1636"/>
      <c r="L226" s="1636"/>
      <c r="M226" s="1637"/>
      <c r="N226" s="1838" t="s">
        <v>1952</v>
      </c>
      <c r="O226" s="2225">
        <v>282538</v>
      </c>
      <c r="P226" s="2223">
        <v>-9969.4500000000007</v>
      </c>
      <c r="Q226" s="1640">
        <f>+Q225+0.01</f>
        <v>23.660000000000103</v>
      </c>
      <c r="R226" s="2223" t="s">
        <v>2212</v>
      </c>
      <c r="T226" s="2227">
        <f t="shared" si="153"/>
        <v>-9969.4500000000007</v>
      </c>
      <c r="U226" s="2227">
        <f t="shared" si="154"/>
        <v>0</v>
      </c>
      <c r="V226" s="2227">
        <f t="shared" si="155"/>
        <v>0</v>
      </c>
      <c r="W226" s="2227">
        <f t="shared" si="156"/>
        <v>0</v>
      </c>
      <c r="X226" s="505">
        <f t="shared" si="157"/>
        <v>-9969.4500000000007</v>
      </c>
    </row>
    <row r="227" spans="1:24" ht="13.2" customHeight="1">
      <c r="A227" s="1640">
        <f>+A226+0.01</f>
        <v>23.670000000000105</v>
      </c>
      <c r="B227" s="1648"/>
      <c r="C227" s="1634" t="s">
        <v>934</v>
      </c>
      <c r="D227" s="1632">
        <v>0</v>
      </c>
      <c r="E227" s="1632"/>
      <c r="F227" s="1635"/>
      <c r="G227" s="1636"/>
      <c r="H227" s="1636"/>
      <c r="I227" s="1637"/>
      <c r="J227" s="1636"/>
      <c r="K227" s="1636"/>
      <c r="L227" s="1636"/>
      <c r="M227" s="1637"/>
      <c r="N227" s="1838" t="s">
        <v>1952</v>
      </c>
      <c r="Q227" s="1640">
        <f>+Q226+0.01</f>
        <v>23.670000000000105</v>
      </c>
      <c r="S227" s="496" t="s">
        <v>934</v>
      </c>
      <c r="T227" s="2227">
        <f t="shared" si="153"/>
        <v>0</v>
      </c>
      <c r="U227" s="2227">
        <f t="shared" si="154"/>
        <v>0</v>
      </c>
      <c r="V227" s="2227">
        <f t="shared" si="155"/>
        <v>0</v>
      </c>
      <c r="W227" s="2227">
        <f t="shared" si="156"/>
        <v>0</v>
      </c>
      <c r="X227" s="505">
        <f t="shared" si="157"/>
        <v>0</v>
      </c>
    </row>
    <row r="228" spans="1:24" ht="13.2" customHeight="1">
      <c r="A228" s="1639" t="s">
        <v>925</v>
      </c>
      <c r="B228" s="1648"/>
      <c r="C228" s="1634" t="s">
        <v>934</v>
      </c>
      <c r="D228" s="1632">
        <v>0</v>
      </c>
      <c r="E228" s="1632"/>
      <c r="F228" s="1635"/>
      <c r="G228" s="1636"/>
      <c r="H228" s="1636"/>
      <c r="I228" s="1637"/>
      <c r="J228" s="1636"/>
      <c r="K228" s="1636"/>
      <c r="L228" s="1636"/>
      <c r="M228" s="1637"/>
      <c r="N228" s="1838" t="s">
        <v>196</v>
      </c>
      <c r="Q228" s="1639" t="s">
        <v>925</v>
      </c>
      <c r="S228" s="496" t="s">
        <v>934</v>
      </c>
      <c r="T228" s="2227">
        <f t="shared" si="153"/>
        <v>0</v>
      </c>
      <c r="U228" s="2227">
        <f t="shared" si="154"/>
        <v>0</v>
      </c>
      <c r="V228" s="2227">
        <f t="shared" si="155"/>
        <v>0</v>
      </c>
      <c r="W228" s="2227">
        <f t="shared" si="156"/>
        <v>0</v>
      </c>
      <c r="X228" s="505">
        <f t="shared" si="157"/>
        <v>0</v>
      </c>
    </row>
    <row r="229" spans="1:24" ht="13.2" customHeight="1">
      <c r="A229" s="1650" t="str">
        <f>23&amp;".XX"</f>
        <v>23.XX</v>
      </c>
      <c r="B229" s="1634"/>
      <c r="C229" s="1634" t="s">
        <v>934</v>
      </c>
      <c r="D229" s="1178">
        <v>0</v>
      </c>
      <c r="E229" s="1178"/>
      <c r="F229" s="1641"/>
      <c r="G229" s="695"/>
      <c r="H229" s="695"/>
      <c r="I229" s="1642"/>
      <c r="J229" s="695"/>
      <c r="K229" s="695"/>
      <c r="L229" s="695"/>
      <c r="M229" s="1642"/>
      <c r="N229" s="1838" t="s">
        <v>196</v>
      </c>
      <c r="Q229" s="1650" t="str">
        <f>23&amp;".XX"</f>
        <v>23.XX</v>
      </c>
      <c r="S229" s="496" t="s">
        <v>934</v>
      </c>
      <c r="T229" s="2227">
        <f t="shared" si="153"/>
        <v>0</v>
      </c>
      <c r="U229" s="2227">
        <f t="shared" si="154"/>
        <v>0</v>
      </c>
      <c r="V229" s="2227">
        <f t="shared" si="155"/>
        <v>0</v>
      </c>
      <c r="W229" s="2227">
        <f t="shared" si="156"/>
        <v>0</v>
      </c>
      <c r="X229" s="505">
        <f t="shared" si="157"/>
        <v>0</v>
      </c>
    </row>
    <row r="230" spans="1:24" ht="13.2" customHeight="1" thickBot="1">
      <c r="A230" s="735">
        <v>24</v>
      </c>
      <c r="B230" s="1899"/>
      <c r="C230" s="1899"/>
      <c r="D230" s="1899"/>
      <c r="E230" s="1442"/>
      <c r="F230" s="1440"/>
      <c r="G230" s="1441"/>
      <c r="H230" s="1441"/>
      <c r="I230" s="1442"/>
      <c r="J230" s="1440"/>
      <c r="K230" s="1441"/>
      <c r="L230" s="1441"/>
      <c r="M230" s="1442"/>
      <c r="N230" s="1838" t="s">
        <v>279</v>
      </c>
      <c r="Q230" s="735">
        <v>24</v>
      </c>
    </row>
    <row r="231" spans="1:24" ht="13.2" customHeight="1" thickBot="1">
      <c r="A231" s="735">
        <f>+A230+1</f>
        <v>25</v>
      </c>
      <c r="B231" s="1325" t="s">
        <v>2316</v>
      </c>
      <c r="C231" s="1326"/>
      <c r="D231" s="1327">
        <f t="shared" ref="D231:M231" si="158">SUM(D161:D229)</f>
        <v>0</v>
      </c>
      <c r="E231" s="1501">
        <f t="shared" si="158"/>
        <v>-70282569.339999989</v>
      </c>
      <c r="F231" s="903">
        <f t="shared" si="158"/>
        <v>-34963581.779999986</v>
      </c>
      <c r="G231" s="903">
        <f t="shared" si="158"/>
        <v>28410.004999999932</v>
      </c>
      <c r="H231" s="903">
        <f t="shared" si="158"/>
        <v>2044230.7600000002</v>
      </c>
      <c r="I231" s="1320">
        <f t="shared" si="158"/>
        <v>-2250343.6549999998</v>
      </c>
      <c r="J231" s="1443">
        <f t="shared" si="158"/>
        <v>-51378456.063273653</v>
      </c>
      <c r="K231" s="903">
        <f t="shared" si="158"/>
        <v>2618557.2436616668</v>
      </c>
      <c r="L231" s="903">
        <f t="shared" si="158"/>
        <v>159887649.04683855</v>
      </c>
      <c r="M231" s="1320">
        <f t="shared" si="158"/>
        <v>1786438.2807511906</v>
      </c>
      <c r="N231" s="1838" t="s">
        <v>279</v>
      </c>
      <c r="P231" s="1937">
        <f>SUM(P161:P229)</f>
        <v>-258630716.96185091</v>
      </c>
      <c r="Q231" s="735">
        <f>+Q230+1</f>
        <v>25</v>
      </c>
      <c r="R231" s="1937" t="s">
        <v>527</v>
      </c>
      <c r="T231" s="1937">
        <f t="shared" ref="T231:X231" si="159">SUM(T161:T229)</f>
        <v>-26186410.583613645</v>
      </c>
      <c r="U231" s="1937">
        <f t="shared" si="159"/>
        <v>-3616570.2122282358</v>
      </c>
      <c r="V231" s="1937">
        <f t="shared" si="159"/>
        <v>-219951794.15553683</v>
      </c>
      <c r="W231" s="1937">
        <f t="shared" si="159"/>
        <v>-8875942.0104722679</v>
      </c>
      <c r="X231" s="1937">
        <f t="shared" si="159"/>
        <v>-258630716.96185091</v>
      </c>
    </row>
    <row r="232" spans="1:24" ht="13.2" customHeight="1">
      <c r="A232" s="1657">
        <f>+A231+0.1</f>
        <v>25.1</v>
      </c>
      <c r="B232" s="2405" t="s">
        <v>1451</v>
      </c>
      <c r="C232" s="2405"/>
      <c r="D232" s="256">
        <v>0</v>
      </c>
      <c r="E232" s="256">
        <v>0</v>
      </c>
      <c r="F232" s="823"/>
      <c r="G232" s="256"/>
      <c r="H232" s="1629">
        <f t="shared" ref="H232" si="160">+SUM($D232:$E232)/2</f>
        <v>0</v>
      </c>
      <c r="I232" s="1630"/>
      <c r="J232" s="823"/>
      <c r="K232" s="256"/>
      <c r="L232" s="256">
        <f>+E232</f>
        <v>0</v>
      </c>
      <c r="M232" s="1630"/>
      <c r="N232" s="1838" t="s">
        <v>5</v>
      </c>
      <c r="Q232" s="1657">
        <f>+Q231+0.1</f>
        <v>25.1</v>
      </c>
      <c r="R232" s="1937" t="s">
        <v>1451</v>
      </c>
    </row>
    <row r="233" spans="1:24" ht="13.2" customHeight="1">
      <c r="A233" s="735">
        <f>+A231+1</f>
        <v>26</v>
      </c>
      <c r="B233" s="2403" t="s">
        <v>525</v>
      </c>
      <c r="C233" s="2403"/>
      <c r="D233" s="903">
        <f>D208+D209+D210+D211+D212</f>
        <v>0</v>
      </c>
      <c r="E233" s="903">
        <f t="shared" ref="E233:M233" si="161">E208+E209+E210+E211+E212</f>
        <v>-61143050</v>
      </c>
      <c r="F233" s="903">
        <f t="shared" si="161"/>
        <v>-30571525</v>
      </c>
      <c r="G233" s="1860">
        <f t="shared" si="161"/>
        <v>0</v>
      </c>
      <c r="H233" s="1860">
        <f t="shared" si="161"/>
        <v>0</v>
      </c>
      <c r="I233" s="1860">
        <f t="shared" si="161"/>
        <v>0</v>
      </c>
      <c r="J233" s="903">
        <f t="shared" si="161"/>
        <v>-63981515.208333328</v>
      </c>
      <c r="K233" s="1860">
        <f t="shared" si="161"/>
        <v>0</v>
      </c>
      <c r="L233" s="1860">
        <f t="shared" si="161"/>
        <v>0</v>
      </c>
      <c r="M233" s="1860">
        <f t="shared" si="161"/>
        <v>0</v>
      </c>
      <c r="N233" s="1838" t="s">
        <v>5</v>
      </c>
      <c r="P233" s="903">
        <f t="shared" ref="P233" si="162">P208+P209+P210+P211+P212</f>
        <v>4007245</v>
      </c>
      <c r="Q233" s="735">
        <f>+Q231+1</f>
        <v>26</v>
      </c>
      <c r="R233" s="903" t="s">
        <v>525</v>
      </c>
      <c r="T233" s="903">
        <f t="shared" ref="T233:X233" si="163">T208+T209+T210+T211+T212</f>
        <v>4007245</v>
      </c>
      <c r="U233" s="903">
        <f t="shared" si="163"/>
        <v>0</v>
      </c>
      <c r="V233" s="903">
        <f t="shared" si="163"/>
        <v>0</v>
      </c>
      <c r="W233" s="903">
        <f t="shared" si="163"/>
        <v>0</v>
      </c>
      <c r="X233" s="903">
        <f t="shared" si="163"/>
        <v>4007245</v>
      </c>
    </row>
    <row r="234" spans="1:24" ht="13.2" customHeight="1">
      <c r="A234" s="1915">
        <f>+A233+0.1</f>
        <v>26.1</v>
      </c>
      <c r="B234" s="1329" t="s">
        <v>1940</v>
      </c>
      <c r="C234" s="1329"/>
      <c r="D234" s="1927">
        <v>0</v>
      </c>
      <c r="E234" s="1928">
        <v>0</v>
      </c>
      <c r="F234" s="1929">
        <v>0</v>
      </c>
      <c r="G234" s="1930">
        <v>0</v>
      </c>
      <c r="H234" s="1930">
        <v>0</v>
      </c>
      <c r="I234" s="1948">
        <v>0</v>
      </c>
      <c r="J234" s="1930">
        <v>0</v>
      </c>
      <c r="K234" s="1930">
        <v>0</v>
      </c>
      <c r="L234" s="1930">
        <v>0</v>
      </c>
      <c r="M234" s="1948">
        <v>0</v>
      </c>
      <c r="N234" s="1838" t="s">
        <v>7</v>
      </c>
      <c r="Q234" s="1915">
        <f>+Q233+0.1</f>
        <v>26.1</v>
      </c>
      <c r="R234" s="1937" t="s">
        <v>1940</v>
      </c>
    </row>
    <row r="235" spans="1:24" ht="13.2" customHeight="1">
      <c r="A235" s="735">
        <f>+A233+1</f>
        <v>27</v>
      </c>
      <c r="B235" s="1329" t="s">
        <v>1941</v>
      </c>
      <c r="C235" s="1824"/>
      <c r="D235" s="256">
        <f>+D231+D232-D233+D234</f>
        <v>0</v>
      </c>
      <c r="E235" s="256">
        <f t="shared" ref="E235:M235" si="164">+E231+E232-E233+E234</f>
        <v>-9139519.3399999887</v>
      </c>
      <c r="F235" s="823">
        <f t="shared" si="164"/>
        <v>-4392056.7799999863</v>
      </c>
      <c r="G235" s="256">
        <f t="shared" si="164"/>
        <v>28410.004999999932</v>
      </c>
      <c r="H235" s="256">
        <f t="shared" si="164"/>
        <v>2044230.7600000002</v>
      </c>
      <c r="I235" s="1630">
        <f t="shared" si="164"/>
        <v>-2250343.6549999998</v>
      </c>
      <c r="J235" s="823">
        <f t="shared" si="164"/>
        <v>12603059.145059675</v>
      </c>
      <c r="K235" s="256">
        <f t="shared" si="164"/>
        <v>2618557.2436616668</v>
      </c>
      <c r="L235" s="256">
        <f t="shared" si="164"/>
        <v>159887649.04683855</v>
      </c>
      <c r="M235" s="1630">
        <f t="shared" si="164"/>
        <v>1786438.2807511906</v>
      </c>
      <c r="N235" s="1838" t="s">
        <v>7</v>
      </c>
      <c r="P235" s="1937">
        <f t="shared" ref="P235" si="165">+P231+P232-P233+P234</f>
        <v>-262637961.96185091</v>
      </c>
      <c r="Q235" s="735">
        <f>+Q233+1</f>
        <v>27</v>
      </c>
      <c r="R235" s="1937" t="s">
        <v>1941</v>
      </c>
      <c r="T235" s="505">
        <f t="shared" ref="T235:X235" si="166">+T231+T232-T233+T234</f>
        <v>-30193655.583613645</v>
      </c>
      <c r="U235" s="505">
        <f t="shared" si="166"/>
        <v>-3616570.2122282358</v>
      </c>
      <c r="V235" s="505">
        <f t="shared" si="166"/>
        <v>-219951794.15553683</v>
      </c>
      <c r="W235" s="505">
        <f t="shared" si="166"/>
        <v>-8875942.0104722679</v>
      </c>
      <c r="X235" s="505">
        <f t="shared" si="166"/>
        <v>-262637961.96185091</v>
      </c>
    </row>
    <row r="236" spans="1:24" ht="13.2" customHeight="1">
      <c r="A236" s="735">
        <f>+A235+1</f>
        <v>28</v>
      </c>
      <c r="B236" s="1331"/>
      <c r="C236" s="1331"/>
      <c r="D236" s="1448"/>
      <c r="E236" s="1449"/>
      <c r="F236" s="1450"/>
      <c r="G236" s="1450"/>
      <c r="H236" s="1450"/>
      <c r="I236" s="1450"/>
      <c r="J236" s="903"/>
      <c r="K236" s="903"/>
      <c r="L236" s="1450"/>
      <c r="M236" s="1450"/>
      <c r="N236" s="1838" t="s">
        <v>297</v>
      </c>
      <c r="Q236" s="735">
        <f>+Q235+1</f>
        <v>28</v>
      </c>
    </row>
    <row r="237" spans="1:24" ht="13.2" customHeight="1">
      <c r="A237" s="735">
        <f>+A236+1</f>
        <v>29</v>
      </c>
      <c r="B237" s="1329" t="s">
        <v>775</v>
      </c>
      <c r="C237" s="911"/>
      <c r="D237" s="1435"/>
      <c r="E237" s="1451"/>
      <c r="F237" s="2388" t="str">
        <f>F8</f>
        <v>Average of BOY/EOY (Col (C+D)/2)</v>
      </c>
      <c r="G237" s="2379"/>
      <c r="H237" s="2379"/>
      <c r="I237" s="2380"/>
      <c r="J237" s="2388" t="str">
        <f>J8</f>
        <v>Col D - (Col M x  29.17%) [Note 1]</v>
      </c>
      <c r="K237" s="2379"/>
      <c r="L237" s="2379"/>
      <c r="M237" s="2380"/>
      <c r="N237" s="1838" t="s">
        <v>297</v>
      </c>
      <c r="Q237" s="735">
        <f>+Q236+1</f>
        <v>29</v>
      </c>
      <c r="R237" s="1937" t="s">
        <v>775</v>
      </c>
    </row>
    <row r="238" spans="1:24" ht="13.2" customHeight="1">
      <c r="A238" s="736">
        <f t="shared" ref="A238:A301" si="167">+A237+0.01</f>
        <v>29.01</v>
      </c>
      <c r="B238" s="534" t="s">
        <v>1648</v>
      </c>
      <c r="C238" s="534"/>
      <c r="D238" s="694">
        <v>0</v>
      </c>
      <c r="E238" s="694">
        <v>-39384.14</v>
      </c>
      <c r="F238" s="1377">
        <f t="shared" ref="F238:G253" si="168">+SUM($D238:$E238)/2</f>
        <v>-19692.07</v>
      </c>
      <c r="G238" s="903"/>
      <c r="H238" s="903"/>
      <c r="I238" s="1320"/>
      <c r="J238" s="1377">
        <f t="shared" ref="J238:J245" si="169">E238-$P238*$I$316</f>
        <v>-11487.175416666658</v>
      </c>
      <c r="K238" s="903"/>
      <c r="L238" s="903"/>
      <c r="M238" s="1320"/>
      <c r="N238" s="1838" t="s">
        <v>1953</v>
      </c>
      <c r="O238" s="2225">
        <v>283111</v>
      </c>
      <c r="P238" s="2223">
        <v>-39383.950000000012</v>
      </c>
      <c r="Q238" s="736">
        <f t="shared" ref="Q238:Q301" si="170">+Q237+0.01</f>
        <v>29.01</v>
      </c>
      <c r="R238" s="2223" t="s">
        <v>1648</v>
      </c>
      <c r="T238" s="2227">
        <f t="shared" ref="T238:T301" si="171">IF(J238&lt;&gt;0,$P238,0)</f>
        <v>-39383.950000000012</v>
      </c>
      <c r="U238" s="2227">
        <f t="shared" ref="U238:U301" si="172">IF(K238&lt;&gt;0,$P238,0)</f>
        <v>0</v>
      </c>
      <c r="V238" s="2227">
        <f t="shared" ref="V238:V301" si="173">IF(L238&lt;&gt;0,$P238,0)</f>
        <v>0</v>
      </c>
      <c r="W238" s="2227">
        <f t="shared" ref="W238:W301" si="174">IF(M238&lt;&gt;0,$P238,0)</f>
        <v>0</v>
      </c>
      <c r="X238" s="505">
        <f t="shared" ref="X238:X301" si="175">SUM(T238:W238)</f>
        <v>-39383.950000000012</v>
      </c>
    </row>
    <row r="239" spans="1:24" ht="13.2" customHeight="1">
      <c r="A239" s="736">
        <f t="shared" si="167"/>
        <v>29.020000000000003</v>
      </c>
      <c r="B239" s="534" t="s">
        <v>1649</v>
      </c>
      <c r="C239" s="534"/>
      <c r="D239" s="694">
        <v>0</v>
      </c>
      <c r="E239" s="694">
        <v>3150.74</v>
      </c>
      <c r="F239" s="1377">
        <f t="shared" si="168"/>
        <v>1575.37</v>
      </c>
      <c r="I239" s="1320"/>
      <c r="J239" s="1377">
        <f t="shared" si="169"/>
        <v>918.64708333333647</v>
      </c>
      <c r="M239" s="1320"/>
      <c r="N239" s="1838" t="s">
        <v>1953</v>
      </c>
      <c r="O239" s="2225">
        <v>283112</v>
      </c>
      <c r="P239" s="2223">
        <v>3151.1899999999951</v>
      </c>
      <c r="Q239" s="736">
        <f t="shared" si="170"/>
        <v>29.020000000000003</v>
      </c>
      <c r="R239" s="2223" t="s">
        <v>1649</v>
      </c>
      <c r="T239" s="2227">
        <f t="shared" si="171"/>
        <v>3151.1899999999951</v>
      </c>
      <c r="U239" s="2227">
        <f t="shared" si="172"/>
        <v>0</v>
      </c>
      <c r="V239" s="2227">
        <f t="shared" si="173"/>
        <v>0</v>
      </c>
      <c r="W239" s="2227">
        <f t="shared" si="174"/>
        <v>0</v>
      </c>
      <c r="X239" s="505">
        <f t="shared" si="175"/>
        <v>3151.1899999999951</v>
      </c>
    </row>
    <row r="240" spans="1:24" ht="13.2" customHeight="1">
      <c r="A240" s="736">
        <f t="shared" si="167"/>
        <v>29.030000000000005</v>
      </c>
      <c r="B240" s="534" t="s">
        <v>1833</v>
      </c>
      <c r="C240" s="534"/>
      <c r="D240" s="694">
        <v>0</v>
      </c>
      <c r="E240" s="694">
        <v>-2510684.13</v>
      </c>
      <c r="F240" s="1377">
        <f t="shared" si="168"/>
        <v>-1255342.0649999999</v>
      </c>
      <c r="I240" s="1320"/>
      <c r="J240" s="1377">
        <f t="shared" si="169"/>
        <v>-732283.21124999993</v>
      </c>
      <c r="M240" s="1320"/>
      <c r="N240" s="1838" t="s">
        <v>201</v>
      </c>
      <c r="O240" s="2225">
        <v>283151</v>
      </c>
      <c r="P240" s="2223">
        <v>-2510683.65</v>
      </c>
      <c r="Q240" s="736">
        <f t="shared" si="170"/>
        <v>29.030000000000005</v>
      </c>
      <c r="R240" s="2223" t="s">
        <v>1833</v>
      </c>
      <c r="T240" s="2227">
        <f t="shared" si="171"/>
        <v>-2510683.65</v>
      </c>
      <c r="U240" s="2227">
        <f t="shared" si="172"/>
        <v>0</v>
      </c>
      <c r="V240" s="2227">
        <f t="shared" si="173"/>
        <v>0</v>
      </c>
      <c r="W240" s="2227">
        <f t="shared" si="174"/>
        <v>0</v>
      </c>
      <c r="X240" s="505">
        <f t="shared" si="175"/>
        <v>-2510683.65</v>
      </c>
    </row>
    <row r="241" spans="1:24" ht="13.2" customHeight="1">
      <c r="A241" s="736">
        <f t="shared" si="167"/>
        <v>29.040000000000006</v>
      </c>
      <c r="B241" s="534" t="s">
        <v>1834</v>
      </c>
      <c r="C241" s="534"/>
      <c r="D241" s="694">
        <v>0</v>
      </c>
      <c r="E241" s="694">
        <v>200854.72</v>
      </c>
      <c r="F241" s="1377">
        <f t="shared" si="168"/>
        <v>100427.36</v>
      </c>
      <c r="I241" s="1320"/>
      <c r="J241" s="1377">
        <f t="shared" si="169"/>
        <v>58582.371666666673</v>
      </c>
      <c r="M241" s="1320"/>
      <c r="N241" s="1838" t="s">
        <v>201</v>
      </c>
      <c r="O241" s="2225">
        <v>283152</v>
      </c>
      <c r="P241" s="2223">
        <v>200855.08</v>
      </c>
      <c r="Q241" s="736">
        <f t="shared" si="170"/>
        <v>29.040000000000006</v>
      </c>
      <c r="R241" s="2223" t="s">
        <v>1834</v>
      </c>
      <c r="T241" s="2227">
        <f t="shared" si="171"/>
        <v>200855.08</v>
      </c>
      <c r="U241" s="2227">
        <f t="shared" si="172"/>
        <v>0</v>
      </c>
      <c r="V241" s="2227">
        <f t="shared" si="173"/>
        <v>0</v>
      </c>
      <c r="W241" s="2227">
        <f t="shared" si="174"/>
        <v>0</v>
      </c>
      <c r="X241" s="505">
        <f t="shared" si="175"/>
        <v>200855.08</v>
      </c>
    </row>
    <row r="242" spans="1:24" ht="13.2" customHeight="1">
      <c r="A242" s="736">
        <f t="shared" si="167"/>
        <v>29.050000000000008</v>
      </c>
      <c r="B242" s="534" t="s">
        <v>1835</v>
      </c>
      <c r="C242" s="534"/>
      <c r="D242" s="694">
        <v>0</v>
      </c>
      <c r="E242" s="694">
        <v>-10277961.789999999</v>
      </c>
      <c r="F242" s="1377">
        <f t="shared" si="168"/>
        <v>-5138980.8949999996</v>
      </c>
      <c r="I242" s="1320"/>
      <c r="J242" s="1377">
        <f t="shared" si="169"/>
        <v>-2997738.7066666652</v>
      </c>
      <c r="M242" s="1320"/>
      <c r="N242" s="1838" t="s">
        <v>6</v>
      </c>
      <c r="O242" s="2225">
        <v>283153</v>
      </c>
      <c r="P242" s="2223">
        <v>-10277962</v>
      </c>
      <c r="Q242" s="736">
        <f t="shared" si="170"/>
        <v>29.050000000000008</v>
      </c>
      <c r="R242" s="2223" t="s">
        <v>1835</v>
      </c>
      <c r="T242" s="2227">
        <f t="shared" si="171"/>
        <v>-10277962</v>
      </c>
      <c r="U242" s="2227">
        <f t="shared" si="172"/>
        <v>0</v>
      </c>
      <c r="V242" s="2227">
        <f t="shared" si="173"/>
        <v>0</v>
      </c>
      <c r="W242" s="2227">
        <f t="shared" si="174"/>
        <v>0</v>
      </c>
      <c r="X242" s="505">
        <f t="shared" si="175"/>
        <v>-10277962</v>
      </c>
    </row>
    <row r="243" spans="1:24" ht="13.2" customHeight="1">
      <c r="A243" s="736">
        <f t="shared" si="167"/>
        <v>29.060000000000009</v>
      </c>
      <c r="B243" s="534" t="s">
        <v>1836</v>
      </c>
      <c r="C243" s="534"/>
      <c r="D243" s="694">
        <v>0</v>
      </c>
      <c r="E243" s="694">
        <v>822236.94</v>
      </c>
      <c r="F243" s="1377">
        <f t="shared" si="168"/>
        <v>411118.47</v>
      </c>
      <c r="I243" s="1320"/>
      <c r="J243" s="1377">
        <f t="shared" si="169"/>
        <v>239819.06499999994</v>
      </c>
      <c r="M243" s="1320"/>
      <c r="N243" s="1838" t="s">
        <v>6</v>
      </c>
      <c r="O243" s="2225">
        <v>283154</v>
      </c>
      <c r="P243" s="2223">
        <v>822237</v>
      </c>
      <c r="Q243" s="736">
        <f t="shared" si="170"/>
        <v>29.060000000000009</v>
      </c>
      <c r="R243" s="2223" t="s">
        <v>1836</v>
      </c>
      <c r="T243" s="2227">
        <f t="shared" si="171"/>
        <v>822237</v>
      </c>
      <c r="U243" s="2227">
        <f t="shared" si="172"/>
        <v>0</v>
      </c>
      <c r="V243" s="2227">
        <f t="shared" si="173"/>
        <v>0</v>
      </c>
      <c r="W243" s="2227">
        <f t="shared" si="174"/>
        <v>0</v>
      </c>
      <c r="X243" s="505">
        <f t="shared" si="175"/>
        <v>822237</v>
      </c>
    </row>
    <row r="244" spans="1:24" ht="13.2" customHeight="1">
      <c r="A244" s="736">
        <f t="shared" si="167"/>
        <v>29.070000000000011</v>
      </c>
      <c r="B244" s="534" t="s">
        <v>1837</v>
      </c>
      <c r="C244" s="534"/>
      <c r="D244" s="694">
        <v>0</v>
      </c>
      <c r="E244" s="694">
        <v>659240.69999999995</v>
      </c>
      <c r="F244" s="1377">
        <f t="shared" si="168"/>
        <v>329620.34999999998</v>
      </c>
      <c r="I244" s="1320"/>
      <c r="J244" s="1377">
        <f t="shared" si="169"/>
        <v>192278.32499999995</v>
      </c>
      <c r="M244" s="1320"/>
      <c r="N244" s="1897" t="s">
        <v>1954</v>
      </c>
      <c r="O244" s="2225">
        <v>283155</v>
      </c>
      <c r="P244" s="2223">
        <v>659241</v>
      </c>
      <c r="Q244" s="736">
        <f t="shared" si="170"/>
        <v>29.070000000000011</v>
      </c>
      <c r="R244" s="2223" t="s">
        <v>1837</v>
      </c>
      <c r="T244" s="2227">
        <f t="shared" si="171"/>
        <v>659241</v>
      </c>
      <c r="U244" s="2227">
        <f t="shared" si="172"/>
        <v>0</v>
      </c>
      <c r="V244" s="2227">
        <f t="shared" si="173"/>
        <v>0</v>
      </c>
      <c r="W244" s="2227">
        <f t="shared" si="174"/>
        <v>0</v>
      </c>
      <c r="X244" s="505">
        <f t="shared" si="175"/>
        <v>659241</v>
      </c>
    </row>
    <row r="245" spans="1:24" ht="13.2" customHeight="1">
      <c r="A245" s="736">
        <f t="shared" si="167"/>
        <v>29.080000000000013</v>
      </c>
      <c r="B245" s="534" t="s">
        <v>1838</v>
      </c>
      <c r="C245" s="534"/>
      <c r="D245" s="694">
        <v>0</v>
      </c>
      <c r="E245" s="694">
        <v>-52739.25</v>
      </c>
      <c r="F245" s="1377">
        <f t="shared" si="168"/>
        <v>-26369.625</v>
      </c>
      <c r="I245" s="1320"/>
      <c r="J245" s="1377">
        <f t="shared" si="169"/>
        <v>-15382.458333333328</v>
      </c>
      <c r="M245" s="1320"/>
      <c r="N245" s="1897" t="s">
        <v>1954</v>
      </c>
      <c r="O245" s="2225">
        <v>283156</v>
      </c>
      <c r="P245" s="2223">
        <v>-52739</v>
      </c>
      <c r="Q245" s="736">
        <f t="shared" si="170"/>
        <v>29.080000000000013</v>
      </c>
      <c r="R245" s="2223" t="s">
        <v>1838</v>
      </c>
      <c r="T245" s="2227">
        <f t="shared" si="171"/>
        <v>-52739</v>
      </c>
      <c r="U245" s="2227">
        <f t="shared" si="172"/>
        <v>0</v>
      </c>
      <c r="V245" s="2227">
        <f t="shared" si="173"/>
        <v>0</v>
      </c>
      <c r="W245" s="2227">
        <f t="shared" si="174"/>
        <v>0</v>
      </c>
      <c r="X245" s="505">
        <f t="shared" si="175"/>
        <v>-52739</v>
      </c>
    </row>
    <row r="246" spans="1:24" ht="13.2" customHeight="1">
      <c r="A246" s="736">
        <f t="shared" si="167"/>
        <v>29.090000000000014</v>
      </c>
      <c r="B246" s="534" t="s">
        <v>1839</v>
      </c>
      <c r="C246" s="534"/>
      <c r="D246" s="694">
        <v>0</v>
      </c>
      <c r="E246" s="694">
        <v>-485720.44999999995</v>
      </c>
      <c r="F246" s="1377"/>
      <c r="G246" s="887">
        <f t="shared" si="168"/>
        <v>-242860.22499999998</v>
      </c>
      <c r="I246" s="1320"/>
      <c r="J246" s="1377"/>
      <c r="K246" s="887">
        <f t="shared" ref="K246:K247" si="176">E246-$P246*$I$316</f>
        <v>-141668.46458333323</v>
      </c>
      <c r="M246" s="1320"/>
      <c r="N246" s="1897" t="s">
        <v>8</v>
      </c>
      <c r="O246" s="2225">
        <v>283157</v>
      </c>
      <c r="P246" s="2223">
        <v>-485720.45</v>
      </c>
      <c r="Q246" s="736">
        <f t="shared" si="170"/>
        <v>29.090000000000014</v>
      </c>
      <c r="R246" s="2223" t="s">
        <v>1839</v>
      </c>
      <c r="T246" s="2227">
        <f t="shared" si="171"/>
        <v>0</v>
      </c>
      <c r="U246" s="2227">
        <f t="shared" si="172"/>
        <v>-485720.45</v>
      </c>
      <c r="V246" s="2227">
        <f t="shared" si="173"/>
        <v>0</v>
      </c>
      <c r="W246" s="2227">
        <f t="shared" si="174"/>
        <v>0</v>
      </c>
      <c r="X246" s="505">
        <f t="shared" si="175"/>
        <v>-485720.45</v>
      </c>
    </row>
    <row r="247" spans="1:24" ht="13.2" customHeight="1">
      <c r="A247" s="736">
        <f t="shared" si="167"/>
        <v>29.100000000000016</v>
      </c>
      <c r="B247" s="534" t="s">
        <v>1840</v>
      </c>
      <c r="C247" s="534"/>
      <c r="D247" s="694">
        <v>0</v>
      </c>
      <c r="E247" s="694">
        <v>38857.65</v>
      </c>
      <c r="F247" s="1377"/>
      <c r="G247" s="887">
        <f t="shared" si="168"/>
        <v>19428.825000000001</v>
      </c>
      <c r="I247" s="1320"/>
      <c r="J247" s="1377"/>
      <c r="K247" s="887">
        <f t="shared" si="176"/>
        <v>11333.481250000001</v>
      </c>
      <c r="M247" s="1320"/>
      <c r="N247" s="1897" t="s">
        <v>8</v>
      </c>
      <c r="O247" s="2225">
        <v>283158</v>
      </c>
      <c r="P247" s="2223">
        <v>38857.65</v>
      </c>
      <c r="Q247" s="736">
        <f t="shared" si="170"/>
        <v>29.100000000000016</v>
      </c>
      <c r="R247" s="2223" t="s">
        <v>1840</v>
      </c>
      <c r="T247" s="2227">
        <f t="shared" si="171"/>
        <v>0</v>
      </c>
      <c r="U247" s="2227">
        <f t="shared" si="172"/>
        <v>38857.65</v>
      </c>
      <c r="V247" s="2227">
        <f t="shared" si="173"/>
        <v>0</v>
      </c>
      <c r="W247" s="2227">
        <f t="shared" si="174"/>
        <v>0</v>
      </c>
      <c r="X247" s="505">
        <f t="shared" si="175"/>
        <v>38857.65</v>
      </c>
    </row>
    <row r="248" spans="1:24" ht="13.2" customHeight="1">
      <c r="A248" s="736">
        <f t="shared" si="167"/>
        <v>29.110000000000017</v>
      </c>
      <c r="B248" s="534" t="s">
        <v>1841</v>
      </c>
      <c r="C248" s="534"/>
      <c r="D248" s="694">
        <v>0</v>
      </c>
      <c r="E248" s="694">
        <v>-967.27999999999884</v>
      </c>
      <c r="F248" s="1377">
        <f t="shared" si="168"/>
        <v>-483.63999999999942</v>
      </c>
      <c r="I248" s="1320"/>
      <c r="J248" s="1377">
        <f t="shared" ref="J248:J253" si="177">E248-$P248*$I$316</f>
        <v>-282.12333333333299</v>
      </c>
      <c r="M248" s="1320"/>
      <c r="N248" s="1838" t="s">
        <v>191</v>
      </c>
      <c r="O248" s="2225">
        <v>283165</v>
      </c>
      <c r="P248" s="2223">
        <v>-967.27999999999884</v>
      </c>
      <c r="Q248" s="736">
        <f t="shared" si="170"/>
        <v>29.110000000000017</v>
      </c>
      <c r="R248" s="2223" t="s">
        <v>1841</v>
      </c>
      <c r="T248" s="2227">
        <f t="shared" si="171"/>
        <v>-967.27999999999884</v>
      </c>
      <c r="U248" s="2227">
        <f t="shared" si="172"/>
        <v>0</v>
      </c>
      <c r="V248" s="2227">
        <f t="shared" si="173"/>
        <v>0</v>
      </c>
      <c r="W248" s="2227">
        <f t="shared" si="174"/>
        <v>0</v>
      </c>
      <c r="X248" s="505">
        <f t="shared" si="175"/>
        <v>-967.27999999999884</v>
      </c>
    </row>
    <row r="249" spans="1:24" ht="13.2" customHeight="1">
      <c r="A249" s="736">
        <f t="shared" si="167"/>
        <v>29.120000000000019</v>
      </c>
      <c r="B249" s="534" t="s">
        <v>1842</v>
      </c>
      <c r="C249" s="534"/>
      <c r="D249" s="694">
        <v>0</v>
      </c>
      <c r="E249" s="694">
        <v>77.400000000000091</v>
      </c>
      <c r="F249" s="1377">
        <f t="shared" si="168"/>
        <v>38.700000000000045</v>
      </c>
      <c r="I249" s="1320"/>
      <c r="J249" s="1377">
        <f t="shared" si="177"/>
        <v>22.575000000000024</v>
      </c>
      <c r="M249" s="1320"/>
      <c r="N249" s="1838" t="s">
        <v>191</v>
      </c>
      <c r="O249" s="2225">
        <v>283166</v>
      </c>
      <c r="P249" s="2223">
        <v>77.400000000000091</v>
      </c>
      <c r="Q249" s="736">
        <f t="shared" si="170"/>
        <v>29.120000000000019</v>
      </c>
      <c r="R249" s="2223" t="s">
        <v>1842</v>
      </c>
      <c r="T249" s="2227">
        <f t="shared" si="171"/>
        <v>77.400000000000091</v>
      </c>
      <c r="U249" s="2227">
        <f t="shared" si="172"/>
        <v>0</v>
      </c>
      <c r="V249" s="2227">
        <f t="shared" si="173"/>
        <v>0</v>
      </c>
      <c r="W249" s="2227">
        <f t="shared" si="174"/>
        <v>0</v>
      </c>
      <c r="X249" s="505">
        <f t="shared" si="175"/>
        <v>77.400000000000091</v>
      </c>
    </row>
    <row r="250" spans="1:24" ht="13.2" customHeight="1">
      <c r="A250" s="736">
        <f t="shared" si="167"/>
        <v>29.13000000000002</v>
      </c>
      <c r="B250" s="534" t="s">
        <v>1843</v>
      </c>
      <c r="C250" s="534"/>
      <c r="D250" s="694">
        <v>0</v>
      </c>
      <c r="E250" s="694">
        <v>-7180254.7199999997</v>
      </c>
      <c r="F250" s="1377">
        <f t="shared" si="168"/>
        <v>-3590127.36</v>
      </c>
      <c r="I250" s="1320"/>
      <c r="J250" s="1377">
        <f t="shared" si="177"/>
        <v>-2094240.959999999</v>
      </c>
      <c r="M250" s="1320"/>
      <c r="N250" s="1838" t="s">
        <v>205</v>
      </c>
      <c r="O250" s="2225">
        <v>283181</v>
      </c>
      <c r="P250" s="2223">
        <v>-7180254.7200000007</v>
      </c>
      <c r="Q250" s="736">
        <f t="shared" si="170"/>
        <v>29.13000000000002</v>
      </c>
      <c r="R250" s="2223" t="s">
        <v>1843</v>
      </c>
      <c r="T250" s="2227">
        <f t="shared" si="171"/>
        <v>-7180254.7200000007</v>
      </c>
      <c r="U250" s="2227">
        <f t="shared" si="172"/>
        <v>0</v>
      </c>
      <c r="V250" s="2227">
        <f t="shared" si="173"/>
        <v>0</v>
      </c>
      <c r="W250" s="2227">
        <f t="shared" si="174"/>
        <v>0</v>
      </c>
      <c r="X250" s="505">
        <f t="shared" si="175"/>
        <v>-7180254.7200000007</v>
      </c>
    </row>
    <row r="251" spans="1:24" ht="13.2" customHeight="1">
      <c r="A251" s="736">
        <f t="shared" si="167"/>
        <v>29.140000000000022</v>
      </c>
      <c r="B251" s="534" t="s">
        <v>1844</v>
      </c>
      <c r="C251" s="534"/>
      <c r="D251" s="694">
        <v>0</v>
      </c>
      <c r="E251" s="694">
        <v>574420.3899999999</v>
      </c>
      <c r="F251" s="1377">
        <f t="shared" si="168"/>
        <v>287210.19499999995</v>
      </c>
      <c r="I251" s="1320"/>
      <c r="J251" s="1377">
        <f t="shared" si="177"/>
        <v>167539.28041666653</v>
      </c>
      <c r="M251" s="1320"/>
      <c r="N251" s="1838" t="s">
        <v>205</v>
      </c>
      <c r="O251" s="2225">
        <v>283182</v>
      </c>
      <c r="P251" s="2223">
        <v>574420.39</v>
      </c>
      <c r="Q251" s="736">
        <f t="shared" si="170"/>
        <v>29.140000000000022</v>
      </c>
      <c r="R251" s="2223" t="s">
        <v>1844</v>
      </c>
      <c r="T251" s="2227">
        <f t="shared" si="171"/>
        <v>574420.39</v>
      </c>
      <c r="U251" s="2227">
        <f t="shared" si="172"/>
        <v>0</v>
      </c>
      <c r="V251" s="2227">
        <f t="shared" si="173"/>
        <v>0</v>
      </c>
      <c r="W251" s="2227">
        <f t="shared" si="174"/>
        <v>0</v>
      </c>
      <c r="X251" s="505">
        <f t="shared" si="175"/>
        <v>574420.39</v>
      </c>
    </row>
    <row r="252" spans="1:24" ht="13.2" customHeight="1">
      <c r="A252" s="736">
        <f t="shared" si="167"/>
        <v>29.150000000000023</v>
      </c>
      <c r="B252" s="534" t="s">
        <v>1845</v>
      </c>
      <c r="C252" s="534"/>
      <c r="D252" s="694">
        <v>0</v>
      </c>
      <c r="E252" s="694"/>
      <c r="F252" s="1377">
        <f t="shared" si="168"/>
        <v>0</v>
      </c>
      <c r="I252" s="1320"/>
      <c r="J252" s="1377">
        <f t="shared" si="177"/>
        <v>0</v>
      </c>
      <c r="M252" s="1320"/>
      <c r="N252" s="1838" t="s">
        <v>191</v>
      </c>
      <c r="O252" s="496"/>
      <c r="P252" s="496"/>
      <c r="Q252" s="736">
        <f t="shared" si="170"/>
        <v>29.150000000000023</v>
      </c>
      <c r="R252" s="496" t="s">
        <v>1845</v>
      </c>
      <c r="T252" s="2227">
        <f t="shared" si="171"/>
        <v>0</v>
      </c>
      <c r="U252" s="2227">
        <f t="shared" si="172"/>
        <v>0</v>
      </c>
      <c r="V252" s="2227">
        <f t="shared" si="173"/>
        <v>0</v>
      </c>
      <c r="W252" s="2227">
        <f t="shared" si="174"/>
        <v>0</v>
      </c>
      <c r="X252" s="505">
        <f t="shared" si="175"/>
        <v>0</v>
      </c>
    </row>
    <row r="253" spans="1:24" ht="13.2" customHeight="1">
      <c r="A253" s="736">
        <f t="shared" si="167"/>
        <v>29.160000000000025</v>
      </c>
      <c r="B253" s="534" t="s">
        <v>1846</v>
      </c>
      <c r="C253" s="534"/>
      <c r="D253" s="694">
        <v>0</v>
      </c>
      <c r="E253" s="694"/>
      <c r="F253" s="1377">
        <f t="shared" si="168"/>
        <v>0</v>
      </c>
      <c r="I253" s="1320"/>
      <c r="J253" s="1377">
        <f t="shared" si="177"/>
        <v>0</v>
      </c>
      <c r="M253" s="1320"/>
      <c r="N253" s="1838" t="s">
        <v>1955</v>
      </c>
      <c r="O253" s="496"/>
      <c r="P253" s="496"/>
      <c r="Q253" s="736">
        <f t="shared" si="170"/>
        <v>29.160000000000025</v>
      </c>
      <c r="R253" s="496" t="s">
        <v>1846</v>
      </c>
      <c r="T253" s="2227">
        <f t="shared" si="171"/>
        <v>0</v>
      </c>
      <c r="U253" s="2227">
        <f t="shared" si="172"/>
        <v>0</v>
      </c>
      <c r="V253" s="2227">
        <f t="shared" si="173"/>
        <v>0</v>
      </c>
      <c r="W253" s="2227">
        <f t="shared" si="174"/>
        <v>0</v>
      </c>
      <c r="X253" s="505">
        <f t="shared" si="175"/>
        <v>0</v>
      </c>
    </row>
    <row r="254" spans="1:24" ht="13.2" customHeight="1">
      <c r="A254" s="736">
        <f t="shared" si="167"/>
        <v>29.170000000000027</v>
      </c>
      <c r="B254" s="534" t="s">
        <v>1847</v>
      </c>
      <c r="C254" s="534"/>
      <c r="D254" s="694">
        <v>0</v>
      </c>
      <c r="E254" s="1637"/>
      <c r="F254" s="1377"/>
      <c r="I254" s="1320">
        <f t="shared" ref="I254:I255" si="178">+SUM($D254:$E254)/2</f>
        <v>0</v>
      </c>
      <c r="M254" s="1320">
        <f t="shared" ref="M254:M255" si="179">E254-$P254*$I$316</f>
        <v>0</v>
      </c>
      <c r="N254" s="1838" t="s">
        <v>191</v>
      </c>
      <c r="O254" s="496"/>
      <c r="P254" s="496"/>
      <c r="Q254" s="736">
        <f t="shared" si="170"/>
        <v>29.170000000000027</v>
      </c>
      <c r="R254" s="496" t="s">
        <v>1847</v>
      </c>
      <c r="T254" s="2227">
        <f t="shared" si="171"/>
        <v>0</v>
      </c>
      <c r="U254" s="2227">
        <f t="shared" si="172"/>
        <v>0</v>
      </c>
      <c r="V254" s="2227">
        <f t="shared" si="173"/>
        <v>0</v>
      </c>
      <c r="W254" s="2227">
        <f t="shared" si="174"/>
        <v>0</v>
      </c>
      <c r="X254" s="505">
        <f t="shared" si="175"/>
        <v>0</v>
      </c>
    </row>
    <row r="255" spans="1:24" s="507" customFormat="1" ht="13.2" customHeight="1">
      <c r="A255" s="736">
        <f t="shared" si="167"/>
        <v>29.180000000000028</v>
      </c>
      <c r="B255" s="534" t="s">
        <v>1848</v>
      </c>
      <c r="C255" s="534"/>
      <c r="D255" s="694">
        <v>0</v>
      </c>
      <c r="E255" s="1637"/>
      <c r="F255" s="1377"/>
      <c r="G255" s="887"/>
      <c r="H255" s="887"/>
      <c r="I255" s="1320">
        <f t="shared" si="178"/>
        <v>0</v>
      </c>
      <c r="J255" s="887"/>
      <c r="K255" s="887"/>
      <c r="L255" s="887"/>
      <c r="M255" s="1320">
        <f t="shared" si="179"/>
        <v>0</v>
      </c>
      <c r="N255" s="1839"/>
      <c r="Q255" s="736">
        <f t="shared" si="170"/>
        <v>29.180000000000028</v>
      </c>
      <c r="R255" s="507" t="s">
        <v>1848</v>
      </c>
      <c r="T255" s="2227">
        <f t="shared" si="171"/>
        <v>0</v>
      </c>
      <c r="U255" s="2227">
        <f t="shared" si="172"/>
        <v>0</v>
      </c>
      <c r="V255" s="2227">
        <f t="shared" si="173"/>
        <v>0</v>
      </c>
      <c r="W255" s="2227">
        <f t="shared" si="174"/>
        <v>0</v>
      </c>
      <c r="X255" s="505">
        <f t="shared" si="175"/>
        <v>0</v>
      </c>
    </row>
    <row r="256" spans="1:24" ht="13.2" customHeight="1">
      <c r="A256" s="736">
        <f t="shared" si="167"/>
        <v>29.19000000000003</v>
      </c>
      <c r="B256" s="534" t="s">
        <v>1849</v>
      </c>
      <c r="C256" s="534"/>
      <c r="D256" s="694">
        <v>0</v>
      </c>
      <c r="E256" s="694">
        <v>-3329780.32</v>
      </c>
      <c r="F256" s="1377"/>
      <c r="H256" s="887">
        <f t="shared" ref="H256:H257" si="180">+SUM($D256:$E256)/2</f>
        <v>-1664890.16</v>
      </c>
      <c r="I256" s="1320"/>
      <c r="J256" s="1377"/>
      <c r="L256" s="887">
        <f t="shared" ref="L256:L257" si="181">E256-$P256*$I$316</f>
        <v>-971185.92666666629</v>
      </c>
      <c r="M256" s="1320"/>
      <c r="N256" s="1843"/>
      <c r="O256" s="2225">
        <v>283221</v>
      </c>
      <c r="P256" s="2223">
        <v>-3329780.32</v>
      </c>
      <c r="Q256" s="736">
        <f t="shared" si="170"/>
        <v>29.19000000000003</v>
      </c>
      <c r="R256" s="2223" t="s">
        <v>1849</v>
      </c>
      <c r="T256" s="2227">
        <f t="shared" si="171"/>
        <v>0</v>
      </c>
      <c r="U256" s="2227">
        <f t="shared" si="172"/>
        <v>0</v>
      </c>
      <c r="V256" s="2227">
        <f t="shared" si="173"/>
        <v>-3329780.32</v>
      </c>
      <c r="W256" s="2227">
        <f t="shared" si="174"/>
        <v>0</v>
      </c>
      <c r="X256" s="505">
        <f t="shared" si="175"/>
        <v>-3329780.32</v>
      </c>
    </row>
    <row r="257" spans="1:24" ht="13.2" customHeight="1">
      <c r="A257" s="736">
        <f t="shared" si="167"/>
        <v>29.200000000000031</v>
      </c>
      <c r="B257" s="534" t="s">
        <v>1850</v>
      </c>
      <c r="C257" s="534"/>
      <c r="D257" s="694">
        <v>0</v>
      </c>
      <c r="E257" s="694">
        <v>266382.43</v>
      </c>
      <c r="F257" s="1377"/>
      <c r="H257" s="887">
        <f t="shared" si="180"/>
        <v>133191.215</v>
      </c>
      <c r="I257" s="1320"/>
      <c r="J257" s="1377"/>
      <c r="L257" s="887">
        <f t="shared" si="181"/>
        <v>77694.875416666648</v>
      </c>
      <c r="M257" s="1320"/>
      <c r="N257" s="1839"/>
      <c r="O257" s="2225">
        <v>283222</v>
      </c>
      <c r="P257" s="2223">
        <v>266382.43</v>
      </c>
      <c r="Q257" s="736">
        <f t="shared" si="170"/>
        <v>29.200000000000031</v>
      </c>
      <c r="R257" s="2223" t="s">
        <v>1850</v>
      </c>
      <c r="T257" s="2227">
        <f t="shared" si="171"/>
        <v>0</v>
      </c>
      <c r="U257" s="2227">
        <f t="shared" si="172"/>
        <v>0</v>
      </c>
      <c r="V257" s="2227">
        <f t="shared" si="173"/>
        <v>266382.43</v>
      </c>
      <c r="W257" s="2227">
        <f t="shared" si="174"/>
        <v>0</v>
      </c>
      <c r="X257" s="505">
        <f t="shared" si="175"/>
        <v>266382.43</v>
      </c>
    </row>
    <row r="258" spans="1:24" ht="13.2" customHeight="1">
      <c r="A258" s="736">
        <f t="shared" si="167"/>
        <v>29.210000000000033</v>
      </c>
      <c r="B258" s="534" t="s">
        <v>1851</v>
      </c>
      <c r="C258" s="534"/>
      <c r="D258" s="694">
        <v>0</v>
      </c>
      <c r="E258" s="694">
        <v>-242931844.88999999</v>
      </c>
      <c r="F258" s="1377">
        <f t="shared" ref="F258:F259" si="182">+SUM($D258:$E258)/2</f>
        <v>-121465922.44499999</v>
      </c>
      <c r="G258" s="903"/>
      <c r="H258" s="903"/>
      <c r="I258" s="1320"/>
      <c r="J258" s="1377">
        <f t="shared" ref="J258:J260" si="183">E258-$P258*$I$316</f>
        <v>-226818063.38999999</v>
      </c>
      <c r="K258" s="903"/>
      <c r="L258" s="903"/>
      <c r="M258" s="1320"/>
      <c r="N258" s="1837"/>
      <c r="O258" s="2224">
        <v>283225</v>
      </c>
      <c r="P258" s="2223">
        <v>-22748868</v>
      </c>
      <c r="Q258" s="736">
        <f t="shared" si="170"/>
        <v>29.210000000000033</v>
      </c>
      <c r="R258" s="2223" t="s">
        <v>1851</v>
      </c>
      <c r="T258" s="2227">
        <f t="shared" si="171"/>
        <v>-22748868</v>
      </c>
      <c r="U258" s="2227">
        <f t="shared" si="172"/>
        <v>0</v>
      </c>
      <c r="V258" s="2227">
        <f t="shared" si="173"/>
        <v>0</v>
      </c>
      <c r="W258" s="2227">
        <f t="shared" si="174"/>
        <v>0</v>
      </c>
      <c r="X258" s="505">
        <f t="shared" si="175"/>
        <v>-22748868</v>
      </c>
    </row>
    <row r="259" spans="1:24" s="170" customFormat="1" ht="13.2" customHeight="1">
      <c r="A259" s="736">
        <f t="shared" si="167"/>
        <v>29.220000000000034</v>
      </c>
      <c r="B259" s="534" t="s">
        <v>1852</v>
      </c>
      <c r="C259" s="534"/>
      <c r="D259" s="694">
        <v>0</v>
      </c>
      <c r="E259" s="694">
        <v>19434547.579999998</v>
      </c>
      <c r="F259" s="1377">
        <f t="shared" si="182"/>
        <v>9717273.7899999991</v>
      </c>
      <c r="G259" s="903"/>
      <c r="H259" s="903"/>
      <c r="I259" s="1320"/>
      <c r="J259" s="1377">
        <f t="shared" si="183"/>
        <v>5668409.7108333316</v>
      </c>
      <c r="K259" s="903"/>
      <c r="L259" s="903"/>
      <c r="M259" s="1320"/>
      <c r="N259" s="1837" t="str">
        <f>+"Sum by Column of Line "&amp;A216&amp;" Subparts"</f>
        <v>Sum by Column of Line 23.5600000000001 Subparts</v>
      </c>
      <c r="O259" s="2224">
        <v>283226</v>
      </c>
      <c r="P259" s="2223">
        <v>19434547.579999998</v>
      </c>
      <c r="Q259" s="736">
        <f t="shared" si="170"/>
        <v>29.220000000000034</v>
      </c>
      <c r="R259" s="2223" t="s">
        <v>1852</v>
      </c>
      <c r="T259" s="2227">
        <f t="shared" si="171"/>
        <v>19434547.579999998</v>
      </c>
      <c r="U259" s="2227">
        <f t="shared" si="172"/>
        <v>0</v>
      </c>
      <c r="V259" s="2227">
        <f t="shared" si="173"/>
        <v>0</v>
      </c>
      <c r="W259" s="2227">
        <f t="shared" si="174"/>
        <v>0</v>
      </c>
      <c r="X259" s="505">
        <f t="shared" si="175"/>
        <v>19434547.579999998</v>
      </c>
    </row>
    <row r="260" spans="1:24" s="1426" customFormat="1" ht="13.2" customHeight="1">
      <c r="A260" s="736">
        <f t="shared" si="167"/>
        <v>29.230000000000036</v>
      </c>
      <c r="B260" s="534" t="s">
        <v>1853</v>
      </c>
      <c r="C260" s="534"/>
      <c r="D260" s="694">
        <v>0</v>
      </c>
      <c r="E260" s="694"/>
      <c r="F260" s="1377">
        <f t="shared" ref="F260:F261" si="184">+SUM($D260:$E260)/2</f>
        <v>0</v>
      </c>
      <c r="G260" s="887"/>
      <c r="H260" s="887"/>
      <c r="I260" s="1320"/>
      <c r="J260" s="1377">
        <f t="shared" si="183"/>
        <v>0</v>
      </c>
      <c r="K260" s="887"/>
      <c r="L260" s="887"/>
      <c r="M260" s="1320"/>
      <c r="N260" s="1833"/>
      <c r="Q260" s="736">
        <f t="shared" si="170"/>
        <v>29.230000000000036</v>
      </c>
      <c r="R260" s="1426" t="s">
        <v>1853</v>
      </c>
      <c r="T260" s="2227">
        <f t="shared" si="171"/>
        <v>0</v>
      </c>
      <c r="U260" s="2227">
        <f t="shared" si="172"/>
        <v>0</v>
      </c>
      <c r="V260" s="2227">
        <f t="shared" si="173"/>
        <v>0</v>
      </c>
      <c r="W260" s="2227">
        <f t="shared" si="174"/>
        <v>0</v>
      </c>
      <c r="X260" s="505">
        <f t="shared" si="175"/>
        <v>0</v>
      </c>
    </row>
    <row r="261" spans="1:24" ht="13.2" customHeight="1">
      <c r="A261" s="736">
        <f t="shared" si="167"/>
        <v>29.240000000000038</v>
      </c>
      <c r="B261" s="534" t="s">
        <v>1854</v>
      </c>
      <c r="C261" s="534"/>
      <c r="D261" s="694">
        <v>0</v>
      </c>
      <c r="E261" s="694"/>
      <c r="F261" s="1377">
        <f t="shared" si="184"/>
        <v>0</v>
      </c>
      <c r="I261" s="1320"/>
      <c r="J261" s="1377">
        <f>E261-$P261*$I$316</f>
        <v>0</v>
      </c>
      <c r="M261" s="1320"/>
      <c r="N261" s="1833" t="str">
        <f>+"Ln "&amp;A259&amp;" + Ln "&amp;A260</f>
        <v>Ln 29.22 + Ln 29.23</v>
      </c>
      <c r="O261" s="496"/>
      <c r="P261" s="496"/>
      <c r="Q261" s="736">
        <f t="shared" si="170"/>
        <v>29.240000000000038</v>
      </c>
      <c r="R261" s="496" t="s">
        <v>1854</v>
      </c>
      <c r="T261" s="2227">
        <f t="shared" si="171"/>
        <v>0</v>
      </c>
      <c r="U261" s="2227">
        <f t="shared" si="172"/>
        <v>0</v>
      </c>
      <c r="V261" s="2227">
        <f t="shared" si="173"/>
        <v>0</v>
      </c>
      <c r="W261" s="2227">
        <f t="shared" si="174"/>
        <v>0</v>
      </c>
      <c r="X261" s="505">
        <f t="shared" si="175"/>
        <v>0</v>
      </c>
    </row>
    <row r="262" spans="1:24" ht="13.2" customHeight="1">
      <c r="A262" s="736">
        <f t="shared" si="167"/>
        <v>29.250000000000039</v>
      </c>
      <c r="B262" s="534" t="s">
        <v>1855</v>
      </c>
      <c r="C262" s="534"/>
      <c r="D262" s="694">
        <v>0</v>
      </c>
      <c r="E262" s="694">
        <v>0</v>
      </c>
      <c r="F262" s="1377"/>
      <c r="G262" s="887">
        <f t="shared" ref="G262:G263" si="185">+SUM($D262:$E262)/2</f>
        <v>0</v>
      </c>
      <c r="I262" s="1320"/>
      <c r="J262" s="1377"/>
      <c r="K262" s="887">
        <f t="shared" ref="K262:K263" si="186">-$P262*$I$316</f>
        <v>0</v>
      </c>
      <c r="M262" s="1320"/>
      <c r="N262" s="1844"/>
      <c r="O262" s="2225">
        <v>283247</v>
      </c>
      <c r="P262" s="2223">
        <v>0</v>
      </c>
      <c r="Q262" s="736">
        <f t="shared" si="170"/>
        <v>29.250000000000039</v>
      </c>
      <c r="R262" s="2223" t="s">
        <v>1855</v>
      </c>
      <c r="T262" s="2227">
        <f t="shared" si="171"/>
        <v>0</v>
      </c>
      <c r="U262" s="2227">
        <f t="shared" si="172"/>
        <v>0</v>
      </c>
      <c r="V262" s="2227">
        <f t="shared" si="173"/>
        <v>0</v>
      </c>
      <c r="W262" s="2227">
        <f t="shared" si="174"/>
        <v>0</v>
      </c>
      <c r="X262" s="505">
        <f t="shared" si="175"/>
        <v>0</v>
      </c>
    </row>
    <row r="263" spans="1:24" ht="13.2" customHeight="1">
      <c r="A263" s="736">
        <f t="shared" si="167"/>
        <v>29.260000000000041</v>
      </c>
      <c r="B263" s="534" t="s">
        <v>1856</v>
      </c>
      <c r="C263" s="534"/>
      <c r="D263" s="694">
        <v>0</v>
      </c>
      <c r="E263" s="694">
        <v>0</v>
      </c>
      <c r="F263" s="1377"/>
      <c r="G263" s="887">
        <f t="shared" si="185"/>
        <v>0</v>
      </c>
      <c r="I263" s="1320"/>
      <c r="J263" s="1377"/>
      <c r="K263" s="887">
        <f t="shared" si="186"/>
        <v>0</v>
      </c>
      <c r="M263" s="1320"/>
      <c r="N263" s="1503"/>
      <c r="O263" s="2225">
        <v>283248</v>
      </c>
      <c r="P263" s="2223">
        <v>0</v>
      </c>
      <c r="Q263" s="736">
        <f t="shared" si="170"/>
        <v>29.260000000000041</v>
      </c>
      <c r="R263" s="2223" t="s">
        <v>1856</v>
      </c>
      <c r="T263" s="2227">
        <f t="shared" si="171"/>
        <v>0</v>
      </c>
      <c r="U263" s="2227">
        <f t="shared" si="172"/>
        <v>0</v>
      </c>
      <c r="V263" s="2227">
        <f t="shared" si="173"/>
        <v>0</v>
      </c>
      <c r="W263" s="2227">
        <f t="shared" si="174"/>
        <v>0</v>
      </c>
      <c r="X263" s="505">
        <f t="shared" si="175"/>
        <v>0</v>
      </c>
    </row>
    <row r="264" spans="1:24" ht="13.2" customHeight="1">
      <c r="A264" s="736">
        <f t="shared" si="167"/>
        <v>29.270000000000042</v>
      </c>
      <c r="B264" s="534" t="s">
        <v>1857</v>
      </c>
      <c r="C264" s="534"/>
      <c r="D264" s="694">
        <v>0</v>
      </c>
      <c r="E264" s="694">
        <v>-1905512.5</v>
      </c>
      <c r="F264" s="1377">
        <f t="shared" ref="F264:F277" si="187">+SUM($D264:$E264)/2</f>
        <v>-952756.25</v>
      </c>
      <c r="I264" s="1320"/>
      <c r="J264" s="1377">
        <f t="shared" ref="J264:J277" si="188">E264-$P264*$I$316</f>
        <v>-555774.47916666651</v>
      </c>
      <c r="M264" s="1320"/>
      <c r="N264" s="1503"/>
      <c r="O264" s="2225">
        <v>283249</v>
      </c>
      <c r="P264" s="2223">
        <v>-1905512.5</v>
      </c>
      <c r="Q264" s="736">
        <f t="shared" si="170"/>
        <v>29.270000000000042</v>
      </c>
      <c r="R264" s="2223" t="s">
        <v>1857</v>
      </c>
      <c r="T264" s="2227">
        <f t="shared" si="171"/>
        <v>-1905512.5</v>
      </c>
      <c r="U264" s="2227">
        <f t="shared" si="172"/>
        <v>0</v>
      </c>
      <c r="V264" s="2227">
        <f t="shared" si="173"/>
        <v>0</v>
      </c>
      <c r="W264" s="2227">
        <f t="shared" si="174"/>
        <v>0</v>
      </c>
      <c r="X264" s="505">
        <f t="shared" si="175"/>
        <v>-1905512.5</v>
      </c>
    </row>
    <row r="265" spans="1:24" ht="13.2" customHeight="1">
      <c r="A265" s="736">
        <f t="shared" si="167"/>
        <v>29.280000000000044</v>
      </c>
      <c r="B265" s="534" t="s">
        <v>1858</v>
      </c>
      <c r="C265" s="534"/>
      <c r="D265" s="694">
        <v>0</v>
      </c>
      <c r="E265" s="694">
        <v>152440.82</v>
      </c>
      <c r="F265" s="1377">
        <f t="shared" si="187"/>
        <v>76220.41</v>
      </c>
      <c r="I265" s="1320"/>
      <c r="J265" s="1377">
        <f t="shared" si="188"/>
        <v>44461.905833333352</v>
      </c>
      <c r="M265" s="1320"/>
      <c r="O265" s="2225">
        <v>283250</v>
      </c>
      <c r="P265" s="2223">
        <v>152440.81999999998</v>
      </c>
      <c r="Q265" s="736">
        <f t="shared" si="170"/>
        <v>29.280000000000044</v>
      </c>
      <c r="R265" s="2223" t="s">
        <v>1858</v>
      </c>
      <c r="T265" s="2227">
        <f t="shared" si="171"/>
        <v>152440.81999999998</v>
      </c>
      <c r="U265" s="2227">
        <f t="shared" si="172"/>
        <v>0</v>
      </c>
      <c r="V265" s="2227">
        <f t="shared" si="173"/>
        <v>0</v>
      </c>
      <c r="W265" s="2227">
        <f t="shared" si="174"/>
        <v>0</v>
      </c>
      <c r="X265" s="505">
        <f t="shared" si="175"/>
        <v>152440.81999999998</v>
      </c>
    </row>
    <row r="266" spans="1:24" ht="13.2" customHeight="1">
      <c r="A266" s="736">
        <f t="shared" si="167"/>
        <v>29.290000000000045</v>
      </c>
      <c r="B266" s="534" t="s">
        <v>1859</v>
      </c>
      <c r="C266" s="534"/>
      <c r="D266" s="694">
        <v>0</v>
      </c>
      <c r="E266" s="694">
        <v>-329598.33</v>
      </c>
      <c r="F266" s="1377">
        <f t="shared" si="187"/>
        <v>-164799.16500000001</v>
      </c>
      <c r="I266" s="1320"/>
      <c r="J266" s="1377">
        <f t="shared" si="188"/>
        <v>-96132.846250000002</v>
      </c>
      <c r="M266" s="1320"/>
      <c r="O266" s="2225">
        <v>283261</v>
      </c>
      <c r="P266" s="2223">
        <v>-329598.33</v>
      </c>
      <c r="Q266" s="736">
        <f t="shared" si="170"/>
        <v>29.290000000000045</v>
      </c>
      <c r="R266" s="2223" t="s">
        <v>1859</v>
      </c>
      <c r="T266" s="2227">
        <f t="shared" si="171"/>
        <v>-329598.33</v>
      </c>
      <c r="U266" s="2227">
        <f t="shared" si="172"/>
        <v>0</v>
      </c>
      <c r="V266" s="2227">
        <f t="shared" si="173"/>
        <v>0</v>
      </c>
      <c r="W266" s="2227">
        <f t="shared" si="174"/>
        <v>0</v>
      </c>
      <c r="X266" s="505">
        <f t="shared" si="175"/>
        <v>-329598.33</v>
      </c>
    </row>
    <row r="267" spans="1:24" ht="13.2" customHeight="1">
      <c r="A267" s="736">
        <f t="shared" si="167"/>
        <v>29.300000000000047</v>
      </c>
      <c r="B267" s="534" t="s">
        <v>1860</v>
      </c>
      <c r="C267" s="534"/>
      <c r="D267" s="694">
        <v>0</v>
      </c>
      <c r="E267" s="694">
        <v>26367.86</v>
      </c>
      <c r="F267" s="1377">
        <f t="shared" si="187"/>
        <v>13183.93</v>
      </c>
      <c r="I267" s="1320"/>
      <c r="J267" s="1377">
        <f t="shared" si="188"/>
        <v>7690.6258333333317</v>
      </c>
      <c r="M267" s="1320"/>
      <c r="O267" s="2225">
        <v>283262</v>
      </c>
      <c r="P267" s="2223">
        <v>26367.86</v>
      </c>
      <c r="Q267" s="736">
        <f t="shared" si="170"/>
        <v>29.300000000000047</v>
      </c>
      <c r="R267" s="2223" t="s">
        <v>1860</v>
      </c>
      <c r="T267" s="2227">
        <f t="shared" si="171"/>
        <v>26367.86</v>
      </c>
      <c r="U267" s="2227">
        <f t="shared" si="172"/>
        <v>0</v>
      </c>
      <c r="V267" s="2227">
        <f t="shared" si="173"/>
        <v>0</v>
      </c>
      <c r="W267" s="2227">
        <f t="shared" si="174"/>
        <v>0</v>
      </c>
      <c r="X267" s="505">
        <f t="shared" si="175"/>
        <v>26367.86</v>
      </c>
    </row>
    <row r="268" spans="1:24" ht="13.2" customHeight="1">
      <c r="A268" s="736">
        <f t="shared" si="167"/>
        <v>29.310000000000048</v>
      </c>
      <c r="B268" s="534" t="s">
        <v>1861</v>
      </c>
      <c r="C268" s="534"/>
      <c r="D268" s="694">
        <v>0</v>
      </c>
      <c r="E268" s="694">
        <v>-22834.5</v>
      </c>
      <c r="F268" s="1377">
        <f t="shared" si="187"/>
        <v>-11417.25</v>
      </c>
      <c r="I268" s="1320"/>
      <c r="J268" s="1377">
        <f t="shared" si="188"/>
        <v>-6660.0625</v>
      </c>
      <c r="M268" s="1320"/>
      <c r="O268" s="2225">
        <v>283273</v>
      </c>
      <c r="P268" s="2223">
        <v>-22834.5</v>
      </c>
      <c r="Q268" s="736">
        <f t="shared" si="170"/>
        <v>29.310000000000048</v>
      </c>
      <c r="R268" s="2223" t="s">
        <v>1861</v>
      </c>
      <c r="T268" s="2227">
        <f t="shared" si="171"/>
        <v>-22834.5</v>
      </c>
      <c r="U268" s="2227">
        <f t="shared" si="172"/>
        <v>0</v>
      </c>
      <c r="V268" s="2227">
        <f t="shared" si="173"/>
        <v>0</v>
      </c>
      <c r="W268" s="2227">
        <f t="shared" si="174"/>
        <v>0</v>
      </c>
      <c r="X268" s="505">
        <f t="shared" si="175"/>
        <v>-22834.5</v>
      </c>
    </row>
    <row r="269" spans="1:24" ht="13.2" customHeight="1">
      <c r="A269" s="736">
        <f t="shared" si="167"/>
        <v>29.32000000000005</v>
      </c>
      <c r="B269" s="534" t="s">
        <v>1862</v>
      </c>
      <c r="C269" s="534"/>
      <c r="D269" s="694">
        <v>0</v>
      </c>
      <c r="E269" s="694">
        <v>1826.7600000000002</v>
      </c>
      <c r="F269" s="1377">
        <f t="shared" si="187"/>
        <v>913.38000000000011</v>
      </c>
      <c r="I269" s="1320"/>
      <c r="J269" s="1377">
        <f t="shared" si="188"/>
        <v>532.80500000000006</v>
      </c>
      <c r="M269" s="1320"/>
      <c r="O269" s="2225">
        <v>283274</v>
      </c>
      <c r="P269" s="2223">
        <v>1826.7600000000002</v>
      </c>
      <c r="Q269" s="736">
        <f t="shared" si="170"/>
        <v>29.32000000000005</v>
      </c>
      <c r="R269" s="2223" t="s">
        <v>1862</v>
      </c>
      <c r="T269" s="2227">
        <f t="shared" si="171"/>
        <v>1826.7600000000002</v>
      </c>
      <c r="U269" s="2227">
        <f t="shared" si="172"/>
        <v>0</v>
      </c>
      <c r="V269" s="2227">
        <f t="shared" si="173"/>
        <v>0</v>
      </c>
      <c r="W269" s="2227">
        <f t="shared" si="174"/>
        <v>0</v>
      </c>
      <c r="X269" s="505">
        <f t="shared" si="175"/>
        <v>1826.7600000000002</v>
      </c>
    </row>
    <row r="270" spans="1:24" ht="13.2" customHeight="1">
      <c r="A270" s="736">
        <f t="shared" si="167"/>
        <v>29.330000000000052</v>
      </c>
      <c r="B270" s="534" t="s">
        <v>1863</v>
      </c>
      <c r="C270" s="534"/>
      <c r="D270" s="694">
        <v>0</v>
      </c>
      <c r="E270" s="694">
        <v>-316713.43</v>
      </c>
      <c r="F270" s="1377">
        <f t="shared" si="187"/>
        <v>-158356.715</v>
      </c>
      <c r="I270" s="1320"/>
      <c r="J270" s="1377">
        <f t="shared" si="188"/>
        <v>-92374.34666666665</v>
      </c>
      <c r="M270" s="1320"/>
      <c r="O270" s="2225">
        <v>283301</v>
      </c>
      <c r="P270" s="2223">
        <v>-316714</v>
      </c>
      <c r="Q270" s="736">
        <f t="shared" si="170"/>
        <v>29.330000000000052</v>
      </c>
      <c r="R270" s="2223" t="s">
        <v>1863</v>
      </c>
      <c r="T270" s="2227">
        <f t="shared" si="171"/>
        <v>-316714</v>
      </c>
      <c r="U270" s="2227">
        <f t="shared" si="172"/>
        <v>0</v>
      </c>
      <c r="V270" s="2227">
        <f t="shared" si="173"/>
        <v>0</v>
      </c>
      <c r="W270" s="2227">
        <f t="shared" si="174"/>
        <v>0</v>
      </c>
      <c r="X270" s="505">
        <f t="shared" si="175"/>
        <v>-316714</v>
      </c>
    </row>
    <row r="271" spans="1:24" ht="13.2" customHeight="1">
      <c r="A271" s="736">
        <f t="shared" si="167"/>
        <v>29.340000000000053</v>
      </c>
      <c r="B271" s="534" t="s">
        <v>1864</v>
      </c>
      <c r="C271" s="534"/>
      <c r="D271" s="694">
        <v>0</v>
      </c>
      <c r="E271" s="694">
        <v>25337.07</v>
      </c>
      <c r="F271" s="1377">
        <f t="shared" si="187"/>
        <v>12668.535</v>
      </c>
      <c r="I271" s="1320"/>
      <c r="J271" s="1377">
        <f t="shared" si="188"/>
        <v>7390.0283333333318</v>
      </c>
      <c r="M271" s="1320"/>
      <c r="O271" s="2225">
        <v>283302</v>
      </c>
      <c r="P271" s="2223">
        <v>25337</v>
      </c>
      <c r="Q271" s="736">
        <f t="shared" si="170"/>
        <v>29.340000000000053</v>
      </c>
      <c r="R271" s="2223" t="s">
        <v>1864</v>
      </c>
      <c r="T271" s="2227">
        <f t="shared" si="171"/>
        <v>25337</v>
      </c>
      <c r="U271" s="2227">
        <f t="shared" si="172"/>
        <v>0</v>
      </c>
      <c r="V271" s="2227">
        <f t="shared" si="173"/>
        <v>0</v>
      </c>
      <c r="W271" s="2227">
        <f t="shared" si="174"/>
        <v>0</v>
      </c>
      <c r="X271" s="505">
        <f t="shared" si="175"/>
        <v>25337</v>
      </c>
    </row>
    <row r="272" spans="1:24" ht="13.2" customHeight="1">
      <c r="A272" s="736">
        <f t="shared" si="167"/>
        <v>29.350000000000055</v>
      </c>
      <c r="B272" s="534" t="s">
        <v>1865</v>
      </c>
      <c r="C272" s="534"/>
      <c r="D272" s="694">
        <v>0</v>
      </c>
      <c r="E272" s="694"/>
      <c r="F272" s="1377">
        <f t="shared" si="187"/>
        <v>0</v>
      </c>
      <c r="I272" s="1320"/>
      <c r="J272" s="1377">
        <f t="shared" si="188"/>
        <v>0</v>
      </c>
      <c r="M272" s="1320"/>
      <c r="O272" s="496"/>
      <c r="P272" s="496"/>
      <c r="Q272" s="736">
        <f t="shared" si="170"/>
        <v>29.350000000000055</v>
      </c>
      <c r="R272" s="496" t="s">
        <v>1865</v>
      </c>
      <c r="T272" s="2227">
        <f t="shared" si="171"/>
        <v>0</v>
      </c>
      <c r="U272" s="2227">
        <f t="shared" si="172"/>
        <v>0</v>
      </c>
      <c r="V272" s="2227">
        <f t="shared" si="173"/>
        <v>0</v>
      </c>
      <c r="W272" s="2227">
        <f t="shared" si="174"/>
        <v>0</v>
      </c>
      <c r="X272" s="505">
        <f t="shared" si="175"/>
        <v>0</v>
      </c>
    </row>
    <row r="273" spans="1:24" ht="13.2" customHeight="1">
      <c r="A273" s="736">
        <f t="shared" si="167"/>
        <v>29.360000000000056</v>
      </c>
      <c r="B273" s="534" t="s">
        <v>1866</v>
      </c>
      <c r="C273" s="534"/>
      <c r="D273" s="694">
        <v>0</v>
      </c>
      <c r="E273" s="694"/>
      <c r="F273" s="1377">
        <f t="shared" si="187"/>
        <v>0</v>
      </c>
      <c r="I273" s="1320"/>
      <c r="J273" s="1377">
        <f t="shared" si="188"/>
        <v>0</v>
      </c>
      <c r="M273" s="1320"/>
      <c r="O273" s="496"/>
      <c r="P273" s="496"/>
      <c r="Q273" s="736">
        <f t="shared" si="170"/>
        <v>29.360000000000056</v>
      </c>
      <c r="R273" s="496" t="s">
        <v>1866</v>
      </c>
      <c r="T273" s="2227">
        <f t="shared" si="171"/>
        <v>0</v>
      </c>
      <c r="U273" s="2227">
        <f t="shared" si="172"/>
        <v>0</v>
      </c>
      <c r="V273" s="2227">
        <f t="shared" si="173"/>
        <v>0</v>
      </c>
      <c r="W273" s="2227">
        <f t="shared" si="174"/>
        <v>0</v>
      </c>
      <c r="X273" s="505">
        <f t="shared" si="175"/>
        <v>0</v>
      </c>
    </row>
    <row r="274" spans="1:24" ht="13.2" customHeight="1">
      <c r="A274" s="736">
        <f t="shared" si="167"/>
        <v>29.370000000000058</v>
      </c>
      <c r="B274" s="534" t="s">
        <v>1867</v>
      </c>
      <c r="C274" s="534"/>
      <c r="D274" s="694">
        <v>0</v>
      </c>
      <c r="E274" s="694">
        <v>-1113086.47</v>
      </c>
      <c r="F274" s="1377">
        <f t="shared" si="187"/>
        <v>-556543.23499999999</v>
      </c>
      <c r="I274" s="1320"/>
      <c r="J274" s="1377">
        <f t="shared" si="188"/>
        <v>-324650.22041666659</v>
      </c>
      <c r="M274" s="1320"/>
      <c r="O274" s="2225">
        <v>283345</v>
      </c>
      <c r="P274" s="2223">
        <v>-1113086.47</v>
      </c>
      <c r="Q274" s="736">
        <f t="shared" si="170"/>
        <v>29.370000000000058</v>
      </c>
      <c r="R274" s="2223" t="s">
        <v>1867</v>
      </c>
      <c r="T274" s="2227">
        <f t="shared" si="171"/>
        <v>-1113086.47</v>
      </c>
      <c r="U274" s="2227">
        <f t="shared" si="172"/>
        <v>0</v>
      </c>
      <c r="V274" s="2227">
        <f t="shared" si="173"/>
        <v>0</v>
      </c>
      <c r="W274" s="2227">
        <f t="shared" si="174"/>
        <v>0</v>
      </c>
      <c r="X274" s="505">
        <f t="shared" si="175"/>
        <v>-1113086.47</v>
      </c>
    </row>
    <row r="275" spans="1:24" ht="13.2" customHeight="1">
      <c r="A275" s="736">
        <f t="shared" si="167"/>
        <v>29.380000000000059</v>
      </c>
      <c r="B275" s="534" t="s">
        <v>1868</v>
      </c>
      <c r="C275" s="534"/>
      <c r="D275" s="694">
        <v>0</v>
      </c>
      <c r="E275" s="694">
        <v>89046.93</v>
      </c>
      <c r="F275" s="1377">
        <f t="shared" si="187"/>
        <v>44523.464999999997</v>
      </c>
      <c r="I275" s="1320"/>
      <c r="J275" s="1377">
        <f t="shared" si="188"/>
        <v>25972.021249999998</v>
      </c>
      <c r="M275" s="1320"/>
      <c r="O275" s="2225">
        <v>283346</v>
      </c>
      <c r="P275" s="2223">
        <v>89046.93</v>
      </c>
      <c r="Q275" s="736">
        <f t="shared" si="170"/>
        <v>29.380000000000059</v>
      </c>
      <c r="R275" s="2223" t="s">
        <v>1868</v>
      </c>
      <c r="T275" s="2227">
        <f t="shared" si="171"/>
        <v>89046.93</v>
      </c>
      <c r="U275" s="2227">
        <f t="shared" si="172"/>
        <v>0</v>
      </c>
      <c r="V275" s="2227">
        <f t="shared" si="173"/>
        <v>0</v>
      </c>
      <c r="W275" s="2227">
        <f t="shared" si="174"/>
        <v>0</v>
      </c>
      <c r="X275" s="505">
        <f t="shared" si="175"/>
        <v>89046.93</v>
      </c>
    </row>
    <row r="276" spans="1:24" ht="13.2" customHeight="1">
      <c r="A276" s="736">
        <f t="shared" si="167"/>
        <v>29.390000000000061</v>
      </c>
      <c r="B276" s="534" t="s">
        <v>1869</v>
      </c>
      <c r="C276" s="534"/>
      <c r="D276" s="694">
        <v>0</v>
      </c>
      <c r="E276" s="694">
        <v>0</v>
      </c>
      <c r="F276" s="1377">
        <f t="shared" si="187"/>
        <v>0</v>
      </c>
      <c r="I276" s="1320"/>
      <c r="J276" s="1377">
        <f t="shared" si="188"/>
        <v>2.8333333318490382E-2</v>
      </c>
      <c r="M276" s="1320"/>
      <c r="O276" s="2225">
        <v>283349</v>
      </c>
      <c r="P276" s="2223">
        <v>-3.9999999979045242E-2</v>
      </c>
      <c r="Q276" s="736">
        <f t="shared" si="170"/>
        <v>29.390000000000061</v>
      </c>
      <c r="R276" s="2223" t="s">
        <v>1869</v>
      </c>
      <c r="T276" s="2227">
        <f t="shared" si="171"/>
        <v>-3.9999999979045242E-2</v>
      </c>
      <c r="U276" s="2227">
        <f t="shared" si="172"/>
        <v>0</v>
      </c>
      <c r="V276" s="2227">
        <f t="shared" si="173"/>
        <v>0</v>
      </c>
      <c r="W276" s="2227">
        <f t="shared" si="174"/>
        <v>0</v>
      </c>
      <c r="X276" s="505">
        <f t="shared" si="175"/>
        <v>-3.9999999979045242E-2</v>
      </c>
    </row>
    <row r="277" spans="1:24" ht="13.2" customHeight="1">
      <c r="A277" s="736">
        <f t="shared" si="167"/>
        <v>29.400000000000063</v>
      </c>
      <c r="B277" s="534" t="s">
        <v>1870</v>
      </c>
      <c r="C277" s="534"/>
      <c r="D277" s="694">
        <v>0</v>
      </c>
      <c r="E277" s="694">
        <v>0</v>
      </c>
      <c r="F277" s="1377">
        <f t="shared" si="187"/>
        <v>0</v>
      </c>
      <c r="I277" s="1320"/>
      <c r="J277" s="1377">
        <f t="shared" si="188"/>
        <v>-6.3750000000103085E-2</v>
      </c>
      <c r="M277" s="1320"/>
      <c r="O277" s="2225">
        <v>283350</v>
      </c>
      <c r="P277" s="2223">
        <v>9.0000000000145519E-2</v>
      </c>
      <c r="Q277" s="736">
        <f t="shared" si="170"/>
        <v>29.400000000000063</v>
      </c>
      <c r="R277" s="2223" t="s">
        <v>1870</v>
      </c>
      <c r="T277" s="2227">
        <f t="shared" si="171"/>
        <v>9.0000000000145519E-2</v>
      </c>
      <c r="U277" s="2227">
        <f t="shared" si="172"/>
        <v>0</v>
      </c>
      <c r="V277" s="2227">
        <f t="shared" si="173"/>
        <v>0</v>
      </c>
      <c r="W277" s="2227">
        <f t="shared" si="174"/>
        <v>0</v>
      </c>
      <c r="X277" s="505">
        <f t="shared" si="175"/>
        <v>9.0000000000145519E-2</v>
      </c>
    </row>
    <row r="278" spans="1:24" ht="13.2" customHeight="1">
      <c r="A278" s="736">
        <f t="shared" si="167"/>
        <v>29.410000000000064</v>
      </c>
      <c r="B278" s="534" t="s">
        <v>1871</v>
      </c>
      <c r="C278" s="534"/>
      <c r="D278" s="694">
        <v>0</v>
      </c>
      <c r="E278" s="694">
        <v>-1146562.3400000001</v>
      </c>
      <c r="F278" s="1452"/>
      <c r="G278" s="1453"/>
      <c r="H278" s="887">
        <f t="shared" ref="H278:H279" si="189">+AVERAGE(D278:E278)</f>
        <v>-573281.17000000004</v>
      </c>
      <c r="I278" s="1454"/>
      <c r="J278" s="1377"/>
      <c r="L278" s="887">
        <f t="shared" ref="L278:L279" si="190">E278-$P278*$I$316</f>
        <v>-334414.09375</v>
      </c>
      <c r="M278" s="1455"/>
      <c r="O278" s="2225">
        <v>283361</v>
      </c>
      <c r="P278" s="2223">
        <v>-1146562.23</v>
      </c>
      <c r="Q278" s="736">
        <f t="shared" si="170"/>
        <v>29.410000000000064</v>
      </c>
      <c r="R278" s="2223" t="s">
        <v>1871</v>
      </c>
      <c r="T278" s="2227">
        <f t="shared" si="171"/>
        <v>0</v>
      </c>
      <c r="U278" s="2227">
        <f t="shared" si="172"/>
        <v>0</v>
      </c>
      <c r="V278" s="2227">
        <f t="shared" si="173"/>
        <v>-1146562.23</v>
      </c>
      <c r="W278" s="2227">
        <f t="shared" si="174"/>
        <v>0</v>
      </c>
      <c r="X278" s="505">
        <f t="shared" si="175"/>
        <v>-1146562.23</v>
      </c>
    </row>
    <row r="279" spans="1:24" ht="13.2" customHeight="1">
      <c r="A279" s="736">
        <f t="shared" si="167"/>
        <v>29.420000000000066</v>
      </c>
      <c r="B279" s="534" t="s">
        <v>1872</v>
      </c>
      <c r="C279" s="534"/>
      <c r="D279" s="694">
        <v>0</v>
      </c>
      <c r="E279" s="694">
        <v>91724.99</v>
      </c>
      <c r="F279" s="1452"/>
      <c r="G279" s="1453"/>
      <c r="H279" s="887">
        <f t="shared" si="189"/>
        <v>45862.495000000003</v>
      </c>
      <c r="I279" s="1454"/>
      <c r="J279" s="1377"/>
      <c r="L279" s="887">
        <f t="shared" si="190"/>
        <v>26752.881249999999</v>
      </c>
      <c r="M279" s="1455"/>
      <c r="O279" s="2225">
        <v>283362</v>
      </c>
      <c r="P279" s="2223">
        <v>91725.33</v>
      </c>
      <c r="Q279" s="736">
        <f t="shared" si="170"/>
        <v>29.420000000000066</v>
      </c>
      <c r="R279" s="2223" t="s">
        <v>1872</v>
      </c>
      <c r="T279" s="2227">
        <f t="shared" si="171"/>
        <v>0</v>
      </c>
      <c r="U279" s="2227">
        <f t="shared" si="172"/>
        <v>0</v>
      </c>
      <c r="V279" s="2227">
        <f t="shared" si="173"/>
        <v>91725.33</v>
      </c>
      <c r="W279" s="2227">
        <f t="shared" si="174"/>
        <v>0</v>
      </c>
      <c r="X279" s="505">
        <f t="shared" si="175"/>
        <v>91725.33</v>
      </c>
    </row>
    <row r="280" spans="1:24" ht="13.2" customHeight="1">
      <c r="A280" s="736">
        <f t="shared" si="167"/>
        <v>29.430000000000067</v>
      </c>
      <c r="B280" s="534" t="s">
        <v>1873</v>
      </c>
      <c r="C280" s="534"/>
      <c r="D280" s="694">
        <v>0</v>
      </c>
      <c r="E280" s="694"/>
      <c r="F280" s="1377">
        <f t="shared" ref="F280:F303" si="191">+SUM($D280:$E280)/2</f>
        <v>0</v>
      </c>
      <c r="I280" s="1320"/>
      <c r="J280" s="1377">
        <f t="shared" ref="J280:J299" si="192">E280-$P280*$I$316</f>
        <v>0</v>
      </c>
      <c r="M280" s="1320"/>
      <c r="O280" s="496"/>
      <c r="P280" s="496"/>
      <c r="Q280" s="736">
        <f t="shared" si="170"/>
        <v>29.430000000000067</v>
      </c>
      <c r="R280" s="496" t="s">
        <v>1873</v>
      </c>
      <c r="T280" s="2227">
        <f t="shared" si="171"/>
        <v>0</v>
      </c>
      <c r="U280" s="2227">
        <f t="shared" si="172"/>
        <v>0</v>
      </c>
      <c r="V280" s="2227">
        <f t="shared" si="173"/>
        <v>0</v>
      </c>
      <c r="W280" s="2227">
        <f t="shared" si="174"/>
        <v>0</v>
      </c>
      <c r="X280" s="505">
        <f t="shared" si="175"/>
        <v>0</v>
      </c>
    </row>
    <row r="281" spans="1:24" ht="13.2" customHeight="1">
      <c r="A281" s="736">
        <f t="shared" si="167"/>
        <v>29.440000000000069</v>
      </c>
      <c r="B281" s="534" t="s">
        <v>1874</v>
      </c>
      <c r="C281" s="534"/>
      <c r="D281" s="694">
        <v>0</v>
      </c>
      <c r="E281" s="694"/>
      <c r="F281" s="1377">
        <f t="shared" si="191"/>
        <v>0</v>
      </c>
      <c r="I281" s="1320"/>
      <c r="J281" s="1377">
        <f t="shared" si="192"/>
        <v>0</v>
      </c>
      <c r="M281" s="1320"/>
      <c r="O281" s="496"/>
      <c r="P281" s="496"/>
      <c r="Q281" s="736">
        <f t="shared" si="170"/>
        <v>29.440000000000069</v>
      </c>
      <c r="R281" s="496" t="s">
        <v>1874</v>
      </c>
      <c r="T281" s="2227">
        <f t="shared" si="171"/>
        <v>0</v>
      </c>
      <c r="U281" s="2227">
        <f t="shared" si="172"/>
        <v>0</v>
      </c>
      <c r="V281" s="2227">
        <f t="shared" si="173"/>
        <v>0</v>
      </c>
      <c r="W281" s="2227">
        <f t="shared" si="174"/>
        <v>0</v>
      </c>
      <c r="X281" s="505">
        <f t="shared" si="175"/>
        <v>0</v>
      </c>
    </row>
    <row r="282" spans="1:24" ht="13.2" customHeight="1">
      <c r="A282" s="736">
        <f t="shared" si="167"/>
        <v>29.45000000000007</v>
      </c>
      <c r="B282" s="534" t="s">
        <v>1875</v>
      </c>
      <c r="C282" s="534"/>
      <c r="D282" s="694">
        <v>0</v>
      </c>
      <c r="E282" s="694"/>
      <c r="F282" s="1377">
        <f t="shared" ref="F282:F293" si="193">+SUM($D282:$E282)/2</f>
        <v>0</v>
      </c>
      <c r="G282" s="903"/>
      <c r="H282" s="903"/>
      <c r="I282" s="1320"/>
      <c r="J282" s="1377">
        <f t="shared" si="192"/>
        <v>14087.454829899501</v>
      </c>
      <c r="K282" s="903"/>
      <c r="L282" s="903"/>
      <c r="M282" s="1320"/>
      <c r="O282" s="2225">
        <v>283401</v>
      </c>
      <c r="P282" s="2223">
        <v>-19888.171524564001</v>
      </c>
      <c r="Q282" s="736">
        <f t="shared" si="170"/>
        <v>29.45000000000007</v>
      </c>
      <c r="R282" s="2223" t="s">
        <v>1875</v>
      </c>
      <c r="T282" s="2227">
        <f t="shared" si="171"/>
        <v>-19888.171524564001</v>
      </c>
      <c r="U282" s="2227">
        <f t="shared" si="172"/>
        <v>0</v>
      </c>
      <c r="V282" s="2227">
        <f t="shared" si="173"/>
        <v>0</v>
      </c>
      <c r="W282" s="2227">
        <f t="shared" si="174"/>
        <v>0</v>
      </c>
      <c r="X282" s="505">
        <f t="shared" si="175"/>
        <v>-19888.171524564001</v>
      </c>
    </row>
    <row r="283" spans="1:24" ht="13.2" customHeight="1">
      <c r="A283" s="736">
        <f t="shared" si="167"/>
        <v>29.460000000000072</v>
      </c>
      <c r="B283" s="534" t="s">
        <v>1876</v>
      </c>
      <c r="C283" s="534"/>
      <c r="D283" s="694">
        <v>0</v>
      </c>
      <c r="E283" s="694"/>
      <c r="F283" s="1377">
        <f t="shared" si="193"/>
        <v>0</v>
      </c>
      <c r="G283" s="903"/>
      <c r="H283" s="903"/>
      <c r="I283" s="1320"/>
      <c r="J283" s="1377">
        <f t="shared" si="192"/>
        <v>-1126.7944876166669</v>
      </c>
      <c r="K283" s="903"/>
      <c r="L283" s="903"/>
      <c r="M283" s="1320"/>
      <c r="O283" s="2225">
        <v>283402</v>
      </c>
      <c r="P283" s="2223">
        <v>1590.7686884000002</v>
      </c>
      <c r="Q283" s="736">
        <f t="shared" si="170"/>
        <v>29.460000000000072</v>
      </c>
      <c r="R283" s="2223" t="s">
        <v>1876</v>
      </c>
      <c r="T283" s="2227">
        <f t="shared" si="171"/>
        <v>1590.7686884000002</v>
      </c>
      <c r="U283" s="2227">
        <f t="shared" si="172"/>
        <v>0</v>
      </c>
      <c r="V283" s="2227">
        <f t="shared" si="173"/>
        <v>0</v>
      </c>
      <c r="W283" s="2227">
        <f t="shared" si="174"/>
        <v>0</v>
      </c>
      <c r="X283" s="505">
        <f t="shared" si="175"/>
        <v>1590.7686884000002</v>
      </c>
    </row>
    <row r="284" spans="1:24" ht="13.2" customHeight="1">
      <c r="A284" s="736">
        <f t="shared" si="167"/>
        <v>29.470000000000073</v>
      </c>
      <c r="B284" s="534" t="s">
        <v>1877</v>
      </c>
      <c r="C284" s="534"/>
      <c r="D284" s="694">
        <v>0</v>
      </c>
      <c r="E284" s="694"/>
      <c r="F284" s="1377">
        <f t="shared" si="193"/>
        <v>0</v>
      </c>
      <c r="G284" s="903"/>
      <c r="H284" s="903"/>
      <c r="I284" s="1320"/>
      <c r="J284" s="1377">
        <f t="shared" si="192"/>
        <v>353068.75365991303</v>
      </c>
      <c r="K284" s="903"/>
      <c r="L284" s="903"/>
      <c r="M284" s="1320"/>
      <c r="O284" s="2225">
        <v>283411</v>
      </c>
      <c r="P284" s="2223">
        <v>-498450.00516693603</v>
      </c>
      <c r="Q284" s="736">
        <f t="shared" si="170"/>
        <v>29.470000000000073</v>
      </c>
      <c r="R284" s="2223" t="s">
        <v>1877</v>
      </c>
      <c r="T284" s="2227">
        <f t="shared" si="171"/>
        <v>-498450.00516693603</v>
      </c>
      <c r="U284" s="2227">
        <f t="shared" si="172"/>
        <v>0</v>
      </c>
      <c r="V284" s="2227">
        <f t="shared" si="173"/>
        <v>0</v>
      </c>
      <c r="W284" s="2227">
        <f t="shared" si="174"/>
        <v>0</v>
      </c>
      <c r="X284" s="505">
        <f t="shared" si="175"/>
        <v>-498450.00516693603</v>
      </c>
    </row>
    <row r="285" spans="1:24" ht="13.2" customHeight="1">
      <c r="A285" s="736">
        <f t="shared" si="167"/>
        <v>29.480000000000075</v>
      </c>
      <c r="B285" s="534" t="s">
        <v>1878</v>
      </c>
      <c r="C285" s="534"/>
      <c r="D285" s="694">
        <v>0</v>
      </c>
      <c r="E285" s="694"/>
      <c r="F285" s="1377">
        <f t="shared" si="193"/>
        <v>0</v>
      </c>
      <c r="G285" s="903"/>
      <c r="H285" s="903"/>
      <c r="I285" s="1320"/>
      <c r="J285" s="1377">
        <f t="shared" si="192"/>
        <v>-28240.518618633334</v>
      </c>
      <c r="K285" s="903"/>
      <c r="L285" s="903"/>
      <c r="M285" s="1320"/>
      <c r="O285" s="2225">
        <v>283412</v>
      </c>
      <c r="P285" s="2223">
        <v>39868.967461599997</v>
      </c>
      <c r="Q285" s="736">
        <f t="shared" si="170"/>
        <v>29.480000000000075</v>
      </c>
      <c r="R285" s="2223" t="s">
        <v>1878</v>
      </c>
      <c r="T285" s="2227">
        <f t="shared" si="171"/>
        <v>39868.967461599997</v>
      </c>
      <c r="U285" s="2227">
        <f t="shared" si="172"/>
        <v>0</v>
      </c>
      <c r="V285" s="2227">
        <f t="shared" si="173"/>
        <v>0</v>
      </c>
      <c r="W285" s="2227">
        <f t="shared" si="174"/>
        <v>0</v>
      </c>
      <c r="X285" s="505">
        <f t="shared" si="175"/>
        <v>39868.967461599997</v>
      </c>
    </row>
    <row r="286" spans="1:24" ht="13.2" customHeight="1">
      <c r="A286" s="736">
        <f t="shared" si="167"/>
        <v>29.490000000000077</v>
      </c>
      <c r="B286" s="534" t="s">
        <v>1879</v>
      </c>
      <c r="C286" s="534"/>
      <c r="D286" s="694">
        <v>0</v>
      </c>
      <c r="E286" s="694"/>
      <c r="F286" s="1377">
        <f t="shared" si="193"/>
        <v>0</v>
      </c>
      <c r="G286" s="903"/>
      <c r="H286" s="903"/>
      <c r="I286" s="1320"/>
      <c r="J286" s="1377">
        <f t="shared" si="192"/>
        <v>0</v>
      </c>
      <c r="K286" s="903"/>
      <c r="L286" s="903"/>
      <c r="M286" s="1320"/>
      <c r="O286" s="496"/>
      <c r="P286" s="496"/>
      <c r="Q286" s="736">
        <f t="shared" si="170"/>
        <v>29.490000000000077</v>
      </c>
      <c r="R286" s="496" t="s">
        <v>1879</v>
      </c>
      <c r="T286" s="2227">
        <f t="shared" si="171"/>
        <v>0</v>
      </c>
      <c r="U286" s="2227">
        <f t="shared" si="172"/>
        <v>0</v>
      </c>
      <c r="V286" s="2227">
        <f t="shared" si="173"/>
        <v>0</v>
      </c>
      <c r="W286" s="2227">
        <f t="shared" si="174"/>
        <v>0</v>
      </c>
      <c r="X286" s="505">
        <f t="shared" si="175"/>
        <v>0</v>
      </c>
    </row>
    <row r="287" spans="1:24" ht="13.2" customHeight="1">
      <c r="A287" s="736">
        <f t="shared" si="167"/>
        <v>29.500000000000078</v>
      </c>
      <c r="B287" s="534" t="s">
        <v>1880</v>
      </c>
      <c r="C287" s="534"/>
      <c r="D287" s="694">
        <v>0</v>
      </c>
      <c r="E287" s="694"/>
      <c r="F287" s="1377">
        <f t="shared" si="193"/>
        <v>0</v>
      </c>
      <c r="G287" s="903"/>
      <c r="H287" s="903"/>
      <c r="I287" s="1320"/>
      <c r="J287" s="1377">
        <f t="shared" si="192"/>
        <v>0</v>
      </c>
      <c r="K287" s="903"/>
      <c r="L287" s="903"/>
      <c r="M287" s="1320"/>
      <c r="O287" s="496"/>
      <c r="P287" s="496"/>
      <c r="Q287" s="736">
        <f t="shared" si="170"/>
        <v>29.500000000000078</v>
      </c>
      <c r="R287" s="496" t="s">
        <v>1880</v>
      </c>
      <c r="T287" s="2227">
        <f t="shared" si="171"/>
        <v>0</v>
      </c>
      <c r="U287" s="2227">
        <f t="shared" si="172"/>
        <v>0</v>
      </c>
      <c r="V287" s="2227">
        <f t="shared" si="173"/>
        <v>0</v>
      </c>
      <c r="W287" s="2227">
        <f t="shared" si="174"/>
        <v>0</v>
      </c>
      <c r="X287" s="505">
        <f t="shared" si="175"/>
        <v>0</v>
      </c>
    </row>
    <row r="288" spans="1:24" ht="13.2" customHeight="1">
      <c r="A288" s="736">
        <f t="shared" si="167"/>
        <v>29.51000000000008</v>
      </c>
      <c r="B288" s="534" t="s">
        <v>1881</v>
      </c>
      <c r="C288" s="534"/>
      <c r="D288" s="694">
        <v>0</v>
      </c>
      <c r="E288" s="694"/>
      <c r="F288" s="1377">
        <f t="shared" si="193"/>
        <v>0</v>
      </c>
      <c r="G288" s="903"/>
      <c r="H288" s="903"/>
      <c r="I288" s="1320"/>
      <c r="J288" s="1377">
        <f t="shared" si="192"/>
        <v>0</v>
      </c>
      <c r="K288" s="903"/>
      <c r="L288" s="903"/>
      <c r="M288" s="1320"/>
      <c r="O288" s="496"/>
      <c r="P288" s="496"/>
      <c r="Q288" s="736">
        <f t="shared" si="170"/>
        <v>29.51000000000008</v>
      </c>
      <c r="R288" s="496" t="s">
        <v>1881</v>
      </c>
      <c r="T288" s="2227">
        <f t="shared" si="171"/>
        <v>0</v>
      </c>
      <c r="U288" s="2227">
        <f t="shared" si="172"/>
        <v>0</v>
      </c>
      <c r="V288" s="2227">
        <f t="shared" si="173"/>
        <v>0</v>
      </c>
      <c r="W288" s="2227">
        <f t="shared" si="174"/>
        <v>0</v>
      </c>
      <c r="X288" s="505">
        <f t="shared" si="175"/>
        <v>0</v>
      </c>
    </row>
    <row r="289" spans="1:24" ht="13.2" customHeight="1">
      <c r="A289" s="736">
        <f t="shared" si="167"/>
        <v>29.520000000000081</v>
      </c>
      <c r="B289" s="534" t="s">
        <v>1882</v>
      </c>
      <c r="C289" s="534"/>
      <c r="D289" s="694">
        <v>0</v>
      </c>
      <c r="E289" s="694"/>
      <c r="F289" s="1377">
        <f t="shared" si="193"/>
        <v>0</v>
      </c>
      <c r="G289" s="903"/>
      <c r="H289" s="903"/>
      <c r="I289" s="1320"/>
      <c r="J289" s="1377">
        <f t="shared" si="192"/>
        <v>0</v>
      </c>
      <c r="K289" s="903"/>
      <c r="L289" s="903"/>
      <c r="M289" s="1320"/>
      <c r="O289" s="496"/>
      <c r="P289" s="496"/>
      <c r="Q289" s="736">
        <f t="shared" si="170"/>
        <v>29.520000000000081</v>
      </c>
      <c r="R289" s="496" t="s">
        <v>1882</v>
      </c>
      <c r="T289" s="2227">
        <f t="shared" si="171"/>
        <v>0</v>
      </c>
      <c r="U289" s="2227">
        <f t="shared" si="172"/>
        <v>0</v>
      </c>
      <c r="V289" s="2227">
        <f t="shared" si="173"/>
        <v>0</v>
      </c>
      <c r="W289" s="2227">
        <f t="shared" si="174"/>
        <v>0</v>
      </c>
      <c r="X289" s="505">
        <f t="shared" si="175"/>
        <v>0</v>
      </c>
    </row>
    <row r="290" spans="1:24" ht="13.2" customHeight="1">
      <c r="A290" s="736">
        <f t="shared" si="167"/>
        <v>29.530000000000083</v>
      </c>
      <c r="B290" s="534" t="s">
        <v>1883</v>
      </c>
      <c r="C290" s="534"/>
      <c r="D290" s="694">
        <v>0</v>
      </c>
      <c r="E290" s="694"/>
      <c r="F290" s="1377">
        <f t="shared" si="193"/>
        <v>0</v>
      </c>
      <c r="G290" s="903"/>
      <c r="H290" s="903"/>
      <c r="I290" s="1320"/>
      <c r="J290" s="1377">
        <f t="shared" si="192"/>
        <v>0</v>
      </c>
      <c r="K290" s="903"/>
      <c r="L290" s="903"/>
      <c r="M290" s="1320"/>
      <c r="Q290" s="736">
        <f t="shared" si="170"/>
        <v>29.530000000000083</v>
      </c>
      <c r="R290" s="1937" t="s">
        <v>1883</v>
      </c>
      <c r="T290" s="2227">
        <f t="shared" si="171"/>
        <v>0</v>
      </c>
      <c r="U290" s="2227">
        <f t="shared" si="172"/>
        <v>0</v>
      </c>
      <c r="V290" s="2227">
        <f t="shared" si="173"/>
        <v>0</v>
      </c>
      <c r="W290" s="2227">
        <f t="shared" si="174"/>
        <v>0</v>
      </c>
      <c r="X290" s="505">
        <f t="shared" si="175"/>
        <v>0</v>
      </c>
    </row>
    <row r="291" spans="1:24" ht="13.2" customHeight="1">
      <c r="A291" s="736">
        <f t="shared" si="167"/>
        <v>29.540000000000084</v>
      </c>
      <c r="B291" s="534" t="s">
        <v>1884</v>
      </c>
      <c r="C291" s="534"/>
      <c r="D291" s="694">
        <v>0</v>
      </c>
      <c r="E291" s="694"/>
      <c r="F291" s="1377">
        <f t="shared" si="193"/>
        <v>0</v>
      </c>
      <c r="G291" s="903"/>
      <c r="H291" s="903"/>
      <c r="I291" s="1320"/>
      <c r="J291" s="1377">
        <f t="shared" si="192"/>
        <v>0</v>
      </c>
      <c r="K291" s="903"/>
      <c r="L291" s="903"/>
      <c r="M291" s="1320"/>
      <c r="Q291" s="736">
        <f t="shared" si="170"/>
        <v>29.540000000000084</v>
      </c>
      <c r="R291" s="1937" t="s">
        <v>1884</v>
      </c>
      <c r="T291" s="2227">
        <f t="shared" si="171"/>
        <v>0</v>
      </c>
      <c r="U291" s="2227">
        <f t="shared" si="172"/>
        <v>0</v>
      </c>
      <c r="V291" s="2227">
        <f t="shared" si="173"/>
        <v>0</v>
      </c>
      <c r="W291" s="2227">
        <f t="shared" si="174"/>
        <v>0</v>
      </c>
      <c r="X291" s="505">
        <f t="shared" si="175"/>
        <v>0</v>
      </c>
    </row>
    <row r="292" spans="1:24" ht="13.2" customHeight="1">
      <c r="A292" s="736">
        <f t="shared" si="167"/>
        <v>29.550000000000086</v>
      </c>
      <c r="B292" s="534" t="s">
        <v>1885</v>
      </c>
      <c r="C292" s="534"/>
      <c r="D292" s="694">
        <v>0</v>
      </c>
      <c r="E292" s="694">
        <v>-25029914.91</v>
      </c>
      <c r="F292" s="1377">
        <f t="shared" si="193"/>
        <v>-12514957.455</v>
      </c>
      <c r="G292" s="903"/>
      <c r="H292" s="903"/>
      <c r="I292" s="1320"/>
      <c r="J292" s="1377">
        <f t="shared" si="192"/>
        <v>-14914932.618333332</v>
      </c>
      <c r="K292" s="903"/>
      <c r="L292" s="903"/>
      <c r="M292" s="1320"/>
      <c r="O292" s="2224">
        <v>283537</v>
      </c>
      <c r="P292" s="2223">
        <v>-14279975</v>
      </c>
      <c r="Q292" s="736">
        <f t="shared" si="170"/>
        <v>29.550000000000086</v>
      </c>
      <c r="R292" s="2223" t="s">
        <v>1885</v>
      </c>
      <c r="T292" s="2227">
        <f t="shared" si="171"/>
        <v>-14279975</v>
      </c>
      <c r="U292" s="2227">
        <f t="shared" si="172"/>
        <v>0</v>
      </c>
      <c r="V292" s="2227">
        <f t="shared" si="173"/>
        <v>0</v>
      </c>
      <c r="W292" s="2227">
        <f t="shared" si="174"/>
        <v>0</v>
      </c>
      <c r="X292" s="505">
        <f t="shared" si="175"/>
        <v>-14279975</v>
      </c>
    </row>
    <row r="293" spans="1:24" ht="13.2" customHeight="1">
      <c r="A293" s="736">
        <f t="shared" si="167"/>
        <v>29.560000000000088</v>
      </c>
      <c r="B293" s="534" t="s">
        <v>1886</v>
      </c>
      <c r="C293" s="534"/>
      <c r="D293" s="694">
        <v>0</v>
      </c>
      <c r="E293" s="694">
        <v>2002391.41</v>
      </c>
      <c r="F293" s="1377">
        <f t="shared" si="193"/>
        <v>1001195.705</v>
      </c>
      <c r="G293" s="903"/>
      <c r="H293" s="903"/>
      <c r="I293" s="1320"/>
      <c r="J293" s="1377">
        <f t="shared" si="192"/>
        <v>1148071.2849999999</v>
      </c>
      <c r="K293" s="903"/>
      <c r="L293" s="903"/>
      <c r="M293" s="1320"/>
      <c r="O293" s="2224">
        <v>283538</v>
      </c>
      <c r="P293" s="2223">
        <v>1206099</v>
      </c>
      <c r="Q293" s="736">
        <f t="shared" si="170"/>
        <v>29.560000000000088</v>
      </c>
      <c r="R293" s="2223" t="s">
        <v>1886</v>
      </c>
      <c r="T293" s="2227">
        <f t="shared" si="171"/>
        <v>1206099</v>
      </c>
      <c r="U293" s="2227">
        <f t="shared" si="172"/>
        <v>0</v>
      </c>
      <c r="V293" s="2227">
        <f t="shared" si="173"/>
        <v>0</v>
      </c>
      <c r="W293" s="2227">
        <f t="shared" si="174"/>
        <v>0</v>
      </c>
      <c r="X293" s="505">
        <f t="shared" si="175"/>
        <v>1206099</v>
      </c>
    </row>
    <row r="294" spans="1:24" ht="13.2" customHeight="1">
      <c r="A294" s="736">
        <f t="shared" si="167"/>
        <v>29.570000000000089</v>
      </c>
      <c r="B294" s="534" t="s">
        <v>1887</v>
      </c>
      <c r="C294" s="534"/>
      <c r="D294" s="694">
        <v>0</v>
      </c>
      <c r="E294" s="694"/>
      <c r="F294" s="1377">
        <f t="shared" si="191"/>
        <v>0</v>
      </c>
      <c r="I294" s="1320"/>
      <c r="J294" s="1377">
        <f t="shared" si="192"/>
        <v>0</v>
      </c>
      <c r="M294" s="1320"/>
      <c r="O294" s="496"/>
      <c r="P294" s="496"/>
      <c r="Q294" s="736">
        <f t="shared" si="170"/>
        <v>29.570000000000089</v>
      </c>
      <c r="R294" s="496" t="s">
        <v>1887</v>
      </c>
      <c r="T294" s="2227">
        <f t="shared" si="171"/>
        <v>0</v>
      </c>
      <c r="U294" s="2227">
        <f t="shared" si="172"/>
        <v>0</v>
      </c>
      <c r="V294" s="2227">
        <f t="shared" si="173"/>
        <v>0</v>
      </c>
      <c r="W294" s="2227">
        <f t="shared" si="174"/>
        <v>0</v>
      </c>
      <c r="X294" s="505">
        <f t="shared" si="175"/>
        <v>0</v>
      </c>
    </row>
    <row r="295" spans="1:24" ht="13.2" customHeight="1">
      <c r="A295" s="736">
        <f t="shared" si="167"/>
        <v>29.580000000000091</v>
      </c>
      <c r="B295" s="534" t="s">
        <v>1888</v>
      </c>
      <c r="C295" s="534"/>
      <c r="D295" s="694">
        <v>0</v>
      </c>
      <c r="E295" s="694"/>
      <c r="F295" s="1377">
        <f t="shared" si="191"/>
        <v>0</v>
      </c>
      <c r="I295" s="1320"/>
      <c r="J295" s="1377">
        <f t="shared" si="192"/>
        <v>0</v>
      </c>
      <c r="M295" s="1320"/>
      <c r="O295" s="496"/>
      <c r="P295" s="496"/>
      <c r="Q295" s="736">
        <f t="shared" si="170"/>
        <v>29.580000000000091</v>
      </c>
      <c r="R295" s="496" t="s">
        <v>1888</v>
      </c>
      <c r="T295" s="2227">
        <f t="shared" si="171"/>
        <v>0</v>
      </c>
      <c r="U295" s="2227">
        <f t="shared" si="172"/>
        <v>0</v>
      </c>
      <c r="V295" s="2227">
        <f t="shared" si="173"/>
        <v>0</v>
      </c>
      <c r="W295" s="2227">
        <f t="shared" si="174"/>
        <v>0</v>
      </c>
      <c r="X295" s="505">
        <f t="shared" si="175"/>
        <v>0</v>
      </c>
    </row>
    <row r="296" spans="1:24" ht="13.2" customHeight="1">
      <c r="A296" s="736">
        <f t="shared" si="167"/>
        <v>29.590000000000092</v>
      </c>
      <c r="B296" s="534" t="s">
        <v>1889</v>
      </c>
      <c r="C296" s="534"/>
      <c r="D296" s="694">
        <v>0</v>
      </c>
      <c r="E296" s="694"/>
      <c r="F296" s="1377">
        <f t="shared" si="191"/>
        <v>0</v>
      </c>
      <c r="I296" s="1320"/>
      <c r="J296" s="1377">
        <f t="shared" si="192"/>
        <v>0</v>
      </c>
      <c r="M296" s="1320"/>
      <c r="Q296" s="736">
        <f t="shared" si="170"/>
        <v>29.590000000000092</v>
      </c>
      <c r="R296" s="1937" t="s">
        <v>1889</v>
      </c>
      <c r="T296" s="2227">
        <f t="shared" si="171"/>
        <v>0</v>
      </c>
      <c r="U296" s="2227">
        <f t="shared" si="172"/>
        <v>0</v>
      </c>
      <c r="V296" s="2227">
        <f t="shared" si="173"/>
        <v>0</v>
      </c>
      <c r="W296" s="2227">
        <f t="shared" si="174"/>
        <v>0</v>
      </c>
      <c r="X296" s="505">
        <f t="shared" si="175"/>
        <v>0</v>
      </c>
    </row>
    <row r="297" spans="1:24" ht="13.2" customHeight="1">
      <c r="A297" s="736">
        <f t="shared" si="167"/>
        <v>29.600000000000094</v>
      </c>
      <c r="B297" s="534" t="s">
        <v>1890</v>
      </c>
      <c r="C297" s="534"/>
      <c r="D297" s="694">
        <v>0</v>
      </c>
      <c r="E297" s="694"/>
      <c r="F297" s="1377">
        <f t="shared" si="191"/>
        <v>0</v>
      </c>
      <c r="I297" s="1320"/>
      <c r="J297" s="1377">
        <f t="shared" si="192"/>
        <v>0</v>
      </c>
      <c r="M297" s="1320"/>
      <c r="Q297" s="736">
        <f t="shared" si="170"/>
        <v>29.600000000000094</v>
      </c>
      <c r="R297" s="1937" t="s">
        <v>1890</v>
      </c>
      <c r="T297" s="2227">
        <f t="shared" si="171"/>
        <v>0</v>
      </c>
      <c r="U297" s="2227">
        <f t="shared" si="172"/>
        <v>0</v>
      </c>
      <c r="V297" s="2227">
        <f t="shared" si="173"/>
        <v>0</v>
      </c>
      <c r="W297" s="2227">
        <f t="shared" si="174"/>
        <v>0</v>
      </c>
      <c r="X297" s="505">
        <f t="shared" si="175"/>
        <v>0</v>
      </c>
    </row>
    <row r="298" spans="1:24" ht="13.2" customHeight="1">
      <c r="A298" s="736">
        <f t="shared" si="167"/>
        <v>29.610000000000095</v>
      </c>
      <c r="B298" s="534" t="s">
        <v>1891</v>
      </c>
      <c r="C298" s="534"/>
      <c r="D298" s="694">
        <v>0</v>
      </c>
      <c r="E298" s="694"/>
      <c r="F298" s="1377">
        <f t="shared" si="191"/>
        <v>0</v>
      </c>
      <c r="I298" s="1320"/>
      <c r="J298" s="1377">
        <f t="shared" si="192"/>
        <v>0</v>
      </c>
      <c r="M298" s="1320"/>
      <c r="Q298" s="736">
        <f t="shared" si="170"/>
        <v>29.610000000000095</v>
      </c>
      <c r="R298" s="1937" t="s">
        <v>1891</v>
      </c>
      <c r="T298" s="2227">
        <f t="shared" si="171"/>
        <v>0</v>
      </c>
      <c r="U298" s="2227">
        <f t="shared" si="172"/>
        <v>0</v>
      </c>
      <c r="V298" s="2227">
        <f t="shared" si="173"/>
        <v>0</v>
      </c>
      <c r="W298" s="2227">
        <f t="shared" si="174"/>
        <v>0</v>
      </c>
      <c r="X298" s="505">
        <f t="shared" si="175"/>
        <v>0</v>
      </c>
    </row>
    <row r="299" spans="1:24" ht="13.2" customHeight="1">
      <c r="A299" s="736">
        <f t="shared" si="167"/>
        <v>29.620000000000097</v>
      </c>
      <c r="B299" s="534" t="s">
        <v>1892</v>
      </c>
      <c r="C299" s="534"/>
      <c r="D299" s="694">
        <v>0</v>
      </c>
      <c r="E299" s="694">
        <v>2006737</v>
      </c>
      <c r="F299" s="1377">
        <f t="shared" ref="F299:F300" si="194">+SUM($D299:$E299)/2</f>
        <v>1003368.5</v>
      </c>
      <c r="G299" s="903"/>
      <c r="H299" s="903"/>
      <c r="I299" s="1320"/>
      <c r="J299" s="1377">
        <f t="shared" si="192"/>
        <v>585298.29166666651</v>
      </c>
      <c r="K299" s="903"/>
      <c r="L299" s="903"/>
      <c r="M299" s="1320"/>
      <c r="O299" s="2225">
        <v>283707</v>
      </c>
      <c r="P299" s="2223">
        <v>2006737</v>
      </c>
      <c r="Q299" s="736">
        <f t="shared" si="170"/>
        <v>29.620000000000097</v>
      </c>
      <c r="R299" s="2223" t="s">
        <v>1892</v>
      </c>
      <c r="T299" s="2227">
        <f t="shared" si="171"/>
        <v>2006737</v>
      </c>
      <c r="U299" s="2227">
        <f t="shared" si="172"/>
        <v>0</v>
      </c>
      <c r="V299" s="2227">
        <f t="shared" si="173"/>
        <v>0</v>
      </c>
      <c r="W299" s="2227">
        <f t="shared" si="174"/>
        <v>0</v>
      </c>
      <c r="X299" s="505">
        <f t="shared" si="175"/>
        <v>2006737</v>
      </c>
    </row>
    <row r="300" spans="1:24" ht="13.2" customHeight="1">
      <c r="A300" s="736">
        <f t="shared" si="167"/>
        <v>29.630000000000098</v>
      </c>
      <c r="B300" s="534" t="s">
        <v>1893</v>
      </c>
      <c r="C300" s="534"/>
      <c r="D300" s="694">
        <v>0</v>
      </c>
      <c r="E300" s="694"/>
      <c r="F300" s="1377">
        <f t="shared" si="194"/>
        <v>0</v>
      </c>
      <c r="G300" s="903"/>
      <c r="H300" s="903"/>
      <c r="I300" s="1320"/>
      <c r="J300" s="1377">
        <f>E300-$P300*$I$316</f>
        <v>0</v>
      </c>
      <c r="K300" s="903"/>
      <c r="L300" s="903"/>
      <c r="M300" s="1320"/>
      <c r="O300" s="496"/>
      <c r="P300" s="496"/>
      <c r="Q300" s="736">
        <f t="shared" si="170"/>
        <v>29.630000000000098</v>
      </c>
      <c r="R300" s="496" t="s">
        <v>1893</v>
      </c>
      <c r="T300" s="2227">
        <f t="shared" si="171"/>
        <v>0</v>
      </c>
      <c r="U300" s="2227">
        <f t="shared" si="172"/>
        <v>0</v>
      </c>
      <c r="V300" s="2227">
        <f t="shared" si="173"/>
        <v>0</v>
      </c>
      <c r="W300" s="2227">
        <f t="shared" si="174"/>
        <v>0</v>
      </c>
      <c r="X300" s="505">
        <f t="shared" si="175"/>
        <v>0</v>
      </c>
    </row>
    <row r="301" spans="1:24" ht="13.2" customHeight="1">
      <c r="A301" s="736">
        <f t="shared" si="167"/>
        <v>29.6400000000001</v>
      </c>
      <c r="B301" s="534" t="s">
        <v>1894</v>
      </c>
      <c r="C301" s="534"/>
      <c r="D301" s="694">
        <v>0</v>
      </c>
      <c r="E301" s="694"/>
      <c r="F301" s="1377"/>
      <c r="G301" s="903"/>
      <c r="H301" s="903">
        <f t="shared" ref="H301" si="195">+SUM($D301:$E301)/2</f>
        <v>0</v>
      </c>
      <c r="I301" s="1320"/>
      <c r="J301" s="1377"/>
      <c r="K301" s="903"/>
      <c r="L301" s="903">
        <f>-$P301*$I$316</f>
        <v>0</v>
      </c>
      <c r="M301" s="1320"/>
      <c r="Q301" s="736">
        <f t="shared" si="170"/>
        <v>29.6400000000001</v>
      </c>
      <c r="R301" s="1937" t="s">
        <v>1894</v>
      </c>
      <c r="T301" s="2227">
        <f t="shared" si="171"/>
        <v>0</v>
      </c>
      <c r="U301" s="2227">
        <f t="shared" si="172"/>
        <v>0</v>
      </c>
      <c r="V301" s="2227">
        <f t="shared" si="173"/>
        <v>0</v>
      </c>
      <c r="W301" s="2227">
        <f t="shared" si="174"/>
        <v>0</v>
      </c>
      <c r="X301" s="505">
        <f t="shared" si="175"/>
        <v>0</v>
      </c>
    </row>
    <row r="302" spans="1:24" ht="13.2" customHeight="1">
      <c r="A302" s="736">
        <f t="shared" ref="A302:A304" si="196">+A301+0.01</f>
        <v>29.650000000000102</v>
      </c>
      <c r="B302" s="534" t="s">
        <v>1895</v>
      </c>
      <c r="C302" s="534"/>
      <c r="D302" s="694">
        <v>0</v>
      </c>
      <c r="E302" s="694"/>
      <c r="F302" s="1377"/>
      <c r="H302" s="887">
        <f t="shared" ref="H302" si="197">+AVERAGE(D302:E302)</f>
        <v>0</v>
      </c>
      <c r="I302" s="1320"/>
      <c r="J302" s="1377"/>
      <c r="L302" s="887">
        <f>-$P302*$I$316</f>
        <v>0</v>
      </c>
      <c r="M302" s="1320"/>
      <c r="Q302" s="736">
        <f t="shared" ref="Q302:Q304" si="198">+Q301+0.01</f>
        <v>29.650000000000102</v>
      </c>
      <c r="R302" s="1937" t="s">
        <v>1895</v>
      </c>
      <c r="T302" s="2227">
        <f t="shared" ref="T302:T306" si="199">IF(J302&lt;&gt;0,$P302,0)</f>
        <v>0</v>
      </c>
      <c r="U302" s="2227">
        <f t="shared" ref="U302:U306" si="200">IF(K302&lt;&gt;0,$P302,0)</f>
        <v>0</v>
      </c>
      <c r="V302" s="2227">
        <f t="shared" ref="V302:V306" si="201">IF(L302&lt;&gt;0,$P302,0)</f>
        <v>0</v>
      </c>
      <c r="W302" s="2227">
        <f t="shared" ref="W302:W306" si="202">IF(M302&lt;&gt;0,$P302,0)</f>
        <v>0</v>
      </c>
      <c r="X302" s="505">
        <f t="shared" ref="X302:X306" si="203">SUM(T302:W302)</f>
        <v>0</v>
      </c>
    </row>
    <row r="303" spans="1:24" ht="13.2" customHeight="1">
      <c r="A303" s="736">
        <f t="shared" si="196"/>
        <v>29.660000000000103</v>
      </c>
      <c r="B303" s="534" t="s">
        <v>1896</v>
      </c>
      <c r="C303" s="534"/>
      <c r="D303" s="694">
        <v>0</v>
      </c>
      <c r="E303" s="694">
        <v>-298401380</v>
      </c>
      <c r="F303" s="1377">
        <f t="shared" si="191"/>
        <v>-149200690</v>
      </c>
      <c r="G303" s="903"/>
      <c r="H303" s="903"/>
      <c r="I303" s="1320"/>
      <c r="J303" s="1377">
        <f>E303-$P303*$I$316</f>
        <v>-298401863.79166669</v>
      </c>
      <c r="K303" s="903"/>
      <c r="L303" s="903"/>
      <c r="M303" s="1320"/>
      <c r="O303" s="2224" t="s">
        <v>2254</v>
      </c>
      <c r="P303" s="2223">
        <v>683</v>
      </c>
      <c r="Q303" s="736">
        <f t="shared" si="198"/>
        <v>29.660000000000103</v>
      </c>
      <c r="R303" s="2223" t="s">
        <v>1896</v>
      </c>
      <c r="T303" s="2227">
        <f t="shared" si="199"/>
        <v>683</v>
      </c>
      <c r="U303" s="2227">
        <f t="shared" si="200"/>
        <v>0</v>
      </c>
      <c r="V303" s="2227">
        <f t="shared" si="201"/>
        <v>0</v>
      </c>
      <c r="W303" s="2227">
        <f t="shared" si="202"/>
        <v>0</v>
      </c>
      <c r="X303" s="505">
        <f t="shared" si="203"/>
        <v>683</v>
      </c>
    </row>
    <row r="304" spans="1:24" ht="13.2" customHeight="1">
      <c r="A304" s="1640">
        <f t="shared" si="196"/>
        <v>29.670000000000105</v>
      </c>
      <c r="B304" s="1651"/>
      <c r="C304" s="1634" t="s">
        <v>934</v>
      </c>
      <c r="D304" s="1632">
        <v>0</v>
      </c>
      <c r="E304" s="1632"/>
      <c r="F304" s="1652"/>
      <c r="G304" s="1653"/>
      <c r="H304" s="1653"/>
      <c r="I304" s="1654"/>
      <c r="J304" s="1652"/>
      <c r="K304" s="1653"/>
      <c r="L304" s="1653"/>
      <c r="M304" s="1654"/>
      <c r="Q304" s="1640">
        <f t="shared" si="198"/>
        <v>29.670000000000105</v>
      </c>
      <c r="S304" s="496" t="s">
        <v>934</v>
      </c>
      <c r="T304" s="2227">
        <f t="shared" si="199"/>
        <v>0</v>
      </c>
      <c r="U304" s="2227">
        <f t="shared" si="200"/>
        <v>0</v>
      </c>
      <c r="V304" s="2227">
        <f t="shared" si="201"/>
        <v>0</v>
      </c>
      <c r="W304" s="2227">
        <f t="shared" si="202"/>
        <v>0</v>
      </c>
      <c r="X304" s="505">
        <f t="shared" si="203"/>
        <v>0</v>
      </c>
    </row>
    <row r="305" spans="1:24" ht="13.2" customHeight="1">
      <c r="A305" s="1656" t="s">
        <v>925</v>
      </c>
      <c r="B305" s="1651"/>
      <c r="C305" s="1634" t="s">
        <v>934</v>
      </c>
      <c r="D305" s="1632">
        <v>0</v>
      </c>
      <c r="E305" s="1632"/>
      <c r="F305" s="1652"/>
      <c r="G305" s="1653"/>
      <c r="H305" s="1653"/>
      <c r="I305" s="1654"/>
      <c r="J305" s="1652"/>
      <c r="K305" s="1653"/>
      <c r="L305" s="1653"/>
      <c r="M305" s="1654"/>
      <c r="Q305" s="1656" t="s">
        <v>925</v>
      </c>
      <c r="S305" s="496" t="s">
        <v>934</v>
      </c>
      <c r="T305" s="2227">
        <f t="shared" si="199"/>
        <v>0</v>
      </c>
      <c r="U305" s="2227">
        <f t="shared" si="200"/>
        <v>0</v>
      </c>
      <c r="V305" s="2227">
        <f t="shared" si="201"/>
        <v>0</v>
      </c>
      <c r="W305" s="2227">
        <f t="shared" si="202"/>
        <v>0</v>
      </c>
      <c r="X305" s="505">
        <f t="shared" si="203"/>
        <v>0</v>
      </c>
    </row>
    <row r="306" spans="1:24" ht="13.2" customHeight="1">
      <c r="A306" s="1640" t="str">
        <f>29&amp;".XX"</f>
        <v>29.XX</v>
      </c>
      <c r="B306" s="1648"/>
      <c r="C306" s="1634" t="s">
        <v>934</v>
      </c>
      <c r="D306" s="1178">
        <v>0</v>
      </c>
      <c r="E306" s="1178"/>
      <c r="F306" s="1635"/>
      <c r="G306" s="1636"/>
      <c r="H306" s="1636"/>
      <c r="I306" s="1637"/>
      <c r="J306" s="1635"/>
      <c r="K306" s="1636"/>
      <c r="L306" s="1636"/>
      <c r="M306" s="1637"/>
      <c r="Q306" s="1640" t="str">
        <f>29&amp;".XX"</f>
        <v>29.XX</v>
      </c>
      <c r="S306" s="496" t="s">
        <v>934</v>
      </c>
      <c r="T306" s="2227">
        <f t="shared" si="199"/>
        <v>0</v>
      </c>
      <c r="U306" s="2227">
        <f t="shared" si="200"/>
        <v>0</v>
      </c>
      <c r="V306" s="2227">
        <f t="shared" si="201"/>
        <v>0</v>
      </c>
      <c r="W306" s="2227">
        <f t="shared" si="202"/>
        <v>0</v>
      </c>
      <c r="X306" s="505">
        <f t="shared" si="203"/>
        <v>0</v>
      </c>
    </row>
    <row r="307" spans="1:24" ht="13.2" customHeight="1" thickBot="1">
      <c r="A307" s="735">
        <v>30</v>
      </c>
      <c r="B307" s="1899"/>
      <c r="C307" s="1899"/>
      <c r="D307" s="903"/>
      <c r="E307" s="903"/>
      <c r="F307" s="1440"/>
      <c r="G307" s="1441"/>
      <c r="H307" s="1441"/>
      <c r="I307" s="1442"/>
      <c r="J307" s="1440"/>
      <c r="K307" s="1441"/>
      <c r="L307" s="1441"/>
      <c r="M307" s="1442"/>
      <c r="Q307" s="735">
        <v>30</v>
      </c>
    </row>
    <row r="308" spans="1:24" ht="14.4" thickBot="1">
      <c r="A308" s="735">
        <f>+A307+1</f>
        <v>31</v>
      </c>
      <c r="B308" s="1325" t="s">
        <v>2316</v>
      </c>
      <c r="C308" s="1326"/>
      <c r="D308" s="1834">
        <f t="shared" ref="D308" si="204">SUM(D269:D306)</f>
        <v>0</v>
      </c>
      <c r="E308" s="1834">
        <f>SUM(E238:E306)</f>
        <v>-568679298.05999994</v>
      </c>
      <c r="F308" s="823">
        <f t="shared" ref="F308:M308" si="205">SUM(F238:F306)</f>
        <v>-282057100.00999999</v>
      </c>
      <c r="G308" s="256">
        <f t="shared" si="205"/>
        <v>-223431.39999999997</v>
      </c>
      <c r="H308" s="256">
        <f t="shared" si="205"/>
        <v>-2059117.6199999996</v>
      </c>
      <c r="I308" s="1630">
        <f t="shared" si="205"/>
        <v>0</v>
      </c>
      <c r="J308" s="823">
        <f t="shared" si="205"/>
        <v>-538577090.59211648</v>
      </c>
      <c r="K308" s="256">
        <f t="shared" si="205"/>
        <v>-130334.98333333324</v>
      </c>
      <c r="L308" s="256">
        <f t="shared" si="205"/>
        <v>-1201152.2637499995</v>
      </c>
      <c r="M308" s="1630">
        <f t="shared" si="205"/>
        <v>0</v>
      </c>
      <c r="P308" s="1937">
        <f>SUM(P238:P306)</f>
        <v>-40617487.370541498</v>
      </c>
      <c r="Q308" s="735">
        <f>+Q307+1</f>
        <v>31</v>
      </c>
      <c r="R308" s="1937" t="s">
        <v>1957</v>
      </c>
      <c r="T308" s="1937">
        <f t="shared" ref="T308:X308" si="206">SUM(T238:T306)</f>
        <v>-36052389.780541494</v>
      </c>
      <c r="U308" s="1937">
        <f t="shared" si="206"/>
        <v>-446862.8</v>
      </c>
      <c r="V308" s="1937">
        <f t="shared" si="206"/>
        <v>-4118234.7899999991</v>
      </c>
      <c r="W308" s="1937">
        <f t="shared" si="206"/>
        <v>0</v>
      </c>
      <c r="X308" s="1937">
        <f t="shared" si="206"/>
        <v>-40617487.370541498</v>
      </c>
    </row>
    <row r="309" spans="1:24" ht="14.4" customHeight="1">
      <c r="A309" s="735">
        <f t="shared" ref="A309" si="207">+A308+1</f>
        <v>32</v>
      </c>
      <c r="B309" s="2404" t="s">
        <v>567</v>
      </c>
      <c r="C309" s="2404"/>
      <c r="D309" s="146">
        <f t="shared" ref="D309" si="208">+D299+D300</f>
        <v>0</v>
      </c>
      <c r="E309" s="146">
        <f>E297+E298+E299+E300</f>
        <v>2006737</v>
      </c>
      <c r="F309" s="1842">
        <f>F297+F298+F299+F300</f>
        <v>1003368.5</v>
      </c>
      <c r="G309" s="146">
        <f t="shared" ref="G309:P309" si="209">G297+G298+G299+G300</f>
        <v>0</v>
      </c>
      <c r="H309" s="146">
        <f t="shared" si="209"/>
        <v>0</v>
      </c>
      <c r="I309" s="1845">
        <f t="shared" si="209"/>
        <v>0</v>
      </c>
      <c r="J309" s="1842">
        <f t="shared" si="209"/>
        <v>585298.29166666651</v>
      </c>
      <c r="K309" s="146">
        <f t="shared" si="209"/>
        <v>0</v>
      </c>
      <c r="L309" s="146">
        <f t="shared" si="209"/>
        <v>0</v>
      </c>
      <c r="M309" s="1845">
        <f t="shared" si="209"/>
        <v>0</v>
      </c>
      <c r="N309" s="170">
        <f t="shared" si="209"/>
        <v>0</v>
      </c>
      <c r="O309" s="1792">
        <f t="shared" si="209"/>
        <v>283707</v>
      </c>
      <c r="P309" s="1842">
        <f t="shared" si="209"/>
        <v>2006737</v>
      </c>
      <c r="Q309" s="735">
        <f t="shared" ref="Q309" si="210">+Q308+1</f>
        <v>32</v>
      </c>
      <c r="R309" s="146" t="s">
        <v>567</v>
      </c>
      <c r="T309" s="2227">
        <f t="shared" ref="T309" si="211">IF(J309&lt;&gt;0,$P309,0)</f>
        <v>2006737</v>
      </c>
      <c r="U309" s="2227">
        <f t="shared" ref="U309" si="212">IF(K309&lt;&gt;0,$P309,0)</f>
        <v>0</v>
      </c>
      <c r="V309" s="2227">
        <f t="shared" ref="V309" si="213">IF(L309&lt;&gt;0,$P309,0)</f>
        <v>0</v>
      </c>
      <c r="W309" s="2227">
        <f t="shared" ref="W309" si="214">IF(M309&lt;&gt;0,$P309,0)</f>
        <v>0</v>
      </c>
      <c r="X309" s="505">
        <f t="shared" ref="X309:X310" si="215">SUM(T309:W309)</f>
        <v>2006737</v>
      </c>
    </row>
    <row r="310" spans="1:24" ht="16.8">
      <c r="A310" s="1915">
        <f>+A309+0.1</f>
        <v>32.1</v>
      </c>
      <c r="B310" s="1329" t="s">
        <v>1942</v>
      </c>
      <c r="C310" s="1329"/>
      <c r="D310" s="1927">
        <v>0</v>
      </c>
      <c r="E310" s="1928">
        <v>0</v>
      </c>
      <c r="F310" s="1929">
        <v>0</v>
      </c>
      <c r="G310" s="1930">
        <v>0</v>
      </c>
      <c r="H310" s="1930">
        <v>0</v>
      </c>
      <c r="I310" s="1931">
        <v>0</v>
      </c>
      <c r="J310" s="1932">
        <v>0</v>
      </c>
      <c r="K310" s="1933">
        <v>0</v>
      </c>
      <c r="L310" s="1933">
        <v>0</v>
      </c>
      <c r="M310" s="1931">
        <v>0</v>
      </c>
      <c r="P310" s="1931">
        <v>0</v>
      </c>
      <c r="Q310" s="1915">
        <f>+Q309+0.1</f>
        <v>32.1</v>
      </c>
      <c r="R310" s="1933" t="s">
        <v>1942</v>
      </c>
      <c r="T310" s="1931">
        <v>0</v>
      </c>
      <c r="U310" s="1931">
        <v>0</v>
      </c>
      <c r="V310" s="1931">
        <v>0</v>
      </c>
      <c r="W310" s="1931">
        <v>0</v>
      </c>
      <c r="X310" s="1931">
        <f t="shared" si="215"/>
        <v>0</v>
      </c>
    </row>
    <row r="311" spans="1:24" ht="13.2" customHeight="1">
      <c r="A311" s="735">
        <f>+A309+1</f>
        <v>33</v>
      </c>
      <c r="B311" s="2386" t="s">
        <v>568</v>
      </c>
      <c r="C311" s="2386"/>
      <c r="D311" s="256">
        <f>+D308-D309+D310</f>
        <v>0</v>
      </c>
      <c r="E311" s="256">
        <f t="shared" ref="E311:M311" si="216">+E308-E309+E310</f>
        <v>-570686035.05999994</v>
      </c>
      <c r="F311" s="823">
        <f t="shared" si="216"/>
        <v>-283060468.50999999</v>
      </c>
      <c r="G311" s="256">
        <f t="shared" si="216"/>
        <v>-223431.39999999997</v>
      </c>
      <c r="H311" s="256">
        <f t="shared" si="216"/>
        <v>-2059117.6199999996</v>
      </c>
      <c r="I311" s="1630">
        <f t="shared" si="216"/>
        <v>0</v>
      </c>
      <c r="J311" s="823">
        <f t="shared" si="216"/>
        <v>-539162388.8837831</v>
      </c>
      <c r="K311" s="256">
        <f t="shared" si="216"/>
        <v>-130334.98333333324</v>
      </c>
      <c r="L311" s="256">
        <f t="shared" si="216"/>
        <v>-1201152.2637499995</v>
      </c>
      <c r="M311" s="1630">
        <f t="shared" si="216"/>
        <v>0</v>
      </c>
      <c r="P311" s="1937">
        <f t="shared" ref="P311" si="217">+P308-P309+P310</f>
        <v>-42624224.370541498</v>
      </c>
      <c r="Q311" s="735">
        <f>+Q309+1</f>
        <v>33</v>
      </c>
      <c r="R311" s="1937" t="s">
        <v>568</v>
      </c>
      <c r="T311" s="505">
        <f t="shared" ref="T311:X311" si="218">+T308-T309+T310</f>
        <v>-38059126.780541494</v>
      </c>
      <c r="U311" s="505">
        <f t="shared" si="218"/>
        <v>-446862.8</v>
      </c>
      <c r="V311" s="505">
        <f t="shared" si="218"/>
        <v>-4118234.7899999991</v>
      </c>
      <c r="W311" s="505">
        <f t="shared" si="218"/>
        <v>0</v>
      </c>
      <c r="X311" s="505">
        <f t="shared" si="218"/>
        <v>-42624224.370541498</v>
      </c>
    </row>
    <row r="312" spans="1:24">
      <c r="A312" s="735"/>
      <c r="B312" s="1899"/>
      <c r="C312" s="1384"/>
      <c r="D312" s="903"/>
      <c r="E312" s="903"/>
      <c r="F312" s="903"/>
      <c r="G312" s="903"/>
      <c r="H312" s="903"/>
      <c r="I312" s="903"/>
      <c r="J312" s="903"/>
      <c r="K312" s="903"/>
      <c r="L312" s="903"/>
      <c r="M312" s="903"/>
      <c r="O312" s="496"/>
      <c r="P312" s="496"/>
      <c r="Q312" s="735"/>
      <c r="R312" s="496"/>
    </row>
    <row r="313" spans="1:24" ht="13.2" customHeight="1">
      <c r="A313" s="2121" t="s">
        <v>2197</v>
      </c>
      <c r="B313" s="2122"/>
      <c r="C313" s="2122"/>
      <c r="D313" s="2122"/>
      <c r="E313" s="2123"/>
      <c r="F313" s="1503"/>
      <c r="G313" s="1830"/>
      <c r="H313" s="1830"/>
      <c r="I313" s="1830"/>
      <c r="J313" s="1830"/>
      <c r="K313" s="1830"/>
      <c r="L313" s="1830"/>
      <c r="M313" s="1830"/>
      <c r="N313" s="1792"/>
      <c r="O313" s="496"/>
      <c r="P313" s="496"/>
      <c r="Q313" s="2121" t="s">
        <v>2197</v>
      </c>
      <c r="R313" s="496"/>
    </row>
    <row r="314" spans="1:24">
      <c r="A314" s="2124">
        <v>1</v>
      </c>
      <c r="B314" s="2125" t="s">
        <v>2198</v>
      </c>
      <c r="C314" s="2126"/>
      <c r="D314" s="500"/>
      <c r="E314" s="500"/>
      <c r="F314" s="500"/>
      <c r="G314" s="1503"/>
      <c r="H314" s="641" t="s">
        <v>2199</v>
      </c>
      <c r="I314" s="2127">
        <v>1</v>
      </c>
      <c r="J314" s="1792" t="s">
        <v>2200</v>
      </c>
      <c r="K314" s="2128"/>
      <c r="L314" s="2129"/>
      <c r="M314" s="170"/>
      <c r="N314" s="496"/>
      <c r="O314" s="496"/>
      <c r="P314" s="496"/>
      <c r="Q314" s="2124">
        <v>1</v>
      </c>
      <c r="R314" s="496"/>
    </row>
    <row r="315" spans="1:24" ht="13.2" customHeight="1">
      <c r="A315" s="2124">
        <v>2</v>
      </c>
      <c r="B315" s="2368" t="s">
        <v>2194</v>
      </c>
      <c r="C315" s="2368"/>
      <c r="D315" s="2368"/>
      <c r="E315" s="2368"/>
      <c r="F315" s="2368"/>
      <c r="G315" s="1503"/>
      <c r="H315" s="641" t="s">
        <v>2201</v>
      </c>
      <c r="I315" s="2130">
        <v>0.41666666666666669</v>
      </c>
      <c r="J315" s="2131" t="s">
        <v>2202</v>
      </c>
      <c r="K315" s="170"/>
      <c r="L315" s="2132"/>
      <c r="M315" s="170"/>
      <c r="N315" s="496"/>
      <c r="O315" s="496"/>
      <c r="P315" s="496"/>
      <c r="Q315" s="969"/>
      <c r="R315" s="496"/>
    </row>
    <row r="316" spans="1:24">
      <c r="A316" s="759"/>
      <c r="B316" s="2368"/>
      <c r="C316" s="2368"/>
      <c r="D316" s="2368"/>
      <c r="E316" s="2368"/>
      <c r="F316" s="2368"/>
      <c r="G316" s="170"/>
      <c r="H316" s="641" t="s">
        <v>2203</v>
      </c>
      <c r="I316" s="2127">
        <f>+(I314+I315)/2</f>
        <v>0.70833333333333337</v>
      </c>
      <c r="J316" s="1792" t="s">
        <v>2204</v>
      </c>
      <c r="K316" s="2133"/>
      <c r="L316" s="2132"/>
      <c r="M316" s="170"/>
      <c r="N316" s="496"/>
      <c r="O316" s="496"/>
      <c r="P316" s="496"/>
      <c r="Q316" s="759"/>
      <c r="R316" s="496"/>
    </row>
    <row r="317" spans="1:24" ht="13.2" customHeight="1">
      <c r="A317" s="759"/>
      <c r="B317" s="2368"/>
      <c r="C317" s="2368"/>
      <c r="D317" s="2368"/>
      <c r="E317" s="2368"/>
      <c r="F317" s="2368"/>
      <c r="G317" s="170"/>
      <c r="H317" s="641" t="s">
        <v>2205</v>
      </c>
      <c r="I317" s="2134">
        <f>1-I316</f>
        <v>0.29166666666666663</v>
      </c>
      <c r="J317" s="2368" t="s">
        <v>2206</v>
      </c>
      <c r="K317" s="2368"/>
      <c r="L317" s="2368"/>
      <c r="M317" s="2368"/>
      <c r="N317" s="1792"/>
      <c r="O317" s="496"/>
      <c r="P317" s="496"/>
      <c r="Q317" s="759"/>
      <c r="R317" s="496"/>
    </row>
    <row r="318" spans="1:24">
      <c r="A318" s="759"/>
      <c r="B318" s="2368"/>
      <c r="C318" s="2368"/>
      <c r="D318" s="2368"/>
      <c r="E318" s="2368"/>
      <c r="F318" s="2368"/>
      <c r="G318" s="170"/>
      <c r="H318" s="641"/>
      <c r="I318" s="2127"/>
      <c r="J318" s="2368"/>
      <c r="K318" s="2368"/>
      <c r="L318" s="2368"/>
      <c r="M318" s="2368"/>
      <c r="N318" s="1792"/>
      <c r="Q318" s="759"/>
    </row>
    <row r="319" spans="1:24">
      <c r="A319" s="759"/>
      <c r="B319" s="2368"/>
      <c r="C319" s="2368"/>
      <c r="D319" s="2368"/>
      <c r="E319" s="2368"/>
      <c r="F319" s="2368"/>
      <c r="G319" s="170"/>
      <c r="H319" s="170"/>
      <c r="I319" s="170"/>
      <c r="J319" s="170"/>
      <c r="K319" s="170"/>
      <c r="L319" s="170"/>
      <c r="M319" s="170"/>
      <c r="Q319" s="735"/>
    </row>
    <row r="320" spans="1:24">
      <c r="A320" s="759"/>
      <c r="B320" s="2368"/>
      <c r="C320" s="2368"/>
      <c r="D320" s="2368"/>
      <c r="E320" s="2368"/>
      <c r="F320" s="2368"/>
      <c r="G320" s="41"/>
      <c r="H320" s="41"/>
      <c r="I320" s="41"/>
      <c r="J320" s="41"/>
      <c r="K320" s="41"/>
      <c r="L320" s="41"/>
      <c r="M320" s="41"/>
      <c r="Q320" s="735"/>
    </row>
    <row r="321" spans="1:17">
      <c r="A321" s="759"/>
      <c r="B321" s="2368"/>
      <c r="C321" s="2368"/>
      <c r="D321" s="2368"/>
      <c r="E321" s="2368"/>
      <c r="F321" s="2368"/>
      <c r="G321" s="41"/>
      <c r="H321" s="41"/>
      <c r="I321" s="41"/>
      <c r="J321" s="41"/>
      <c r="K321" s="41"/>
      <c r="L321" s="41"/>
      <c r="M321" s="41"/>
      <c r="Q321" s="1916"/>
    </row>
    <row r="322" spans="1:17">
      <c r="A322" s="759"/>
      <c r="B322" s="2263"/>
      <c r="C322" s="2263"/>
      <c r="D322" s="2263"/>
      <c r="E322" s="2263"/>
      <c r="F322" s="2263"/>
    </row>
  </sheetData>
  <mergeCells count="32">
    <mergeCell ref="B315:F321"/>
    <mergeCell ref="Q4:Q5"/>
    <mergeCell ref="T6:W6"/>
    <mergeCell ref="P11:P15"/>
    <mergeCell ref="J317:M318"/>
    <mergeCell ref="B233:C233"/>
    <mergeCell ref="F237:I237"/>
    <mergeCell ref="J237:M237"/>
    <mergeCell ref="B309:C309"/>
    <mergeCell ref="B311:C311"/>
    <mergeCell ref="B232:C232"/>
    <mergeCell ref="J15:M15"/>
    <mergeCell ref="F17:I17"/>
    <mergeCell ref="J17:M17"/>
    <mergeCell ref="B142:C142"/>
    <mergeCell ref="F15:I15"/>
    <mergeCell ref="B20:C20"/>
    <mergeCell ref="F146:I146"/>
    <mergeCell ref="J146:M146"/>
    <mergeCell ref="F160:I160"/>
    <mergeCell ref="J160:M160"/>
    <mergeCell ref="E15:E16"/>
    <mergeCell ref="A1:N1"/>
    <mergeCell ref="A2:N2"/>
    <mergeCell ref="A3:N3"/>
    <mergeCell ref="A4:A5"/>
    <mergeCell ref="F6:I6"/>
    <mergeCell ref="J6:M6"/>
    <mergeCell ref="F8:I8"/>
    <mergeCell ref="J8:M8"/>
    <mergeCell ref="F4:I4"/>
    <mergeCell ref="J4:M4"/>
  </mergeCells>
  <printOptions horizontalCentered="1"/>
  <pageMargins left="0.5" right="0.5" top="0.45" bottom="0.45" header="0.3" footer="0.3"/>
  <pageSetup scale="62" fitToHeight="5" orientation="landscape" r:id="rId1"/>
  <headerFooter>
    <oddFooter>&amp;R&amp;A</oddFooter>
  </headerFooter>
  <ignoredErrors>
    <ignoredError sqref="F156" formulaRange="1"/>
    <ignoredError sqref="A233:A23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S213"/>
  <sheetViews>
    <sheetView zoomScaleNormal="100" workbookViewId="0">
      <selection activeCell="L6" sqref="L6"/>
    </sheetView>
  </sheetViews>
  <sheetFormatPr defaultColWidth="9.109375" defaultRowHeight="13.2"/>
  <cols>
    <col min="1" max="1" width="3.109375" style="716" bestFit="1" customWidth="1"/>
    <col min="2" max="2" width="5.33203125" style="40" customWidth="1"/>
    <col min="3" max="3" width="19.6640625" style="40" bestFit="1" customWidth="1"/>
    <col min="4" max="15" width="11.33203125" style="40" bestFit="1" customWidth="1"/>
    <col min="16" max="17" width="11.44140625" style="40" bestFit="1" customWidth="1"/>
    <col min="18" max="16384" width="9.109375" style="40"/>
  </cols>
  <sheetData>
    <row r="1" spans="1:19" s="61" customFormat="1">
      <c r="A1" s="2344" t="str">
        <f>+'MISO Cover'!C6</f>
        <v>Entergy Louisiana, LLC</v>
      </c>
      <c r="B1" s="2344"/>
      <c r="C1" s="2344"/>
      <c r="D1" s="2344"/>
      <c r="E1" s="2344"/>
      <c r="F1" s="2344"/>
      <c r="G1" s="2344"/>
      <c r="H1" s="2344"/>
      <c r="I1" s="2344"/>
      <c r="J1" s="2344"/>
      <c r="K1" s="2344"/>
      <c r="L1" s="2344"/>
      <c r="M1" s="2344"/>
      <c r="N1" s="2344"/>
      <c r="O1" s="2344"/>
      <c r="P1" s="2344"/>
      <c r="Q1" s="2344"/>
    </row>
    <row r="2" spans="1:19" s="61" customFormat="1">
      <c r="A2" s="2327" t="s">
        <v>896</v>
      </c>
      <c r="B2" s="2327"/>
      <c r="C2" s="2327"/>
      <c r="D2" s="2327"/>
      <c r="E2" s="2327"/>
      <c r="F2" s="2327"/>
      <c r="G2" s="2327"/>
      <c r="H2" s="2327"/>
      <c r="I2" s="2327"/>
      <c r="J2" s="2327"/>
      <c r="K2" s="2327"/>
      <c r="L2" s="2327"/>
      <c r="M2" s="2327"/>
      <c r="N2" s="2327"/>
      <c r="O2" s="2327"/>
      <c r="P2" s="2327"/>
      <c r="Q2" s="2327"/>
    </row>
    <row r="3" spans="1:19" s="61" customFormat="1">
      <c r="A3" s="2344" t="str">
        <f>+'MISO Cover'!K4</f>
        <v>For  the 12 Months Ended 12/31/2017</v>
      </c>
      <c r="B3" s="2344"/>
      <c r="C3" s="2344"/>
      <c r="D3" s="2344"/>
      <c r="E3" s="2344"/>
      <c r="F3" s="2344"/>
      <c r="G3" s="2344"/>
      <c r="H3" s="2344"/>
      <c r="I3" s="2344"/>
      <c r="J3" s="2344"/>
      <c r="K3" s="2344"/>
      <c r="L3" s="2344"/>
      <c r="M3" s="2344"/>
      <c r="N3" s="2344"/>
      <c r="O3" s="2344"/>
      <c r="P3" s="2344"/>
      <c r="Q3" s="2344"/>
    </row>
    <row r="4" spans="1:19" s="61" customFormat="1">
      <c r="A4" s="220"/>
      <c r="B4" s="1591"/>
      <c r="C4" s="40"/>
      <c r="D4" s="40"/>
      <c r="E4" s="218"/>
      <c r="F4" s="75"/>
      <c r="G4" s="75"/>
      <c r="H4" s="75"/>
      <c r="I4" s="75"/>
    </row>
    <row r="5" spans="1:19" s="61" customFormat="1">
      <c r="A5" s="220"/>
      <c r="B5" s="1591"/>
      <c r="C5" s="1591"/>
      <c r="D5" s="1591"/>
      <c r="E5" s="1591"/>
      <c r="F5" s="714"/>
      <c r="G5" s="714"/>
      <c r="H5" s="714"/>
      <c r="I5" s="714"/>
      <c r="J5" s="714"/>
      <c r="K5" s="714"/>
      <c r="L5" s="714"/>
      <c r="M5" s="714"/>
      <c r="N5" s="714"/>
      <c r="O5" s="714"/>
      <c r="P5" s="714"/>
      <c r="Q5" s="714"/>
    </row>
    <row r="6" spans="1:19" s="716" customFormat="1">
      <c r="A6" s="1591" t="s">
        <v>280</v>
      </c>
      <c r="B6" s="1591" t="s">
        <v>67</v>
      </c>
      <c r="C6" s="1591" t="s">
        <v>114</v>
      </c>
      <c r="D6" s="1591" t="s">
        <v>55</v>
      </c>
      <c r="E6" s="1591" t="s">
        <v>68</v>
      </c>
      <c r="F6" s="716" t="s">
        <v>66</v>
      </c>
      <c r="G6" s="716" t="s">
        <v>154</v>
      </c>
      <c r="H6" s="716" t="s">
        <v>69</v>
      </c>
      <c r="I6" s="716" t="s">
        <v>166</v>
      </c>
      <c r="J6" s="716" t="s">
        <v>59</v>
      </c>
      <c r="K6" s="716" t="s">
        <v>60</v>
      </c>
      <c r="L6" s="716" t="s">
        <v>71</v>
      </c>
      <c r="M6" s="716" t="s">
        <v>98</v>
      </c>
      <c r="N6" s="716" t="s">
        <v>99</v>
      </c>
      <c r="O6" s="716" t="s">
        <v>155</v>
      </c>
      <c r="P6" s="716" t="s">
        <v>221</v>
      </c>
      <c r="Q6" s="716" t="s">
        <v>222</v>
      </c>
    </row>
    <row r="7" spans="1:19" s="61" customFormat="1">
      <c r="A7" s="220"/>
      <c r="B7" s="570"/>
      <c r="C7" s="260"/>
      <c r="D7" s="41"/>
      <c r="E7" s="41"/>
      <c r="F7" s="41"/>
      <c r="G7" s="41"/>
      <c r="H7" s="41"/>
      <c r="I7" s="41"/>
      <c r="J7" s="41"/>
      <c r="K7" s="41"/>
      <c r="L7" s="41"/>
      <c r="M7" s="41"/>
      <c r="N7" s="41"/>
      <c r="O7" s="41"/>
      <c r="P7" s="41"/>
      <c r="Q7" s="467" t="s">
        <v>48</v>
      </c>
      <c r="R7" s="76"/>
    </row>
    <row r="8" spans="1:19" s="220" customFormat="1">
      <c r="A8" s="220">
        <v>1</v>
      </c>
      <c r="B8" s="1083" t="s">
        <v>459</v>
      </c>
      <c r="C8" s="1083" t="s">
        <v>112</v>
      </c>
      <c r="D8" s="1348" t="s">
        <v>37</v>
      </c>
      <c r="E8" s="1348" t="s">
        <v>27</v>
      </c>
      <c r="F8" s="1348" t="s">
        <v>28</v>
      </c>
      <c r="G8" s="1348" t="s">
        <v>29</v>
      </c>
      <c r="H8" s="1348" t="s">
        <v>30</v>
      </c>
      <c r="I8" s="1348" t="s">
        <v>26</v>
      </c>
      <c r="J8" s="1348" t="s">
        <v>31</v>
      </c>
      <c r="K8" s="1348" t="s">
        <v>32</v>
      </c>
      <c r="L8" s="1348" t="s">
        <v>33</v>
      </c>
      <c r="M8" s="1348" t="s">
        <v>34</v>
      </c>
      <c r="N8" s="1348" t="s">
        <v>35</v>
      </c>
      <c r="O8" s="1348" t="s">
        <v>36</v>
      </c>
      <c r="P8" s="1348" t="s">
        <v>37</v>
      </c>
      <c r="Q8" s="1083" t="s">
        <v>140</v>
      </c>
      <c r="R8" s="228"/>
    </row>
    <row r="9" spans="1:19" s="61" customFormat="1">
      <c r="A9" s="220">
        <f>+A8+1</f>
        <v>2</v>
      </c>
      <c r="B9" s="514">
        <v>154</v>
      </c>
      <c r="C9" s="260" t="s">
        <v>510</v>
      </c>
      <c r="D9" s="185">
        <v>18117638.309999999</v>
      </c>
      <c r="E9" s="185">
        <v>17835176.579999998</v>
      </c>
      <c r="F9" s="185">
        <v>17915525.199999999</v>
      </c>
      <c r="G9" s="185">
        <v>16986914.210000001</v>
      </c>
      <c r="H9" s="185">
        <v>16817419.84</v>
      </c>
      <c r="I9" s="185">
        <v>16515305.560000001</v>
      </c>
      <c r="J9" s="185">
        <v>17404632.57</v>
      </c>
      <c r="K9" s="185">
        <v>18149729.760000002</v>
      </c>
      <c r="L9" s="185">
        <v>18500691.809999999</v>
      </c>
      <c r="M9" s="185">
        <v>18424100.219999999</v>
      </c>
      <c r="N9" s="185">
        <v>18127420.350000001</v>
      </c>
      <c r="O9" s="185">
        <v>18669926.5</v>
      </c>
      <c r="P9" s="185">
        <v>19538983.010000002</v>
      </c>
      <c r="Q9" s="256">
        <f>+SUM(D9:P9)/13</f>
        <v>17923343.378461536</v>
      </c>
      <c r="R9" s="76"/>
      <c r="S9" s="220"/>
    </row>
    <row r="10" spans="1:19" s="61" customFormat="1">
      <c r="A10" s="220">
        <f>+A9+1</f>
        <v>3</v>
      </c>
      <c r="B10" s="256">
        <v>163</v>
      </c>
      <c r="C10" s="255" t="s">
        <v>511</v>
      </c>
      <c r="D10" s="185">
        <v>30452703.73</v>
      </c>
      <c r="E10" s="185">
        <v>28655586.469999999</v>
      </c>
      <c r="F10" s="185">
        <v>27135575.690000001</v>
      </c>
      <c r="G10" s="185">
        <v>28729406.550000001</v>
      </c>
      <c r="H10" s="185">
        <v>28060851.199999999</v>
      </c>
      <c r="I10" s="185">
        <v>27627551.719999999</v>
      </c>
      <c r="J10" s="185">
        <v>28725302.09</v>
      </c>
      <c r="K10" s="185">
        <v>27415739.039999999</v>
      </c>
      <c r="L10" s="185">
        <v>26006822.460000001</v>
      </c>
      <c r="M10" s="185">
        <v>31207906.370000001</v>
      </c>
      <c r="N10" s="185">
        <v>29821506.43</v>
      </c>
      <c r="O10" s="185">
        <v>28823101.52</v>
      </c>
      <c r="P10" s="185">
        <v>29434480.960000001</v>
      </c>
      <c r="Q10" s="256">
        <f>+SUM(D10:P10)/13</f>
        <v>28622810.325384613</v>
      </c>
      <c r="R10" s="76"/>
    </row>
    <row r="11" spans="1:19" s="61" customFormat="1">
      <c r="A11" s="220"/>
      <c r="B11" s="261"/>
      <c r="C11" s="261"/>
      <c r="D11" s="637"/>
      <c r="E11" s="255"/>
      <c r="F11" s="255"/>
      <c r="G11" s="255"/>
      <c r="H11" s="215"/>
      <c r="I11" s="215"/>
      <c r="J11" s="194"/>
      <c r="K11" s="215"/>
      <c r="L11" s="215"/>
      <c r="M11" s="518"/>
      <c r="N11" s="518"/>
      <c r="O11" s="255"/>
      <c r="P11" s="637"/>
      <c r="Q11" s="255"/>
      <c r="R11" s="76"/>
    </row>
    <row r="12" spans="1:19">
      <c r="A12" s="180" t="s">
        <v>299</v>
      </c>
      <c r="C12" s="180"/>
      <c r="D12" s="180"/>
      <c r="E12" s="180"/>
      <c r="F12" s="180"/>
      <c r="G12" s="180"/>
      <c r="H12" s="180"/>
      <c r="I12" s="180"/>
      <c r="J12" s="180"/>
      <c r="K12" s="180"/>
      <c r="L12" s="180"/>
      <c r="M12" s="180"/>
      <c r="N12" s="180"/>
      <c r="O12" s="180"/>
      <c r="P12" s="180"/>
      <c r="Q12" s="180"/>
      <c r="R12" s="180"/>
    </row>
    <row r="13" spans="1:19">
      <c r="A13" s="737" t="s">
        <v>167</v>
      </c>
      <c r="B13" s="39" t="s">
        <v>583</v>
      </c>
      <c r="C13" s="39"/>
    </row>
    <row r="14" spans="1:19">
      <c r="A14" s="668" t="s">
        <v>320</v>
      </c>
      <c r="B14" s="39" t="s">
        <v>584</v>
      </c>
      <c r="C14" s="39"/>
    </row>
    <row r="15" spans="1:19">
      <c r="A15" s="220"/>
      <c r="B15" s="39"/>
      <c r="C15" s="39"/>
    </row>
    <row r="16" spans="1:19">
      <c r="A16" s="1591"/>
    </row>
    <row r="17" spans="1:1">
      <c r="A17" s="1591"/>
    </row>
    <row r="18" spans="1:1">
      <c r="A18" s="1591"/>
    </row>
    <row r="19" spans="1:1">
      <c r="A19" s="1591"/>
    </row>
    <row r="20" spans="1:1">
      <c r="A20" s="1591"/>
    </row>
    <row r="21" spans="1:1">
      <c r="A21" s="1591"/>
    </row>
    <row r="22" spans="1:1">
      <c r="A22" s="1591"/>
    </row>
    <row r="23" spans="1:1">
      <c r="A23" s="1591"/>
    </row>
    <row r="24" spans="1:1">
      <c r="A24" s="1591"/>
    </row>
    <row r="25" spans="1:1">
      <c r="A25" s="1591"/>
    </row>
    <row r="26" spans="1:1">
      <c r="A26" s="1591"/>
    </row>
    <row r="27" spans="1:1">
      <c r="A27" s="1591"/>
    </row>
    <row r="28" spans="1:1">
      <c r="A28" s="1591"/>
    </row>
    <row r="29" spans="1:1">
      <c r="A29" s="1591"/>
    </row>
    <row r="30" spans="1:1">
      <c r="A30" s="1591"/>
    </row>
    <row r="213" spans="7:7">
      <c r="G213" s="39"/>
    </row>
  </sheetData>
  <mergeCells count="3">
    <mergeCell ref="A2:Q2"/>
    <mergeCell ref="A1:Q1"/>
    <mergeCell ref="A3:Q3"/>
  </mergeCells>
  <pageMargins left="0.7" right="0.7" top="0.7" bottom="0.7" header="0.3" footer="0.5"/>
  <pageSetup scale="66" orientation="landscape" r:id="rId1"/>
  <headerFoot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W227"/>
  <sheetViews>
    <sheetView zoomScaleNormal="100" workbookViewId="0">
      <selection activeCell="L6" sqref="L6"/>
    </sheetView>
  </sheetViews>
  <sheetFormatPr defaultColWidth="8.88671875" defaultRowHeight="13.2"/>
  <cols>
    <col min="1" max="1" width="4.88671875" style="1160" customWidth="1"/>
    <col min="2" max="2" width="8.5546875" style="1147" bestFit="1" customWidth="1"/>
    <col min="3" max="3" width="34.5546875" style="1147" bestFit="1" customWidth="1"/>
    <col min="4" max="4" width="11.6640625" style="1147" customWidth="1"/>
    <col min="5" max="5" width="11.44140625" style="1147" customWidth="1"/>
    <col min="6" max="6" width="12.33203125" style="1147" customWidth="1"/>
    <col min="7" max="15" width="11.44140625" style="1147" customWidth="1"/>
    <col min="16" max="17" width="11.44140625" style="1147" bestFit="1" customWidth="1"/>
    <col min="18" max="18" width="8.88671875" style="1145"/>
    <col min="19" max="16384" width="8.88671875" style="1147"/>
  </cols>
  <sheetData>
    <row r="1" spans="1:23" s="40" customFormat="1">
      <c r="A1" s="2344" t="str">
        <f>+'MISO Cover'!C6</f>
        <v>Entergy Louisiana, LLC</v>
      </c>
      <c r="B1" s="2344"/>
      <c r="C1" s="2344"/>
      <c r="D1" s="2344"/>
      <c r="E1" s="2344"/>
      <c r="F1" s="2344"/>
      <c r="G1" s="2344"/>
      <c r="H1" s="2344"/>
      <c r="I1" s="2344"/>
      <c r="J1" s="2344"/>
      <c r="K1" s="2344"/>
      <c r="L1" s="2344"/>
      <c r="M1" s="2344"/>
      <c r="N1" s="2344"/>
      <c r="O1" s="2344"/>
      <c r="P1" s="2344"/>
      <c r="Q1" s="2344"/>
      <c r="R1" s="39"/>
    </row>
    <row r="2" spans="1:23" s="40" customFormat="1">
      <c r="A2" s="2327" t="s">
        <v>897</v>
      </c>
      <c r="B2" s="2327"/>
      <c r="C2" s="2327"/>
      <c r="D2" s="2327"/>
      <c r="E2" s="2327"/>
      <c r="F2" s="2327"/>
      <c r="G2" s="2327"/>
      <c r="H2" s="2327"/>
      <c r="I2" s="2327"/>
      <c r="J2" s="2327"/>
      <c r="K2" s="2327"/>
      <c r="L2" s="2327"/>
      <c r="M2" s="2327"/>
      <c r="N2" s="2327"/>
      <c r="O2" s="2327"/>
      <c r="P2" s="2327"/>
      <c r="Q2" s="2327"/>
      <c r="R2" s="39"/>
    </row>
    <row r="3" spans="1:23" s="40" customFormat="1">
      <c r="A3" s="2344" t="str">
        <f>+'MISO Cover'!K4</f>
        <v>For  the 12 Months Ended 12/31/2017</v>
      </c>
      <c r="B3" s="2344"/>
      <c r="C3" s="2344"/>
      <c r="D3" s="2344"/>
      <c r="E3" s="2344"/>
      <c r="F3" s="2344"/>
      <c r="G3" s="2344"/>
      <c r="H3" s="2344"/>
      <c r="I3" s="2344"/>
      <c r="J3" s="2344"/>
      <c r="K3" s="2344"/>
      <c r="L3" s="2344"/>
      <c r="M3" s="2344"/>
      <c r="N3" s="2344"/>
      <c r="O3" s="2344"/>
      <c r="P3" s="2344"/>
      <c r="Q3" s="2344"/>
      <c r="R3" s="39"/>
    </row>
    <row r="4" spans="1:23" s="40" customFormat="1">
      <c r="A4" s="1591"/>
      <c r="B4" s="179"/>
      <c r="C4" s="179"/>
      <c r="D4" s="179"/>
      <c r="E4" s="1591"/>
      <c r="F4" s="1143"/>
      <c r="G4" s="1143"/>
      <c r="H4" s="1143"/>
      <c r="I4" s="1143"/>
      <c r="J4" s="1143"/>
      <c r="K4" s="1143"/>
      <c r="L4" s="1143"/>
      <c r="M4" s="1143"/>
      <c r="R4" s="39"/>
      <c r="V4" s="1147"/>
      <c r="W4" s="1147"/>
    </row>
    <row r="5" spans="1:23" s="1142" customFormat="1">
      <c r="A5" s="1591" t="s">
        <v>280</v>
      </c>
      <c r="B5" s="1591" t="s">
        <v>67</v>
      </c>
      <c r="C5" s="1591" t="s">
        <v>114</v>
      </c>
      <c r="D5" s="1591" t="s">
        <v>55</v>
      </c>
      <c r="E5" s="1591" t="s">
        <v>68</v>
      </c>
      <c r="F5" s="1142" t="s">
        <v>66</v>
      </c>
      <c r="G5" s="1142" t="s">
        <v>154</v>
      </c>
      <c r="H5" s="1142" t="s">
        <v>69</v>
      </c>
      <c r="I5" s="1142" t="s">
        <v>166</v>
      </c>
      <c r="J5" s="1142" t="s">
        <v>59</v>
      </c>
      <c r="K5" s="1142" t="s">
        <v>60</v>
      </c>
      <c r="L5" s="1142" t="s">
        <v>71</v>
      </c>
      <c r="M5" s="1142" t="s">
        <v>98</v>
      </c>
      <c r="N5" s="1142" t="s">
        <v>99</v>
      </c>
      <c r="O5" s="1142" t="s">
        <v>155</v>
      </c>
      <c r="P5" s="1142" t="s">
        <v>221</v>
      </c>
      <c r="Q5" s="1142" t="s">
        <v>222</v>
      </c>
      <c r="R5" s="1141"/>
    </row>
    <row r="6" spans="1:23" s="40" customFormat="1" ht="13.2" customHeight="1">
      <c r="B6" s="179"/>
      <c r="C6" s="179"/>
      <c r="D6" s="179"/>
      <c r="E6" s="179"/>
      <c r="F6" s="210"/>
      <c r="G6" s="210"/>
      <c r="H6" s="210"/>
      <c r="I6" s="210"/>
      <c r="J6" s="210"/>
      <c r="Q6" s="2409" t="s">
        <v>267</v>
      </c>
      <c r="R6" s="39"/>
    </row>
    <row r="7" spans="1:23" s="1145" customFormat="1">
      <c r="A7" s="1309">
        <v>1</v>
      </c>
      <c r="B7" s="1740" t="s">
        <v>171</v>
      </c>
      <c r="C7" s="1740" t="s">
        <v>269</v>
      </c>
      <c r="D7" s="1348" t="s">
        <v>37</v>
      </c>
      <c r="E7" s="1348" t="s">
        <v>27</v>
      </c>
      <c r="F7" s="1348" t="s">
        <v>28</v>
      </c>
      <c r="G7" s="1348" t="s">
        <v>29</v>
      </c>
      <c r="H7" s="1348" t="s">
        <v>30</v>
      </c>
      <c r="I7" s="1348" t="s">
        <v>26</v>
      </c>
      <c r="J7" s="1348" t="s">
        <v>31</v>
      </c>
      <c r="K7" s="1348" t="s">
        <v>32</v>
      </c>
      <c r="L7" s="1348" t="s">
        <v>33</v>
      </c>
      <c r="M7" s="1348" t="s">
        <v>34</v>
      </c>
      <c r="N7" s="1348" t="s">
        <v>35</v>
      </c>
      <c r="O7" s="1348" t="s">
        <v>36</v>
      </c>
      <c r="P7" s="1348" t="s">
        <v>37</v>
      </c>
      <c r="Q7" s="2410"/>
    </row>
    <row r="8" spans="1:23">
      <c r="A8" s="1722">
        <f>+A7+1</f>
        <v>2</v>
      </c>
      <c r="B8" s="1720"/>
      <c r="C8" s="1720"/>
      <c r="D8" s="1720"/>
      <c r="E8" s="1720"/>
    </row>
    <row r="9" spans="1:23">
      <c r="A9" s="1415">
        <f>+A8+0.01</f>
        <v>2.0099999999999998</v>
      </c>
      <c r="B9" s="179" t="s">
        <v>1327</v>
      </c>
      <c r="C9" s="1416"/>
      <c r="D9" s="1459">
        <v>363391.16999999993</v>
      </c>
      <c r="E9" s="199">
        <v>400260.82999999984</v>
      </c>
      <c r="F9" s="199">
        <v>72060.719999999972</v>
      </c>
      <c r="G9" s="199">
        <v>119516.36999999988</v>
      </c>
      <c r="H9" s="199">
        <v>576240.55999999982</v>
      </c>
      <c r="I9" s="199">
        <v>610784.60999999987</v>
      </c>
      <c r="J9" s="199">
        <v>640825.04</v>
      </c>
      <c r="K9" s="199">
        <v>315487.90999999992</v>
      </c>
      <c r="L9" s="199">
        <v>341871.20999999996</v>
      </c>
      <c r="M9" s="199">
        <v>415625.65999999968</v>
      </c>
      <c r="N9" s="199">
        <v>485325.44999999995</v>
      </c>
      <c r="O9" s="199">
        <v>566384.15999999992</v>
      </c>
      <c r="P9" s="199">
        <v>295522.59999999986</v>
      </c>
      <c r="Q9" s="74">
        <f>SUM(D9:P9)/13</f>
        <v>400253.56076923065</v>
      </c>
      <c r="R9" s="498"/>
      <c r="U9" s="271" t="s">
        <v>1327</v>
      </c>
    </row>
    <row r="10" spans="1:23">
      <c r="A10" s="1415">
        <f>+A9+0.01</f>
        <v>2.0199999999999996</v>
      </c>
      <c r="B10" s="179" t="s">
        <v>1328</v>
      </c>
      <c r="C10" s="1416"/>
      <c r="D10" s="1459">
        <v>7754779.2599999979</v>
      </c>
      <c r="E10" s="199">
        <v>8489597.4900000021</v>
      </c>
      <c r="F10" s="199">
        <v>6878665.7200000137</v>
      </c>
      <c r="G10" s="199">
        <v>5267734.3100000173</v>
      </c>
      <c r="H10" s="199">
        <v>8230790.890000008</v>
      </c>
      <c r="I10" s="199">
        <v>6616500.090000011</v>
      </c>
      <c r="J10" s="199">
        <v>12886014.399999999</v>
      </c>
      <c r="K10" s="199">
        <v>11373881.040000007</v>
      </c>
      <c r="L10" s="199">
        <v>9861747.6800000072</v>
      </c>
      <c r="M10" s="199">
        <v>8349614.3200000077</v>
      </c>
      <c r="N10" s="199">
        <v>6837481.0199999958</v>
      </c>
      <c r="O10" s="199">
        <v>8623404.6800000146</v>
      </c>
      <c r="P10" s="199">
        <v>7124252.9200000018</v>
      </c>
      <c r="Q10" s="74">
        <f t="shared" ref="Q10:Q33" si="0">SUM(D10:P10)/13</f>
        <v>8330343.3707692362</v>
      </c>
      <c r="R10" s="498"/>
      <c r="U10" s="271" t="s">
        <v>1328</v>
      </c>
    </row>
    <row r="11" spans="1:23">
      <c r="A11" s="1415">
        <f>+A10+0.01</f>
        <v>2.0299999999999994</v>
      </c>
      <c r="B11" s="179" t="s">
        <v>1329</v>
      </c>
      <c r="C11" s="1416"/>
      <c r="D11" s="1459">
        <v>128452.61000000004</v>
      </c>
      <c r="E11" s="199">
        <v>107043.84000000003</v>
      </c>
      <c r="F11" s="199">
        <v>96395.07</v>
      </c>
      <c r="G11" s="199">
        <v>74986.299999999988</v>
      </c>
      <c r="H11" s="199">
        <v>52680.860000000015</v>
      </c>
      <c r="I11" s="199">
        <v>30375.420000000071</v>
      </c>
      <c r="J11" s="199">
        <v>0</v>
      </c>
      <c r="K11" s="199">
        <v>262168.52000000019</v>
      </c>
      <c r="L11" s="199">
        <v>238335.02000000019</v>
      </c>
      <c r="M11" s="199">
        <v>214501.52000000019</v>
      </c>
      <c r="N11" s="199">
        <v>190668.02000000019</v>
      </c>
      <c r="O11" s="199">
        <v>166834.52000000019</v>
      </c>
      <c r="P11" s="199">
        <v>143001.02000000019</v>
      </c>
      <c r="Q11" s="74">
        <f t="shared" si="0"/>
        <v>131187.90153846165</v>
      </c>
      <c r="R11" s="498"/>
      <c r="U11" s="271" t="s">
        <v>1329</v>
      </c>
    </row>
    <row r="12" spans="1:23">
      <c r="A12" s="1415">
        <f t="shared" ref="A12" si="1">+A11+0.01</f>
        <v>2.0399999999999991</v>
      </c>
      <c r="B12" s="179" t="s">
        <v>1330</v>
      </c>
      <c r="C12" s="1416"/>
      <c r="D12" s="1459">
        <v>67266.309999999517</v>
      </c>
      <c r="E12" s="199">
        <v>56055.21999999987</v>
      </c>
      <c r="F12" s="199">
        <v>44844.129999999765</v>
      </c>
      <c r="G12" s="199">
        <v>33633.039999999884</v>
      </c>
      <c r="H12" s="199">
        <v>22421.949999999772</v>
      </c>
      <c r="I12" s="199">
        <v>11210.859999999901</v>
      </c>
      <c r="J12" s="199">
        <v>-0.18000000016581907</v>
      </c>
      <c r="K12" s="199">
        <v>-0.18000000016581907</v>
      </c>
      <c r="L12" s="199">
        <v>-0.18000000016581907</v>
      </c>
      <c r="M12" s="199">
        <v>-0.18000000016581907</v>
      </c>
      <c r="N12" s="199">
        <v>-0.18000000016581907</v>
      </c>
      <c r="O12" s="199">
        <v>-0.18000000016581907</v>
      </c>
      <c r="P12" s="199">
        <v>-0.18000000016581907</v>
      </c>
      <c r="Q12" s="74">
        <f t="shared" si="0"/>
        <v>18110.019230769041</v>
      </c>
      <c r="R12" s="498"/>
      <c r="U12" s="271" t="s">
        <v>1330</v>
      </c>
    </row>
    <row r="13" spans="1:23" s="1390" customFormat="1">
      <c r="A13" s="1415">
        <f t="shared" ref="A13:A23" si="2">+A12+0.01</f>
        <v>2.0499999999999989</v>
      </c>
      <c r="B13" s="179" t="s">
        <v>1331</v>
      </c>
      <c r="C13" s="1416"/>
      <c r="D13" s="1459">
        <f>IFERROR(INDEX(#REF!,MATCH($U13,#REF!,0)),0)</f>
        <v>0</v>
      </c>
      <c r="E13" s="199">
        <f>IFERROR(INDEX(#REF!,MATCH($B13,#REF!,0)),0)</f>
        <v>0</v>
      </c>
      <c r="F13" s="199">
        <f>IFERROR(INDEX(#REF!,MATCH($B13,#REF!,0)),0)</f>
        <v>0</v>
      </c>
      <c r="G13" s="199">
        <f>IFERROR(INDEX(#REF!,MATCH($B13,#REF!,0)),0)</f>
        <v>0</v>
      </c>
      <c r="H13" s="199">
        <f>IFERROR(INDEX(#REF!,MATCH($B13,#REF!,0)),0)</f>
        <v>0</v>
      </c>
      <c r="I13" s="199">
        <f>IFERROR(INDEX(#REF!,MATCH($B13,#REF!,0)),0)</f>
        <v>0</v>
      </c>
      <c r="J13" s="199">
        <f>IFERROR(INDEX(#REF!,MATCH($B13,#REF!,0)),0)</f>
        <v>0</v>
      </c>
      <c r="K13" s="199">
        <f>IFERROR(INDEX(#REF!,MATCH($B13,#REF!,0)),0)</f>
        <v>0</v>
      </c>
      <c r="L13" s="199">
        <f>IFERROR(INDEX(#REF!,MATCH($B13,#REF!,0)),0)</f>
        <v>0</v>
      </c>
      <c r="M13" s="199">
        <f>IFERROR(INDEX(#REF!,MATCH($B13,#REF!,0)),0)</f>
        <v>0</v>
      </c>
      <c r="N13" s="199">
        <f>IFERROR(INDEX(#REF!,MATCH($B13,#REF!,0)),0)</f>
        <v>0</v>
      </c>
      <c r="O13" s="199">
        <f>IFERROR(INDEX(#REF!,MATCH($B13,#REF!,0)),0)</f>
        <v>0</v>
      </c>
      <c r="P13" s="199">
        <f>IFERROR(INDEX(#REF!,MATCH($U13,#REF!,0)),0)</f>
        <v>0</v>
      </c>
      <c r="Q13" s="74">
        <f t="shared" ref="Q13" si="3">SUM(D13:P13)/13</f>
        <v>0</v>
      </c>
      <c r="R13" s="1400" t="s">
        <v>1295</v>
      </c>
      <c r="U13" s="1460" t="s">
        <v>1331</v>
      </c>
    </row>
    <row r="14" spans="1:23">
      <c r="A14" s="1415">
        <f t="shared" si="2"/>
        <v>2.0599999999999987</v>
      </c>
      <c r="B14" s="179" t="s">
        <v>1332</v>
      </c>
      <c r="C14" s="1416"/>
      <c r="D14" s="1459">
        <v>0</v>
      </c>
      <c r="E14" s="199">
        <v>0</v>
      </c>
      <c r="F14" s="199">
        <v>2665032</v>
      </c>
      <c r="G14" s="199">
        <v>1998774</v>
      </c>
      <c r="H14" s="199">
        <v>1776688</v>
      </c>
      <c r="I14" s="199">
        <v>1554602</v>
      </c>
      <c r="J14" s="199">
        <v>1332516</v>
      </c>
      <c r="K14" s="199">
        <v>1110430</v>
      </c>
      <c r="L14" s="199">
        <v>888344</v>
      </c>
      <c r="M14" s="199">
        <v>666258</v>
      </c>
      <c r="N14" s="199">
        <v>444172</v>
      </c>
      <c r="O14" s="199">
        <v>222086</v>
      </c>
      <c r="P14" s="199">
        <v>0</v>
      </c>
      <c r="Q14" s="74">
        <f t="shared" si="0"/>
        <v>973761.69230769225</v>
      </c>
      <c r="R14" s="498"/>
      <c r="U14" s="271" t="s">
        <v>1332</v>
      </c>
    </row>
    <row r="15" spans="1:23">
      <c r="A15" s="1415">
        <f t="shared" si="2"/>
        <v>2.0699999999999985</v>
      </c>
      <c r="B15" s="179" t="s">
        <v>1333</v>
      </c>
      <c r="C15" s="1416"/>
      <c r="D15" s="1459">
        <v>-0.01</v>
      </c>
      <c r="E15" s="199">
        <v>-0.01</v>
      </c>
      <c r="F15" s="199">
        <v>903882.53</v>
      </c>
      <c r="G15" s="199">
        <v>677911.88</v>
      </c>
      <c r="H15" s="199">
        <v>602588.32999999996</v>
      </c>
      <c r="I15" s="199">
        <v>527264.78</v>
      </c>
      <c r="J15" s="199">
        <v>451941.23</v>
      </c>
      <c r="K15" s="199">
        <v>376617.68</v>
      </c>
      <c r="L15" s="199">
        <v>301294.13</v>
      </c>
      <c r="M15" s="199">
        <v>225970.58</v>
      </c>
      <c r="N15" s="199">
        <v>150647.03</v>
      </c>
      <c r="O15" s="199">
        <v>75323.48</v>
      </c>
      <c r="P15" s="199">
        <v>-0.01</v>
      </c>
      <c r="Q15" s="74">
        <f t="shared" si="0"/>
        <v>330264.74000000011</v>
      </c>
      <c r="R15" s="498"/>
      <c r="U15" s="271" t="s">
        <v>1333</v>
      </c>
    </row>
    <row r="16" spans="1:23" s="1390" customFormat="1">
      <c r="A16" s="1415">
        <f t="shared" si="2"/>
        <v>2.0799999999999983</v>
      </c>
      <c r="B16" s="179" t="s">
        <v>1334</v>
      </c>
      <c r="C16" s="1416"/>
      <c r="D16" s="1459">
        <v>798986.77</v>
      </c>
      <c r="E16" s="199">
        <v>710210.46</v>
      </c>
      <c r="F16" s="199">
        <v>621434.15</v>
      </c>
      <c r="G16" s="199">
        <v>532657.84</v>
      </c>
      <c r="H16" s="199">
        <v>443881.53</v>
      </c>
      <c r="I16" s="199">
        <v>1349392.72</v>
      </c>
      <c r="J16" s="199">
        <v>1260616.4100000001</v>
      </c>
      <c r="K16" s="199">
        <v>1171840.1000000001</v>
      </c>
      <c r="L16" s="199">
        <v>1083063.79</v>
      </c>
      <c r="M16" s="199">
        <v>994287.5</v>
      </c>
      <c r="N16" s="199">
        <v>911430.20000000007</v>
      </c>
      <c r="O16" s="199">
        <v>828572.90000000014</v>
      </c>
      <c r="P16" s="199">
        <v>745715.60000000009</v>
      </c>
      <c r="Q16" s="74">
        <f t="shared" ref="Q16" si="4">SUM(D16:P16)/13</f>
        <v>880929.99769230757</v>
      </c>
      <c r="R16" s="1400" t="s">
        <v>1295</v>
      </c>
      <c r="U16" s="271" t="s">
        <v>1546</v>
      </c>
    </row>
    <row r="17" spans="1:21">
      <c r="A17" s="1415">
        <f t="shared" si="2"/>
        <v>2.0899999999999981</v>
      </c>
      <c r="B17" s="179" t="s">
        <v>1335</v>
      </c>
      <c r="C17" s="1416"/>
      <c r="D17" s="1459">
        <v>0</v>
      </c>
      <c r="E17" s="199">
        <v>597120.62999999989</v>
      </c>
      <c r="F17" s="199">
        <v>497600.51</v>
      </c>
      <c r="G17" s="199">
        <v>447840.44999999995</v>
      </c>
      <c r="H17" s="199">
        <v>398080.39000000013</v>
      </c>
      <c r="I17" s="199">
        <v>348320.33000000007</v>
      </c>
      <c r="J17" s="199">
        <v>298560.27</v>
      </c>
      <c r="K17" s="199">
        <v>248800.20999999996</v>
      </c>
      <c r="L17" s="199">
        <v>199040.15000000002</v>
      </c>
      <c r="M17" s="199">
        <v>149280.09000000008</v>
      </c>
      <c r="N17" s="199">
        <v>99520.030000000028</v>
      </c>
      <c r="O17" s="199">
        <v>49759.969999999972</v>
      </c>
      <c r="P17" s="199">
        <v>0</v>
      </c>
      <c r="Q17" s="74">
        <f t="shared" si="0"/>
        <v>256455.61769230771</v>
      </c>
      <c r="U17" s="271" t="s">
        <v>1335</v>
      </c>
    </row>
    <row r="18" spans="1:21">
      <c r="A18" s="1415">
        <f t="shared" si="2"/>
        <v>2.0999999999999979</v>
      </c>
      <c r="B18" s="179" t="s">
        <v>1336</v>
      </c>
      <c r="C18" s="1416"/>
      <c r="D18" s="1459">
        <v>0</v>
      </c>
      <c r="E18" s="199">
        <v>271426.88</v>
      </c>
      <c r="F18" s="199">
        <v>246751.71</v>
      </c>
      <c r="G18" s="199">
        <v>222076.54</v>
      </c>
      <c r="H18" s="199">
        <v>197401.37</v>
      </c>
      <c r="I18" s="199">
        <v>180874.81</v>
      </c>
      <c r="J18" s="199">
        <v>155034.81</v>
      </c>
      <c r="K18" s="199">
        <v>129194.81</v>
      </c>
      <c r="L18" s="199">
        <v>103354.81</v>
      </c>
      <c r="M18" s="199">
        <v>77514.81</v>
      </c>
      <c r="N18" s="199">
        <v>51674.81</v>
      </c>
      <c r="O18" s="199">
        <v>25834.81</v>
      </c>
      <c r="P18" s="199">
        <v>0</v>
      </c>
      <c r="Q18" s="74">
        <f t="shared" si="0"/>
        <v>127780.0130769231</v>
      </c>
      <c r="R18" s="498"/>
      <c r="U18" s="271" t="s">
        <v>1336</v>
      </c>
    </row>
    <row r="19" spans="1:21">
      <c r="A19" s="1415">
        <f t="shared" si="2"/>
        <v>2.1099999999999977</v>
      </c>
      <c r="B19" s="171" t="s">
        <v>1337</v>
      </c>
      <c r="C19" s="1416"/>
      <c r="D19" s="1459">
        <v>3798.8999999999996</v>
      </c>
      <c r="E19" s="199">
        <v>3165.75</v>
      </c>
      <c r="F19" s="199">
        <v>2532.5999999999985</v>
      </c>
      <c r="G19" s="199">
        <v>1899.4500000000007</v>
      </c>
      <c r="H19" s="199">
        <v>1266.2999999999993</v>
      </c>
      <c r="I19" s="199">
        <v>633.14999999999964</v>
      </c>
      <c r="J19" s="199">
        <v>0</v>
      </c>
      <c r="K19" s="199">
        <v>0</v>
      </c>
      <c r="L19" s="199">
        <v>0</v>
      </c>
      <c r="M19" s="199">
        <v>0</v>
      </c>
      <c r="N19" s="199">
        <v>0</v>
      </c>
      <c r="O19" s="199">
        <v>0</v>
      </c>
      <c r="P19" s="199">
        <v>0</v>
      </c>
      <c r="Q19" s="74">
        <f t="shared" si="0"/>
        <v>1022.780769230769</v>
      </c>
      <c r="R19" s="498"/>
      <c r="U19" s="271" t="s">
        <v>1337</v>
      </c>
    </row>
    <row r="20" spans="1:21">
      <c r="A20" s="1415">
        <f t="shared" si="2"/>
        <v>2.1199999999999974</v>
      </c>
      <c r="B20" s="179" t="s">
        <v>1338</v>
      </c>
      <c r="C20" s="1416"/>
      <c r="D20" s="1459">
        <v>0</v>
      </c>
      <c r="E20" s="199">
        <v>-50500</v>
      </c>
      <c r="F20" s="199">
        <v>509880</v>
      </c>
      <c r="G20" s="199">
        <v>458892</v>
      </c>
      <c r="H20" s="199">
        <v>407904</v>
      </c>
      <c r="I20" s="199">
        <v>356916</v>
      </c>
      <c r="J20" s="199">
        <v>305928</v>
      </c>
      <c r="K20" s="199">
        <v>254940</v>
      </c>
      <c r="L20" s="199">
        <v>203952</v>
      </c>
      <c r="M20" s="199">
        <v>152964</v>
      </c>
      <c r="N20" s="199">
        <v>101976</v>
      </c>
      <c r="O20" s="199">
        <v>50988</v>
      </c>
      <c r="P20" s="199">
        <v>0</v>
      </c>
      <c r="Q20" s="74">
        <f t="shared" si="0"/>
        <v>211833.84615384616</v>
      </c>
      <c r="R20" s="498"/>
      <c r="U20" s="271" t="s">
        <v>1338</v>
      </c>
    </row>
    <row r="21" spans="1:21">
      <c r="A21" s="1415">
        <f t="shared" si="2"/>
        <v>2.1299999999999972</v>
      </c>
      <c r="B21" s="179" t="s">
        <v>1339</v>
      </c>
      <c r="C21" s="1416"/>
      <c r="D21" s="1459">
        <v>144832.62999999992</v>
      </c>
      <c r="E21" s="199">
        <v>144709.28999999992</v>
      </c>
      <c r="F21" s="199">
        <v>144585.9499999999</v>
      </c>
      <c r="G21" s="199">
        <v>144462.59999999995</v>
      </c>
      <c r="H21" s="199">
        <v>144339.24999999994</v>
      </c>
      <c r="I21" s="199">
        <v>144215.88999999993</v>
      </c>
      <c r="J21" s="199">
        <v>125824.26999999999</v>
      </c>
      <c r="K21" s="199">
        <v>125700.91999999997</v>
      </c>
      <c r="L21" s="199">
        <v>125577.56999999999</v>
      </c>
      <c r="M21" s="199">
        <v>125454.21999999999</v>
      </c>
      <c r="N21" s="199">
        <v>126330.87</v>
      </c>
      <c r="O21" s="199">
        <v>126687.75</v>
      </c>
      <c r="P21" s="199">
        <v>124823.23</v>
      </c>
      <c r="Q21" s="74">
        <f t="shared" si="0"/>
        <v>134426.49538461535</v>
      </c>
      <c r="R21" s="498"/>
      <c r="U21" s="271" t="s">
        <v>1339</v>
      </c>
    </row>
    <row r="22" spans="1:21" s="1150" customFormat="1">
      <c r="A22" s="1415">
        <f t="shared" si="2"/>
        <v>2.139999999999997</v>
      </c>
      <c r="B22" s="179" t="s">
        <v>1340</v>
      </c>
      <c r="C22" s="1416"/>
      <c r="D22" s="1459">
        <f>IFERROR(INDEX(#REF!,MATCH($U22,#REF!,0)),0)</f>
        <v>0</v>
      </c>
      <c r="E22" s="199">
        <f>IFERROR(INDEX(#REF!,MATCH($B22,#REF!,0)),0)</f>
        <v>0</v>
      </c>
      <c r="F22" s="199">
        <f>IFERROR(INDEX(#REF!,MATCH($B22,#REF!,0)),0)</f>
        <v>0</v>
      </c>
      <c r="G22" s="199">
        <f>IFERROR(INDEX(#REF!,MATCH($B22,#REF!,0)),0)</f>
        <v>0</v>
      </c>
      <c r="H22" s="199">
        <f>IFERROR(INDEX(#REF!,MATCH($B22,#REF!,0)),0)</f>
        <v>0</v>
      </c>
      <c r="I22" s="199">
        <f>IFERROR(INDEX(#REF!,MATCH($B22,#REF!,0)),0)</f>
        <v>0</v>
      </c>
      <c r="J22" s="199">
        <f>IFERROR(INDEX(#REF!,MATCH($B22,#REF!,0)),0)</f>
        <v>0</v>
      </c>
      <c r="K22" s="199">
        <f>IFERROR(INDEX(#REF!,MATCH($B22,#REF!,0)),0)</f>
        <v>0</v>
      </c>
      <c r="L22" s="199">
        <f>IFERROR(INDEX(#REF!,MATCH($B22,#REF!,0)),0)</f>
        <v>0</v>
      </c>
      <c r="M22" s="199">
        <f>IFERROR(INDEX(#REF!,MATCH($B22,#REF!,0)),0)</f>
        <v>0</v>
      </c>
      <c r="N22" s="199">
        <f>IFERROR(INDEX(#REF!,MATCH($B22,#REF!,0)),0)</f>
        <v>0</v>
      </c>
      <c r="O22" s="199">
        <f>IFERROR(INDEX(#REF!,MATCH($B22,#REF!,0)),0)</f>
        <v>0</v>
      </c>
      <c r="P22" s="199">
        <f>IFERROR(INDEX(#REF!,MATCH($U22,#REF!,0)),0)</f>
        <v>0</v>
      </c>
      <c r="Q22" s="74">
        <f t="shared" si="0"/>
        <v>0</v>
      </c>
      <c r="R22" s="513"/>
      <c r="U22" s="271" t="s">
        <v>1340</v>
      </c>
    </row>
    <row r="23" spans="1:21" s="1391" customFormat="1">
      <c r="A23" s="1415">
        <f t="shared" si="2"/>
        <v>2.1499999999999968</v>
      </c>
      <c r="B23" s="179" t="s">
        <v>1341</v>
      </c>
      <c r="C23" s="1416"/>
      <c r="D23" s="1459">
        <v>197112.50999999986</v>
      </c>
      <c r="E23" s="199">
        <v>197112.50999999986</v>
      </c>
      <c r="F23" s="199">
        <v>197112.50999999986</v>
      </c>
      <c r="G23" s="199">
        <v>-9.9999996891710907E-3</v>
      </c>
      <c r="H23" s="199">
        <v>-9.9999996891710907E-3</v>
      </c>
      <c r="I23" s="199">
        <v>-9.9999996891710907E-3</v>
      </c>
      <c r="J23" s="199">
        <v>-9.9999996891710907E-3</v>
      </c>
      <c r="K23" s="199">
        <v>-9.9999996891710907E-3</v>
      </c>
      <c r="L23" s="199">
        <v>-9.9999996891710907E-3</v>
      </c>
      <c r="M23" s="199">
        <v>-9.9999996891710907E-3</v>
      </c>
      <c r="N23" s="199">
        <v>-9.9999996891710907E-3</v>
      </c>
      <c r="O23" s="199">
        <v>-9.9999996891710907E-3</v>
      </c>
      <c r="P23" s="199">
        <v>182112.48999999985</v>
      </c>
      <c r="Q23" s="74">
        <f t="shared" ref="Q23" si="5">SUM(D23:P23)/13</f>
        <v>59496.148461538651</v>
      </c>
      <c r="R23" s="1400" t="s">
        <v>1295</v>
      </c>
      <c r="U23" s="271" t="s">
        <v>1341</v>
      </c>
    </row>
    <row r="24" spans="1:21" s="1391" customFormat="1">
      <c r="A24" s="1560">
        <f t="shared" ref="A24:A31" si="6">+A23+0.01</f>
        <v>2.1599999999999966</v>
      </c>
      <c r="B24" s="734" t="s">
        <v>1431</v>
      </c>
      <c r="C24" s="1561"/>
      <c r="D24" s="1459">
        <v>0</v>
      </c>
      <c r="E24" s="199">
        <v>91883.92</v>
      </c>
      <c r="F24" s="199">
        <v>83530.84</v>
      </c>
      <c r="G24" s="199">
        <v>75177.759999999995</v>
      </c>
      <c r="H24" s="199">
        <v>66824.679999999993</v>
      </c>
      <c r="I24" s="199">
        <v>58471.6</v>
      </c>
      <c r="J24" s="199">
        <v>50118.52</v>
      </c>
      <c r="K24" s="199">
        <v>41765.440000000002</v>
      </c>
      <c r="L24" s="199">
        <v>33412.36</v>
      </c>
      <c r="M24" s="199">
        <v>25059.279999999999</v>
      </c>
      <c r="N24" s="199">
        <v>16706.2</v>
      </c>
      <c r="O24" s="199">
        <v>8353.1200000000008</v>
      </c>
      <c r="P24" s="199">
        <v>0.04</v>
      </c>
      <c r="Q24" s="74">
        <f t="shared" ref="Q24" si="7">SUM(D24:P24)/13</f>
        <v>42407.981538461536</v>
      </c>
      <c r="R24" s="1400"/>
      <c r="U24" s="271" t="s">
        <v>1431</v>
      </c>
    </row>
    <row r="25" spans="1:21" s="1391" customFormat="1">
      <c r="A25" s="1560">
        <f t="shared" si="6"/>
        <v>2.1699999999999964</v>
      </c>
      <c r="B25" s="734" t="s">
        <v>2264</v>
      </c>
      <c r="C25" s="1561"/>
      <c r="D25" s="1459">
        <v>0</v>
      </c>
      <c r="E25" s="199">
        <v>0</v>
      </c>
      <c r="F25" s="199">
        <v>0</v>
      </c>
      <c r="G25" s="199">
        <v>0</v>
      </c>
      <c r="H25" s="199">
        <v>2000000</v>
      </c>
      <c r="I25" s="199">
        <v>2000000</v>
      </c>
      <c r="J25" s="199">
        <v>2000000</v>
      </c>
      <c r="K25" s="199">
        <v>2000000</v>
      </c>
      <c r="L25" s="199">
        <v>500000</v>
      </c>
      <c r="M25" s="199">
        <v>500000</v>
      </c>
      <c r="N25" s="199">
        <v>0</v>
      </c>
      <c r="O25" s="199">
        <v>0</v>
      </c>
      <c r="P25" s="199">
        <v>0</v>
      </c>
      <c r="Q25" s="74">
        <f t="shared" ref="Q25:Q26" si="8">SUM(D25:P25)/13</f>
        <v>692307.69230769225</v>
      </c>
      <c r="R25" s="1400"/>
      <c r="U25" s="271" t="s">
        <v>1431</v>
      </c>
    </row>
    <row r="26" spans="1:21" s="1391" customFormat="1">
      <c r="A26" s="1560">
        <f t="shared" si="6"/>
        <v>2.1799999999999962</v>
      </c>
      <c r="B26" s="734" t="s">
        <v>2265</v>
      </c>
      <c r="C26" s="1561"/>
      <c r="D26" s="1459">
        <v>45105.55</v>
      </c>
      <c r="E26" s="199">
        <v>45105.55</v>
      </c>
      <c r="F26" s="199">
        <v>45105.55</v>
      </c>
      <c r="G26" s="199">
        <v>0</v>
      </c>
      <c r="H26" s="199">
        <v>0</v>
      </c>
      <c r="I26" s="199">
        <v>0</v>
      </c>
      <c r="J26" s="199">
        <v>0</v>
      </c>
      <c r="K26" s="199">
        <v>0</v>
      </c>
      <c r="L26" s="199">
        <v>0</v>
      </c>
      <c r="M26" s="199">
        <v>0</v>
      </c>
      <c r="N26" s="199">
        <v>0</v>
      </c>
      <c r="O26" s="199">
        <v>0</v>
      </c>
      <c r="P26" s="199">
        <v>0</v>
      </c>
      <c r="Q26" s="74">
        <f t="shared" si="8"/>
        <v>10408.973076923079</v>
      </c>
      <c r="R26" s="1400"/>
      <c r="U26" s="271" t="s">
        <v>1431</v>
      </c>
    </row>
    <row r="27" spans="1:21" s="1391" customFormat="1">
      <c r="A27" s="1560">
        <f t="shared" si="6"/>
        <v>2.1899999999999959</v>
      </c>
      <c r="B27" s="734" t="s">
        <v>2266</v>
      </c>
      <c r="C27" s="1561"/>
      <c r="D27" s="1459">
        <v>0</v>
      </c>
      <c r="E27" s="199">
        <v>0</v>
      </c>
      <c r="F27" s="199">
        <v>67200</v>
      </c>
      <c r="G27" s="199">
        <v>0</v>
      </c>
      <c r="H27" s="199">
        <v>0</v>
      </c>
      <c r="I27" s="199">
        <v>0</v>
      </c>
      <c r="J27" s="199">
        <v>0</v>
      </c>
      <c r="K27" s="199">
        <v>0</v>
      </c>
      <c r="L27" s="199">
        <v>0</v>
      </c>
      <c r="M27" s="199">
        <v>0</v>
      </c>
      <c r="N27" s="199">
        <v>0</v>
      </c>
      <c r="O27" s="199">
        <v>0</v>
      </c>
      <c r="P27" s="199">
        <v>0</v>
      </c>
      <c r="Q27" s="74">
        <f t="shared" ref="Q27:Q30" si="9">SUM(D27:P27)/13</f>
        <v>5169.2307692307695</v>
      </c>
      <c r="R27" s="1400"/>
      <c r="U27" s="271" t="s">
        <v>1431</v>
      </c>
    </row>
    <row r="28" spans="1:21" s="1391" customFormat="1">
      <c r="A28" s="1560">
        <f t="shared" si="6"/>
        <v>2.1999999999999957</v>
      </c>
      <c r="B28" s="734" t="s">
        <v>2267</v>
      </c>
      <c r="C28" s="1561"/>
      <c r="D28" s="1459">
        <v>1407222.2</v>
      </c>
      <c r="E28" s="199">
        <v>1398944.42</v>
      </c>
      <c r="F28" s="199">
        <v>1390666.64</v>
      </c>
      <c r="G28" s="199">
        <v>1382388.86</v>
      </c>
      <c r="H28" s="199">
        <v>1374111.08</v>
      </c>
      <c r="I28" s="199">
        <v>1365833.3</v>
      </c>
      <c r="J28" s="199">
        <v>1357555.52</v>
      </c>
      <c r="K28" s="199">
        <v>1349277.74</v>
      </c>
      <c r="L28" s="199">
        <v>1340999.96</v>
      </c>
      <c r="M28" s="199">
        <v>1332722.18</v>
      </c>
      <c r="N28" s="199">
        <v>1324444.3999999999</v>
      </c>
      <c r="O28" s="199">
        <v>1316166.6200000001</v>
      </c>
      <c r="P28" s="199">
        <v>1307888.8400000001</v>
      </c>
      <c r="Q28" s="74">
        <f t="shared" si="9"/>
        <v>1357555.5199999998</v>
      </c>
      <c r="R28" s="1400"/>
      <c r="U28" s="271" t="s">
        <v>1431</v>
      </c>
    </row>
    <row r="29" spans="1:21" s="1391" customFormat="1">
      <c r="A29" s="1560">
        <f t="shared" si="6"/>
        <v>2.2099999999999955</v>
      </c>
      <c r="B29" s="734" t="s">
        <v>2268</v>
      </c>
      <c r="C29" s="1561"/>
      <c r="D29" s="1459">
        <v>376292.83</v>
      </c>
      <c r="E29" s="199">
        <v>376292.83</v>
      </c>
      <c r="F29" s="199">
        <v>376292.83</v>
      </c>
      <c r="G29" s="199">
        <v>376292.83</v>
      </c>
      <c r="H29" s="199">
        <v>376292.83</v>
      </c>
      <c r="I29" s="199">
        <v>376292.83</v>
      </c>
      <c r="J29" s="199">
        <v>376292.83</v>
      </c>
      <c r="K29" s="199">
        <v>376292.83</v>
      </c>
      <c r="L29" s="199">
        <v>376292.83</v>
      </c>
      <c r="M29" s="199">
        <v>376292.83</v>
      </c>
      <c r="N29" s="199">
        <v>-30809.03</v>
      </c>
      <c r="O29" s="199">
        <v>-30809.03</v>
      </c>
      <c r="P29" s="199">
        <v>-30809.03</v>
      </c>
      <c r="Q29" s="74">
        <f t="shared" si="9"/>
        <v>282346.24692307698</v>
      </c>
      <c r="R29" s="1400"/>
      <c r="U29" s="271" t="s">
        <v>1431</v>
      </c>
    </row>
    <row r="30" spans="1:21" s="1391" customFormat="1">
      <c r="A30" s="1560">
        <f t="shared" si="6"/>
        <v>2.2199999999999953</v>
      </c>
      <c r="B30" s="734" t="s">
        <v>2269</v>
      </c>
      <c r="C30" s="1561"/>
      <c r="D30" s="1459">
        <v>0</v>
      </c>
      <c r="E30" s="199">
        <v>0</v>
      </c>
      <c r="F30" s="199">
        <v>0</v>
      </c>
      <c r="G30" s="199">
        <v>0</v>
      </c>
      <c r="H30" s="199">
        <v>0</v>
      </c>
      <c r="I30" s="199">
        <v>0</v>
      </c>
      <c r="J30" s="199">
        <v>0</v>
      </c>
      <c r="K30" s="199">
        <v>122381.99</v>
      </c>
      <c r="L30" s="199">
        <v>203610.25</v>
      </c>
      <c r="M30" s="199">
        <v>144835.88</v>
      </c>
      <c r="N30" s="199">
        <v>396617.79</v>
      </c>
      <c r="O30" s="199">
        <v>385013.75</v>
      </c>
      <c r="P30" s="199">
        <v>373409.70999999996</v>
      </c>
      <c r="Q30" s="74">
        <f t="shared" si="9"/>
        <v>125066.8746153846</v>
      </c>
      <c r="R30" s="1400"/>
      <c r="U30" s="271" t="s">
        <v>1431</v>
      </c>
    </row>
    <row r="31" spans="1:21" s="1391" customFormat="1" hidden="1">
      <c r="A31" s="1560">
        <f t="shared" si="6"/>
        <v>2.2299999999999951</v>
      </c>
      <c r="B31" s="734"/>
      <c r="C31" s="1561" t="s">
        <v>934</v>
      </c>
      <c r="D31" s="1459">
        <f>IFERROR(INDEX(#REF!,MATCH($U31,#REF!,0)),0)</f>
        <v>0</v>
      </c>
      <c r="E31" s="199">
        <f>IFERROR(INDEX(#REF!,MATCH($B31,#REF!,0)),0)</f>
        <v>0</v>
      </c>
      <c r="F31" s="199">
        <f>IFERROR(INDEX(#REF!,MATCH($B31,#REF!,0)),0)</f>
        <v>0</v>
      </c>
      <c r="G31" s="199">
        <f>IFERROR(INDEX(#REF!,MATCH($B31,#REF!,0)),0)</f>
        <v>0</v>
      </c>
      <c r="H31" s="199">
        <f>IFERROR(INDEX(#REF!,MATCH($B31,#REF!,0)),0)</f>
        <v>0</v>
      </c>
      <c r="I31" s="199">
        <f>IFERROR(INDEX(#REF!,MATCH($B31,#REF!,0)),0)</f>
        <v>0</v>
      </c>
      <c r="J31" s="199">
        <f>IFERROR(INDEX(#REF!,MATCH($B31,#REF!,0)),0)</f>
        <v>0</v>
      </c>
      <c r="K31" s="199">
        <f>IFERROR(INDEX(#REF!,MATCH($B31,#REF!,0)),0)</f>
        <v>0</v>
      </c>
      <c r="L31" s="199">
        <f>IFERROR(INDEX(#REF!,MATCH($B31,#REF!,0)),0)</f>
        <v>0</v>
      </c>
      <c r="M31" s="199">
        <f>IFERROR(INDEX(#REF!,MATCH($B31,#REF!,0)),0)</f>
        <v>0</v>
      </c>
      <c r="N31" s="199">
        <f>IFERROR(INDEX(#REF!,MATCH($B31,#REF!,0)),0)</f>
        <v>0</v>
      </c>
      <c r="O31" s="199">
        <f>IFERROR(INDEX(#REF!,MATCH($B31,#REF!,0)),0)</f>
        <v>0</v>
      </c>
      <c r="P31" s="199">
        <f>IFERROR(INDEX(#REF!,MATCH($U31,#REF!,0)),0)</f>
        <v>0</v>
      </c>
      <c r="Q31" s="74">
        <f t="shared" ref="Q31" si="10">SUM(D31:P31)/13</f>
        <v>0</v>
      </c>
      <c r="R31" s="1400"/>
      <c r="U31" s="271" t="s">
        <v>1431</v>
      </c>
    </row>
    <row r="32" spans="1:21" hidden="1">
      <c r="A32" s="1560" t="s">
        <v>925</v>
      </c>
      <c r="B32" s="734"/>
      <c r="C32" s="1561" t="s">
        <v>934</v>
      </c>
      <c r="D32" s="1459">
        <f>IFERROR(INDEX(#REF!,MATCH($U32,#REF!,0)),0)</f>
        <v>0</v>
      </c>
      <c r="E32" s="199">
        <f>IFERROR(INDEX(#REF!,MATCH($B32,#REF!,0)),0)</f>
        <v>0</v>
      </c>
      <c r="F32" s="199">
        <f>IFERROR(INDEX(#REF!,MATCH($B32,#REF!,0)),0)</f>
        <v>0</v>
      </c>
      <c r="G32" s="199">
        <f>IFERROR(INDEX(#REF!,MATCH($B32,#REF!,0)),0)</f>
        <v>0</v>
      </c>
      <c r="H32" s="199">
        <f>IFERROR(INDEX(#REF!,MATCH($B32,#REF!,0)),0)</f>
        <v>0</v>
      </c>
      <c r="I32" s="199">
        <f>IFERROR(INDEX(#REF!,MATCH($B32,#REF!,0)),0)</f>
        <v>0</v>
      </c>
      <c r="J32" s="199">
        <f>IFERROR(INDEX(#REF!,MATCH($B32,#REF!,0)),0)</f>
        <v>0</v>
      </c>
      <c r="K32" s="199">
        <f>IFERROR(INDEX(#REF!,MATCH($B32,#REF!,0)),0)</f>
        <v>0</v>
      </c>
      <c r="L32" s="199">
        <f>IFERROR(INDEX(#REF!,MATCH($B32,#REF!,0)),0)</f>
        <v>0</v>
      </c>
      <c r="M32" s="199">
        <f>IFERROR(INDEX(#REF!,MATCH($B32,#REF!,0)),0)</f>
        <v>0</v>
      </c>
      <c r="N32" s="199">
        <f>IFERROR(INDEX(#REF!,MATCH($B32,#REF!,0)),0)</f>
        <v>0</v>
      </c>
      <c r="O32" s="199">
        <f>IFERROR(INDEX(#REF!,MATCH($B32,#REF!,0)),0)</f>
        <v>0</v>
      </c>
      <c r="P32" s="199">
        <f>IFERROR(INDEX(#REF!,MATCH($U32,#REF!,0)),0)</f>
        <v>0</v>
      </c>
      <c r="Q32" s="256">
        <f t="shared" si="0"/>
        <v>0</v>
      </c>
      <c r="R32" s="498"/>
    </row>
    <row r="33" spans="1:18" s="1150" customFormat="1" hidden="1">
      <c r="A33" s="1560" t="s">
        <v>927</v>
      </c>
      <c r="B33" s="734"/>
      <c r="C33" s="1561" t="s">
        <v>934</v>
      </c>
      <c r="D33" s="1535">
        <f>IFERROR(INDEX(#REF!,MATCH($U33,#REF!,0)),0)</f>
        <v>0</v>
      </c>
      <c r="E33" s="251">
        <f>IFERROR(INDEX(#REF!,MATCH($B33,#REF!,0)),0)</f>
        <v>0</v>
      </c>
      <c r="F33" s="251">
        <f>IFERROR(INDEX(#REF!,MATCH($B33,#REF!,0)),0)</f>
        <v>0</v>
      </c>
      <c r="G33" s="251">
        <f>IFERROR(INDEX(#REF!,MATCH($B33,#REF!,0)),0)</f>
        <v>0</v>
      </c>
      <c r="H33" s="251">
        <f>IFERROR(INDEX(#REF!,MATCH($B33,#REF!,0)),0)</f>
        <v>0</v>
      </c>
      <c r="I33" s="251">
        <f>IFERROR(INDEX(#REF!,MATCH($B33,#REF!,0)),0)</f>
        <v>0</v>
      </c>
      <c r="J33" s="251">
        <f>IFERROR(INDEX(#REF!,MATCH($B33,#REF!,0)),0)</f>
        <v>0</v>
      </c>
      <c r="K33" s="251">
        <f>IFERROR(INDEX(#REF!,MATCH($B33,#REF!,0)),0)</f>
        <v>0</v>
      </c>
      <c r="L33" s="251">
        <f>IFERROR(INDEX(#REF!,MATCH($B33,#REF!,0)),0)</f>
        <v>0</v>
      </c>
      <c r="M33" s="251">
        <f>IFERROR(INDEX(#REF!,MATCH($B33,#REF!,0)),0)</f>
        <v>0</v>
      </c>
      <c r="N33" s="251">
        <f>IFERROR(INDEX(#REF!,MATCH($B33,#REF!,0)),0)</f>
        <v>0</v>
      </c>
      <c r="O33" s="251">
        <f>IFERROR(INDEX(#REF!,MATCH($B33,#REF!,0)),0)</f>
        <v>0</v>
      </c>
      <c r="P33" s="251">
        <f>IFERROR(INDEX(#REF!,MATCH($U33,#REF!,0)),0)</f>
        <v>0</v>
      </c>
      <c r="Q33" s="535">
        <f t="shared" si="0"/>
        <v>0</v>
      </c>
      <c r="R33" s="513"/>
    </row>
    <row r="34" spans="1:18">
      <c r="A34" s="1722">
        <f>+A8+1</f>
        <v>3</v>
      </c>
      <c r="B34" s="1720" t="s">
        <v>113</v>
      </c>
      <c r="C34" s="1416" t="str">
        <f>+"Sum Line "&amp;A8&amp;" Subparts"</f>
        <v>Sum Line 2 Subparts</v>
      </c>
      <c r="D34" s="256">
        <f t="shared" ref="D34:Q34" si="11">SUM(D9:D33)</f>
        <v>11287240.729999999</v>
      </c>
      <c r="E34" s="256">
        <f t="shared" si="11"/>
        <v>12838429.610000001</v>
      </c>
      <c r="F34" s="1151">
        <f t="shared" si="11"/>
        <v>14843573.460000014</v>
      </c>
      <c r="G34" s="1151">
        <f t="shared" si="11"/>
        <v>11814244.220000014</v>
      </c>
      <c r="H34" s="1151">
        <f t="shared" si="11"/>
        <v>16671512.010000007</v>
      </c>
      <c r="I34" s="1151">
        <f t="shared" si="11"/>
        <v>15531688.380000014</v>
      </c>
      <c r="J34" s="1151">
        <f t="shared" si="11"/>
        <v>21241227.109999996</v>
      </c>
      <c r="K34" s="1151">
        <f t="shared" si="11"/>
        <v>19258779</v>
      </c>
      <c r="L34" s="1151">
        <f t="shared" si="11"/>
        <v>15800895.57000001</v>
      </c>
      <c r="M34" s="1151">
        <f t="shared" si="11"/>
        <v>13750380.680000009</v>
      </c>
      <c r="N34" s="1151">
        <f t="shared" si="11"/>
        <v>11106184.599999996</v>
      </c>
      <c r="O34" s="1151">
        <f t="shared" si="11"/>
        <v>12414600.540000016</v>
      </c>
      <c r="P34" s="1151">
        <f t="shared" si="11"/>
        <v>10265917.230000004</v>
      </c>
      <c r="Q34" s="1152">
        <f t="shared" si="11"/>
        <v>14371128.703076929</v>
      </c>
    </row>
    <row r="35" spans="1:18">
      <c r="A35" s="1722"/>
      <c r="B35" s="1720"/>
      <c r="C35" s="1416"/>
      <c r="D35" s="256" t="s">
        <v>616</v>
      </c>
      <c r="E35" s="1416"/>
      <c r="F35" s="1145"/>
      <c r="G35" s="1145"/>
      <c r="H35" s="1145"/>
      <c r="I35" s="1145"/>
      <c r="J35" s="1145"/>
      <c r="K35" s="1145"/>
      <c r="L35" s="1145"/>
      <c r="M35" s="1145"/>
      <c r="N35" s="1145"/>
      <c r="O35" s="1145"/>
      <c r="P35" s="1151" t="s">
        <v>617</v>
      </c>
      <c r="Q35" s="1152"/>
    </row>
    <row r="36" spans="1:18" s="1150" customFormat="1">
      <c r="A36" s="1722">
        <f>+A34+1</f>
        <v>4</v>
      </c>
      <c r="B36" s="1762"/>
      <c r="C36" s="1763"/>
      <c r="D36" s="1720"/>
      <c r="E36" s="1720"/>
      <c r="F36" s="1147"/>
      <c r="G36" s="1147"/>
      <c r="H36" s="1147"/>
      <c r="I36" s="1147"/>
      <c r="J36" s="1147"/>
      <c r="K36" s="1147"/>
      <c r="L36" s="1147"/>
      <c r="M36" s="1147"/>
      <c r="N36" s="1147"/>
      <c r="O36" s="1147"/>
      <c r="P36" s="1147"/>
      <c r="Q36" s="256"/>
      <c r="R36" s="513"/>
    </row>
    <row r="37" spans="1:18">
      <c r="A37" s="1722">
        <f>+A36+1</f>
        <v>5</v>
      </c>
      <c r="B37" s="1748"/>
      <c r="C37" s="1748"/>
      <c r="D37" s="2407" t="s">
        <v>267</v>
      </c>
      <c r="E37" s="1724" t="s">
        <v>729</v>
      </c>
      <c r="F37" s="1153" t="s">
        <v>321</v>
      </c>
      <c r="G37" s="1153" t="s">
        <v>322</v>
      </c>
      <c r="H37" s="1153" t="s">
        <v>730</v>
      </c>
      <c r="I37" s="1154"/>
      <c r="J37" s="1154"/>
      <c r="K37" s="1154"/>
      <c r="L37" s="1155"/>
      <c r="M37" s="1155"/>
      <c r="N37" s="1155"/>
      <c r="O37" s="1155"/>
      <c r="P37" s="1155"/>
    </row>
    <row r="38" spans="1:18" ht="27.6" customHeight="1">
      <c r="A38" s="1146">
        <f>+A37+1</f>
        <v>6</v>
      </c>
      <c r="B38" s="868" t="str">
        <f>+B7</f>
        <v>Account</v>
      </c>
      <c r="C38" s="868" t="str">
        <f>+C7</f>
        <v>Account Name</v>
      </c>
      <c r="D38" s="2408"/>
      <c r="E38" s="1144" t="s">
        <v>153</v>
      </c>
      <c r="F38" s="488" t="s">
        <v>135</v>
      </c>
      <c r="G38" s="1144" t="s">
        <v>157</v>
      </c>
      <c r="H38" s="1144" t="s">
        <v>142</v>
      </c>
      <c r="I38" s="1154"/>
      <c r="P38" s="1145"/>
      <c r="R38" s="1147"/>
    </row>
    <row r="39" spans="1:18">
      <c r="A39" s="1146">
        <f>+A38+1</f>
        <v>7</v>
      </c>
      <c r="B39" s="1145"/>
      <c r="C39" s="1145"/>
      <c r="D39" s="1145"/>
      <c r="E39" s="1145"/>
      <c r="F39" s="1145"/>
      <c r="G39" s="1145"/>
      <c r="H39" s="1145"/>
    </row>
    <row r="40" spans="1:18">
      <c r="A40" s="1148">
        <f>+A39+0.01</f>
        <v>7.01</v>
      </c>
      <c r="B40" s="1149" t="str">
        <f t="shared" ref="B40:B54" si="12">+B9</f>
        <v>165000: Prepayments</v>
      </c>
      <c r="C40" s="1145"/>
      <c r="D40" s="1157">
        <f t="shared" ref="D40:D62" si="13">+Q9</f>
        <v>400253.56076923065</v>
      </c>
      <c r="E40" s="1145"/>
      <c r="F40" s="798"/>
      <c r="G40" s="1156"/>
      <c r="H40" s="1157">
        <f>+D40</f>
        <v>400253.56076923065</v>
      </c>
      <c r="P40" s="1145"/>
      <c r="R40" s="1147"/>
    </row>
    <row r="41" spans="1:18">
      <c r="A41" s="1354">
        <f>+A40+0.01</f>
        <v>7.02</v>
      </c>
      <c r="B41" s="1149" t="str">
        <f t="shared" si="12"/>
        <v>165100: Prepaid Insurance</v>
      </c>
      <c r="C41" s="1145"/>
      <c r="D41" s="1157">
        <f t="shared" si="13"/>
        <v>8330343.3707692362</v>
      </c>
      <c r="E41" s="1145"/>
      <c r="F41" s="1157"/>
      <c r="G41" s="1156">
        <f>+D41</f>
        <v>8330343.3707692362</v>
      </c>
      <c r="H41" s="1145"/>
      <c r="P41" s="1145"/>
      <c r="R41" s="1147"/>
    </row>
    <row r="42" spans="1:18">
      <c r="A42" s="1354">
        <f>+A41+0.01</f>
        <v>7.0299999999999994</v>
      </c>
      <c r="B42" s="1149" t="str">
        <f t="shared" si="12"/>
        <v>165222: Toledo Bend Power Account</v>
      </c>
      <c r="C42" s="1145"/>
      <c r="D42" s="1157">
        <f t="shared" si="13"/>
        <v>131187.90153846165</v>
      </c>
      <c r="E42" s="1157">
        <f>D42</f>
        <v>131187.90153846165</v>
      </c>
      <c r="F42" s="1157"/>
      <c r="G42" s="1355"/>
      <c r="H42" s="1356"/>
      <c r="P42" s="1145"/>
      <c r="R42" s="1147"/>
    </row>
    <row r="43" spans="1:18">
      <c r="A43" s="1354">
        <f t="shared" ref="A43" si="14">+A42+0.01</f>
        <v>7.0399999999999991</v>
      </c>
      <c r="B43" s="1149" t="str">
        <f t="shared" si="12"/>
        <v>165400: Prepaid Ins Directors&amp;Officers</v>
      </c>
      <c r="C43" s="1145"/>
      <c r="D43" s="1157">
        <f t="shared" si="13"/>
        <v>18110.019230769041</v>
      </c>
      <c r="F43" s="1145"/>
      <c r="G43" s="1156"/>
      <c r="H43" s="1157">
        <f>+D43</f>
        <v>18110.019230769041</v>
      </c>
      <c r="P43" s="1145"/>
      <c r="R43" s="1147"/>
    </row>
    <row r="44" spans="1:18" s="1390" customFormat="1">
      <c r="A44" s="1415">
        <f>+A43+0.01</f>
        <v>7.0499999999999989</v>
      </c>
      <c r="B44" s="1149" t="str">
        <f t="shared" si="12"/>
        <v>165408: Pp Taxes - Gas Safety Fee</v>
      </c>
      <c r="C44" s="1416"/>
      <c r="D44" s="1417">
        <f t="shared" si="13"/>
        <v>0</v>
      </c>
      <c r="E44" s="1418">
        <f>+D44</f>
        <v>0</v>
      </c>
      <c r="F44" s="1388"/>
      <c r="G44" s="1389"/>
      <c r="H44" s="1392"/>
      <c r="P44" s="1388"/>
    </row>
    <row r="45" spans="1:18">
      <c r="A45" s="1354">
        <f>+A44+0.01</f>
        <v>7.0599999999999987</v>
      </c>
      <c r="B45" s="1149" t="str">
        <f t="shared" si="12"/>
        <v>165506: Prepaid Dues - INPO</v>
      </c>
      <c r="C45" s="1145"/>
      <c r="D45" s="1157">
        <f t="shared" si="13"/>
        <v>973761.69230769225</v>
      </c>
      <c r="E45" s="1157">
        <f t="shared" ref="E45:E46" si="15">+D45</f>
        <v>973761.69230769225</v>
      </c>
      <c r="F45" s="1145"/>
      <c r="G45" s="1156"/>
      <c r="H45" s="1145"/>
      <c r="P45" s="1145"/>
      <c r="R45" s="1147"/>
    </row>
    <row r="46" spans="1:18">
      <c r="A46" s="1354">
        <f>+A45+0.01</f>
        <v>7.0699999999999985</v>
      </c>
      <c r="B46" s="1149" t="str">
        <f t="shared" si="12"/>
        <v>165507: Prepaid Dues - Nuc Energy Inst</v>
      </c>
      <c r="C46" s="1145"/>
      <c r="D46" s="1157">
        <f t="shared" si="13"/>
        <v>330264.74000000011</v>
      </c>
      <c r="E46" s="1157">
        <f t="shared" si="15"/>
        <v>330264.74000000011</v>
      </c>
      <c r="F46" s="798"/>
      <c r="G46" s="1156"/>
      <c r="H46" s="1145"/>
      <c r="P46" s="1145"/>
      <c r="R46" s="1147"/>
    </row>
    <row r="47" spans="1:18" s="1390" customFormat="1">
      <c r="A47" s="1415">
        <f>+A46+0.01</f>
        <v>7.0799999999999983</v>
      </c>
      <c r="B47" s="1149" t="str">
        <f t="shared" si="12"/>
        <v>165508: Prepaid Fees - FEMA</v>
      </c>
      <c r="C47" s="1416"/>
      <c r="D47" s="1417">
        <f t="shared" si="13"/>
        <v>880929.99769230757</v>
      </c>
      <c r="E47" s="1417">
        <f t="shared" ref="E47" si="16">+D47</f>
        <v>880929.99769230757</v>
      </c>
      <c r="F47" s="1393"/>
      <c r="G47" s="1389"/>
      <c r="H47" s="1388"/>
      <c r="P47" s="1388"/>
    </row>
    <row r="48" spans="1:18">
      <c r="A48" s="1415">
        <f t="shared" ref="A48:A51" si="17">+A47+0.01</f>
        <v>7.0899999999999981</v>
      </c>
      <c r="B48" s="1149" t="str">
        <f t="shared" si="12"/>
        <v>165510: Prepaid Dues to EEI</v>
      </c>
      <c r="C48" s="1145"/>
      <c r="D48" s="1157">
        <f t="shared" si="13"/>
        <v>256455.61769230771</v>
      </c>
      <c r="E48" s="1145"/>
      <c r="F48" s="1157"/>
      <c r="G48" s="1355"/>
      <c r="H48" s="1356">
        <f>+D48</f>
        <v>256455.61769230771</v>
      </c>
      <c r="P48" s="1145"/>
      <c r="R48" s="1147"/>
    </row>
    <row r="49" spans="1:18">
      <c r="A49" s="1415">
        <f t="shared" si="17"/>
        <v>7.0999999999999979</v>
      </c>
      <c r="B49" s="1149" t="str">
        <f t="shared" si="12"/>
        <v>165520: Ad Valorem Taxes</v>
      </c>
      <c r="C49" s="1145"/>
      <c r="D49" s="1157">
        <f t="shared" si="13"/>
        <v>127780.0130769231</v>
      </c>
      <c r="E49" s="1145"/>
      <c r="F49" s="1157"/>
      <c r="G49" s="1156">
        <f>+D49</f>
        <v>127780.0130769231</v>
      </c>
      <c r="H49" s="1356"/>
      <c r="P49" s="1145"/>
      <c r="R49" s="1147"/>
    </row>
    <row r="50" spans="1:18" s="1373" customFormat="1">
      <c r="A50" s="1415">
        <f t="shared" si="17"/>
        <v>7.1099999999999977</v>
      </c>
      <c r="B50" s="1149" t="str">
        <f t="shared" si="12"/>
        <v>165603: PPD IQNavigator, Inc</v>
      </c>
      <c r="C50" s="1371"/>
      <c r="D50" s="1372">
        <f t="shared" si="13"/>
        <v>1022.780769230769</v>
      </c>
      <c r="E50" s="1371"/>
      <c r="F50" s="1372"/>
      <c r="G50" s="1355"/>
      <c r="H50" s="1372">
        <f>+D50</f>
        <v>1022.780769230769</v>
      </c>
      <c r="P50" s="1371"/>
      <c r="R50" s="1373" t="s">
        <v>1088</v>
      </c>
    </row>
    <row r="51" spans="1:18">
      <c r="A51" s="1415">
        <f t="shared" si="17"/>
        <v>7.1199999999999974</v>
      </c>
      <c r="B51" s="1149" t="str">
        <f t="shared" si="12"/>
        <v>165730: Pp Tax-Lic-Occup</v>
      </c>
      <c r="C51" s="1145"/>
      <c r="D51" s="1157">
        <f t="shared" si="13"/>
        <v>211833.84615384616</v>
      </c>
      <c r="E51" s="1157">
        <f>D51</f>
        <v>211833.84615384616</v>
      </c>
      <c r="F51" s="1157"/>
      <c r="G51" s="1156"/>
      <c r="H51" s="1145"/>
      <c r="P51" s="1145"/>
      <c r="R51" s="1147"/>
    </row>
    <row r="52" spans="1:18">
      <c r="A52" s="1354">
        <f t="shared" ref="A52:A62" si="18">+A51+0.01</f>
        <v>7.1299999999999972</v>
      </c>
      <c r="B52" s="1149" t="str">
        <f t="shared" si="12"/>
        <v>165RNT: Prepaid Rent Expense</v>
      </c>
      <c r="C52" s="1145"/>
      <c r="D52" s="1157">
        <f t="shared" si="13"/>
        <v>134426.49538461535</v>
      </c>
      <c r="E52" s="1157">
        <f>+D52</f>
        <v>134426.49538461535</v>
      </c>
      <c r="F52" s="1145"/>
      <c r="G52" s="1156"/>
      <c r="H52" s="1145"/>
      <c r="P52" s="1145"/>
      <c r="R52" s="1147"/>
    </row>
    <row r="53" spans="1:18">
      <c r="A53" s="1354">
        <f t="shared" si="18"/>
        <v>7.139999999999997</v>
      </c>
      <c r="B53" s="1149" t="str">
        <f t="shared" si="12"/>
        <v>165SAI: PrePaid Designated Servic-SAIC</v>
      </c>
      <c r="C53" s="1145"/>
      <c r="D53" s="1157">
        <f t="shared" si="13"/>
        <v>0</v>
      </c>
      <c r="E53" s="1157"/>
      <c r="F53" s="1145"/>
      <c r="G53" s="1156"/>
      <c r="H53" s="1157">
        <f>+D53</f>
        <v>0</v>
      </c>
      <c r="P53" s="1145"/>
      <c r="R53" s="1147"/>
    </row>
    <row r="54" spans="1:18" s="1390" customFormat="1">
      <c r="A54" s="1415">
        <f t="shared" si="18"/>
        <v>7.1499999999999968</v>
      </c>
      <c r="B54" s="1149" t="str">
        <f t="shared" si="12"/>
        <v>165U39: Prepaid Life Insurance   Kidco</v>
      </c>
      <c r="C54" s="1416"/>
      <c r="D54" s="1417">
        <f t="shared" si="13"/>
        <v>59496.148461538651</v>
      </c>
      <c r="E54" s="1417"/>
      <c r="F54" s="1416"/>
      <c r="G54" s="74"/>
      <c r="H54" s="1417">
        <f>+D54</f>
        <v>59496.148461538651</v>
      </c>
      <c r="P54" s="1388"/>
    </row>
    <row r="55" spans="1:18" s="1390" customFormat="1">
      <c r="A55" s="1560">
        <f t="shared" si="18"/>
        <v>7.1599999999999966</v>
      </c>
      <c r="B55" s="1206" t="str">
        <f t="shared" ref="B55:B61" si="19">+B24</f>
        <v>165004: Pp Taxes-Regulatory Commis.</v>
      </c>
      <c r="C55" s="1561"/>
      <c r="D55" s="1563">
        <f t="shared" si="13"/>
        <v>42407.981538461536</v>
      </c>
      <c r="E55" s="1563">
        <f t="shared" ref="E55:E59" si="20">+D55</f>
        <v>42407.981538461536</v>
      </c>
      <c r="F55" s="1561"/>
      <c r="G55" s="199"/>
      <c r="H55" s="1563"/>
      <c r="P55" s="1388"/>
    </row>
    <row r="56" spans="1:18" s="1390" customFormat="1">
      <c r="A56" s="1560">
        <f t="shared" si="18"/>
        <v>7.1699999999999964</v>
      </c>
      <c r="B56" s="1206" t="str">
        <f t="shared" si="19"/>
        <v>165403: Pp Taxes Franchise-La</v>
      </c>
      <c r="C56" s="1561"/>
      <c r="D56" s="1563">
        <f t="shared" si="13"/>
        <v>692307.69230769225</v>
      </c>
      <c r="E56" s="1563">
        <f t="shared" si="20"/>
        <v>692307.69230769225</v>
      </c>
      <c r="F56" s="1561"/>
      <c r="G56" s="199"/>
      <c r="H56" s="1563"/>
      <c r="P56" s="1388"/>
    </row>
    <row r="57" spans="1:18" s="1390" customFormat="1">
      <c r="A57" s="1560">
        <f t="shared" si="18"/>
        <v>7.1799999999999962</v>
      </c>
      <c r="B57" s="1206" t="str">
        <f t="shared" si="19"/>
        <v>165611: PPD all GE companies</v>
      </c>
      <c r="C57" s="1561"/>
      <c r="D57" s="1563">
        <f t="shared" si="13"/>
        <v>10408.973076923079</v>
      </c>
      <c r="E57" s="1563">
        <f t="shared" si="20"/>
        <v>10408.973076923079</v>
      </c>
      <c r="F57" s="1561"/>
      <c r="G57" s="199"/>
      <c r="H57" s="1563"/>
      <c r="P57" s="1388"/>
    </row>
    <row r="58" spans="1:18" s="1390" customFormat="1">
      <c r="A58" s="1560">
        <f t="shared" si="18"/>
        <v>7.1899999999999959</v>
      </c>
      <c r="B58" s="1206" t="str">
        <f t="shared" si="19"/>
        <v>165622: PPD Environmental Systems Corp</v>
      </c>
      <c r="C58" s="1561"/>
      <c r="D58" s="1563">
        <f t="shared" si="13"/>
        <v>5169.2307692307695</v>
      </c>
      <c r="E58" s="1563">
        <f t="shared" si="20"/>
        <v>5169.2307692307695</v>
      </c>
      <c r="F58" s="1561"/>
      <c r="G58" s="199"/>
      <c r="H58" s="1563"/>
      <c r="P58" s="1388"/>
    </row>
    <row r="59" spans="1:18" s="1390" customFormat="1">
      <c r="A59" s="1560">
        <f t="shared" si="18"/>
        <v>7.1999999999999957</v>
      </c>
      <c r="B59" s="1206" t="str">
        <f t="shared" si="19"/>
        <v>165628: PPD Acadian Gas Pipeline Systm</v>
      </c>
      <c r="C59" s="1561"/>
      <c r="D59" s="1563">
        <f t="shared" si="13"/>
        <v>1357555.5199999998</v>
      </c>
      <c r="E59" s="1563">
        <f t="shared" si="20"/>
        <v>1357555.5199999998</v>
      </c>
      <c r="F59" s="1561"/>
      <c r="G59" s="199"/>
      <c r="H59" s="1563"/>
      <c r="P59" s="1388"/>
    </row>
    <row r="60" spans="1:18" s="1390" customFormat="1">
      <c r="A60" s="1560">
        <f t="shared" si="18"/>
        <v>7.2099999999999955</v>
      </c>
      <c r="B60" s="1206" t="str">
        <f t="shared" si="19"/>
        <v>165631: PPD Motorola Solutions</v>
      </c>
      <c r="C60" s="1561"/>
      <c r="D60" s="1563">
        <f t="shared" si="13"/>
        <v>282346.24692307698</v>
      </c>
      <c r="E60" s="1563"/>
      <c r="F60" s="1561"/>
      <c r="G60" s="199"/>
      <c r="H60" s="1563">
        <f>+D60</f>
        <v>282346.24692307698</v>
      </c>
      <c r="P60" s="1388"/>
    </row>
    <row r="61" spans="1:18" s="1390" customFormat="1" ht="13.2" customHeight="1">
      <c r="A61" s="1560">
        <f t="shared" si="18"/>
        <v>7.2199999999999953</v>
      </c>
      <c r="B61" s="1206" t="str">
        <f t="shared" si="19"/>
        <v>165634: PPD Hunt Communications</v>
      </c>
      <c r="C61" s="1561"/>
      <c r="D61" s="1563">
        <f t="shared" si="13"/>
        <v>125066.8746153846</v>
      </c>
      <c r="E61" s="1563"/>
      <c r="F61" s="1563">
        <f>+D61</f>
        <v>125066.8746153846</v>
      </c>
      <c r="G61" s="199"/>
      <c r="H61" s="1563"/>
      <c r="P61" s="1388"/>
      <c r="R61" s="2233" t="s">
        <v>2270</v>
      </c>
    </row>
    <row r="62" spans="1:18" s="1390" customFormat="1" ht="13.2" hidden="1" customHeight="1">
      <c r="A62" s="1560">
        <f t="shared" si="18"/>
        <v>7.2299999999999951</v>
      </c>
      <c r="B62" s="1206"/>
      <c r="C62" s="1561" t="str">
        <f>+C31</f>
        <v>Additional  Items As Applicable</v>
      </c>
      <c r="D62" s="1563">
        <f t="shared" si="13"/>
        <v>0</v>
      </c>
      <c r="E62" s="1563"/>
      <c r="F62" s="1561"/>
      <c r="G62" s="199"/>
      <c r="H62" s="1563"/>
      <c r="P62" s="1388"/>
    </row>
    <row r="63" spans="1:18" ht="13.2" hidden="1" customHeight="1">
      <c r="A63" s="1246" t="s">
        <v>924</v>
      </c>
      <c r="B63" s="1206"/>
      <c r="C63" s="1207" t="str">
        <f t="shared" ref="C63" si="21">+C32</f>
        <v>Additional  Items As Applicable</v>
      </c>
      <c r="D63" s="1205">
        <f t="shared" ref="D63:D64" si="22">+Q32</f>
        <v>0</v>
      </c>
      <c r="E63" s="1205"/>
      <c r="F63" s="1207"/>
      <c r="G63" s="1208"/>
      <c r="H63" s="1207"/>
      <c r="P63" s="1145"/>
      <c r="R63" s="1147"/>
    </row>
    <row r="64" spans="1:18" ht="13.2" hidden="1" customHeight="1">
      <c r="A64" s="1246" t="s">
        <v>928</v>
      </c>
      <c r="B64" s="1209"/>
      <c r="C64" s="1562" t="str">
        <f t="shared" ref="C64" si="23">+C33</f>
        <v>Additional  Items As Applicable</v>
      </c>
      <c r="D64" s="1210">
        <f t="shared" si="22"/>
        <v>0</v>
      </c>
      <c r="E64" s="1211"/>
      <c r="F64" s="1212"/>
      <c r="G64" s="1213"/>
      <c r="H64" s="1210"/>
      <c r="P64" s="1145"/>
      <c r="R64" s="1147"/>
    </row>
    <row r="65" spans="1:18" ht="13.2" customHeight="1">
      <c r="A65" s="1146">
        <f>+A39+1</f>
        <v>8</v>
      </c>
      <c r="B65" s="1149" t="str">
        <f>+B34</f>
        <v>Total</v>
      </c>
      <c r="C65" s="1145" t="str">
        <f>+"Sum Line "&amp;A39&amp;" Subparts"</f>
        <v>Sum Line 7 Subparts</v>
      </c>
      <c r="D65" s="1156">
        <f>SUM(D40:D64)</f>
        <v>14371128.703076929</v>
      </c>
      <c r="E65" s="1157">
        <f>SUM(E40:E64)</f>
        <v>4770254.0707692308</v>
      </c>
      <c r="F65" s="1157">
        <f>SUM(F40:F64)</f>
        <v>125066.8746153846</v>
      </c>
      <c r="G65" s="1157">
        <f>SUM(G40:G64)</f>
        <v>8458123.38384616</v>
      </c>
      <c r="H65" s="1157">
        <f>SUM(H40:H64)</f>
        <v>1017684.3738461537</v>
      </c>
      <c r="I65" s="1145"/>
      <c r="J65" s="1145"/>
      <c r="K65" s="1145"/>
      <c r="L65" s="1145"/>
      <c r="M65" s="1145"/>
      <c r="N65" s="1145"/>
      <c r="O65" s="1145"/>
      <c r="P65" s="1145"/>
      <c r="Q65" s="1145"/>
      <c r="R65" s="1147"/>
    </row>
    <row r="66" spans="1:18" ht="13.2" customHeight="1">
      <c r="A66" s="1146"/>
      <c r="B66" s="1145"/>
      <c r="C66" s="1145"/>
      <c r="D66" s="1145"/>
      <c r="E66" s="1145"/>
      <c r="F66" s="1145"/>
      <c r="G66" s="1145"/>
      <c r="H66" s="1145"/>
      <c r="I66" s="1145"/>
      <c r="J66" s="1145"/>
      <c r="K66" s="1145"/>
      <c r="L66" s="1145"/>
      <c r="M66" s="1145"/>
      <c r="N66" s="1145"/>
      <c r="O66" s="1145"/>
      <c r="P66" s="1145"/>
      <c r="Q66" s="1145"/>
    </row>
    <row r="67" spans="1:18" ht="13.2" customHeight="1">
      <c r="A67" s="1146" t="s">
        <v>299</v>
      </c>
      <c r="B67" s="1145"/>
      <c r="C67" s="1145"/>
      <c r="D67" s="1145"/>
      <c r="E67" s="1145"/>
      <c r="F67" s="1145"/>
      <c r="G67" s="1145"/>
      <c r="H67" s="1145"/>
      <c r="I67" s="1145"/>
      <c r="J67" s="1145"/>
      <c r="K67" s="1145"/>
      <c r="L67" s="1145"/>
      <c r="M67" s="1145"/>
      <c r="N67" s="1145"/>
      <c r="O67" s="1145"/>
      <c r="P67" s="1145"/>
      <c r="Q67" s="1145"/>
    </row>
    <row r="68" spans="1:18" ht="13.2" customHeight="1">
      <c r="A68" s="1153" t="s">
        <v>167</v>
      </c>
      <c r="B68" s="2345" t="s">
        <v>1118</v>
      </c>
      <c r="C68" s="2345"/>
      <c r="D68" s="2345"/>
      <c r="E68" s="2345"/>
      <c r="F68" s="2345"/>
      <c r="G68" s="2345"/>
      <c r="H68" s="2345"/>
      <c r="I68" s="2345"/>
      <c r="J68" s="2345"/>
      <c r="K68" s="2345"/>
      <c r="L68" s="2345"/>
      <c r="M68" s="2345"/>
      <c r="N68" s="2345"/>
      <c r="O68" s="2345"/>
      <c r="P68" s="2345"/>
      <c r="Q68" s="2345"/>
    </row>
    <row r="69" spans="1:18" ht="13.2" customHeight="1">
      <c r="A69" s="1153" t="s">
        <v>320</v>
      </c>
      <c r="B69" s="2345" t="s">
        <v>725</v>
      </c>
      <c r="C69" s="2345"/>
      <c r="D69" s="2345"/>
      <c r="E69" s="2345"/>
      <c r="F69" s="2345"/>
      <c r="G69" s="2345"/>
      <c r="H69" s="2345"/>
      <c r="I69" s="2345"/>
      <c r="J69" s="2345"/>
      <c r="K69" s="2345"/>
      <c r="L69" s="2345"/>
      <c r="M69" s="2345"/>
      <c r="N69" s="2345"/>
      <c r="O69" s="2345"/>
      <c r="P69" s="2345"/>
      <c r="Q69" s="2345"/>
      <c r="R69" s="1147"/>
    </row>
    <row r="70" spans="1:18" ht="13.2" customHeight="1">
      <c r="A70" s="1158" t="s">
        <v>321</v>
      </c>
      <c r="B70" s="2345" t="s">
        <v>731</v>
      </c>
      <c r="C70" s="2345"/>
      <c r="D70" s="2345"/>
      <c r="E70" s="2345"/>
      <c r="F70" s="2345"/>
      <c r="G70" s="2345"/>
      <c r="H70" s="2345"/>
      <c r="I70" s="2345"/>
      <c r="J70" s="2345"/>
      <c r="K70" s="2345"/>
      <c r="L70" s="2345"/>
      <c r="M70" s="2345"/>
      <c r="N70" s="2345"/>
      <c r="O70" s="2345"/>
      <c r="P70" s="2345"/>
      <c r="Q70" s="2345"/>
      <c r="R70" s="1147"/>
    </row>
    <row r="71" spans="1:18" ht="13.2" customHeight="1">
      <c r="A71" s="1158" t="s">
        <v>322</v>
      </c>
      <c r="B71" s="2345" t="s">
        <v>726</v>
      </c>
      <c r="C71" s="2345"/>
      <c r="D71" s="2345"/>
      <c r="E71" s="2345"/>
      <c r="F71" s="2345"/>
      <c r="G71" s="2345"/>
      <c r="H71" s="2345"/>
      <c r="I71" s="2345"/>
      <c r="J71" s="2345"/>
      <c r="K71" s="2345"/>
      <c r="L71" s="2345"/>
      <c r="M71" s="2345"/>
      <c r="N71" s="2345"/>
      <c r="O71" s="2345"/>
      <c r="P71" s="2345"/>
      <c r="Q71" s="2345"/>
      <c r="R71" s="1147"/>
    </row>
    <row r="72" spans="1:18" ht="13.2" customHeight="1">
      <c r="A72" s="1158" t="s">
        <v>323</v>
      </c>
      <c r="B72" s="2411" t="s">
        <v>728</v>
      </c>
      <c r="C72" s="2411"/>
      <c r="D72" s="2411"/>
      <c r="E72" s="2411"/>
      <c r="F72" s="2411"/>
      <c r="G72" s="2411"/>
      <c r="H72" s="2411"/>
      <c r="I72" s="2411"/>
      <c r="J72" s="2411"/>
      <c r="K72" s="2411"/>
      <c r="L72" s="2411"/>
      <c r="M72" s="2411"/>
      <c r="N72" s="2411"/>
      <c r="O72" s="2411"/>
      <c r="P72" s="2411"/>
      <c r="Q72" s="2411"/>
      <c r="R72" s="1147"/>
    </row>
    <row r="73" spans="1:18" ht="13.2" customHeight="1">
      <c r="A73" s="1158" t="s">
        <v>716</v>
      </c>
      <c r="B73" s="2406" t="s">
        <v>727</v>
      </c>
      <c r="C73" s="2406"/>
      <c r="D73" s="2406"/>
      <c r="E73" s="2406"/>
      <c r="F73" s="2406"/>
      <c r="G73" s="2406"/>
      <c r="H73" s="2406"/>
      <c r="I73" s="2406"/>
      <c r="J73" s="2406"/>
      <c r="K73" s="2406"/>
      <c r="L73" s="2406"/>
      <c r="M73" s="2406"/>
      <c r="N73" s="2406"/>
      <c r="O73" s="2406"/>
      <c r="P73" s="2406"/>
      <c r="Q73" s="2406"/>
      <c r="R73" s="1147"/>
    </row>
    <row r="74" spans="1:18" ht="13.2" customHeight="1">
      <c r="A74" s="1159"/>
      <c r="R74" s="1147"/>
    </row>
    <row r="75" spans="1:18" ht="13.2" customHeight="1"/>
    <row r="76" spans="1:18" ht="13.2" customHeight="1"/>
    <row r="77" spans="1:18" ht="13.2" customHeight="1"/>
    <row r="78" spans="1:18" ht="13.2" customHeight="1"/>
    <row r="79" spans="1:18" ht="13.2" customHeight="1"/>
    <row r="80" spans="1:18" ht="13.2" customHeight="1"/>
    <row r="81" ht="13.2" customHeight="1"/>
    <row r="82" ht="13.2" customHeight="1"/>
    <row r="83" ht="13.2" customHeight="1"/>
    <row r="84" ht="13.2" customHeight="1"/>
    <row r="85" ht="13.2" customHeight="1"/>
    <row r="86" ht="13.2" customHeight="1"/>
    <row r="87" ht="13.2" customHeight="1"/>
    <row r="88" ht="13.2" customHeight="1"/>
    <row r="89" ht="13.2" customHeight="1"/>
    <row r="90" ht="13.2" customHeight="1"/>
    <row r="91" ht="13.2" customHeight="1"/>
    <row r="92" ht="13.2" customHeight="1"/>
    <row r="93" ht="13.2" customHeight="1"/>
    <row r="94" ht="13.2" customHeight="1"/>
    <row r="95" ht="13.2" customHeight="1"/>
    <row r="96" ht="13.2" customHeight="1"/>
    <row r="97" ht="13.2" customHeight="1"/>
    <row r="98" ht="13.2" customHeight="1"/>
    <row r="99" ht="13.2" customHeight="1"/>
    <row r="100" ht="13.2" customHeight="1"/>
    <row r="101" ht="13.2" customHeight="1"/>
    <row r="102" ht="13.2" customHeight="1"/>
    <row r="103" ht="13.2" customHeight="1"/>
    <row r="104" ht="13.2" customHeight="1"/>
    <row r="105" ht="13.2" customHeight="1"/>
    <row r="106" ht="13.2" customHeight="1"/>
    <row r="107" ht="13.2" customHeight="1"/>
    <row r="108" ht="13.2" customHeight="1"/>
    <row r="109" ht="13.2" customHeight="1"/>
    <row r="110" ht="13.2" customHeight="1"/>
    <row r="111" ht="13.2" customHeight="1"/>
    <row r="112" ht="13.2" customHeight="1"/>
    <row r="113" ht="13.2" customHeight="1"/>
    <row r="114" ht="13.2" customHeight="1"/>
    <row r="115" ht="13.2" customHeight="1"/>
    <row r="116" ht="13.2" customHeight="1"/>
    <row r="117" ht="13.2" customHeight="1"/>
    <row r="118" ht="13.2" customHeight="1"/>
    <row r="227" spans="7:7">
      <c r="G227" s="1145"/>
    </row>
  </sheetData>
  <mergeCells count="11">
    <mergeCell ref="B73:Q73"/>
    <mergeCell ref="D37:D38"/>
    <mergeCell ref="A1:Q1"/>
    <mergeCell ref="A3:Q3"/>
    <mergeCell ref="Q6:Q7"/>
    <mergeCell ref="A2:Q2"/>
    <mergeCell ref="B68:Q68"/>
    <mergeCell ref="B69:Q69"/>
    <mergeCell ref="B70:Q70"/>
    <mergeCell ref="B71:Q71"/>
    <mergeCell ref="B72:Q72"/>
  </mergeCells>
  <printOptions horizontalCentered="1"/>
  <pageMargins left="0.5" right="0.5" top="0.5" bottom="0.5" header="0.3" footer="0.5"/>
  <pageSetup scale="62" fitToHeight="0" orientation="landscape" r:id="rId1"/>
  <headerFoot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13"/>
  <sheetViews>
    <sheetView workbookViewId="0">
      <pane xSplit="2" topLeftCell="C1" activePane="topRight" state="frozenSplit"/>
      <selection activeCell="L6" sqref="L6"/>
      <selection pane="topRight" activeCell="L6" sqref="L6"/>
    </sheetView>
  </sheetViews>
  <sheetFormatPr defaultColWidth="9.109375" defaultRowHeight="13.2"/>
  <cols>
    <col min="1" max="1" width="3" style="738" bestFit="1" customWidth="1"/>
    <col min="2" max="2" width="17.6640625" style="738" customWidth="1"/>
    <col min="3" max="15" width="10.33203125" style="738" bestFit="1" customWidth="1"/>
    <col min="16" max="16" width="10.44140625" style="729" bestFit="1" customWidth="1"/>
    <col min="17" max="16384" width="9.109375" style="738"/>
  </cols>
  <sheetData>
    <row r="1" spans="1:16">
      <c r="A1" s="2414" t="str">
        <f>+'MISO Cover'!C6</f>
        <v>Entergy Louisiana, LLC</v>
      </c>
      <c r="B1" s="2414"/>
      <c r="C1" s="2414"/>
      <c r="D1" s="2414"/>
      <c r="E1" s="2414"/>
      <c r="F1" s="2414"/>
      <c r="G1" s="2414"/>
      <c r="H1" s="2414"/>
      <c r="I1" s="2414"/>
      <c r="J1" s="2414"/>
      <c r="K1" s="2414"/>
      <c r="L1" s="2414"/>
      <c r="M1" s="2414"/>
      <c r="N1" s="2414"/>
      <c r="O1" s="2414"/>
      <c r="P1" s="2414"/>
    </row>
    <row r="2" spans="1:16">
      <c r="A2" s="2415" t="s">
        <v>898</v>
      </c>
      <c r="B2" s="2415"/>
      <c r="C2" s="2415"/>
      <c r="D2" s="2415"/>
      <c r="E2" s="2415"/>
      <c r="F2" s="2415"/>
      <c r="G2" s="2415"/>
      <c r="H2" s="2415"/>
      <c r="I2" s="2415"/>
      <c r="J2" s="2415"/>
      <c r="K2" s="2415"/>
      <c r="L2" s="2415"/>
      <c r="M2" s="2415"/>
      <c r="N2" s="2415"/>
      <c r="O2" s="2415"/>
      <c r="P2" s="2415"/>
    </row>
    <row r="3" spans="1:16">
      <c r="A3" s="2414" t="str">
        <f>+'MISO Cover'!K4</f>
        <v>For  the 12 Months Ended 12/31/2017</v>
      </c>
      <c r="B3" s="2414"/>
      <c r="C3" s="2414"/>
      <c r="D3" s="2414"/>
      <c r="E3" s="2414"/>
      <c r="F3" s="2414"/>
      <c r="G3" s="2414"/>
      <c r="H3" s="2414"/>
      <c r="I3" s="2414"/>
      <c r="J3" s="2414"/>
      <c r="K3" s="2414"/>
      <c r="L3" s="2414"/>
      <c r="M3" s="2414"/>
      <c r="N3" s="2414"/>
      <c r="O3" s="2414"/>
      <c r="P3" s="2414"/>
    </row>
    <row r="4" spans="1:16">
      <c r="A4" s="1758"/>
      <c r="B4" s="2412"/>
      <c r="C4" s="2412"/>
      <c r="D4" s="2412"/>
      <c r="E4" s="2412"/>
      <c r="F4" s="2413"/>
      <c r="G4" s="2413"/>
      <c r="H4" s="2413"/>
      <c r="I4" s="2413"/>
      <c r="J4" s="2413"/>
      <c r="K4" s="2413"/>
      <c r="L4" s="2413"/>
      <c r="M4" s="2413"/>
      <c r="N4" s="2413"/>
      <c r="O4" s="2413"/>
    </row>
    <row r="5" spans="1:16" s="739" customFormat="1">
      <c r="A5" s="1759" t="s">
        <v>280</v>
      </c>
      <c r="B5" s="571" t="s">
        <v>67</v>
      </c>
      <c r="C5" s="571" t="s">
        <v>114</v>
      </c>
      <c r="D5" s="571" t="s">
        <v>55</v>
      </c>
      <c r="E5" s="571" t="s">
        <v>68</v>
      </c>
      <c r="F5" s="571" t="s">
        <v>66</v>
      </c>
      <c r="G5" s="571" t="s">
        <v>154</v>
      </c>
      <c r="H5" s="571" t="s">
        <v>69</v>
      </c>
      <c r="I5" s="571" t="s">
        <v>166</v>
      </c>
      <c r="J5" s="571" t="s">
        <v>59</v>
      </c>
      <c r="K5" s="571" t="s">
        <v>60</v>
      </c>
      <c r="L5" s="571" t="s">
        <v>71</v>
      </c>
      <c r="M5" s="571" t="s">
        <v>98</v>
      </c>
      <c r="N5" s="571" t="s">
        <v>99</v>
      </c>
      <c r="O5" s="571" t="s">
        <v>155</v>
      </c>
      <c r="P5" s="740" t="s">
        <v>221</v>
      </c>
    </row>
    <row r="6" spans="1:16">
      <c r="A6" s="1758"/>
      <c r="B6" s="164"/>
      <c r="C6" s="516"/>
      <c r="D6" s="516"/>
      <c r="E6" s="516"/>
      <c r="F6" s="516"/>
      <c r="G6" s="516"/>
      <c r="H6" s="516"/>
      <c r="I6" s="516"/>
      <c r="J6" s="741"/>
      <c r="K6" s="741"/>
      <c r="L6" s="741"/>
      <c r="M6" s="741"/>
      <c r="N6" s="741"/>
      <c r="O6" s="741"/>
      <c r="P6" s="729" t="s">
        <v>482</v>
      </c>
    </row>
    <row r="7" spans="1:16">
      <c r="A7" s="1759">
        <v>1</v>
      </c>
      <c r="B7" s="164"/>
      <c r="C7" s="1348" t="s">
        <v>37</v>
      </c>
      <c r="D7" s="1348" t="s">
        <v>27</v>
      </c>
      <c r="E7" s="1348" t="s">
        <v>28</v>
      </c>
      <c r="F7" s="1348" t="s">
        <v>29</v>
      </c>
      <c r="G7" s="1348" t="s">
        <v>30</v>
      </c>
      <c r="H7" s="1348" t="s">
        <v>26</v>
      </c>
      <c r="I7" s="1348" t="s">
        <v>31</v>
      </c>
      <c r="J7" s="1348" t="s">
        <v>32</v>
      </c>
      <c r="K7" s="1348" t="s">
        <v>33</v>
      </c>
      <c r="L7" s="1348" t="s">
        <v>34</v>
      </c>
      <c r="M7" s="1348" t="s">
        <v>35</v>
      </c>
      <c r="N7" s="1348" t="s">
        <v>36</v>
      </c>
      <c r="O7" s="1348" t="s">
        <v>37</v>
      </c>
      <c r="P7" s="1349" t="s">
        <v>140</v>
      </c>
    </row>
    <row r="8" spans="1:16">
      <c r="A8" s="1759">
        <f>+A7+1</f>
        <v>2</v>
      </c>
      <c r="B8" s="165" t="s">
        <v>185</v>
      </c>
      <c r="C8" s="1245">
        <v>0</v>
      </c>
      <c r="D8" s="1245">
        <v>0</v>
      </c>
      <c r="E8" s="1245">
        <v>0</v>
      </c>
      <c r="F8" s="1245">
        <v>0</v>
      </c>
      <c r="G8" s="1245">
        <v>0</v>
      </c>
      <c r="H8" s="1245">
        <v>0</v>
      </c>
      <c r="I8" s="1245">
        <v>0</v>
      </c>
      <c r="J8" s="1245">
        <v>0</v>
      </c>
      <c r="K8" s="1245">
        <v>0</v>
      </c>
      <c r="L8" s="1245">
        <v>0</v>
      </c>
      <c r="M8" s="1245">
        <v>0</v>
      </c>
      <c r="N8" s="1245">
        <v>0</v>
      </c>
      <c r="O8" s="1245">
        <v>0</v>
      </c>
      <c r="P8" s="729">
        <f>+SUM(C8:O8)/13</f>
        <v>0</v>
      </c>
    </row>
    <row r="9" spans="1:16">
      <c r="A9" s="1759">
        <f t="shared" ref="A9:A15" si="0">+A8+1</f>
        <v>3</v>
      </c>
      <c r="B9" s="165" t="s">
        <v>186</v>
      </c>
      <c r="C9" s="1245">
        <v>0</v>
      </c>
      <c r="D9" s="1245">
        <v>0</v>
      </c>
      <c r="E9" s="1245">
        <v>0</v>
      </c>
      <c r="F9" s="1245">
        <v>0</v>
      </c>
      <c r="G9" s="1245">
        <v>0</v>
      </c>
      <c r="H9" s="1245">
        <v>0</v>
      </c>
      <c r="I9" s="1245">
        <v>0</v>
      </c>
      <c r="J9" s="1245">
        <v>0</v>
      </c>
      <c r="K9" s="1245">
        <v>0</v>
      </c>
      <c r="L9" s="1245">
        <v>0</v>
      </c>
      <c r="M9" s="1245">
        <v>0</v>
      </c>
      <c r="N9" s="1245">
        <v>0</v>
      </c>
      <c r="O9" s="1245">
        <v>0</v>
      </c>
      <c r="P9" s="729">
        <f t="shared" ref="P9:P14" si="1">+SUM(C9:O9)/13</f>
        <v>0</v>
      </c>
    </row>
    <row r="10" spans="1:16">
      <c r="A10" s="1759">
        <f t="shared" si="0"/>
        <v>4</v>
      </c>
      <c r="B10" s="165" t="s">
        <v>187</v>
      </c>
      <c r="C10" s="1245">
        <v>0</v>
      </c>
      <c r="D10" s="1245">
        <v>0</v>
      </c>
      <c r="E10" s="1245">
        <v>0</v>
      </c>
      <c r="F10" s="1245">
        <v>0</v>
      </c>
      <c r="G10" s="1245">
        <v>0</v>
      </c>
      <c r="H10" s="1245">
        <v>0</v>
      </c>
      <c r="I10" s="1245">
        <v>0</v>
      </c>
      <c r="J10" s="1245">
        <v>0</v>
      </c>
      <c r="K10" s="1245">
        <v>0</v>
      </c>
      <c r="L10" s="1245">
        <v>0</v>
      </c>
      <c r="M10" s="1245">
        <v>0</v>
      </c>
      <c r="N10" s="1245">
        <v>0</v>
      </c>
      <c r="O10" s="1245">
        <v>0</v>
      </c>
      <c r="P10" s="729">
        <f t="shared" si="1"/>
        <v>0</v>
      </c>
    </row>
    <row r="11" spans="1:16">
      <c r="A11" s="1759">
        <f t="shared" si="0"/>
        <v>5</v>
      </c>
      <c r="B11" s="164" t="s">
        <v>135</v>
      </c>
      <c r="C11" s="1245">
        <v>2404681.41</v>
      </c>
      <c r="D11" s="1245">
        <v>2404681.41</v>
      </c>
      <c r="E11" s="1245">
        <v>2404681.41</v>
      </c>
      <c r="F11" s="1245">
        <v>2404681.41</v>
      </c>
      <c r="G11" s="1245">
        <v>2404681.41</v>
      </c>
      <c r="H11" s="1245">
        <v>2404681.41</v>
      </c>
      <c r="I11" s="1245">
        <v>2404681.41</v>
      </c>
      <c r="J11" s="1245">
        <v>2404681.41</v>
      </c>
      <c r="K11" s="1245">
        <v>2404681.41</v>
      </c>
      <c r="L11" s="1245">
        <v>2404681.41</v>
      </c>
      <c r="M11" s="1245">
        <v>2404681.41</v>
      </c>
      <c r="N11" s="1245">
        <v>2404681.41</v>
      </c>
      <c r="O11" s="1245">
        <v>2404681.41</v>
      </c>
      <c r="P11" s="1304">
        <f t="shared" si="1"/>
        <v>2404681.41</v>
      </c>
    </row>
    <row r="12" spans="1:16">
      <c r="A12" s="1759">
        <f t="shared" si="0"/>
        <v>6</v>
      </c>
      <c r="B12" s="164" t="s">
        <v>20</v>
      </c>
      <c r="C12" s="1245">
        <v>108040.54</v>
      </c>
      <c r="D12" s="1245">
        <v>108040.54</v>
      </c>
      <c r="E12" s="1245">
        <v>108040.54</v>
      </c>
      <c r="F12" s="1245">
        <v>108040.54</v>
      </c>
      <c r="G12" s="1245">
        <v>108040.54</v>
      </c>
      <c r="H12" s="1245">
        <v>108040.54</v>
      </c>
      <c r="I12" s="1245">
        <v>108040.54</v>
      </c>
      <c r="J12" s="1245">
        <v>108040.54</v>
      </c>
      <c r="K12" s="1245">
        <v>108040.54</v>
      </c>
      <c r="L12" s="1245">
        <v>108040.54</v>
      </c>
      <c r="M12" s="1245">
        <v>108040.54</v>
      </c>
      <c r="N12" s="1245">
        <v>108040.54</v>
      </c>
      <c r="O12" s="1245">
        <v>108040.54</v>
      </c>
      <c r="P12" s="729">
        <f t="shared" si="1"/>
        <v>108040.54000000002</v>
      </c>
    </row>
    <row r="13" spans="1:16">
      <c r="A13" s="1759">
        <f t="shared" si="0"/>
        <v>7</v>
      </c>
      <c r="B13" s="164" t="s">
        <v>188</v>
      </c>
      <c r="C13" s="1245">
        <v>0</v>
      </c>
      <c r="D13" s="1245">
        <v>0</v>
      </c>
      <c r="E13" s="1245">
        <v>0</v>
      </c>
      <c r="F13" s="1245">
        <v>0</v>
      </c>
      <c r="G13" s="1245">
        <v>0</v>
      </c>
      <c r="H13" s="1245">
        <v>0</v>
      </c>
      <c r="I13" s="1245">
        <v>0</v>
      </c>
      <c r="J13" s="1245">
        <v>0</v>
      </c>
      <c r="K13" s="1245">
        <v>0</v>
      </c>
      <c r="L13" s="1245">
        <v>0</v>
      </c>
      <c r="M13" s="1245">
        <v>0</v>
      </c>
      <c r="N13" s="1245">
        <v>0</v>
      </c>
      <c r="O13" s="1245">
        <v>0</v>
      </c>
      <c r="P13" s="729">
        <f t="shared" si="1"/>
        <v>0</v>
      </c>
    </row>
    <row r="14" spans="1:16">
      <c r="A14" s="1759">
        <f t="shared" si="0"/>
        <v>8</v>
      </c>
      <c r="B14" s="164" t="s">
        <v>189</v>
      </c>
      <c r="C14" s="1350">
        <v>0</v>
      </c>
      <c r="D14" s="1350">
        <v>0</v>
      </c>
      <c r="E14" s="1350">
        <v>0</v>
      </c>
      <c r="F14" s="1350">
        <v>0</v>
      </c>
      <c r="G14" s="1350">
        <v>0</v>
      </c>
      <c r="H14" s="1350">
        <v>0</v>
      </c>
      <c r="I14" s="1350">
        <v>0</v>
      </c>
      <c r="J14" s="1350">
        <v>0</v>
      </c>
      <c r="K14" s="1350">
        <v>0</v>
      </c>
      <c r="L14" s="1350">
        <v>0</v>
      </c>
      <c r="M14" s="1350">
        <v>0</v>
      </c>
      <c r="N14" s="1350">
        <v>0</v>
      </c>
      <c r="O14" s="1350">
        <v>0</v>
      </c>
      <c r="P14" s="1374">
        <f t="shared" si="1"/>
        <v>0</v>
      </c>
    </row>
    <row r="15" spans="1:16">
      <c r="A15" s="1759">
        <f t="shared" si="0"/>
        <v>9</v>
      </c>
      <c r="B15" s="164" t="s">
        <v>460</v>
      </c>
      <c r="C15" s="517">
        <f>SUM(C8:C14)</f>
        <v>2512721.9500000002</v>
      </c>
      <c r="D15" s="517">
        <f t="shared" ref="D15:O15" si="2">SUM(D8:D14)</f>
        <v>2512721.9500000002</v>
      </c>
      <c r="E15" s="517">
        <f t="shared" si="2"/>
        <v>2512721.9500000002</v>
      </c>
      <c r="F15" s="517">
        <f t="shared" si="2"/>
        <v>2512721.9500000002</v>
      </c>
      <c r="G15" s="517">
        <f t="shared" si="2"/>
        <v>2512721.9500000002</v>
      </c>
      <c r="H15" s="517">
        <f t="shared" si="2"/>
        <v>2512721.9500000002</v>
      </c>
      <c r="I15" s="517">
        <f t="shared" si="2"/>
        <v>2512721.9500000002</v>
      </c>
      <c r="J15" s="517">
        <f t="shared" si="2"/>
        <v>2512721.9500000002</v>
      </c>
      <c r="K15" s="517">
        <f t="shared" si="2"/>
        <v>2512721.9500000002</v>
      </c>
      <c r="L15" s="517">
        <f t="shared" si="2"/>
        <v>2512721.9500000002</v>
      </c>
      <c r="M15" s="517">
        <f t="shared" si="2"/>
        <v>2512721.9500000002</v>
      </c>
      <c r="N15" s="517">
        <f t="shared" si="2"/>
        <v>2512721.9500000002</v>
      </c>
      <c r="O15" s="517">
        <f t="shared" si="2"/>
        <v>2512721.9500000002</v>
      </c>
      <c r="P15" s="729">
        <f>SUM(P8:P14)</f>
        <v>2512721.9500000002</v>
      </c>
    </row>
    <row r="16" spans="1:16">
      <c r="A16" s="1759"/>
      <c r="B16" s="164"/>
      <c r="C16" s="1760" t="s">
        <v>167</v>
      </c>
      <c r="D16" s="517"/>
      <c r="E16" s="517"/>
      <c r="F16" s="517"/>
      <c r="G16" s="517"/>
      <c r="H16" s="517"/>
      <c r="I16" s="517"/>
      <c r="J16" s="742"/>
      <c r="K16" s="742"/>
      <c r="L16" s="742"/>
      <c r="M16" s="742"/>
      <c r="N16" s="742"/>
      <c r="O16" s="869" t="s">
        <v>167</v>
      </c>
    </row>
    <row r="17" spans="1:9">
      <c r="A17" s="164" t="s">
        <v>190</v>
      </c>
      <c r="B17" s="1758"/>
      <c r="C17" s="164"/>
      <c r="D17" s="164"/>
      <c r="E17" s="164"/>
      <c r="F17" s="164"/>
      <c r="G17" s="164"/>
      <c r="H17" s="164"/>
      <c r="I17" s="164"/>
    </row>
    <row r="18" spans="1:9">
      <c r="A18" s="1761" t="s">
        <v>167</v>
      </c>
      <c r="B18" s="165" t="s">
        <v>565</v>
      </c>
      <c r="C18" s="164"/>
      <c r="D18" s="164"/>
      <c r="E18" s="164"/>
      <c r="F18" s="164"/>
      <c r="G18" s="164"/>
      <c r="H18" s="164"/>
      <c r="I18" s="164"/>
    </row>
    <row r="19" spans="1:9">
      <c r="A19" s="1758"/>
      <c r="B19" s="1758"/>
      <c r="C19" s="1758"/>
      <c r="D19" s="1758"/>
      <c r="E19" s="1758"/>
    </row>
    <row r="20" spans="1:9">
      <c r="A20" s="1758"/>
      <c r="B20" s="1758"/>
      <c r="C20" s="1758"/>
      <c r="D20" s="1758"/>
      <c r="E20" s="1758"/>
    </row>
    <row r="21" spans="1:9">
      <c r="A21" s="1758"/>
      <c r="B21" s="1758"/>
      <c r="C21" s="1758"/>
      <c r="D21" s="1758"/>
      <c r="E21" s="1758"/>
    </row>
    <row r="22" spans="1:9">
      <c r="A22" s="1758"/>
      <c r="B22" s="1758"/>
      <c r="C22" s="1758"/>
      <c r="D22" s="1758"/>
      <c r="E22" s="1758"/>
    </row>
    <row r="23" spans="1:9">
      <c r="A23" s="1758"/>
      <c r="B23" s="1758"/>
      <c r="C23" s="1758"/>
      <c r="D23" s="1758"/>
      <c r="E23" s="1758"/>
    </row>
    <row r="24" spans="1:9">
      <c r="A24" s="1758"/>
      <c r="B24" s="1758"/>
      <c r="C24" s="1758"/>
      <c r="D24" s="1758"/>
      <c r="E24" s="1758"/>
    </row>
    <row r="25" spans="1:9">
      <c r="A25" s="1758"/>
      <c r="B25" s="1758"/>
      <c r="C25" s="1758"/>
      <c r="D25" s="1758"/>
      <c r="E25" s="1758"/>
    </row>
    <row r="26" spans="1:9">
      <c r="A26" s="1758"/>
      <c r="B26" s="1758"/>
      <c r="C26" s="1758"/>
      <c r="D26" s="1758"/>
      <c r="E26" s="1758"/>
    </row>
    <row r="27" spans="1:9">
      <c r="A27" s="1758"/>
      <c r="B27" s="1758"/>
      <c r="C27" s="1758"/>
      <c r="D27" s="1758"/>
      <c r="E27" s="1758"/>
    </row>
    <row r="28" spans="1:9">
      <c r="A28" s="1758"/>
      <c r="B28" s="1758"/>
      <c r="C28" s="1758"/>
      <c r="D28" s="1758"/>
      <c r="E28" s="1758"/>
    </row>
    <row r="29" spans="1:9">
      <c r="A29" s="1758"/>
      <c r="B29" s="1758"/>
      <c r="C29" s="1758"/>
      <c r="D29" s="1758"/>
      <c r="E29" s="1758"/>
    </row>
    <row r="30" spans="1:9">
      <c r="A30" s="1758"/>
      <c r="B30" s="1758"/>
      <c r="C30" s="1758"/>
      <c r="D30" s="1758"/>
      <c r="E30" s="1758"/>
    </row>
    <row r="213" spans="7:7">
      <c r="G213" s="1681"/>
    </row>
  </sheetData>
  <mergeCells count="4">
    <mergeCell ref="B4:O4"/>
    <mergeCell ref="A1:P1"/>
    <mergeCell ref="A3:P3"/>
    <mergeCell ref="A2:P2"/>
  </mergeCells>
  <phoneticPr fontId="104" type="noConversion"/>
  <printOptions horizontalCentered="1"/>
  <pageMargins left="0.7" right="0.7" top="0.7" bottom="0.7" header="0.3" footer="0.5"/>
  <pageSetup scale="75" orientation="landscape"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zoomScaleNormal="100" zoomScaleSheetLayoutView="100" workbookViewId="0">
      <selection sqref="A1:D1"/>
    </sheetView>
  </sheetViews>
  <sheetFormatPr defaultColWidth="8.88671875" defaultRowHeight="13.2"/>
  <cols>
    <col min="1" max="1" width="15.5546875" style="2128" customWidth="1"/>
    <col min="2" max="2" width="0.5546875" style="2128" customWidth="1"/>
    <col min="3" max="3" width="80.77734375" style="2128" customWidth="1"/>
    <col min="4" max="4" width="2.44140625" style="2128" customWidth="1"/>
    <col min="5" max="16384" width="8.88671875" style="2128"/>
  </cols>
  <sheetData>
    <row r="1" spans="1:8">
      <c r="A1" s="2281" t="s">
        <v>958</v>
      </c>
      <c r="B1" s="2281"/>
      <c r="C1" s="2281"/>
      <c r="D1" s="2281"/>
    </row>
    <row r="2" spans="1:8">
      <c r="A2" s="2281" t="s">
        <v>2259</v>
      </c>
      <c r="B2" s="2281"/>
      <c r="C2" s="2281"/>
      <c r="D2" s="2281"/>
    </row>
    <row r="3" spans="1:8">
      <c r="A3" s="2282" t="s">
        <v>2260</v>
      </c>
      <c r="B3" s="2282"/>
      <c r="C3" s="2282"/>
      <c r="D3" s="2282"/>
    </row>
    <row r="4" spans="1:8">
      <c r="A4" s="2282" t="s">
        <v>2043</v>
      </c>
      <c r="B4" s="2282"/>
      <c r="C4" s="2282"/>
      <c r="D4" s="2282"/>
    </row>
    <row r="6" spans="1:8">
      <c r="A6" s="2264" t="s">
        <v>139</v>
      </c>
      <c r="B6" s="2265"/>
      <c r="C6" s="2264" t="s">
        <v>112</v>
      </c>
      <c r="D6" s="2265"/>
    </row>
    <row r="8" spans="1:8" ht="66">
      <c r="A8" s="2128" t="s">
        <v>2261</v>
      </c>
      <c r="C8" s="1838" t="s">
        <v>2291</v>
      </c>
      <c r="E8" s="2266"/>
      <c r="F8" s="2231"/>
      <c r="G8" s="2266"/>
      <c r="H8" s="2266"/>
    </row>
    <row r="9" spans="1:8" ht="15">
      <c r="C9" s="1838"/>
      <c r="E9" s="2266"/>
      <c r="F9" s="2231"/>
      <c r="G9" s="2266"/>
      <c r="H9" s="2266"/>
    </row>
    <row r="10" spans="1:8" ht="15">
      <c r="A10" s="2128" t="s">
        <v>2292</v>
      </c>
      <c r="C10" s="1838" t="s">
        <v>2293</v>
      </c>
      <c r="E10" s="2266"/>
      <c r="F10" s="2231"/>
      <c r="G10" s="2266"/>
      <c r="H10" s="2266"/>
    </row>
    <row r="11" spans="1:8" ht="25.8" customHeight="1">
      <c r="C11" s="2267" t="s">
        <v>2294</v>
      </c>
      <c r="E11" s="2266"/>
      <c r="F11" s="2231"/>
      <c r="G11" s="2266"/>
      <c r="H11" s="2266"/>
    </row>
    <row r="12" spans="1:8" ht="26.4">
      <c r="C12" s="2268" t="s">
        <v>2295</v>
      </c>
      <c r="E12" s="2266"/>
      <c r="F12" s="2231"/>
      <c r="G12" s="2266"/>
      <c r="H12" s="2266"/>
    </row>
    <row r="13" spans="1:8" ht="15">
      <c r="E13" s="2269"/>
      <c r="F13" s="2231"/>
      <c r="G13" s="2266"/>
      <c r="H13" s="2266"/>
    </row>
    <row r="14" spans="1:8" ht="26.4">
      <c r="A14" s="2128" t="s">
        <v>1933</v>
      </c>
      <c r="C14" s="2270" t="s">
        <v>2296</v>
      </c>
      <c r="E14" s="2269"/>
      <c r="F14" s="169"/>
      <c r="G14" s="169"/>
      <c r="H14" s="2266"/>
    </row>
    <row r="15" spans="1:8" ht="57" customHeight="1">
      <c r="C15" s="2268" t="s">
        <v>2297</v>
      </c>
      <c r="E15" s="2269"/>
      <c r="F15" s="169"/>
      <c r="G15" s="169"/>
      <c r="H15" s="2266"/>
    </row>
    <row r="16" spans="1:8" ht="111.6" customHeight="1">
      <c r="C16" s="2271" t="s">
        <v>2298</v>
      </c>
      <c r="E16" s="2269"/>
      <c r="F16" s="169"/>
      <c r="G16" s="169"/>
      <c r="H16" s="2266"/>
    </row>
    <row r="17" spans="1:8" ht="94.8" customHeight="1">
      <c r="C17" s="2268" t="s">
        <v>2299</v>
      </c>
      <c r="E17" s="2269"/>
      <c r="F17" s="169"/>
      <c r="G17" s="169"/>
      <c r="H17" s="2266"/>
    </row>
    <row r="18" spans="1:8" ht="95.4" customHeight="1">
      <c r="C18" s="2271" t="s">
        <v>2300</v>
      </c>
      <c r="E18" s="2269"/>
      <c r="F18" s="169"/>
      <c r="G18" s="169"/>
      <c r="H18" s="2266"/>
    </row>
    <row r="19" spans="1:8" ht="68.400000000000006" customHeight="1">
      <c r="C19" s="2271" t="s">
        <v>2301</v>
      </c>
      <c r="E19" s="2269"/>
      <c r="F19" s="169"/>
      <c r="G19" s="169"/>
      <c r="H19" s="2266"/>
    </row>
    <row r="20" spans="1:8" ht="55.8" customHeight="1">
      <c r="C20" s="2268" t="s">
        <v>2302</v>
      </c>
      <c r="E20" s="2269"/>
      <c r="F20" s="169"/>
      <c r="G20" s="169"/>
      <c r="H20" s="2266"/>
    </row>
    <row r="21" spans="1:8" ht="13.8">
      <c r="E21" s="2269"/>
      <c r="F21" s="169"/>
      <c r="G21" s="169"/>
      <c r="H21" s="2266"/>
    </row>
    <row r="22" spans="1:8" ht="120" customHeight="1">
      <c r="A22" s="2128" t="s">
        <v>2262</v>
      </c>
      <c r="C22" s="2263" t="s">
        <v>2303</v>
      </c>
      <c r="E22" s="2269"/>
      <c r="F22" s="169"/>
      <c r="G22" s="169"/>
      <c r="H22" s="2266"/>
    </row>
    <row r="23" spans="1:8" ht="13.8">
      <c r="E23" s="2269"/>
      <c r="F23" s="169"/>
      <c r="G23" s="169"/>
      <c r="H23" s="2266"/>
    </row>
    <row r="24" spans="1:8" ht="26.4">
      <c r="A24" s="2128" t="s">
        <v>2288</v>
      </c>
      <c r="C24" s="2270" t="s">
        <v>2304</v>
      </c>
      <c r="E24" s="2269"/>
      <c r="F24" s="2231"/>
      <c r="G24" s="2266"/>
      <c r="H24" s="2266"/>
    </row>
    <row r="25" spans="1:8" ht="15">
      <c r="C25" s="2272" t="s">
        <v>2305</v>
      </c>
      <c r="E25" s="2269"/>
      <c r="F25" s="2231"/>
      <c r="G25" s="2266"/>
      <c r="H25" s="2266"/>
    </row>
    <row r="26" spans="1:8" ht="26.4">
      <c r="C26" s="2271" t="s">
        <v>2306</v>
      </c>
      <c r="E26" s="2269"/>
      <c r="F26" s="2231"/>
      <c r="G26" s="2266"/>
      <c r="H26" s="2266"/>
    </row>
    <row r="27" spans="1:8" ht="39.6">
      <c r="C27" s="2271" t="s">
        <v>2307</v>
      </c>
      <c r="E27" s="2269"/>
      <c r="F27" s="2231"/>
      <c r="G27" s="2266"/>
      <c r="H27" s="2266"/>
    </row>
    <row r="28" spans="1:8">
      <c r="E28" s="2266"/>
      <c r="F28" s="2266"/>
      <c r="G28" s="2266"/>
      <c r="H28" s="2266"/>
    </row>
  </sheetData>
  <mergeCells count="4">
    <mergeCell ref="A1:D1"/>
    <mergeCell ref="A2:D2"/>
    <mergeCell ref="A3:D3"/>
    <mergeCell ref="A4:D4"/>
  </mergeCells>
  <pageMargins left="0.5" right="0.5" top="0.5" bottom="0.5" header="0.3" footer="0.3"/>
  <pageSetup scale="95" orientation="portrait" r:id="rId1"/>
  <headerFoot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213"/>
  <sheetViews>
    <sheetView zoomScaleNormal="100" workbookViewId="0">
      <selection activeCell="L6" sqref="L6"/>
    </sheetView>
  </sheetViews>
  <sheetFormatPr defaultColWidth="8.88671875" defaultRowHeight="13.2"/>
  <cols>
    <col min="1" max="1" width="4.44140625" style="685" customWidth="1"/>
    <col min="2" max="2" width="60.6640625" style="161" customWidth="1"/>
    <col min="3" max="5" width="18.6640625" style="161" customWidth="1"/>
    <col min="6" max="7" width="8.88671875" style="161"/>
    <col min="8" max="8" width="10.88671875" style="161" bestFit="1" customWidth="1"/>
    <col min="9" max="16384" width="8.88671875" style="161"/>
  </cols>
  <sheetData>
    <row r="1" spans="1:8">
      <c r="A1" s="2390" t="str">
        <f>+'MISO Cover'!C6</f>
        <v>Entergy Louisiana, LLC</v>
      </c>
      <c r="B1" s="2390"/>
      <c r="C1" s="2390"/>
      <c r="D1" s="2390"/>
      <c r="E1" s="2390"/>
      <c r="F1" s="780"/>
      <c r="H1" s="781"/>
    </row>
    <row r="2" spans="1:8">
      <c r="A2" s="2327" t="s">
        <v>938</v>
      </c>
      <c r="B2" s="2327"/>
      <c r="C2" s="2327"/>
      <c r="D2" s="2327"/>
      <c r="E2" s="2327"/>
      <c r="F2" s="583"/>
    </row>
    <row r="3" spans="1:8">
      <c r="A3" s="2390" t="str">
        <f>+'MISO Cover'!K4</f>
        <v>For  the 12 Months Ended 12/31/2017</v>
      </c>
      <c r="B3" s="2390"/>
      <c r="C3" s="2390"/>
      <c r="D3" s="2390"/>
      <c r="E3" s="2390"/>
      <c r="F3" s="782"/>
    </row>
    <row r="4" spans="1:8">
      <c r="A4" s="1756"/>
    </row>
    <row r="5" spans="1:8">
      <c r="A5" s="1590"/>
      <c r="B5" s="783"/>
      <c r="E5" s="721" t="s">
        <v>668</v>
      </c>
    </row>
    <row r="6" spans="1:8">
      <c r="A6" s="1757" t="s">
        <v>280</v>
      </c>
      <c r="B6" s="1588" t="s">
        <v>67</v>
      </c>
      <c r="C6" s="1718" t="s">
        <v>114</v>
      </c>
      <c r="D6" s="1718" t="s">
        <v>55</v>
      </c>
      <c r="E6" s="1718" t="s">
        <v>876</v>
      </c>
    </row>
    <row r="7" spans="1:8">
      <c r="A7" s="1719">
        <v>1</v>
      </c>
      <c r="B7" s="1083" t="s">
        <v>171</v>
      </c>
      <c r="C7" s="1083" t="s">
        <v>873</v>
      </c>
      <c r="D7" s="1083" t="s">
        <v>829</v>
      </c>
      <c r="E7" s="1083" t="s">
        <v>485</v>
      </c>
      <c r="H7" s="784"/>
    </row>
    <row r="8" spans="1:8" s="163" customFormat="1">
      <c r="A8" s="1415">
        <f>+A7+0.01</f>
        <v>1.01</v>
      </c>
      <c r="B8" s="584" t="s">
        <v>172</v>
      </c>
      <c r="C8" s="905">
        <v>0</v>
      </c>
      <c r="D8" s="905">
        <v>0</v>
      </c>
      <c r="E8" s="957">
        <f>+C8+D8</f>
        <v>0</v>
      </c>
      <c r="F8" s="587"/>
      <c r="H8" s="610"/>
    </row>
    <row r="9" spans="1:8" s="1169" customFormat="1">
      <c r="A9" s="1415">
        <f t="shared" ref="A9:A26" si="0">+A8+0.01</f>
        <v>1.02</v>
      </c>
      <c r="B9" s="584" t="s">
        <v>912</v>
      </c>
      <c r="C9" s="905">
        <v>0</v>
      </c>
      <c r="D9" s="905">
        <v>0</v>
      </c>
      <c r="E9" s="957">
        <f t="shared" ref="E9:E15" si="1">+C9+D9</f>
        <v>0</v>
      </c>
      <c r="F9" s="587"/>
      <c r="H9" s="610"/>
    </row>
    <row r="10" spans="1:8" s="1169" customFormat="1">
      <c r="A10" s="1415">
        <f t="shared" si="0"/>
        <v>1.03</v>
      </c>
      <c r="B10" s="584" t="s">
        <v>901</v>
      </c>
      <c r="C10" s="905">
        <v>0</v>
      </c>
      <c r="D10" s="905">
        <v>0</v>
      </c>
      <c r="E10" s="957">
        <f t="shared" si="1"/>
        <v>0</v>
      </c>
      <c r="F10" s="587"/>
      <c r="H10" s="610"/>
    </row>
    <row r="11" spans="1:8" s="1169" customFormat="1">
      <c r="A11" s="1415">
        <f t="shared" si="0"/>
        <v>1.04</v>
      </c>
      <c r="B11" s="584" t="s">
        <v>903</v>
      </c>
      <c r="C11" s="905">
        <v>0</v>
      </c>
      <c r="D11" s="905">
        <v>0</v>
      </c>
      <c r="E11" s="957">
        <f t="shared" si="1"/>
        <v>0</v>
      </c>
      <c r="F11" s="587"/>
      <c r="H11" s="610"/>
    </row>
    <row r="12" spans="1:8" s="1169" customFormat="1">
      <c r="A12" s="1415">
        <f t="shared" si="0"/>
        <v>1.05</v>
      </c>
      <c r="B12" s="584" t="s">
        <v>902</v>
      </c>
      <c r="C12" s="905">
        <v>0</v>
      </c>
      <c r="D12" s="905">
        <v>0</v>
      </c>
      <c r="E12" s="957">
        <f t="shared" si="1"/>
        <v>0</v>
      </c>
      <c r="F12" s="587"/>
      <c r="H12" s="610"/>
    </row>
    <row r="13" spans="1:8" s="1169" customFormat="1">
      <c r="A13" s="1415">
        <f t="shared" si="0"/>
        <v>1.06</v>
      </c>
      <c r="B13" s="584" t="s">
        <v>913</v>
      </c>
      <c r="C13" s="905">
        <v>0</v>
      </c>
      <c r="D13" s="905">
        <v>0</v>
      </c>
      <c r="E13" s="957">
        <f t="shared" si="1"/>
        <v>0</v>
      </c>
      <c r="F13" s="587"/>
      <c r="H13" s="610"/>
    </row>
    <row r="14" spans="1:8" s="162" customFormat="1">
      <c r="A14" s="1415">
        <f t="shared" si="0"/>
        <v>1.07</v>
      </c>
      <c r="B14" s="584" t="s">
        <v>904</v>
      </c>
      <c r="C14" s="905">
        <v>0</v>
      </c>
      <c r="D14" s="905">
        <v>0</v>
      </c>
      <c r="E14" s="957">
        <f t="shared" si="1"/>
        <v>0</v>
      </c>
      <c r="F14" s="585"/>
      <c r="G14" s="1169"/>
    </row>
    <row r="15" spans="1:8" s="162" customFormat="1">
      <c r="A15" s="1415">
        <f t="shared" si="0"/>
        <v>1.08</v>
      </c>
      <c r="B15" s="584" t="s">
        <v>905</v>
      </c>
      <c r="C15" s="905">
        <v>0</v>
      </c>
      <c r="D15" s="905">
        <v>0</v>
      </c>
      <c r="E15" s="957">
        <f t="shared" si="1"/>
        <v>0</v>
      </c>
      <c r="F15" s="585"/>
      <c r="G15" s="1169"/>
    </row>
    <row r="16" spans="1:8" s="162" customFormat="1">
      <c r="A16" s="1415">
        <f t="shared" si="0"/>
        <v>1.0900000000000001</v>
      </c>
      <c r="B16" s="584" t="s">
        <v>907</v>
      </c>
      <c r="C16" s="905">
        <v>688694.4060166456</v>
      </c>
      <c r="D16" s="905">
        <v>263861.55028620362</v>
      </c>
      <c r="E16" s="957">
        <f t="shared" ref="E16:E38" si="2">+C16+D16</f>
        <v>952555.95630284923</v>
      </c>
      <c r="F16" s="585"/>
      <c r="G16" s="1169"/>
      <c r="H16" s="161"/>
    </row>
    <row r="17" spans="1:8" s="162" customFormat="1">
      <c r="A17" s="1415">
        <f t="shared" si="0"/>
        <v>1.1000000000000001</v>
      </c>
      <c r="B17" s="584" t="s">
        <v>906</v>
      </c>
      <c r="C17" s="905">
        <v>0</v>
      </c>
      <c r="D17" s="905">
        <v>0</v>
      </c>
      <c r="E17" s="957">
        <f t="shared" si="2"/>
        <v>0</v>
      </c>
      <c r="F17" s="585"/>
      <c r="G17" s="1169"/>
      <c r="H17" s="161"/>
    </row>
    <row r="18" spans="1:8" s="162" customFormat="1">
      <c r="A18" s="1415">
        <f t="shared" si="0"/>
        <v>1.1100000000000001</v>
      </c>
      <c r="B18" s="584" t="s">
        <v>173</v>
      </c>
      <c r="C18" s="905">
        <v>0</v>
      </c>
      <c r="D18" s="905">
        <v>0</v>
      </c>
      <c r="E18" s="957">
        <f t="shared" si="2"/>
        <v>0</v>
      </c>
      <c r="F18" s="585"/>
      <c r="G18" s="1169"/>
    </row>
    <row r="19" spans="1:8" s="162" customFormat="1">
      <c r="A19" s="1415">
        <f t="shared" si="0"/>
        <v>1.1200000000000001</v>
      </c>
      <c r="B19" s="584" t="s">
        <v>908</v>
      </c>
      <c r="C19" s="905">
        <v>0</v>
      </c>
      <c r="D19" s="905">
        <v>0</v>
      </c>
      <c r="E19" s="957">
        <f t="shared" si="2"/>
        <v>0</v>
      </c>
      <c r="F19" s="585"/>
      <c r="G19" s="1169"/>
    </row>
    <row r="20" spans="1:8" s="162" customFormat="1">
      <c r="A20" s="1415">
        <f t="shared" si="0"/>
        <v>1.1300000000000001</v>
      </c>
      <c r="B20" s="584" t="s">
        <v>909</v>
      </c>
      <c r="C20" s="905">
        <v>0</v>
      </c>
      <c r="D20" s="905">
        <v>0</v>
      </c>
      <c r="E20" s="957">
        <f t="shared" si="2"/>
        <v>0</v>
      </c>
      <c r="F20" s="585"/>
      <c r="G20" s="1169"/>
    </row>
    <row r="21" spans="1:8" s="162" customFormat="1">
      <c r="A21" s="1415">
        <f t="shared" si="0"/>
        <v>1.1400000000000001</v>
      </c>
      <c r="B21" s="584" t="s">
        <v>918</v>
      </c>
      <c r="C21" s="905">
        <v>0</v>
      </c>
      <c r="D21" s="905">
        <v>0</v>
      </c>
      <c r="E21" s="957">
        <f t="shared" si="2"/>
        <v>0</v>
      </c>
      <c r="F21" s="585"/>
      <c r="G21" s="1169"/>
    </row>
    <row r="22" spans="1:8" s="162" customFormat="1">
      <c r="A22" s="1415">
        <f t="shared" si="0"/>
        <v>1.1500000000000001</v>
      </c>
      <c r="B22" s="584" t="s">
        <v>174</v>
      </c>
      <c r="C22" s="905">
        <v>0</v>
      </c>
      <c r="D22" s="905">
        <v>0</v>
      </c>
      <c r="E22" s="957">
        <f t="shared" si="2"/>
        <v>0</v>
      </c>
      <c r="F22" s="585"/>
      <c r="G22" s="1169"/>
    </row>
    <row r="23" spans="1:8" s="162" customFormat="1">
      <c r="A23" s="1415">
        <f t="shared" si="0"/>
        <v>1.1600000000000001</v>
      </c>
      <c r="B23" s="584" t="s">
        <v>916</v>
      </c>
      <c r="C23" s="905">
        <v>0</v>
      </c>
      <c r="D23" s="905">
        <v>0</v>
      </c>
      <c r="E23" s="957">
        <f t="shared" ref="E23" si="3">+C23+D23</f>
        <v>0</v>
      </c>
      <c r="F23" s="585"/>
      <c r="G23" s="1169"/>
    </row>
    <row r="24" spans="1:8" s="162" customFormat="1">
      <c r="A24" s="1415">
        <f t="shared" si="0"/>
        <v>1.1700000000000002</v>
      </c>
      <c r="B24" s="584" t="s">
        <v>917</v>
      </c>
      <c r="C24" s="905">
        <v>0</v>
      </c>
      <c r="D24" s="905">
        <v>0</v>
      </c>
      <c r="E24" s="957">
        <f t="shared" si="2"/>
        <v>0</v>
      </c>
      <c r="F24" s="585"/>
      <c r="G24" s="1169"/>
    </row>
    <row r="25" spans="1:8" s="162" customFormat="1">
      <c r="A25" s="1415">
        <f t="shared" si="0"/>
        <v>1.1800000000000002</v>
      </c>
      <c r="B25" s="584" t="s">
        <v>914</v>
      </c>
      <c r="C25" s="905">
        <v>0</v>
      </c>
      <c r="D25" s="905">
        <v>0</v>
      </c>
      <c r="E25" s="957">
        <f t="shared" si="2"/>
        <v>0</v>
      </c>
      <c r="F25" s="585"/>
      <c r="G25" s="1169"/>
    </row>
    <row r="26" spans="1:8" s="162" customFormat="1">
      <c r="A26" s="1415">
        <f t="shared" si="0"/>
        <v>1.1900000000000002</v>
      </c>
      <c r="B26" s="584" t="s">
        <v>177</v>
      </c>
      <c r="C26" s="905">
        <v>0</v>
      </c>
      <c r="D26" s="905">
        <v>0</v>
      </c>
      <c r="E26" s="957">
        <f t="shared" si="2"/>
        <v>0</v>
      </c>
      <c r="F26" s="585"/>
      <c r="G26" s="1169"/>
    </row>
    <row r="27" spans="1:8" s="162" customFormat="1">
      <c r="A27" s="1415">
        <f t="shared" ref="A27:A36" si="4">+A26+0.01</f>
        <v>1.2000000000000002</v>
      </c>
      <c r="B27" s="584" t="s">
        <v>178</v>
      </c>
      <c r="C27" s="905">
        <v>0</v>
      </c>
      <c r="D27" s="905">
        <v>0</v>
      </c>
      <c r="E27" s="957">
        <f t="shared" si="2"/>
        <v>0</v>
      </c>
      <c r="F27" s="585"/>
      <c r="G27" s="1169"/>
    </row>
    <row r="28" spans="1:8" s="162" customFormat="1">
      <c r="A28" s="1415">
        <f t="shared" si="4"/>
        <v>1.2100000000000002</v>
      </c>
      <c r="B28" s="584" t="s">
        <v>179</v>
      </c>
      <c r="C28" s="905">
        <v>0</v>
      </c>
      <c r="D28" s="905">
        <v>0</v>
      </c>
      <c r="E28" s="957">
        <f t="shared" si="2"/>
        <v>0</v>
      </c>
      <c r="F28" s="585"/>
      <c r="G28" s="1169"/>
    </row>
    <row r="29" spans="1:8" s="162" customFormat="1">
      <c r="A29" s="1415">
        <f t="shared" si="4"/>
        <v>1.2200000000000002</v>
      </c>
      <c r="B29" s="584" t="s">
        <v>180</v>
      </c>
      <c r="C29" s="905">
        <v>0</v>
      </c>
      <c r="D29" s="905">
        <v>0</v>
      </c>
      <c r="E29" s="957">
        <f t="shared" si="2"/>
        <v>0</v>
      </c>
      <c r="F29" s="585"/>
      <c r="G29" s="1169"/>
    </row>
    <row r="30" spans="1:8" s="162" customFormat="1">
      <c r="A30" s="1415">
        <f t="shared" si="4"/>
        <v>1.2300000000000002</v>
      </c>
      <c r="B30" s="584" t="s">
        <v>181</v>
      </c>
      <c r="C30" s="905">
        <v>0</v>
      </c>
      <c r="D30" s="905">
        <v>0</v>
      </c>
      <c r="E30" s="957">
        <f t="shared" si="2"/>
        <v>0</v>
      </c>
      <c r="F30" s="585"/>
      <c r="G30" s="1169"/>
    </row>
    <row r="31" spans="1:8" s="162" customFormat="1">
      <c r="A31" s="829">
        <f t="shared" si="4"/>
        <v>1.2400000000000002</v>
      </c>
      <c r="B31" s="584" t="s">
        <v>182</v>
      </c>
      <c r="C31" s="905">
        <v>0</v>
      </c>
      <c r="D31" s="905">
        <v>0</v>
      </c>
      <c r="E31" s="957">
        <f t="shared" si="2"/>
        <v>0</v>
      </c>
      <c r="F31" s="585"/>
      <c r="G31" s="1169"/>
    </row>
    <row r="32" spans="1:8" s="162" customFormat="1">
      <c r="A32" s="829">
        <f t="shared" si="4"/>
        <v>1.2500000000000002</v>
      </c>
      <c r="B32" s="584" t="s">
        <v>294</v>
      </c>
      <c r="C32" s="905">
        <v>0</v>
      </c>
      <c r="D32" s="905">
        <v>0</v>
      </c>
      <c r="E32" s="957">
        <f t="shared" si="2"/>
        <v>0</v>
      </c>
      <c r="F32" s="585"/>
    </row>
    <row r="33" spans="1:8" s="162" customFormat="1">
      <c r="A33" s="829">
        <f t="shared" si="4"/>
        <v>1.2600000000000002</v>
      </c>
      <c r="B33" s="584" t="s">
        <v>183</v>
      </c>
      <c r="C33" s="905">
        <v>0</v>
      </c>
      <c r="D33" s="905">
        <v>0</v>
      </c>
      <c r="E33" s="957">
        <f t="shared" si="2"/>
        <v>0</v>
      </c>
      <c r="F33" s="585"/>
      <c r="H33" s="173"/>
    </row>
    <row r="34" spans="1:8" s="162" customFormat="1">
      <c r="A34" s="829">
        <f t="shared" si="4"/>
        <v>1.2700000000000002</v>
      </c>
      <c r="B34" s="584" t="s">
        <v>295</v>
      </c>
      <c r="C34" s="905">
        <v>0</v>
      </c>
      <c r="D34" s="905">
        <v>0</v>
      </c>
      <c r="E34" s="957">
        <f t="shared" si="2"/>
        <v>0</v>
      </c>
      <c r="F34" s="585"/>
      <c r="H34" s="174"/>
    </row>
    <row r="35" spans="1:8" s="162" customFormat="1">
      <c r="A35" s="829">
        <f t="shared" si="4"/>
        <v>1.2800000000000002</v>
      </c>
      <c r="B35" s="584" t="s">
        <v>184</v>
      </c>
      <c r="C35" s="905">
        <v>0</v>
      </c>
      <c r="D35" s="905">
        <v>0</v>
      </c>
      <c r="E35" s="957">
        <f t="shared" si="2"/>
        <v>0</v>
      </c>
      <c r="F35" s="585"/>
      <c r="H35" s="174"/>
    </row>
    <row r="36" spans="1:8" s="162" customFormat="1">
      <c r="A36" s="1214">
        <f t="shared" si="4"/>
        <v>1.2900000000000003</v>
      </c>
      <c r="B36" s="1215" t="s">
        <v>934</v>
      </c>
      <c r="C36" s="905"/>
      <c r="D36" s="905"/>
      <c r="E36" s="957"/>
      <c r="F36" s="585"/>
      <c r="H36" s="174"/>
    </row>
    <row r="37" spans="1:8" s="162" customFormat="1">
      <c r="A37" s="1214" t="s">
        <v>925</v>
      </c>
      <c r="B37" s="1215" t="s">
        <v>934</v>
      </c>
      <c r="C37" s="905"/>
      <c r="D37" s="905"/>
      <c r="E37" s="957"/>
      <c r="F37" s="585"/>
      <c r="H37" s="174"/>
    </row>
    <row r="38" spans="1:8" s="162" customFormat="1">
      <c r="A38" s="1214" t="s">
        <v>929</v>
      </c>
      <c r="B38" s="1216" t="s">
        <v>934</v>
      </c>
      <c r="C38" s="905"/>
      <c r="D38" s="905"/>
      <c r="E38" s="957">
        <f t="shared" si="2"/>
        <v>0</v>
      </c>
      <c r="F38" s="585"/>
    </row>
    <row r="39" spans="1:8" s="162" customFormat="1" ht="13.8" thickBot="1">
      <c r="A39" s="828">
        <f>+A7+1</f>
        <v>2</v>
      </c>
      <c r="B39" s="610" t="str">
        <f>+"Total Line "&amp;A7&amp;" Subparts"</f>
        <v>Total Line 1 Subparts</v>
      </c>
      <c r="C39" s="956">
        <f>SUM(C8:C38)</f>
        <v>688694.4060166456</v>
      </c>
      <c r="D39" s="956">
        <f>SUM(D8:D38)</f>
        <v>263861.55028620362</v>
      </c>
      <c r="E39" s="956">
        <f>SUM(E8:E38)</f>
        <v>952555.95630284923</v>
      </c>
      <c r="F39" s="585"/>
    </row>
    <row r="40" spans="1:8" s="162" customFormat="1" ht="13.8" thickTop="1">
      <c r="A40" s="828">
        <f>+A39+1</f>
        <v>3</v>
      </c>
      <c r="B40" s="584"/>
      <c r="C40" s="903"/>
      <c r="D40" s="903"/>
      <c r="E40" s="903"/>
      <c r="F40" s="585"/>
    </row>
    <row r="41" spans="1:8" s="581" customFormat="1">
      <c r="A41" s="852">
        <f t="shared" ref="A41:A46" si="5">A40+1</f>
        <v>4</v>
      </c>
      <c r="B41" s="772" t="s">
        <v>570</v>
      </c>
      <c r="C41" s="786"/>
      <c r="D41" s="786"/>
      <c r="E41" s="786"/>
      <c r="F41" s="773"/>
      <c r="G41" s="162"/>
    </row>
    <row r="42" spans="1:8" s="581" customFormat="1">
      <c r="A42" s="852">
        <f t="shared" si="5"/>
        <v>5</v>
      </c>
      <c r="B42" s="774" t="s">
        <v>667</v>
      </c>
      <c r="C42" s="786"/>
      <c r="D42" s="786"/>
      <c r="E42" s="786"/>
      <c r="F42" s="786"/>
      <c r="G42" s="786"/>
    </row>
    <row r="43" spans="1:8" s="581" customFormat="1" ht="15">
      <c r="A43" s="852">
        <f t="shared" si="5"/>
        <v>6</v>
      </c>
      <c r="B43" s="953" t="s">
        <v>513</v>
      </c>
      <c r="C43" s="954">
        <f>+C14</f>
        <v>0</v>
      </c>
      <c r="D43" s="954">
        <f>+D14</f>
        <v>0</v>
      </c>
      <c r="E43" s="954">
        <f>+E14</f>
        <v>0</v>
      </c>
      <c r="F43" s="638"/>
    </row>
    <row r="44" spans="1:8" s="581" customFormat="1">
      <c r="A44" s="852">
        <f t="shared" si="5"/>
        <v>7</v>
      </c>
      <c r="B44" s="955" t="str">
        <f>+"Total Account 561 Lines "&amp;A42&amp;" + "&amp;A43</f>
        <v>Total Account 561 Lines 5 + 6</v>
      </c>
      <c r="C44" s="786">
        <f>+C42+C43</f>
        <v>0</v>
      </c>
      <c r="D44" s="786">
        <f>+D42+D43</f>
        <v>0</v>
      </c>
      <c r="E44" s="786">
        <f>+E42+E43</f>
        <v>0</v>
      </c>
      <c r="F44" s="786"/>
    </row>
    <row r="45" spans="1:8" s="581" customFormat="1">
      <c r="A45" s="852">
        <f t="shared" si="5"/>
        <v>8</v>
      </c>
      <c r="B45" s="1071" t="s">
        <v>839</v>
      </c>
      <c r="C45" s="954">
        <f>+SUM(C8:C24)-C14</f>
        <v>688694.4060166456</v>
      </c>
      <c r="D45" s="954">
        <f>+SUM(D8:D24)-D14</f>
        <v>263861.55028620362</v>
      </c>
      <c r="E45" s="954">
        <f>+SUM(E8:E24)-E14</f>
        <v>952555.95630284923</v>
      </c>
      <c r="F45" s="806"/>
    </row>
    <row r="46" spans="1:8" s="581" customFormat="1">
      <c r="A46" s="852">
        <f t="shared" si="5"/>
        <v>9</v>
      </c>
      <c r="B46" s="772" t="str">
        <f>+"Total Transmission O&amp;M  ( Line "&amp;A44&amp;" + Line "&amp;A45&amp;")"</f>
        <v>Total Transmission O&amp;M  ( Line 7 + Line 8)</v>
      </c>
      <c r="C46" s="786">
        <f>+C44+C45</f>
        <v>688694.4060166456</v>
      </c>
      <c r="D46" s="786">
        <f>+D44+D45</f>
        <v>263861.55028620362</v>
      </c>
      <c r="E46" s="786">
        <f>+E44+E45</f>
        <v>952555.95630284923</v>
      </c>
      <c r="F46" s="786"/>
    </row>
    <row r="47" spans="1:8" s="162" customFormat="1">
      <c r="A47" s="852">
        <f>+A46+1</f>
        <v>10</v>
      </c>
      <c r="B47" s="584"/>
      <c r="C47" s="903"/>
      <c r="D47" s="903"/>
      <c r="E47" s="903"/>
      <c r="F47" s="270"/>
      <c r="G47" s="585"/>
    </row>
    <row r="48" spans="1:8" s="162" customFormat="1">
      <c r="A48" s="852">
        <f>+A47+1</f>
        <v>11</v>
      </c>
      <c r="B48" s="772" t="s">
        <v>51</v>
      </c>
      <c r="C48" s="786"/>
      <c r="D48" s="786"/>
      <c r="E48" s="786"/>
      <c r="F48" s="585"/>
    </row>
    <row r="49" spans="1:7" s="162" customFormat="1">
      <c r="A49" s="852">
        <f>+A48+1</f>
        <v>12</v>
      </c>
      <c r="B49" s="774" t="s">
        <v>690</v>
      </c>
      <c r="C49" s="786"/>
      <c r="D49" s="786"/>
      <c r="E49" s="786"/>
      <c r="F49" s="585"/>
    </row>
    <row r="50" spans="1:7" s="162" customFormat="1">
      <c r="A50" s="852">
        <f>+A49+1</f>
        <v>13</v>
      </c>
      <c r="B50" s="1185" t="s">
        <v>915</v>
      </c>
      <c r="C50" s="788"/>
      <c r="D50" s="788"/>
      <c r="E50" s="788"/>
      <c r="F50" s="585"/>
    </row>
    <row r="51" spans="1:7" s="162" customFormat="1">
      <c r="A51" s="828">
        <f t="shared" ref="A51:A65" si="6">+A50+1</f>
        <v>14</v>
      </c>
      <c r="B51" s="774" t="s">
        <v>688</v>
      </c>
      <c r="C51" s="788"/>
      <c r="D51" s="788"/>
      <c r="E51" s="788"/>
      <c r="F51" s="585"/>
    </row>
    <row r="52" spans="1:7" s="162" customFormat="1">
      <c r="A52" s="828">
        <f t="shared" si="6"/>
        <v>15</v>
      </c>
      <c r="B52" s="774" t="s">
        <v>682</v>
      </c>
      <c r="C52" s="786"/>
      <c r="D52" s="786"/>
      <c r="E52" s="786"/>
      <c r="F52" s="585"/>
    </row>
    <row r="53" spans="1:7" s="162" customFormat="1">
      <c r="A53" s="828">
        <f t="shared" si="6"/>
        <v>16</v>
      </c>
      <c r="B53" s="774" t="s">
        <v>681</v>
      </c>
      <c r="C53" s="786">
        <f>+SUM(C8:C24)</f>
        <v>688694.4060166456</v>
      </c>
      <c r="D53" s="786">
        <f>+SUM(D8:D24)</f>
        <v>263861.55028620362</v>
      </c>
      <c r="E53" s="786">
        <f>+SUM(E8:E24)</f>
        <v>952555.95630284923</v>
      </c>
      <c r="F53" s="585"/>
    </row>
    <row r="54" spans="1:7" s="162" customFormat="1">
      <c r="A54" s="828">
        <f t="shared" si="6"/>
        <v>17</v>
      </c>
      <c r="B54" s="774" t="s">
        <v>683</v>
      </c>
      <c r="C54" s="786"/>
      <c r="D54" s="786"/>
      <c r="E54" s="786"/>
      <c r="F54" s="585"/>
    </row>
    <row r="55" spans="1:7" s="162" customFormat="1">
      <c r="A55" s="828">
        <f t="shared" si="6"/>
        <v>18</v>
      </c>
      <c r="B55" s="774" t="s">
        <v>684</v>
      </c>
      <c r="C55" s="786"/>
      <c r="D55" s="786"/>
      <c r="E55" s="786"/>
      <c r="F55" s="585"/>
    </row>
    <row r="56" spans="1:7" s="162" customFormat="1">
      <c r="A56" s="828">
        <f t="shared" si="6"/>
        <v>19</v>
      </c>
      <c r="B56" s="774" t="s">
        <v>685</v>
      </c>
      <c r="C56" s="786"/>
      <c r="D56" s="786"/>
      <c r="E56" s="786"/>
      <c r="F56" s="585"/>
    </row>
    <row r="57" spans="1:7" s="162" customFormat="1">
      <c r="A57" s="828">
        <f t="shared" si="6"/>
        <v>20</v>
      </c>
      <c r="B57" s="774" t="s">
        <v>686</v>
      </c>
      <c r="C57" s="786"/>
      <c r="D57" s="786"/>
      <c r="E57" s="786"/>
      <c r="F57" s="585"/>
    </row>
    <row r="58" spans="1:7" s="162" customFormat="1">
      <c r="A58" s="828">
        <f t="shared" si="6"/>
        <v>21</v>
      </c>
      <c r="B58" s="774" t="s">
        <v>687</v>
      </c>
      <c r="C58" s="904">
        <f>+SUM(C25:C38)</f>
        <v>0</v>
      </c>
      <c r="D58" s="904">
        <f>+SUM(D25:D38)</f>
        <v>0</v>
      </c>
      <c r="E58" s="904">
        <f>+SUM(E25:E38)</f>
        <v>0</v>
      </c>
      <c r="F58" s="585"/>
    </row>
    <row r="59" spans="1:7" s="162" customFormat="1" ht="13.8" thickBot="1">
      <c r="A59" s="828">
        <f t="shared" si="6"/>
        <v>22</v>
      </c>
      <c r="B59" s="772" t="str">
        <f>+"Total Lines ("&amp;A49&amp;" to "&amp;A58&amp;")"</f>
        <v>Total Lines (12 to 21)</v>
      </c>
      <c r="C59" s="787">
        <f>SUM(C49:C58)</f>
        <v>688694.4060166456</v>
      </c>
      <c r="D59" s="787">
        <f>SUM(D49:D58)</f>
        <v>263861.55028620362</v>
      </c>
      <c r="E59" s="787">
        <f>SUM(E49:E58)</f>
        <v>952555.95630284923</v>
      </c>
      <c r="F59" s="585"/>
    </row>
    <row r="60" spans="1:7" s="162" customFormat="1" ht="13.8" thickTop="1">
      <c r="A60" s="828">
        <f t="shared" si="6"/>
        <v>23</v>
      </c>
      <c r="B60" s="772"/>
      <c r="C60" s="786"/>
      <c r="D60" s="786"/>
      <c r="E60" s="786"/>
      <c r="F60" s="585"/>
    </row>
    <row r="61" spans="1:7" s="971" customFormat="1">
      <c r="A61" s="892">
        <f t="shared" si="6"/>
        <v>24</v>
      </c>
      <c r="B61" s="974" t="str">
        <f>+"Payroll O&amp;M Excl A&amp;G  Sum (Ln "&amp;A49&amp;" To Ln "&amp;A57&amp;")"</f>
        <v>Payroll O&amp;M Excl A&amp;G  Sum (Ln 12 To Ln 20)</v>
      </c>
      <c r="C61" s="976"/>
      <c r="D61" s="976">
        <f>+SUM(D49:D57)</f>
        <v>263861.55028620362</v>
      </c>
      <c r="E61" s="976"/>
      <c r="F61" s="976"/>
      <c r="G61" s="976"/>
    </row>
    <row r="62" spans="1:7" s="162" customFormat="1">
      <c r="A62" s="828">
        <f t="shared" si="6"/>
        <v>25</v>
      </c>
      <c r="B62" s="772"/>
      <c r="C62" s="786"/>
      <c r="D62" s="786"/>
      <c r="E62" s="786"/>
      <c r="F62" s="585"/>
    </row>
    <row r="63" spans="1:7" s="162" customFormat="1">
      <c r="A63" s="828">
        <f t="shared" si="6"/>
        <v>26</v>
      </c>
      <c r="B63" s="772" t="s">
        <v>744</v>
      </c>
      <c r="C63" s="270"/>
      <c r="D63" s="270"/>
      <c r="E63" s="905">
        <v>18179896</v>
      </c>
      <c r="F63" s="585"/>
    </row>
    <row r="64" spans="1:7" s="162" customFormat="1">
      <c r="A64" s="828">
        <f t="shared" si="6"/>
        <v>27</v>
      </c>
      <c r="B64" s="772" t="s">
        <v>745</v>
      </c>
      <c r="C64" s="270"/>
      <c r="D64" s="270"/>
      <c r="E64" s="906">
        <v>4039633.79</v>
      </c>
      <c r="F64" s="585"/>
    </row>
    <row r="65" spans="1:6" s="162" customFormat="1">
      <c r="A65" s="828">
        <f t="shared" si="6"/>
        <v>28</v>
      </c>
      <c r="B65" s="772" t="str">
        <f>+"Account 924 without Storm Damage Accrual  (Ln "&amp;A63&amp;" Less Ln "&amp;A64&amp;")"</f>
        <v>Account 924 without Storm Damage Accrual  (Ln 26 Less Ln 27)</v>
      </c>
      <c r="C65" s="270"/>
      <c r="D65" s="270"/>
      <c r="E65" s="957">
        <f>+E63-E64</f>
        <v>14140262.210000001</v>
      </c>
      <c r="F65" s="585"/>
    </row>
    <row r="66" spans="1:6" s="162" customFormat="1">
      <c r="A66" s="890"/>
      <c r="B66" s="584"/>
      <c r="C66" s="270"/>
      <c r="D66" s="270"/>
      <c r="E66" s="270"/>
      <c r="F66" s="585"/>
    </row>
    <row r="67" spans="1:6" s="162" customFormat="1">
      <c r="A67" s="610" t="s">
        <v>299</v>
      </c>
      <c r="C67" s="270"/>
      <c r="D67" s="270"/>
      <c r="E67" s="270"/>
      <c r="F67" s="585"/>
    </row>
    <row r="68" spans="1:6" s="162" customFormat="1" ht="160.19999999999999" customHeight="1">
      <c r="A68" s="686" t="s">
        <v>167</v>
      </c>
      <c r="B68" s="2363" t="s">
        <v>1119</v>
      </c>
      <c r="C68" s="2363"/>
      <c r="D68" s="2363"/>
      <c r="E68" s="2363"/>
      <c r="F68" s="585"/>
    </row>
    <row r="69" spans="1:6" s="162" customFormat="1">
      <c r="A69" s="684"/>
      <c r="B69" s="161"/>
      <c r="C69" s="161"/>
      <c r="D69" s="161"/>
      <c r="E69" s="161"/>
    </row>
    <row r="70" spans="1:6" s="162" customFormat="1">
      <c r="A70" s="684"/>
      <c r="B70" s="161"/>
      <c r="C70" s="161"/>
      <c r="D70" s="161"/>
      <c r="E70" s="161"/>
    </row>
    <row r="71" spans="1:6" s="162" customFormat="1">
      <c r="A71" s="684"/>
      <c r="B71" s="161"/>
      <c r="C71" s="161"/>
      <c r="D71" s="161"/>
      <c r="E71" s="161"/>
    </row>
    <row r="72" spans="1:6" s="162" customFormat="1">
      <c r="A72" s="684"/>
      <c r="B72" s="161"/>
      <c r="C72" s="161"/>
      <c r="D72" s="161"/>
      <c r="E72" s="161"/>
    </row>
    <row r="73" spans="1:6" s="162" customFormat="1">
      <c r="A73" s="684"/>
      <c r="B73" s="161"/>
      <c r="C73" s="161"/>
      <c r="D73" s="161"/>
      <c r="E73" s="161"/>
    </row>
    <row r="74" spans="1:6" s="162" customFormat="1">
      <c r="A74" s="685"/>
      <c r="B74" s="161"/>
      <c r="C74" s="161"/>
      <c r="D74" s="161"/>
      <c r="E74" s="161"/>
    </row>
    <row r="75" spans="1:6" s="162" customFormat="1">
      <c r="A75" s="685"/>
      <c r="B75" s="161"/>
      <c r="C75" s="161"/>
      <c r="D75" s="161"/>
      <c r="E75" s="161"/>
    </row>
    <row r="76" spans="1:6" s="162" customFormat="1">
      <c r="A76" s="685"/>
      <c r="B76" s="161"/>
      <c r="C76" s="161"/>
      <c r="D76" s="161"/>
      <c r="E76" s="161"/>
    </row>
    <row r="77" spans="1:6" s="162" customFormat="1">
      <c r="A77" s="685"/>
      <c r="B77" s="161"/>
      <c r="C77" s="161"/>
      <c r="D77" s="161"/>
      <c r="E77" s="161"/>
    </row>
    <row r="78" spans="1:6" s="162" customFormat="1">
      <c r="A78" s="685"/>
      <c r="B78" s="161"/>
      <c r="C78" s="161"/>
      <c r="D78" s="161"/>
      <c r="E78" s="161"/>
    </row>
    <row r="79" spans="1:6" s="162" customFormat="1">
      <c r="A79" s="685"/>
      <c r="B79" s="161"/>
      <c r="C79" s="161"/>
      <c r="D79" s="161"/>
      <c r="E79" s="161"/>
      <c r="F79" s="775"/>
    </row>
    <row r="80" spans="1:6" s="162" customFormat="1">
      <c r="A80" s="685"/>
      <c r="B80" s="161"/>
      <c r="C80" s="161"/>
      <c r="D80" s="161"/>
      <c r="E80" s="161"/>
      <c r="F80" s="161"/>
    </row>
    <row r="81" spans="1:6" s="162" customFormat="1">
      <c r="A81" s="685"/>
      <c r="B81" s="161"/>
      <c r="C81" s="161"/>
      <c r="D81" s="161"/>
      <c r="E81" s="161"/>
      <c r="F81" s="161"/>
    </row>
    <row r="213" spans="7:7">
      <c r="G213" s="162"/>
    </row>
  </sheetData>
  <mergeCells count="4">
    <mergeCell ref="B68:E68"/>
    <mergeCell ref="A1:E1"/>
    <mergeCell ref="A2:E2"/>
    <mergeCell ref="A3:E3"/>
  </mergeCells>
  <printOptions horizontalCentered="1"/>
  <pageMargins left="0.7" right="0.7" top="0.7" bottom="0.7" header="0.3" footer="0.5"/>
  <pageSetup scale="70" orientation="portrait" r:id="rId1"/>
  <headerFooter>
    <oddFooter>&amp;R&amp;A</oddFooter>
  </headerFooter>
  <ignoredErrors>
    <ignoredError sqref="A68" numberStoredAsText="1"/>
    <ignoredError sqref="E45:E58" formula="1"/>
    <ignoredError sqref="C45:D58" formula="1"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H213"/>
  <sheetViews>
    <sheetView workbookViewId="0">
      <selection activeCell="L6" sqref="L6"/>
    </sheetView>
  </sheetViews>
  <sheetFormatPr defaultColWidth="22.44140625" defaultRowHeight="13.2"/>
  <cols>
    <col min="1" max="1" width="6.109375" style="188" bestFit="1" customWidth="1"/>
    <col min="2" max="2" width="26.33203125" bestFit="1" customWidth="1"/>
    <col min="3" max="5" width="15.5546875" customWidth="1"/>
  </cols>
  <sheetData>
    <row r="1" spans="1:8" s="203" customFormat="1">
      <c r="A1" s="2416" t="str">
        <f>+'MISO Cover'!C6</f>
        <v>Entergy Louisiana, LLC</v>
      </c>
      <c r="B1" s="2416"/>
      <c r="C1" s="2416"/>
      <c r="D1" s="2416"/>
      <c r="E1" s="2416"/>
    </row>
    <row r="2" spans="1:8" ht="15">
      <c r="A2" s="2417" t="s">
        <v>695</v>
      </c>
      <c r="B2" s="2417"/>
      <c r="C2" s="2417"/>
      <c r="D2" s="2417"/>
      <c r="E2" s="2417"/>
      <c r="F2" s="175"/>
      <c r="G2" s="175"/>
      <c r="H2" s="175"/>
    </row>
    <row r="3" spans="1:8" s="203" customFormat="1" ht="15">
      <c r="A3" s="2366" t="str">
        <f>+'MISO Cover'!K4</f>
        <v>For  the 12 Months Ended 12/31/2017</v>
      </c>
      <c r="B3" s="2366"/>
      <c r="C3" s="2366"/>
      <c r="D3" s="2366"/>
      <c r="E3" s="2366"/>
      <c r="F3" s="204"/>
      <c r="G3" s="204"/>
      <c r="H3" s="204"/>
    </row>
    <row r="4" spans="1:8" s="203" customFormat="1" ht="15">
      <c r="A4" s="1600"/>
      <c r="B4" s="1753"/>
      <c r="C4" s="1753"/>
      <c r="D4" s="1753"/>
      <c r="E4" s="1753"/>
      <c r="F4" s="204"/>
      <c r="G4" s="204"/>
      <c r="H4" s="204"/>
    </row>
    <row r="5" spans="1:8" ht="15">
      <c r="A5" s="1591" t="s">
        <v>280</v>
      </c>
      <c r="B5" s="1591" t="s">
        <v>67</v>
      </c>
      <c r="C5" s="1591" t="s">
        <v>114</v>
      </c>
      <c r="D5" s="1591" t="s">
        <v>55</v>
      </c>
      <c r="E5" s="1591" t="s">
        <v>68</v>
      </c>
      <c r="F5" s="176"/>
      <c r="G5" s="176"/>
      <c r="H5" s="176"/>
    </row>
    <row r="6" spans="1:8" ht="15">
      <c r="A6" s="657">
        <v>1</v>
      </c>
      <c r="B6" s="1309" t="s">
        <v>112</v>
      </c>
      <c r="C6" s="737" t="s">
        <v>778</v>
      </c>
      <c r="D6" s="737" t="s">
        <v>795</v>
      </c>
      <c r="E6" s="737" t="s">
        <v>796</v>
      </c>
      <c r="F6" s="487"/>
      <c r="G6" s="176"/>
      <c r="H6" s="176"/>
    </row>
    <row r="7" spans="1:8" ht="15">
      <c r="A7" s="1686">
        <f>+A6+0.1</f>
        <v>1.1000000000000001</v>
      </c>
      <c r="B7" s="1561" t="s">
        <v>934</v>
      </c>
      <c r="C7" s="1754">
        <v>0</v>
      </c>
      <c r="D7" s="1754"/>
      <c r="E7" s="1754"/>
      <c r="F7" s="1186"/>
      <c r="G7" s="176"/>
      <c r="H7" s="176"/>
    </row>
    <row r="8" spans="1:8" ht="15">
      <c r="A8" s="1686" t="s">
        <v>925</v>
      </c>
      <c r="B8" s="1561" t="s">
        <v>934</v>
      </c>
      <c r="C8" s="1754">
        <v>0</v>
      </c>
      <c r="D8" s="1754"/>
      <c r="E8" s="1754"/>
      <c r="F8" s="1186"/>
      <c r="G8" s="176"/>
      <c r="H8" s="176"/>
    </row>
    <row r="9" spans="1:8" ht="15">
      <c r="A9" s="1686" t="s">
        <v>929</v>
      </c>
      <c r="B9" s="1561" t="s">
        <v>934</v>
      </c>
      <c r="C9" s="1755">
        <v>0</v>
      </c>
      <c r="D9" s="1754"/>
      <c r="E9" s="1754"/>
      <c r="F9" s="1109"/>
      <c r="G9" s="176"/>
      <c r="H9" s="176"/>
    </row>
    <row r="10" spans="1:8">
      <c r="A10" s="1309">
        <f>+A6+1</f>
        <v>2</v>
      </c>
      <c r="B10" s="1309" t="str">
        <f>+"Total  Sum of Line "&amp;A6&amp;" Subparts"</f>
        <v>Total  Sum of Line 1 Subparts</v>
      </c>
      <c r="C10" s="749">
        <f>SUM(C7:C9)</f>
        <v>0</v>
      </c>
      <c r="D10" s="40"/>
      <c r="E10" s="40"/>
    </row>
    <row r="11" spans="1:8">
      <c r="A11" s="1309"/>
      <c r="B11" s="1309"/>
      <c r="C11" s="40"/>
      <c r="D11" s="40"/>
      <c r="E11" s="40"/>
    </row>
    <row r="12" spans="1:8">
      <c r="A12" s="1588"/>
      <c r="B12" s="39"/>
      <c r="C12" s="40"/>
      <c r="D12" s="40"/>
      <c r="E12" s="40"/>
    </row>
    <row r="13" spans="1:8">
      <c r="A13" s="40" t="s">
        <v>299</v>
      </c>
      <c r="B13" s="40"/>
      <c r="C13" s="40"/>
      <c r="D13" s="40"/>
      <c r="E13" s="40"/>
    </row>
    <row r="14" spans="1:8" s="641" customFormat="1" ht="40.200000000000003" customHeight="1">
      <c r="A14" s="826" t="s">
        <v>167</v>
      </c>
      <c r="B14" s="2324" t="s">
        <v>944</v>
      </c>
      <c r="C14" s="2324"/>
      <c r="D14" s="2324"/>
      <c r="E14" s="2324"/>
      <c r="F14" s="173"/>
    </row>
    <row r="15" spans="1:8" s="641" customFormat="1" ht="27" customHeight="1">
      <c r="A15" s="826" t="s">
        <v>320</v>
      </c>
      <c r="B15" s="2324" t="s">
        <v>777</v>
      </c>
      <c r="C15" s="2324"/>
      <c r="D15" s="2324"/>
      <c r="E15" s="2324"/>
      <c r="F15" s="173"/>
    </row>
    <row r="16" spans="1:8">
      <c r="A16" s="826"/>
      <c r="B16" s="39"/>
      <c r="C16" s="39"/>
      <c r="D16" s="39"/>
      <c r="E16" s="39"/>
    </row>
    <row r="17" spans="1:5">
      <c r="A17" s="1588"/>
      <c r="B17" s="39"/>
      <c r="C17" s="39"/>
      <c r="D17" s="39"/>
      <c r="E17" s="39"/>
    </row>
    <row r="18" spans="1:5">
      <c r="A18" s="1588"/>
      <c r="B18" s="39"/>
      <c r="C18" s="39"/>
      <c r="D18" s="39"/>
      <c r="E18" s="39"/>
    </row>
    <row r="19" spans="1:5">
      <c r="A19" s="1591"/>
      <c r="B19" s="40"/>
      <c r="C19" s="40"/>
      <c r="D19" s="40"/>
      <c r="E19" s="40"/>
    </row>
    <row r="20" spans="1:5">
      <c r="A20" s="1591"/>
      <c r="B20" s="40"/>
      <c r="C20" s="40"/>
      <c r="D20" s="40"/>
      <c r="E20" s="40"/>
    </row>
    <row r="21" spans="1:5">
      <c r="A21" s="1591"/>
      <c r="B21" s="40"/>
      <c r="C21" s="40"/>
      <c r="D21" s="40"/>
      <c r="E21" s="40"/>
    </row>
    <row r="22" spans="1:5">
      <c r="A22" s="1591"/>
      <c r="B22" s="40"/>
      <c r="C22" s="40"/>
      <c r="D22" s="40"/>
      <c r="E22" s="40"/>
    </row>
    <row r="23" spans="1:5">
      <c r="A23" s="1591"/>
      <c r="B23" s="40"/>
      <c r="C23" s="40"/>
      <c r="D23" s="40"/>
      <c r="E23" s="40"/>
    </row>
    <row r="24" spans="1:5">
      <c r="A24" s="1591"/>
      <c r="B24" s="40"/>
      <c r="C24" s="40"/>
      <c r="D24" s="40"/>
      <c r="E24" s="40"/>
    </row>
    <row r="25" spans="1:5">
      <c r="A25" s="1591"/>
      <c r="B25" s="40"/>
      <c r="C25" s="40"/>
      <c r="D25" s="40"/>
      <c r="E25" s="40"/>
    </row>
    <row r="26" spans="1:5">
      <c r="A26" s="1591"/>
      <c r="B26" s="40"/>
      <c r="C26" s="40"/>
      <c r="D26" s="40"/>
      <c r="E26" s="40"/>
    </row>
    <row r="27" spans="1:5">
      <c r="A27" s="1591"/>
      <c r="B27" s="40"/>
      <c r="C27" s="40"/>
      <c r="D27" s="40"/>
      <c r="E27" s="40"/>
    </row>
    <row r="28" spans="1:5">
      <c r="A28" s="1591"/>
      <c r="B28" s="40"/>
      <c r="C28" s="40"/>
      <c r="D28" s="40"/>
      <c r="E28" s="40"/>
    </row>
    <row r="29" spans="1:5">
      <c r="A29" s="1591"/>
      <c r="B29" s="40"/>
      <c r="C29" s="40"/>
      <c r="D29" s="40"/>
      <c r="E29" s="40"/>
    </row>
    <row r="30" spans="1:5">
      <c r="A30" s="1591"/>
      <c r="B30" s="40"/>
      <c r="C30" s="40"/>
      <c r="D30" s="40"/>
      <c r="E30" s="40"/>
    </row>
    <row r="213" spans="7:7">
      <c r="G213" s="1680"/>
    </row>
  </sheetData>
  <mergeCells count="5">
    <mergeCell ref="B15:E15"/>
    <mergeCell ref="B14:E14"/>
    <mergeCell ref="A3:E3"/>
    <mergeCell ref="A1:E1"/>
    <mergeCell ref="A2:E2"/>
  </mergeCells>
  <phoneticPr fontId="104" type="noConversion"/>
  <printOptions horizontalCentered="1"/>
  <pageMargins left="0.7" right="0.7" top="0.7" bottom="0.7" header="0.3" footer="0.5"/>
  <pageSetup orientation="portrait" r:id="rId1"/>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13"/>
  <sheetViews>
    <sheetView zoomScaleNormal="100" workbookViewId="0">
      <selection activeCell="L6" sqref="L6"/>
    </sheetView>
  </sheetViews>
  <sheetFormatPr defaultColWidth="9.109375" defaultRowHeight="13.2"/>
  <cols>
    <col min="1" max="1" width="4.33203125" style="743" bestFit="1" customWidth="1"/>
    <col min="2" max="2" width="66.88671875" style="743" customWidth="1"/>
    <col min="3" max="3" width="17.88671875" style="743" customWidth="1"/>
    <col min="4" max="4" width="11.5546875" style="743" bestFit="1" customWidth="1"/>
    <col min="5" max="16384" width="9.109375" style="743"/>
  </cols>
  <sheetData>
    <row r="1" spans="1:11">
      <c r="A1" s="2419" t="str">
        <f>+'MISO Cover'!C6</f>
        <v>Entergy Louisiana, LLC</v>
      </c>
      <c r="B1" s="2419"/>
      <c r="C1" s="2419"/>
      <c r="D1" s="1744"/>
      <c r="E1" s="986"/>
    </row>
    <row r="2" spans="1:11">
      <c r="A2" s="2421" t="s">
        <v>750</v>
      </c>
      <c r="B2" s="2421"/>
      <c r="C2" s="2421"/>
      <c r="D2" s="1744"/>
      <c r="E2" s="986"/>
    </row>
    <row r="3" spans="1:11">
      <c r="A3" s="2422" t="str">
        <f>+'MISO Cover'!K4</f>
        <v>For  the 12 Months Ended 12/31/2017</v>
      </c>
      <c r="B3" s="2422"/>
      <c r="C3" s="2422"/>
      <c r="D3" s="1745"/>
      <c r="E3" s="986"/>
    </row>
    <row r="4" spans="1:11">
      <c r="A4" s="986"/>
      <c r="B4" s="1725"/>
      <c r="C4" s="1725"/>
      <c r="D4" s="1725"/>
      <c r="E4" s="986"/>
    </row>
    <row r="5" spans="1:11">
      <c r="A5" s="986"/>
      <c r="B5" s="1725"/>
      <c r="C5" s="1725"/>
      <c r="D5" s="1725"/>
      <c r="E5" s="986"/>
    </row>
    <row r="6" spans="1:11" s="744" customFormat="1">
      <c r="A6" s="1746" t="s">
        <v>280</v>
      </c>
      <c r="B6" s="1669" t="s">
        <v>67</v>
      </c>
      <c r="C6" s="1669" t="s">
        <v>114</v>
      </c>
      <c r="D6" s="1669"/>
      <c r="E6" s="1746"/>
    </row>
    <row r="7" spans="1:11">
      <c r="A7" s="1746"/>
      <c r="B7" s="2420"/>
      <c r="C7" s="2420"/>
      <c r="D7" s="986"/>
      <c r="E7" s="986"/>
    </row>
    <row r="8" spans="1:11" s="499" customFormat="1" ht="15">
      <c r="A8" s="1747"/>
      <c r="B8" s="1748" t="s">
        <v>112</v>
      </c>
      <c r="C8" s="1705" t="s">
        <v>146</v>
      </c>
      <c r="D8" s="1746"/>
      <c r="E8" s="1746"/>
    </row>
    <row r="9" spans="1:11">
      <c r="A9" s="1747">
        <v>1</v>
      </c>
      <c r="B9" s="1749" t="s">
        <v>797</v>
      </c>
      <c r="C9" s="185">
        <v>5369818</v>
      </c>
      <c r="D9" s="986"/>
      <c r="E9" s="986"/>
    </row>
    <row r="10" spans="1:11">
      <c r="A10" s="1747">
        <f>+A9+1</f>
        <v>2</v>
      </c>
      <c r="B10" s="1749" t="s">
        <v>845</v>
      </c>
      <c r="C10" s="251">
        <v>8732488</v>
      </c>
      <c r="D10" s="986"/>
      <c r="E10" s="986"/>
    </row>
    <row r="11" spans="1:11">
      <c r="A11" s="1747">
        <f>+A10+1</f>
        <v>3</v>
      </c>
      <c r="B11" s="1749" t="s">
        <v>846</v>
      </c>
      <c r="C11" s="256">
        <f>+C9-C10</f>
        <v>-3362670</v>
      </c>
      <c r="D11" s="986"/>
      <c r="E11" s="986" t="s">
        <v>882</v>
      </c>
    </row>
    <row r="12" spans="1:11">
      <c r="A12" s="1747"/>
      <c r="B12" s="1749"/>
      <c r="C12" s="1750"/>
      <c r="D12" s="986"/>
      <c r="E12" s="986"/>
    </row>
    <row r="13" spans="1:11">
      <c r="A13" s="1747"/>
      <c r="B13" s="1749"/>
      <c r="C13" s="1750"/>
      <c r="D13" s="986"/>
      <c r="E13" s="986"/>
    </row>
    <row r="14" spans="1:11" s="843" customFormat="1">
      <c r="A14" s="1751" t="s">
        <v>299</v>
      </c>
      <c r="B14" s="1751"/>
      <c r="C14" s="1751"/>
      <c r="D14" s="1751"/>
      <c r="E14" s="1751"/>
    </row>
    <row r="15" spans="1:11" s="843" customFormat="1" ht="39.75" customHeight="1">
      <c r="A15" s="1752" t="s">
        <v>167</v>
      </c>
      <c r="B15" s="2418" t="s">
        <v>1120</v>
      </c>
      <c r="C15" s="2418"/>
      <c r="D15" s="1751"/>
      <c r="E15" s="1751"/>
    </row>
    <row r="16" spans="1:11" s="843" customFormat="1" ht="27" customHeight="1">
      <c r="A16" s="1752" t="s">
        <v>320</v>
      </c>
      <c r="B16" s="2418" t="str">
        <f>+"See Appendix A Note "&amp;'Appendix A'!A311&amp;".  For PAYGO OpCo's (EGSL and ELL), the difference is the annual PBOP expense recorded in Account 926 (Line 1) less the Account 926 PBOP PAYGO expense (Line 2)."</f>
        <v>See Appendix A Note D.  For PAYGO OpCo's (EGSL and ELL), the difference is the annual PBOP expense recorded in Account 926 (Line 1) less the Account 926 PBOP PAYGO expense (Line 2).</v>
      </c>
      <c r="C16" s="2418"/>
      <c r="D16" s="1751"/>
      <c r="E16" s="986"/>
      <c r="F16" s="743"/>
      <c r="G16" s="743"/>
      <c r="H16" s="743"/>
      <c r="I16" s="743"/>
      <c r="J16" s="1064"/>
      <c r="K16" s="1064"/>
    </row>
    <row r="17" spans="1:5">
      <c r="A17" s="986"/>
      <c r="B17" s="986"/>
      <c r="C17" s="986"/>
      <c r="D17" s="986"/>
      <c r="E17" s="986"/>
    </row>
    <row r="18" spans="1:5">
      <c r="A18" s="986"/>
      <c r="B18" s="986"/>
      <c r="C18" s="986"/>
      <c r="D18" s="986"/>
      <c r="E18" s="986"/>
    </row>
    <row r="19" spans="1:5">
      <c r="A19" s="986"/>
      <c r="B19" s="986"/>
      <c r="C19" s="986"/>
      <c r="D19" s="986"/>
      <c r="E19" s="986"/>
    </row>
    <row r="20" spans="1:5">
      <c r="A20" s="986"/>
      <c r="B20" s="986"/>
      <c r="C20" s="986"/>
      <c r="D20" s="986"/>
      <c r="E20" s="986"/>
    </row>
    <row r="21" spans="1:5">
      <c r="A21" s="986"/>
      <c r="B21" s="986"/>
      <c r="C21" s="986"/>
      <c r="D21" s="986"/>
      <c r="E21" s="986"/>
    </row>
    <row r="22" spans="1:5">
      <c r="A22" s="986"/>
      <c r="B22" s="986"/>
      <c r="C22" s="986"/>
      <c r="D22" s="986"/>
      <c r="E22" s="986"/>
    </row>
    <row r="23" spans="1:5">
      <c r="A23" s="986"/>
      <c r="B23" s="986"/>
      <c r="C23" s="986"/>
      <c r="D23" s="986"/>
      <c r="E23" s="986"/>
    </row>
    <row r="24" spans="1:5">
      <c r="A24" s="986"/>
      <c r="B24" s="986"/>
      <c r="C24" s="986"/>
      <c r="D24" s="986"/>
      <c r="E24" s="986"/>
    </row>
    <row r="25" spans="1:5">
      <c r="A25" s="986"/>
      <c r="B25" s="986"/>
      <c r="C25" s="986"/>
      <c r="D25" s="986"/>
      <c r="E25" s="986"/>
    </row>
    <row r="26" spans="1:5">
      <c r="A26" s="986"/>
      <c r="B26" s="986"/>
      <c r="C26" s="986"/>
      <c r="D26" s="986"/>
      <c r="E26" s="986"/>
    </row>
    <row r="27" spans="1:5">
      <c r="A27" s="986"/>
      <c r="B27" s="986"/>
      <c r="C27" s="986"/>
      <c r="D27" s="986"/>
      <c r="E27" s="986"/>
    </row>
    <row r="28" spans="1:5">
      <c r="A28" s="986"/>
      <c r="B28" s="986"/>
      <c r="C28" s="986"/>
      <c r="D28" s="986"/>
      <c r="E28" s="986"/>
    </row>
    <row r="29" spans="1:5">
      <c r="A29" s="986"/>
      <c r="B29" s="986"/>
      <c r="C29" s="986"/>
      <c r="D29" s="986"/>
      <c r="E29" s="986"/>
    </row>
    <row r="30" spans="1:5">
      <c r="A30" s="986"/>
      <c r="B30" s="986"/>
      <c r="C30" s="986"/>
      <c r="D30" s="986"/>
      <c r="E30" s="986"/>
    </row>
    <row r="213" spans="7:7">
      <c r="G213" s="843"/>
    </row>
  </sheetData>
  <mergeCells count="6">
    <mergeCell ref="B16:C16"/>
    <mergeCell ref="B15:C15"/>
    <mergeCell ref="A1:C1"/>
    <mergeCell ref="B7:C7"/>
    <mergeCell ref="A2:C2"/>
    <mergeCell ref="A3:C3"/>
  </mergeCells>
  <phoneticPr fontId="104" type="noConversion"/>
  <printOptions horizontalCentered="1"/>
  <pageMargins left="0.7" right="0.7" top="0.7" bottom="0.7" header="0.3" footer="0.5"/>
  <pageSetup orientation="portrait" r:id="rId1"/>
  <headerFooter>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214"/>
  <sheetViews>
    <sheetView zoomScale="110" zoomScaleNormal="110" workbookViewId="0">
      <selection activeCell="L6" sqref="L6"/>
    </sheetView>
  </sheetViews>
  <sheetFormatPr defaultColWidth="8.88671875" defaultRowHeight="13.8"/>
  <cols>
    <col min="1" max="1" width="4.88671875" style="205" customWidth="1"/>
    <col min="2" max="2" width="50" style="205" customWidth="1"/>
    <col min="3" max="3" width="13.33203125" style="205" customWidth="1"/>
    <col min="4" max="4" width="13.33203125" style="493" bestFit="1" customWidth="1"/>
    <col min="5" max="5" width="12.33203125" style="493" bestFit="1" customWidth="1"/>
    <col min="6" max="6" width="12.44140625" style="493" customWidth="1"/>
    <col min="7" max="7" width="12.33203125" style="493" bestFit="1" customWidth="1"/>
    <col min="8" max="8" width="10.6640625" style="209" bestFit="1" customWidth="1"/>
    <col min="9" max="16384" width="8.88671875" style="205"/>
  </cols>
  <sheetData>
    <row r="1" spans="1:9">
      <c r="A1" s="2372" t="str">
        <f>+'MISO Cover'!C6</f>
        <v>Entergy Louisiana, LLC</v>
      </c>
      <c r="B1" s="2372"/>
      <c r="C1" s="2372"/>
      <c r="D1" s="2372"/>
      <c r="E1" s="2372"/>
      <c r="F1" s="2372"/>
      <c r="G1" s="2372"/>
      <c r="H1" s="2372"/>
      <c r="I1" s="746"/>
    </row>
    <row r="2" spans="1:9" s="206" customFormat="1">
      <c r="A2" s="2373" t="s">
        <v>658</v>
      </c>
      <c r="B2" s="2373"/>
      <c r="C2" s="2373"/>
      <c r="D2" s="2373"/>
      <c r="E2" s="2373"/>
      <c r="F2" s="2373"/>
      <c r="G2" s="2373"/>
      <c r="H2" s="2373"/>
      <c r="I2" s="166"/>
    </row>
    <row r="3" spans="1:9" s="206" customFormat="1">
      <c r="A3" s="2373" t="str">
        <f>+'MISO Cover'!K4</f>
        <v>For  the 12 Months Ended 12/31/2017</v>
      </c>
      <c r="B3" s="2373"/>
      <c r="C3" s="2373"/>
      <c r="D3" s="2373"/>
      <c r="E3" s="2373"/>
      <c r="F3" s="2373"/>
      <c r="G3" s="2373"/>
      <c r="H3" s="2373"/>
      <c r="I3" s="166"/>
    </row>
    <row r="4" spans="1:9" s="206" customFormat="1">
      <c r="A4" s="1597"/>
      <c r="B4" s="1597"/>
      <c r="C4" s="1597"/>
      <c r="D4" s="1597"/>
      <c r="E4" s="1597"/>
      <c r="F4" s="649"/>
      <c r="G4" s="649"/>
      <c r="H4" s="649"/>
      <c r="I4" s="166"/>
    </row>
    <row r="5" spans="1:9" s="206" customFormat="1">
      <c r="A5" s="1597" t="s">
        <v>280</v>
      </c>
      <c r="B5" s="1597" t="s">
        <v>67</v>
      </c>
      <c r="C5" s="1597" t="s">
        <v>114</v>
      </c>
      <c r="D5" s="562" t="s">
        <v>55</v>
      </c>
      <c r="E5" s="562" t="s">
        <v>68</v>
      </c>
      <c r="F5" s="485" t="s">
        <v>66</v>
      </c>
      <c r="G5" s="485" t="s">
        <v>154</v>
      </c>
      <c r="H5" s="494" t="s">
        <v>69</v>
      </c>
      <c r="I5" s="166"/>
    </row>
    <row r="6" spans="1:9">
      <c r="A6" s="1741"/>
      <c r="B6" s="1596"/>
      <c r="C6" s="1596"/>
      <c r="D6" s="1450"/>
      <c r="E6" s="1685"/>
      <c r="F6" s="560"/>
      <c r="G6" s="560"/>
      <c r="H6" s="519"/>
      <c r="I6" s="542"/>
    </row>
    <row r="7" spans="1:9" ht="27.6" customHeight="1">
      <c r="A7" s="1742">
        <v>1</v>
      </c>
      <c r="B7" s="1357" t="s">
        <v>10</v>
      </c>
      <c r="C7" s="1083" t="s">
        <v>146</v>
      </c>
      <c r="D7" s="1358" t="s">
        <v>721</v>
      </c>
      <c r="E7" s="1358" t="s">
        <v>723</v>
      </c>
      <c r="F7" s="1359" t="s">
        <v>722</v>
      </c>
      <c r="G7" s="1359" t="s">
        <v>724</v>
      </c>
      <c r="H7" s="1083" t="s">
        <v>139</v>
      </c>
      <c r="I7" s="542"/>
    </row>
    <row r="8" spans="1:9">
      <c r="A8" s="792">
        <f>+A7+0.01</f>
        <v>1.01</v>
      </c>
      <c r="B8" s="1182" t="s">
        <v>258</v>
      </c>
      <c r="C8" s="1459">
        <v>146941313</v>
      </c>
      <c r="D8" s="1419">
        <f>+C8</f>
        <v>146941313</v>
      </c>
      <c r="E8" s="1419"/>
      <c r="F8" s="1136"/>
      <c r="G8" s="1136"/>
      <c r="H8" s="1224" t="s">
        <v>2025</v>
      </c>
      <c r="I8" s="1137"/>
    </row>
    <row r="9" spans="1:9">
      <c r="A9" s="792">
        <f t="shared" ref="A9:A35" si="0">+A8+0.01</f>
        <v>1.02</v>
      </c>
      <c r="B9" s="1183" t="s">
        <v>11</v>
      </c>
      <c r="C9" s="1204">
        <v>5837242</v>
      </c>
      <c r="D9" s="1419"/>
      <c r="E9" s="1419"/>
      <c r="F9" s="1375"/>
      <c r="G9" s="1375">
        <f>+C9</f>
        <v>5837242</v>
      </c>
      <c r="H9" s="1224" t="s">
        <v>2026</v>
      </c>
      <c r="I9" s="1137"/>
    </row>
    <row r="10" spans="1:9">
      <c r="A10" s="792">
        <f>+A9+0.01</f>
        <v>1.03</v>
      </c>
      <c r="B10" s="1183" t="s">
        <v>1304</v>
      </c>
      <c r="C10" s="1204">
        <v>36368</v>
      </c>
      <c r="D10" s="1419"/>
      <c r="E10" s="1419"/>
      <c r="F10" s="1375"/>
      <c r="G10" s="1375">
        <f>+C10</f>
        <v>36368</v>
      </c>
      <c r="H10" s="1224" t="s">
        <v>2027</v>
      </c>
      <c r="I10" s="1137"/>
    </row>
    <row r="11" spans="1:9">
      <c r="A11" s="792">
        <f>+A10+0.01</f>
        <v>1.04</v>
      </c>
      <c r="B11" s="1183" t="s">
        <v>17</v>
      </c>
      <c r="C11" s="1204">
        <v>13080</v>
      </c>
      <c r="D11" s="1419"/>
      <c r="E11" s="1419"/>
      <c r="F11" s="1375">
        <f>+C11</f>
        <v>13080</v>
      </c>
      <c r="G11" s="1375"/>
      <c r="H11" s="1224" t="s">
        <v>2028</v>
      </c>
      <c r="I11" s="1137"/>
    </row>
    <row r="12" spans="1:9">
      <c r="A12" s="792">
        <f t="shared" si="0"/>
        <v>1.05</v>
      </c>
      <c r="B12" s="1182" t="s">
        <v>259</v>
      </c>
      <c r="C12" s="1204">
        <v>-6480860</v>
      </c>
      <c r="D12" s="1419">
        <f t="shared" ref="D12" si="1">+C12</f>
        <v>-6480860</v>
      </c>
      <c r="E12" s="1419"/>
      <c r="F12" s="1375"/>
      <c r="G12" s="1375"/>
      <c r="H12" s="1224" t="s">
        <v>2029</v>
      </c>
      <c r="I12" s="1137"/>
    </row>
    <row r="13" spans="1:9" s="207" customFormat="1">
      <c r="A13" s="792">
        <f t="shared" si="0"/>
        <v>1.06</v>
      </c>
      <c r="B13" s="1183" t="s">
        <v>12</v>
      </c>
      <c r="C13" s="1204">
        <v>6659</v>
      </c>
      <c r="D13" s="1419"/>
      <c r="E13" s="1419"/>
      <c r="F13" s="1375"/>
      <c r="G13" s="1375">
        <f>+C13</f>
        <v>6659</v>
      </c>
      <c r="H13" s="1224" t="s">
        <v>2030</v>
      </c>
      <c r="I13" s="1138"/>
    </row>
    <row r="14" spans="1:9" s="207" customFormat="1">
      <c r="A14" s="792">
        <f t="shared" si="0"/>
        <v>1.07</v>
      </c>
      <c r="B14" s="1183" t="s">
        <v>1025</v>
      </c>
      <c r="C14" s="1204">
        <v>2980823</v>
      </c>
      <c r="D14" s="1419"/>
      <c r="E14" s="1419"/>
      <c r="F14" s="1375">
        <f>+C14</f>
        <v>2980823</v>
      </c>
      <c r="G14" s="1375"/>
      <c r="H14" s="1224" t="s">
        <v>2031</v>
      </c>
      <c r="I14" s="1138"/>
    </row>
    <row r="15" spans="1:9">
      <c r="A15" s="792">
        <f t="shared" si="0"/>
        <v>1.08</v>
      </c>
      <c r="B15" s="1183" t="s">
        <v>18</v>
      </c>
      <c r="C15" s="1204">
        <f>IFERROR(INDEX(#REF!,MATCH($B15,#REF!,0)),0)</f>
        <v>0</v>
      </c>
      <c r="D15" s="1419">
        <f t="shared" ref="D15" si="2">+C15</f>
        <v>0</v>
      </c>
      <c r="E15" s="1419"/>
      <c r="F15" s="1375"/>
      <c r="G15" s="1375"/>
      <c r="H15" s="1221"/>
      <c r="I15" s="1137"/>
    </row>
    <row r="16" spans="1:9">
      <c r="A16" s="792">
        <f t="shared" si="0"/>
        <v>1.0900000000000001</v>
      </c>
      <c r="B16" s="1183" t="s">
        <v>14</v>
      </c>
      <c r="C16" s="1204">
        <f>IFERROR(INDEX(#REF!,MATCH($B16,#REF!,0)),0)</f>
        <v>0</v>
      </c>
      <c r="D16" s="1419">
        <f t="shared" ref="D16" si="3">+C16</f>
        <v>0</v>
      </c>
      <c r="E16" s="1419"/>
      <c r="F16" s="1375"/>
      <c r="G16" s="1375"/>
      <c r="H16" s="1221"/>
      <c r="I16" s="1137"/>
    </row>
    <row r="17" spans="1:15">
      <c r="A17" s="792">
        <f t="shared" si="0"/>
        <v>1.1000000000000001</v>
      </c>
      <c r="B17" s="1183" t="s">
        <v>13</v>
      </c>
      <c r="C17" s="1204">
        <v>163275</v>
      </c>
      <c r="D17" s="1419">
        <f t="shared" ref="D17" si="4">+C17</f>
        <v>163275</v>
      </c>
      <c r="E17" s="1419"/>
      <c r="F17" s="1375"/>
      <c r="G17" s="1375"/>
      <c r="H17" s="1224" t="s">
        <v>2040</v>
      </c>
      <c r="I17" s="1137"/>
    </row>
    <row r="18" spans="1:15">
      <c r="A18" s="792">
        <f t="shared" si="0"/>
        <v>1.1100000000000001</v>
      </c>
      <c r="B18" s="1183" t="s">
        <v>1024</v>
      </c>
      <c r="C18" s="1204">
        <v>611035</v>
      </c>
      <c r="D18" s="1419">
        <f t="shared" ref="D18" si="5">+C18</f>
        <v>611035</v>
      </c>
      <c r="E18" s="1419"/>
      <c r="F18" s="1375"/>
      <c r="G18" s="1375"/>
      <c r="H18" s="1224" t="s">
        <v>2032</v>
      </c>
      <c r="I18" s="1137"/>
    </row>
    <row r="19" spans="1:15">
      <c r="A19" s="792">
        <f t="shared" si="0"/>
        <v>1.1200000000000001</v>
      </c>
      <c r="B19" s="1183" t="s">
        <v>15</v>
      </c>
      <c r="C19" s="1204">
        <f>IFERROR(INDEX(#REF!,MATCH($B19,#REF!,0)),0)</f>
        <v>0</v>
      </c>
      <c r="D19" s="1419">
        <f t="shared" ref="D19" si="6">+C19</f>
        <v>0</v>
      </c>
      <c r="E19" s="1419"/>
      <c r="F19" s="1375"/>
      <c r="G19" s="1375"/>
      <c r="H19" s="1221"/>
      <c r="I19" s="1137"/>
    </row>
    <row r="20" spans="1:15">
      <c r="A20" s="792">
        <f t="shared" si="0"/>
        <v>1.1300000000000001</v>
      </c>
      <c r="B20" s="1183" t="s">
        <v>265</v>
      </c>
      <c r="C20" s="1204">
        <v>106836765</v>
      </c>
      <c r="D20" s="1743"/>
      <c r="E20" s="1419"/>
      <c r="F20" s="1375">
        <f>+C20</f>
        <v>106836765</v>
      </c>
      <c r="G20" s="1375"/>
      <c r="H20" s="1224" t="s">
        <v>2033</v>
      </c>
      <c r="I20" s="1137"/>
      <c r="M20" s="1404"/>
    </row>
    <row r="21" spans="1:15">
      <c r="A21" s="792">
        <f t="shared" si="0"/>
        <v>1.1400000000000001</v>
      </c>
      <c r="B21" s="1183" t="s">
        <v>1342</v>
      </c>
      <c r="C21" s="1204">
        <v>31616950</v>
      </c>
      <c r="D21" s="1419">
        <f>+C21</f>
        <v>31616950</v>
      </c>
      <c r="E21" s="1419"/>
      <c r="G21" s="1375"/>
      <c r="H21" s="1224" t="s">
        <v>2034</v>
      </c>
      <c r="I21" s="1137"/>
      <c r="M21" s="1404"/>
    </row>
    <row r="22" spans="1:15">
      <c r="A22" s="792">
        <f t="shared" si="0"/>
        <v>1.1500000000000001</v>
      </c>
      <c r="B22" s="1183" t="s">
        <v>16</v>
      </c>
      <c r="C22" s="1204">
        <v>197120</v>
      </c>
      <c r="D22" s="1743"/>
      <c r="E22" s="1419"/>
      <c r="F22" s="1375">
        <f>+C22</f>
        <v>197120</v>
      </c>
      <c r="G22" s="1375"/>
      <c r="H22" s="1224" t="s">
        <v>2035</v>
      </c>
      <c r="I22" s="1137"/>
      <c r="M22" s="1404"/>
    </row>
    <row r="23" spans="1:15">
      <c r="A23" s="792">
        <f t="shared" si="0"/>
        <v>1.1600000000000001</v>
      </c>
      <c r="B23" s="1183" t="s">
        <v>19</v>
      </c>
      <c r="C23" s="1204">
        <v>4400000</v>
      </c>
      <c r="D23" s="1419"/>
      <c r="E23" s="1419"/>
      <c r="F23" s="1375">
        <f>+C23</f>
        <v>4400000</v>
      </c>
      <c r="G23" s="1375"/>
      <c r="H23" s="1224" t="s">
        <v>2038</v>
      </c>
      <c r="I23" s="1137"/>
      <c r="M23" s="1404"/>
    </row>
    <row r="24" spans="1:15">
      <c r="A24" s="792">
        <f t="shared" si="0"/>
        <v>1.1700000000000002</v>
      </c>
      <c r="B24" s="1183" t="s">
        <v>880</v>
      </c>
      <c r="C24" s="1204">
        <f>IFERROR(INDEX(#REF!,MATCH($B24,#REF!,0)),0)</f>
        <v>0</v>
      </c>
      <c r="D24" s="1419">
        <f t="shared" ref="D24" si="7">+C24</f>
        <v>0</v>
      </c>
      <c r="E24" s="1419"/>
      <c r="F24" s="1375"/>
      <c r="G24" s="1375"/>
      <c r="H24" s="1221"/>
      <c r="I24" s="1137"/>
    </row>
    <row r="25" spans="1:15">
      <c r="A25" s="792">
        <f t="shared" si="0"/>
        <v>1.1800000000000002</v>
      </c>
      <c r="B25" s="1184" t="str">
        <f>+"Entergy Services, Inc. 408110 Employment Taxes  (Ln "&amp;A$42&amp;")"</f>
        <v>Entergy Services, Inc. 408110 Employment Taxes  (Ln 4)</v>
      </c>
      <c r="C25" s="1204">
        <v>16529637.76</v>
      </c>
      <c r="D25" s="1419"/>
      <c r="E25" s="1419"/>
      <c r="F25" s="1375"/>
      <c r="G25" s="1375">
        <f>+C25</f>
        <v>16529637.76</v>
      </c>
      <c r="H25" s="1221" t="s">
        <v>2036</v>
      </c>
      <c r="I25" s="1137"/>
      <c r="J25" s="680"/>
      <c r="K25" s="680"/>
      <c r="L25" s="680"/>
      <c r="M25" s="680"/>
      <c r="N25" s="680"/>
      <c r="O25" s="681"/>
    </row>
    <row r="26" spans="1:15">
      <c r="A26" s="792">
        <f t="shared" si="0"/>
        <v>1.1900000000000002</v>
      </c>
      <c r="B26" s="1183" t="str">
        <f>+"Entergy Services, Inc. 408122 Excise Tax- State  (Ln "&amp;A$42&amp;")"</f>
        <v>Entergy Services, Inc. 408122 Excise Tax- State  (Ln 4)</v>
      </c>
      <c r="C26" s="1204">
        <v>326.57</v>
      </c>
      <c r="D26" s="1419"/>
      <c r="E26" s="1419"/>
      <c r="F26" s="1375">
        <f t="shared" ref="F26:F29" si="8">+C26</f>
        <v>326.57</v>
      </c>
      <c r="G26" s="1375"/>
      <c r="H26" s="1221" t="s">
        <v>2036</v>
      </c>
      <c r="I26" s="1137"/>
    </row>
    <row r="27" spans="1:15">
      <c r="A27" s="792">
        <f t="shared" si="0"/>
        <v>1.2000000000000002</v>
      </c>
      <c r="B27" s="1183" t="str">
        <f>+"Entergy Services, Inc. 408123 Excise Tax Federal  (Ln "&amp;A$42&amp;")"</f>
        <v>Entergy Services, Inc. 408123 Excise Tax Federal  (Ln 4)</v>
      </c>
      <c r="C27" s="1204">
        <v>300.51</v>
      </c>
      <c r="D27" s="1419"/>
      <c r="E27" s="1419"/>
      <c r="F27" s="1375">
        <f t="shared" si="8"/>
        <v>300.51</v>
      </c>
      <c r="G27" s="1375"/>
      <c r="H27" s="1221" t="s">
        <v>2036</v>
      </c>
      <c r="I27" s="1137"/>
    </row>
    <row r="28" spans="1:15">
      <c r="A28" s="792">
        <f t="shared" si="0"/>
        <v>1.2100000000000002</v>
      </c>
      <c r="B28" s="1183" t="str">
        <f>+"Entergy Services, Inc. 408142 Ad Valorem  (Ln "&amp;A$42&amp;")"</f>
        <v>Entergy Services, Inc. 408142 Ad Valorem  (Ln 4)</v>
      </c>
      <c r="C28" s="1204">
        <v>1752479.1800000002</v>
      </c>
      <c r="D28" s="1419"/>
      <c r="E28" s="1419"/>
      <c r="F28" s="1375">
        <f t="shared" si="8"/>
        <v>1752479.1800000002</v>
      </c>
      <c r="G28" s="1375"/>
      <c r="H28" s="1221" t="s">
        <v>2036</v>
      </c>
      <c r="I28" s="1137"/>
    </row>
    <row r="29" spans="1:15">
      <c r="A29" s="792">
        <f t="shared" si="0"/>
        <v>1.2200000000000002</v>
      </c>
      <c r="B29" s="1183" t="str">
        <f>+"Entergy Services, Inc. 408152 Franchise Tax State  (Ln "&amp;A$42&amp;")"</f>
        <v>Entergy Services, Inc. 408152 Franchise Tax State  (Ln 4)</v>
      </c>
      <c r="C29" s="1204">
        <v>-67988.66</v>
      </c>
      <c r="D29" s="1419"/>
      <c r="E29" s="1419"/>
      <c r="F29" s="1375">
        <f t="shared" si="8"/>
        <v>-67988.66</v>
      </c>
      <c r="G29" s="1375"/>
      <c r="H29" s="1221" t="s">
        <v>2036</v>
      </c>
      <c r="I29" s="1139"/>
    </row>
    <row r="30" spans="1:15">
      <c r="A30" s="792">
        <f t="shared" si="0"/>
        <v>1.2300000000000002</v>
      </c>
      <c r="B30" s="1183" t="str">
        <f>+"Entergy Services, Inc. 408165 City Occupation Tax  (Ln "&amp;A$42&amp;")"</f>
        <v>Entergy Services, Inc. 408165 City Occupation Tax  (Ln 4)</v>
      </c>
      <c r="C30" s="1204">
        <v>714.20999999999981</v>
      </c>
      <c r="D30" s="1419">
        <f>C30</f>
        <v>714.20999999999981</v>
      </c>
      <c r="E30" s="1419"/>
      <c r="F30" s="1375"/>
      <c r="G30" s="1375"/>
      <c r="H30" s="1221" t="s">
        <v>2036</v>
      </c>
      <c r="J30" s="1262" t="s">
        <v>809</v>
      </c>
      <c r="K30" s="918"/>
      <c r="L30" s="918"/>
      <c r="M30" s="918"/>
      <c r="N30" s="918"/>
    </row>
    <row r="31" spans="1:15">
      <c r="A31" s="792">
        <f t="shared" si="0"/>
        <v>1.2400000000000002</v>
      </c>
      <c r="B31" s="1183" t="s">
        <v>881</v>
      </c>
      <c r="C31" s="1204">
        <v>39261.86</v>
      </c>
      <c r="D31" s="1375"/>
      <c r="E31" s="1375"/>
      <c r="F31" s="1375">
        <f>+C31</f>
        <v>39261.86</v>
      </c>
      <c r="G31" s="1375"/>
      <c r="H31" s="1221" t="s">
        <v>2036</v>
      </c>
      <c r="I31" s="1139"/>
      <c r="J31" s="918"/>
      <c r="K31" s="918"/>
      <c r="L31" s="918"/>
      <c r="M31" s="918"/>
      <c r="N31" s="918"/>
    </row>
    <row r="32" spans="1:15">
      <c r="A32" s="792">
        <f t="shared" si="0"/>
        <v>1.2500000000000002</v>
      </c>
      <c r="B32" s="1183" t="s">
        <v>585</v>
      </c>
      <c r="C32" s="1204">
        <v>8029830</v>
      </c>
      <c r="D32" s="1375">
        <f t="shared" ref="D32:D33" si="9">+C32</f>
        <v>8029830</v>
      </c>
      <c r="E32" s="1375"/>
      <c r="F32" s="1375"/>
      <c r="G32" s="1375"/>
      <c r="H32" s="1224" t="s">
        <v>2042</v>
      </c>
      <c r="I32" s="1139"/>
      <c r="J32" s="918"/>
      <c r="K32" s="918"/>
      <c r="L32" s="918"/>
      <c r="M32" s="918"/>
      <c r="N32" s="918"/>
    </row>
    <row r="33" spans="1:14">
      <c r="A33" s="792">
        <f t="shared" si="0"/>
        <v>1.2600000000000002</v>
      </c>
      <c r="B33" s="1183" t="s">
        <v>1305</v>
      </c>
      <c r="C33" s="1204">
        <f>IFERROR(INDEX(#REF!,MATCH($B33,#REF!,0)),0)</f>
        <v>0</v>
      </c>
      <c r="D33" s="1419">
        <f t="shared" si="9"/>
        <v>0</v>
      </c>
      <c r="E33" s="1419"/>
      <c r="F33" s="1419"/>
      <c r="G33" s="1419"/>
      <c r="H33" s="1221"/>
      <c r="I33" s="1137"/>
      <c r="J33" s="918"/>
      <c r="M33" s="1404"/>
    </row>
    <row r="34" spans="1:14">
      <c r="A34" s="792">
        <f t="shared" si="0"/>
        <v>1.2700000000000002</v>
      </c>
      <c r="B34" s="1183" t="s">
        <v>1306</v>
      </c>
      <c r="C34" s="1204">
        <f>IFERROR(INDEX(#REF!,MATCH($B34,#REF!,0)),0)</f>
        <v>0</v>
      </c>
      <c r="D34" s="1419"/>
      <c r="E34" s="1419"/>
      <c r="F34" s="1375">
        <f>+C34</f>
        <v>0</v>
      </c>
      <c r="G34" s="1419"/>
      <c r="H34" s="1221"/>
      <c r="I34" s="1137"/>
      <c r="J34" s="918"/>
      <c r="M34" s="1404"/>
    </row>
    <row r="35" spans="1:14">
      <c r="A35" s="792">
        <f t="shared" si="0"/>
        <v>1.2800000000000002</v>
      </c>
      <c r="B35" s="1183" t="s">
        <v>1303</v>
      </c>
      <c r="C35" s="1204">
        <v>34487</v>
      </c>
      <c r="D35" s="1419"/>
      <c r="E35" s="1419"/>
      <c r="F35" s="1419">
        <f>+C35</f>
        <v>34487</v>
      </c>
      <c r="G35" s="1419"/>
      <c r="H35" s="1224" t="s">
        <v>2041</v>
      </c>
      <c r="I35" s="1137"/>
      <c r="J35" s="918"/>
      <c r="M35" s="1404"/>
    </row>
    <row r="36" spans="1:14">
      <c r="A36" s="1217">
        <f>+A35+0.01</f>
        <v>1.2900000000000003</v>
      </c>
      <c r="B36" s="1218" t="s">
        <v>2039</v>
      </c>
      <c r="C36" s="1219">
        <v>210171.5700000003</v>
      </c>
      <c r="D36" s="1220"/>
      <c r="E36" s="1220"/>
      <c r="F36" s="1220">
        <f>+C36</f>
        <v>210171.5700000003</v>
      </c>
      <c r="G36" s="1220"/>
      <c r="H36" s="1221" t="s">
        <v>2036</v>
      </c>
      <c r="I36" s="1139"/>
      <c r="J36" s="918"/>
      <c r="K36" s="918"/>
      <c r="L36" s="918"/>
      <c r="M36" s="918"/>
      <c r="N36" s="918"/>
    </row>
    <row r="37" spans="1:14">
      <c r="A37" s="1217">
        <f>+A36+0.01</f>
        <v>1.3000000000000003</v>
      </c>
      <c r="B37" s="1218" t="s">
        <v>934</v>
      </c>
      <c r="C37" s="1219">
        <v>0</v>
      </c>
      <c r="D37" s="1220"/>
      <c r="E37" s="1220"/>
      <c r="F37" s="1220"/>
      <c r="G37" s="1220"/>
      <c r="H37" s="1221"/>
      <c r="I37" s="1139"/>
      <c r="J37" s="918"/>
      <c r="K37" s="918"/>
      <c r="L37" s="918"/>
      <c r="M37" s="918"/>
      <c r="N37" s="918"/>
    </row>
    <row r="38" spans="1:14">
      <c r="A38" s="1217" t="s">
        <v>925</v>
      </c>
      <c r="B38" s="1218" t="s">
        <v>934</v>
      </c>
      <c r="C38" s="1219">
        <v>0</v>
      </c>
      <c r="D38" s="1220"/>
      <c r="E38" s="1220"/>
      <c r="F38" s="1220"/>
      <c r="G38" s="1220"/>
      <c r="H38" s="1221"/>
      <c r="I38" s="1139"/>
      <c r="J38" s="918"/>
      <c r="K38" s="918"/>
      <c r="L38" s="918"/>
      <c r="M38" s="918"/>
      <c r="N38" s="918"/>
    </row>
    <row r="39" spans="1:14" ht="15.6">
      <c r="A39" s="1217" t="s">
        <v>929</v>
      </c>
      <c r="B39" s="1218" t="s">
        <v>934</v>
      </c>
      <c r="C39" s="1178">
        <v>0</v>
      </c>
      <c r="D39" s="1222"/>
      <c r="E39" s="1223"/>
      <c r="F39" s="1223"/>
      <c r="G39" s="1223"/>
      <c r="H39" s="1224"/>
      <c r="I39" s="1137"/>
    </row>
    <row r="40" spans="1:14" ht="14.4" thickBot="1">
      <c r="A40" s="793">
        <f>+A7+1</f>
        <v>2</v>
      </c>
      <c r="B40" s="208" t="str">
        <f>+"Sum Line "&amp;A7&amp;" Subparts"</f>
        <v>Sum Line 1 Subparts</v>
      </c>
      <c r="C40" s="614">
        <f>+SUM(C8:C39)</f>
        <v>319688989.99999994</v>
      </c>
      <c r="D40" s="614">
        <f>+SUM(D8:D39)</f>
        <v>180882257.21000001</v>
      </c>
      <c r="E40" s="614">
        <f>+SUM(E8:E39)</f>
        <v>0</v>
      </c>
      <c r="F40" s="614">
        <f>+SUM(F8:F39)</f>
        <v>116396826.03</v>
      </c>
      <c r="G40" s="614">
        <f>+SUM(G8:G39)</f>
        <v>22409906.759999998</v>
      </c>
      <c r="H40" s="497" t="s">
        <v>453</v>
      </c>
      <c r="I40" s="542"/>
    </row>
    <row r="41" spans="1:14" ht="14.4" thickTop="1">
      <c r="A41" s="870">
        <f>+A40+1</f>
        <v>3</v>
      </c>
      <c r="B41" s="208"/>
      <c r="C41" s="495"/>
      <c r="D41" s="495"/>
      <c r="F41" s="564"/>
      <c r="G41" s="564"/>
      <c r="H41" s="497"/>
      <c r="I41" s="542"/>
    </row>
    <row r="42" spans="1:14">
      <c r="A42" s="870">
        <f>+A41+1</f>
        <v>4</v>
      </c>
      <c r="B42" s="796" t="s">
        <v>720</v>
      </c>
      <c r="C42" s="1204">
        <v>18464903</v>
      </c>
      <c r="D42" s="797"/>
      <c r="E42" s="797"/>
      <c r="F42" s="797"/>
      <c r="G42" s="797"/>
      <c r="H42" s="1224" t="s">
        <v>2037</v>
      </c>
      <c r="I42" s="496"/>
    </row>
    <row r="43" spans="1:14">
      <c r="A43" s="870"/>
      <c r="B43" s="796"/>
      <c r="C43" s="1534"/>
      <c r="D43" s="797"/>
      <c r="E43" s="797"/>
      <c r="F43" s="797"/>
      <c r="G43" s="1534"/>
      <c r="H43" s="797"/>
      <c r="I43" s="496"/>
    </row>
    <row r="44" spans="1:14" s="169" customFormat="1" ht="13.2">
      <c r="A44" s="758" t="s">
        <v>561</v>
      </c>
      <c r="B44" s="170"/>
      <c r="C44" s="170"/>
      <c r="D44" s="74"/>
      <c r="E44" s="561"/>
      <c r="F44" s="561"/>
      <c r="G44" s="561"/>
      <c r="H44" s="794"/>
      <c r="I44" s="496"/>
    </row>
    <row r="45" spans="1:14" s="169" customFormat="1" ht="53.25" customHeight="1">
      <c r="A45" s="795" t="s">
        <v>167</v>
      </c>
      <c r="B45" s="2357" t="s">
        <v>713</v>
      </c>
      <c r="C45" s="2357"/>
      <c r="D45" s="2357"/>
      <c r="E45" s="2357"/>
      <c r="F45" s="2357"/>
      <c r="G45" s="2357"/>
      <c r="H45" s="2357"/>
      <c r="I45" s="496"/>
    </row>
    <row r="46" spans="1:14" s="169" customFormat="1" ht="27" customHeight="1">
      <c r="A46" s="795" t="s">
        <v>320</v>
      </c>
      <c r="B46" s="2357" t="s">
        <v>810</v>
      </c>
      <c r="C46" s="2357"/>
      <c r="D46" s="2357"/>
      <c r="E46" s="2357"/>
      <c r="F46" s="2357"/>
      <c r="G46" s="2357"/>
      <c r="H46" s="2357"/>
      <c r="I46" s="496"/>
    </row>
    <row r="47" spans="1:14" s="169" customFormat="1" ht="13.2" customHeight="1">
      <c r="A47" s="795" t="s">
        <v>321</v>
      </c>
      <c r="B47" s="2357" t="s">
        <v>714</v>
      </c>
      <c r="C47" s="2357"/>
      <c r="D47" s="2357"/>
      <c r="E47" s="2357"/>
      <c r="F47" s="2357"/>
      <c r="G47" s="2357"/>
      <c r="H47" s="2357"/>
      <c r="I47" s="496"/>
    </row>
    <row r="48" spans="1:14" s="169" customFormat="1" ht="13.2">
      <c r="A48" s="795" t="s">
        <v>322</v>
      </c>
      <c r="B48" s="2324" t="s">
        <v>732</v>
      </c>
      <c r="C48" s="2324"/>
      <c r="D48" s="2324"/>
      <c r="E48" s="2324"/>
      <c r="F48" s="2324"/>
      <c r="G48" s="2324"/>
      <c r="H48" s="2324"/>
      <c r="I48" s="496"/>
    </row>
    <row r="49" spans="1:9" ht="26.25" customHeight="1">
      <c r="A49" s="795" t="s">
        <v>323</v>
      </c>
      <c r="B49" s="2357" t="s">
        <v>715</v>
      </c>
      <c r="C49" s="2357"/>
      <c r="D49" s="2357"/>
      <c r="E49" s="2357"/>
      <c r="F49" s="2357"/>
      <c r="G49" s="2357"/>
      <c r="H49" s="2357"/>
    </row>
    <row r="50" spans="1:9" ht="28.2" customHeight="1">
      <c r="A50" s="795" t="s">
        <v>716</v>
      </c>
      <c r="B50" s="2324" t="s">
        <v>717</v>
      </c>
      <c r="C50" s="2324"/>
      <c r="D50" s="2324"/>
      <c r="E50" s="2324"/>
      <c r="F50" s="2324"/>
      <c r="G50" s="2324"/>
      <c r="H50" s="2324"/>
      <c r="I50" s="542"/>
    </row>
    <row r="51" spans="1:9" ht="28.2" customHeight="1">
      <c r="A51" s="795" t="s">
        <v>718</v>
      </c>
      <c r="B51" s="2324" t="s">
        <v>719</v>
      </c>
      <c r="C51" s="2324"/>
      <c r="D51" s="2324"/>
      <c r="E51" s="2324"/>
      <c r="F51" s="2324"/>
      <c r="G51" s="2324"/>
      <c r="H51" s="2324"/>
      <c r="I51" s="542"/>
    </row>
    <row r="52" spans="1:9">
      <c r="A52" s="1161"/>
      <c r="B52" s="1161"/>
      <c r="C52" s="1161"/>
      <c r="D52" s="1162"/>
      <c r="E52" s="1163"/>
      <c r="F52" s="1163"/>
      <c r="G52" s="1163"/>
      <c r="H52" s="1164"/>
      <c r="I52" s="542"/>
    </row>
    <row r="53" spans="1:9">
      <c r="A53" s="1161"/>
      <c r="B53" s="1161"/>
      <c r="C53" s="1161"/>
      <c r="D53" s="1162"/>
      <c r="E53" s="1163"/>
      <c r="F53" s="1163"/>
      <c r="G53" s="1163"/>
      <c r="H53" s="1164"/>
    </row>
    <row r="54" spans="1:9">
      <c r="A54" s="1161"/>
      <c r="B54" s="1165"/>
      <c r="C54" s="1165"/>
      <c r="D54" s="1163"/>
      <c r="E54" s="1163"/>
      <c r="F54" s="1163"/>
      <c r="G54" s="1163"/>
      <c r="H54" s="1164"/>
    </row>
    <row r="55" spans="1:9">
      <c r="A55" s="1161"/>
      <c r="B55" s="1165"/>
      <c r="C55" s="1165"/>
      <c r="D55" s="1163"/>
      <c r="E55" s="1163"/>
      <c r="F55" s="1163"/>
      <c r="G55" s="1163"/>
      <c r="H55" s="1164"/>
    </row>
    <row r="214" spans="7:7">
      <c r="G214" s="1679"/>
    </row>
  </sheetData>
  <mergeCells count="10">
    <mergeCell ref="B51:H51"/>
    <mergeCell ref="B45:H45"/>
    <mergeCell ref="B46:H46"/>
    <mergeCell ref="B47:H47"/>
    <mergeCell ref="B49:H49"/>
    <mergeCell ref="A1:H1"/>
    <mergeCell ref="A3:H3"/>
    <mergeCell ref="A2:H2"/>
    <mergeCell ref="B50:H50"/>
    <mergeCell ref="B48:H48"/>
  </mergeCells>
  <phoneticPr fontId="104" type="noConversion"/>
  <printOptions horizontalCentered="1"/>
  <pageMargins left="0.7" right="0.7" top="0.7" bottom="0.7" header="0.3" footer="0.5"/>
  <pageSetup scale="70" orientation="portrait" r:id="rId1"/>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Z57"/>
  <sheetViews>
    <sheetView zoomScaleNormal="100" zoomScaleSheetLayoutView="100" workbookViewId="0">
      <selection activeCell="L6" sqref="L6"/>
    </sheetView>
  </sheetViews>
  <sheetFormatPr defaultColWidth="9.109375" defaultRowHeight="13.2"/>
  <cols>
    <col min="1" max="1" width="4.44140625" style="657" customWidth="1"/>
    <col min="2" max="2" width="49.109375" style="40" customWidth="1"/>
    <col min="3" max="3" width="26.44140625" style="40" customWidth="1"/>
    <col min="4" max="4" width="14" style="39" customWidth="1"/>
    <col min="5" max="15" width="14.33203125" style="39" customWidth="1"/>
    <col min="16" max="16" width="14" style="40" bestFit="1" customWidth="1"/>
    <col min="17" max="17" width="14.109375" style="243" bestFit="1" customWidth="1"/>
    <col min="18" max="16384" width="9.109375" style="40"/>
  </cols>
  <sheetData>
    <row r="1" spans="1:19">
      <c r="A1" s="2344" t="str">
        <f>+'MISO Cover'!C6</f>
        <v>Entergy Louisiana, LLC</v>
      </c>
      <c r="B1" s="2344"/>
      <c r="C1" s="2344"/>
      <c r="D1" s="179"/>
      <c r="E1" s="179"/>
      <c r="F1" s="179"/>
      <c r="G1" s="179"/>
      <c r="H1" s="179"/>
      <c r="I1" s="179"/>
      <c r="J1" s="179"/>
      <c r="K1" s="179"/>
      <c r="L1" s="179"/>
      <c r="M1" s="179"/>
      <c r="N1" s="179"/>
      <c r="O1" s="179"/>
      <c r="P1" s="179"/>
      <c r="Q1" s="218"/>
    </row>
    <row r="2" spans="1:19" s="39" customFormat="1">
      <c r="A2" s="2327" t="s">
        <v>664</v>
      </c>
      <c r="B2" s="2327"/>
      <c r="C2" s="2327"/>
      <c r="D2" s="171"/>
      <c r="E2" s="171"/>
      <c r="F2" s="171"/>
      <c r="G2" s="171"/>
      <c r="H2" s="171"/>
      <c r="I2" s="171"/>
      <c r="J2" s="171"/>
      <c r="K2" s="171"/>
      <c r="L2" s="171"/>
      <c r="M2" s="171"/>
      <c r="N2" s="171"/>
      <c r="O2" s="171"/>
      <c r="P2" s="171"/>
      <c r="Q2" s="172"/>
    </row>
    <row r="3" spans="1:19">
      <c r="A3" s="2370" t="str">
        <f>+'MISO Cover'!K4</f>
        <v>For  the 12 Months Ended 12/31/2017</v>
      </c>
      <c r="B3" s="2370"/>
      <c r="C3" s="2370"/>
      <c r="D3" s="889"/>
      <c r="E3" s="889"/>
      <c r="F3" s="889"/>
      <c r="G3" s="889"/>
      <c r="H3" s="889"/>
      <c r="I3" s="889"/>
      <c r="J3" s="889"/>
      <c r="K3" s="889"/>
      <c r="L3" s="889"/>
      <c r="M3" s="889"/>
      <c r="N3" s="889"/>
      <c r="O3" s="889"/>
      <c r="P3" s="889"/>
      <c r="Q3" s="1199"/>
    </row>
    <row r="4" spans="1:19">
      <c r="B4" s="1595"/>
      <c r="C4" s="1595"/>
      <c r="D4" s="1595"/>
      <c r="E4" s="1595"/>
      <c r="F4" s="643"/>
      <c r="G4" s="717"/>
      <c r="H4" s="717"/>
      <c r="I4" s="717"/>
      <c r="J4" s="717"/>
      <c r="K4" s="717"/>
      <c r="L4" s="717"/>
      <c r="M4" s="717"/>
      <c r="N4" s="717"/>
      <c r="O4" s="717"/>
      <c r="R4" s="466"/>
    </row>
    <row r="5" spans="1:19" s="716" customFormat="1" ht="12.75" customHeight="1">
      <c r="A5" s="657" t="s">
        <v>280</v>
      </c>
      <c r="B5" s="1591" t="s">
        <v>67</v>
      </c>
      <c r="C5" s="1591" t="s">
        <v>114</v>
      </c>
      <c r="D5" s="1588" t="s">
        <v>55</v>
      </c>
      <c r="E5" s="644" t="s">
        <v>68</v>
      </c>
      <c r="F5" s="644" t="s">
        <v>66</v>
      </c>
      <c r="G5" s="644" t="s">
        <v>154</v>
      </c>
      <c r="H5" s="644" t="s">
        <v>69</v>
      </c>
      <c r="I5" s="644" t="s">
        <v>166</v>
      </c>
      <c r="J5" s="644" t="s">
        <v>59</v>
      </c>
      <c r="K5" s="644" t="s">
        <v>562</v>
      </c>
      <c r="L5" s="644" t="s">
        <v>71</v>
      </c>
      <c r="M5" s="644" t="s">
        <v>98</v>
      </c>
      <c r="N5" s="644" t="s">
        <v>99</v>
      </c>
      <c r="O5" s="644" t="s">
        <v>450</v>
      </c>
      <c r="P5" s="644" t="s">
        <v>221</v>
      </c>
      <c r="Q5" s="1200" t="s">
        <v>222</v>
      </c>
    </row>
    <row r="6" spans="1:19">
      <c r="B6" s="525" t="s">
        <v>112</v>
      </c>
      <c r="C6" s="525" t="s">
        <v>139</v>
      </c>
      <c r="D6" s="670" t="s">
        <v>37</v>
      </c>
      <c r="E6" s="670" t="s">
        <v>27</v>
      </c>
      <c r="F6" s="670" t="s">
        <v>28</v>
      </c>
      <c r="G6" s="670" t="s">
        <v>29</v>
      </c>
      <c r="H6" s="670" t="s">
        <v>30</v>
      </c>
      <c r="I6" s="670" t="s">
        <v>26</v>
      </c>
      <c r="J6" s="670" t="s">
        <v>31</v>
      </c>
      <c r="K6" s="670" t="s">
        <v>32</v>
      </c>
      <c r="L6" s="670" t="s">
        <v>33</v>
      </c>
      <c r="M6" s="670" t="s">
        <v>34</v>
      </c>
      <c r="N6" s="670" t="s">
        <v>35</v>
      </c>
      <c r="O6" s="670" t="s">
        <v>36</v>
      </c>
      <c r="P6" s="670" t="s">
        <v>37</v>
      </c>
      <c r="Q6" s="1201" t="s">
        <v>618</v>
      </c>
    </row>
    <row r="7" spans="1:19">
      <c r="A7" s="657">
        <v>1</v>
      </c>
      <c r="B7" s="40" t="s">
        <v>61</v>
      </c>
    </row>
    <row r="8" spans="1:19">
      <c r="A8" s="657">
        <f>+A7+1</f>
        <v>2</v>
      </c>
      <c r="B8" s="40" t="s">
        <v>573</v>
      </c>
      <c r="C8" s="39" t="s">
        <v>660</v>
      </c>
      <c r="D8" s="199">
        <v>5282703188.8800001</v>
      </c>
      <c r="E8" s="199">
        <v>5282703188.8800001</v>
      </c>
      <c r="F8" s="199">
        <v>5282703188.8800001</v>
      </c>
      <c r="G8" s="199">
        <v>5282703188.8800001</v>
      </c>
      <c r="H8" s="199">
        <v>5282703188.8800001</v>
      </c>
      <c r="I8" s="199">
        <v>5732703188.8800001</v>
      </c>
      <c r="J8" s="199">
        <v>5732703188.8800001</v>
      </c>
      <c r="K8" s="199">
        <v>5690000000</v>
      </c>
      <c r="L8" s="199">
        <v>5690000000</v>
      </c>
      <c r="M8" s="199">
        <v>5690000000</v>
      </c>
      <c r="N8" s="199">
        <v>5690000000</v>
      </c>
      <c r="O8" s="199">
        <v>5690000000</v>
      </c>
      <c r="P8" s="199">
        <v>5690000000</v>
      </c>
      <c r="Q8" s="74">
        <f>SUM(D8:P8)/13</f>
        <v>5539917101.7046156</v>
      </c>
    </row>
    <row r="9" spans="1:19">
      <c r="A9" s="657">
        <f t="shared" ref="A9:A48" si="0">+A8+1</f>
        <v>3</v>
      </c>
      <c r="B9" s="657" t="s">
        <v>636</v>
      </c>
      <c r="C9" s="39" t="s">
        <v>661</v>
      </c>
      <c r="D9" s="199"/>
      <c r="E9" s="199"/>
      <c r="F9" s="199"/>
      <c r="G9" s="199"/>
      <c r="H9" s="199"/>
      <c r="I9" s="199"/>
      <c r="J9" s="199"/>
      <c r="K9" s="199"/>
      <c r="L9" s="199"/>
      <c r="M9" s="199"/>
      <c r="N9" s="199"/>
      <c r="O9" s="199"/>
      <c r="P9" s="199"/>
      <c r="Q9" s="74">
        <f t="shared" ref="Q9:Q11" si="1">SUM(D9:P9)/13</f>
        <v>0</v>
      </c>
    </row>
    <row r="10" spans="1:19" s="173" customFormat="1" ht="26.4">
      <c r="A10" s="693">
        <f t="shared" si="0"/>
        <v>4</v>
      </c>
      <c r="B10" s="696" t="s">
        <v>582</v>
      </c>
      <c r="C10" s="780" t="s">
        <v>662</v>
      </c>
      <c r="D10" s="185"/>
      <c r="E10" s="185"/>
      <c r="F10" s="185"/>
      <c r="G10" s="185"/>
      <c r="H10" s="185"/>
      <c r="I10" s="185"/>
      <c r="J10" s="185"/>
      <c r="K10" s="185"/>
      <c r="L10" s="185"/>
      <c r="M10" s="185"/>
      <c r="N10" s="185"/>
      <c r="O10" s="185"/>
      <c r="P10" s="185"/>
      <c r="Q10" s="74">
        <f t="shared" si="1"/>
        <v>0</v>
      </c>
      <c r="S10" s="40"/>
    </row>
    <row r="11" spans="1:19">
      <c r="A11" s="657">
        <f t="shared" si="0"/>
        <v>5</v>
      </c>
      <c r="B11" s="40" t="s">
        <v>574</v>
      </c>
      <c r="C11" s="41" t="s">
        <v>663</v>
      </c>
      <c r="D11" s="185">
        <v>263001303.07999992</v>
      </c>
      <c r="E11" s="185">
        <v>205507029.14999998</v>
      </c>
      <c r="F11" s="185">
        <v>205507029.14999998</v>
      </c>
      <c r="G11" s="185">
        <v>205502771.43999994</v>
      </c>
      <c r="H11" s="185">
        <v>205500630.60000002</v>
      </c>
      <c r="I11" s="185">
        <v>205498481.7299999</v>
      </c>
      <c r="J11" s="185">
        <v>205496324.80999994</v>
      </c>
      <c r="K11" s="185">
        <v>205494159.79999995</v>
      </c>
      <c r="L11" s="185">
        <v>205491986.66999996</v>
      </c>
      <c r="M11" s="185">
        <v>205253866.56999993</v>
      </c>
      <c r="N11" s="185">
        <v>205251677.11000001</v>
      </c>
      <c r="O11" s="185">
        <v>205249479.43999994</v>
      </c>
      <c r="P11" s="185">
        <v>205247273.52999997</v>
      </c>
      <c r="Q11" s="535">
        <f t="shared" si="1"/>
        <v>209846308.69846147</v>
      </c>
    </row>
    <row r="12" spans="1:19">
      <c r="A12" s="657">
        <f t="shared" si="0"/>
        <v>6</v>
      </c>
      <c r="B12" s="1683" t="s">
        <v>40</v>
      </c>
      <c r="C12" s="882" t="str">
        <f>+"L"&amp;A8&amp;" - L"&amp;A9&amp;" + L"&amp;A10&amp;" + L"&amp;A11</f>
        <v>L2 - L3 + L4 + L5</v>
      </c>
      <c r="D12" s="883">
        <f>+D8-D9+D10+D11</f>
        <v>5545704491.96</v>
      </c>
      <c r="E12" s="883">
        <f t="shared" ref="E12:Q12" si="2">+E8-E9+E10+E11</f>
        <v>5488210218.0299997</v>
      </c>
      <c r="F12" s="883">
        <f t="shared" si="2"/>
        <v>5488210218.0299997</v>
      </c>
      <c r="G12" s="883">
        <f t="shared" si="2"/>
        <v>5488205960.3199997</v>
      </c>
      <c r="H12" s="883">
        <f t="shared" si="2"/>
        <v>5488203819.4800005</v>
      </c>
      <c r="I12" s="883">
        <f t="shared" si="2"/>
        <v>5938201670.6099997</v>
      </c>
      <c r="J12" s="883">
        <f t="shared" si="2"/>
        <v>5938199513.6900005</v>
      </c>
      <c r="K12" s="883">
        <f t="shared" si="2"/>
        <v>5895494159.8000002</v>
      </c>
      <c r="L12" s="883">
        <f t="shared" si="2"/>
        <v>5895491986.6700001</v>
      </c>
      <c r="M12" s="883">
        <f t="shared" si="2"/>
        <v>5895253866.5699997</v>
      </c>
      <c r="N12" s="883">
        <f t="shared" si="2"/>
        <v>5895251677.1099997</v>
      </c>
      <c r="O12" s="883">
        <f t="shared" si="2"/>
        <v>5895249479.4399996</v>
      </c>
      <c r="P12" s="883">
        <f t="shared" si="2"/>
        <v>5895247273.5299997</v>
      </c>
      <c r="Q12" s="883">
        <f t="shared" si="2"/>
        <v>5749763410.4030771</v>
      </c>
    </row>
    <row r="13" spans="1:19">
      <c r="A13" s="657">
        <f t="shared" si="0"/>
        <v>7</v>
      </c>
      <c r="D13" s="74"/>
      <c r="E13" s="74"/>
      <c r="F13" s="74"/>
      <c r="G13" s="74"/>
      <c r="H13" s="74"/>
      <c r="I13" s="74"/>
      <c r="J13" s="74"/>
      <c r="K13" s="74"/>
      <c r="L13" s="74"/>
      <c r="M13" s="74"/>
      <c r="N13" s="74"/>
      <c r="O13" s="74"/>
      <c r="P13" s="74"/>
      <c r="Q13" s="74"/>
    </row>
    <row r="14" spans="1:19">
      <c r="A14" s="657">
        <f t="shared" si="0"/>
        <v>8</v>
      </c>
      <c r="B14" s="39" t="s">
        <v>586</v>
      </c>
      <c r="D14" s="74"/>
      <c r="E14" s="74"/>
      <c r="F14" s="74"/>
      <c r="G14" s="74"/>
      <c r="H14" s="74"/>
      <c r="I14" s="74"/>
      <c r="J14" s="74"/>
      <c r="K14" s="74"/>
      <c r="L14" s="74"/>
      <c r="M14" s="74"/>
      <c r="N14" s="74"/>
      <c r="O14" s="74"/>
      <c r="P14" s="74"/>
      <c r="Q14" s="74"/>
    </row>
    <row r="15" spans="1:19">
      <c r="A15" s="657">
        <f>+A14+1</f>
        <v>9</v>
      </c>
      <c r="B15" s="1309" t="s">
        <v>579</v>
      </c>
      <c r="C15" s="39" t="s">
        <v>697</v>
      </c>
      <c r="D15" s="199">
        <v>48518376.030000001</v>
      </c>
      <c r="E15" s="199">
        <v>48154737.859999999</v>
      </c>
      <c r="F15" s="199">
        <v>47907514.309999987</v>
      </c>
      <c r="G15" s="199">
        <v>47544924.539999992</v>
      </c>
      <c r="H15" s="199">
        <v>47323537.45000001</v>
      </c>
      <c r="I15" s="199">
        <v>50178455.829999991</v>
      </c>
      <c r="J15" s="199">
        <v>50024168.030000009</v>
      </c>
      <c r="K15" s="199">
        <v>49652329.150000006</v>
      </c>
      <c r="L15" s="199">
        <v>49492335.519999996</v>
      </c>
      <c r="M15" s="199">
        <v>49346808.710000008</v>
      </c>
      <c r="N15" s="199">
        <v>48957981.640000008</v>
      </c>
      <c r="O15" s="199">
        <v>48581862.350000009</v>
      </c>
      <c r="P15" s="199">
        <v>48195975.210000001</v>
      </c>
      <c r="Q15" s="74">
        <f t="shared" ref="Q15:Q19" si="3">SUM(D15:P15)/13</f>
        <v>48759923.586923085</v>
      </c>
    </row>
    <row r="16" spans="1:19">
      <c r="A16" s="657">
        <f t="shared" si="0"/>
        <v>10</v>
      </c>
      <c r="B16" s="1309" t="s">
        <v>637</v>
      </c>
      <c r="C16" s="39" t="s">
        <v>698</v>
      </c>
      <c r="D16" s="199">
        <v>27031242.030000005</v>
      </c>
      <c r="E16" s="199">
        <v>26829403.410000008</v>
      </c>
      <c r="F16" s="199">
        <v>26627564.72000001</v>
      </c>
      <c r="G16" s="199">
        <v>26425726.100000005</v>
      </c>
      <c r="H16" s="199">
        <v>26223887.340000015</v>
      </c>
      <c r="I16" s="199">
        <v>26022048.800000004</v>
      </c>
      <c r="J16" s="199">
        <v>25834085.72000001</v>
      </c>
      <c r="K16" s="199">
        <v>25646122.870000005</v>
      </c>
      <c r="L16" s="199">
        <v>25458159.919999998</v>
      </c>
      <c r="M16" s="199">
        <v>25270196.840000007</v>
      </c>
      <c r="N16" s="199">
        <v>25082233.99000001</v>
      </c>
      <c r="O16" s="199">
        <v>24894270.91</v>
      </c>
      <c r="P16" s="199">
        <v>24706308.059999995</v>
      </c>
      <c r="Q16" s="74">
        <f t="shared" si="3"/>
        <v>25850096.208461545</v>
      </c>
    </row>
    <row r="17" spans="1:26">
      <c r="A17" s="657">
        <f t="shared" si="0"/>
        <v>11</v>
      </c>
      <c r="B17" s="1309" t="s">
        <v>580</v>
      </c>
      <c r="C17" s="39" t="s">
        <v>699</v>
      </c>
      <c r="D17" s="199"/>
      <c r="E17" s="199"/>
      <c r="F17" s="199"/>
      <c r="G17" s="199"/>
      <c r="H17" s="199"/>
      <c r="I17" s="199"/>
      <c r="J17" s="199"/>
      <c r="K17" s="199"/>
      <c r="L17" s="199"/>
      <c r="M17" s="199"/>
      <c r="N17" s="199"/>
      <c r="O17" s="199"/>
      <c r="P17" s="199"/>
      <c r="Q17" s="74">
        <f t="shared" si="3"/>
        <v>0</v>
      </c>
    </row>
    <row r="18" spans="1:26">
      <c r="A18" s="657">
        <f t="shared" si="0"/>
        <v>12</v>
      </c>
      <c r="B18" s="1309" t="s">
        <v>578</v>
      </c>
      <c r="C18" s="39" t="s">
        <v>696</v>
      </c>
      <c r="D18" s="199">
        <v>14897630.259999998</v>
      </c>
      <c r="E18" s="199">
        <v>14793915.98</v>
      </c>
      <c r="F18" s="199">
        <v>14690201.699999999</v>
      </c>
      <c r="G18" s="199">
        <v>14586487.440000001</v>
      </c>
      <c r="H18" s="199">
        <v>14482773.140000001</v>
      </c>
      <c r="I18" s="199">
        <v>14599081.890000001</v>
      </c>
      <c r="J18" s="199">
        <v>14493578.77</v>
      </c>
      <c r="K18" s="199">
        <v>14388075.73</v>
      </c>
      <c r="L18" s="199">
        <v>14282572.640000001</v>
      </c>
      <c r="M18" s="199">
        <v>14177069.559999999</v>
      </c>
      <c r="N18" s="199">
        <v>14071566.52</v>
      </c>
      <c r="O18" s="199">
        <v>13966063.420000002</v>
      </c>
      <c r="P18" s="199">
        <v>13860560.369999999</v>
      </c>
      <c r="Q18" s="74">
        <f t="shared" si="3"/>
        <v>14406890.570769232</v>
      </c>
    </row>
    <row r="19" spans="1:26">
      <c r="A19" s="657">
        <f t="shared" si="0"/>
        <v>13</v>
      </c>
      <c r="B19" s="1309" t="s">
        <v>638</v>
      </c>
      <c r="C19" s="39" t="s">
        <v>700</v>
      </c>
      <c r="D19" s="199">
        <v>0</v>
      </c>
      <c r="E19" s="199">
        <v>0</v>
      </c>
      <c r="F19" s="199">
        <v>0</v>
      </c>
      <c r="G19" s="199">
        <v>0</v>
      </c>
      <c r="H19" s="199">
        <v>0</v>
      </c>
      <c r="I19" s="199">
        <v>0</v>
      </c>
      <c r="J19" s="199">
        <v>0</v>
      </c>
      <c r="K19" s="199">
        <v>0</v>
      </c>
      <c r="L19" s="199">
        <v>0</v>
      </c>
      <c r="M19" s="199">
        <v>0</v>
      </c>
      <c r="N19" s="199">
        <v>0</v>
      </c>
      <c r="O19" s="199">
        <v>0</v>
      </c>
      <c r="P19" s="199">
        <v>0</v>
      </c>
      <c r="Q19" s="74">
        <f t="shared" si="3"/>
        <v>0</v>
      </c>
    </row>
    <row r="20" spans="1:26">
      <c r="A20" s="657">
        <f t="shared" si="0"/>
        <v>14</v>
      </c>
      <c r="B20" s="1684" t="s">
        <v>41</v>
      </c>
      <c r="C20" s="882" t="str">
        <f>+"L"&amp;A12&amp;" - L"&amp;A15&amp;" - L"&amp;A16&amp;" + L"&amp;A17&amp;" - L"&amp;A18&amp;" + L"&amp;A19</f>
        <v>L6 - L9 - L10 + L11 - L12 + L13</v>
      </c>
      <c r="D20" s="883">
        <f>+D12-D15-D16+D17-D18+D19</f>
        <v>5455257243.6400003</v>
      </c>
      <c r="E20" s="883">
        <f t="shared" ref="E20:Q20" si="4">+E12-E15-E16+E17-E18+E19</f>
        <v>5398432160.7800007</v>
      </c>
      <c r="F20" s="883">
        <f t="shared" si="4"/>
        <v>5398984937.2999992</v>
      </c>
      <c r="G20" s="883">
        <f t="shared" si="4"/>
        <v>5399648822.2399998</v>
      </c>
      <c r="H20" s="883">
        <f t="shared" si="4"/>
        <v>5400173621.5500002</v>
      </c>
      <c r="I20" s="883">
        <f t="shared" si="4"/>
        <v>5847402084.0899992</v>
      </c>
      <c r="J20" s="883">
        <f t="shared" si="4"/>
        <v>5847847681.1700001</v>
      </c>
      <c r="K20" s="883">
        <f t="shared" si="4"/>
        <v>5805807632.0500011</v>
      </c>
      <c r="L20" s="883">
        <f t="shared" si="4"/>
        <v>5806258918.5899992</v>
      </c>
      <c r="M20" s="883">
        <f t="shared" si="4"/>
        <v>5806459791.4599991</v>
      </c>
      <c r="N20" s="883">
        <f t="shared" si="4"/>
        <v>5807139894.9599991</v>
      </c>
      <c r="O20" s="883">
        <f t="shared" si="4"/>
        <v>5807807282.7599993</v>
      </c>
      <c r="P20" s="883">
        <f t="shared" si="4"/>
        <v>5808484429.8899994</v>
      </c>
      <c r="Q20" s="883">
        <f t="shared" si="4"/>
        <v>5660746500.0369234</v>
      </c>
    </row>
    <row r="21" spans="1:26">
      <c r="A21" s="657">
        <f t="shared" si="0"/>
        <v>15</v>
      </c>
      <c r="D21" s="74"/>
      <c r="E21" s="74"/>
      <c r="F21" s="74"/>
      <c r="G21" s="74"/>
      <c r="H21" s="74"/>
      <c r="I21" s="74"/>
      <c r="J21" s="74"/>
      <c r="K21" s="74"/>
      <c r="L21" s="74"/>
      <c r="M21" s="74"/>
      <c r="N21" s="74"/>
      <c r="O21" s="74"/>
      <c r="P21" s="74"/>
      <c r="Q21" s="74"/>
    </row>
    <row r="22" spans="1:26">
      <c r="A22" s="657">
        <f t="shared" si="0"/>
        <v>16</v>
      </c>
      <c r="B22" s="40" t="s">
        <v>45</v>
      </c>
      <c r="D22" s="74"/>
      <c r="E22" s="74"/>
      <c r="F22" s="74"/>
      <c r="G22" s="74"/>
      <c r="H22" s="74"/>
      <c r="I22" s="74"/>
      <c r="J22" s="74"/>
      <c r="K22" s="74"/>
      <c r="L22" s="74"/>
      <c r="M22" s="74"/>
      <c r="N22" s="74"/>
      <c r="O22" s="74"/>
      <c r="P22" s="74"/>
    </row>
    <row r="23" spans="1:26">
      <c r="A23" s="657">
        <f t="shared" si="0"/>
        <v>17</v>
      </c>
      <c r="B23" s="39" t="s">
        <v>572</v>
      </c>
      <c r="C23" s="39" t="s">
        <v>888</v>
      </c>
      <c r="D23" s="74"/>
      <c r="E23" s="74"/>
      <c r="F23" s="74"/>
      <c r="G23" s="74"/>
      <c r="H23" s="74"/>
      <c r="I23" s="74"/>
      <c r="J23" s="74"/>
      <c r="K23" s="74"/>
      <c r="L23" s="74"/>
      <c r="M23" s="74"/>
      <c r="N23" s="74"/>
      <c r="O23" s="74"/>
      <c r="P23" s="199">
        <v>252479631.03999999</v>
      </c>
    </row>
    <row r="24" spans="1:26">
      <c r="A24" s="657">
        <f t="shared" si="0"/>
        <v>18</v>
      </c>
      <c r="B24" s="1309" t="s">
        <v>571</v>
      </c>
      <c r="C24" s="39"/>
      <c r="D24" s="74"/>
      <c r="E24" s="74"/>
      <c r="F24" s="74"/>
      <c r="G24" s="74"/>
      <c r="H24" s="74"/>
      <c r="I24" s="74"/>
      <c r="J24" s="74"/>
      <c r="K24" s="74"/>
      <c r="L24" s="74"/>
      <c r="M24" s="74"/>
      <c r="N24" s="74"/>
      <c r="O24" s="74"/>
      <c r="P24" s="199"/>
      <c r="Q24" s="501"/>
    </row>
    <row r="25" spans="1:26">
      <c r="A25" s="657">
        <f t="shared" si="0"/>
        <v>19</v>
      </c>
      <c r="B25" s="39" t="s">
        <v>576</v>
      </c>
      <c r="C25" s="39" t="s">
        <v>889</v>
      </c>
      <c r="D25" s="74"/>
      <c r="E25" s="74"/>
      <c r="F25" s="74"/>
      <c r="G25" s="74"/>
      <c r="H25" s="74"/>
      <c r="I25" s="74"/>
      <c r="J25" s="74"/>
      <c r="K25" s="74"/>
      <c r="L25" s="74"/>
      <c r="M25" s="74"/>
      <c r="N25" s="74"/>
      <c r="O25" s="74"/>
      <c r="P25" s="199">
        <v>5795634.9100000001</v>
      </c>
      <c r="Q25" s="501"/>
    </row>
    <row r="26" spans="1:26">
      <c r="A26" s="657">
        <f t="shared" si="0"/>
        <v>20</v>
      </c>
      <c r="B26" s="39" t="s">
        <v>639</v>
      </c>
      <c r="C26" s="39" t="s">
        <v>890</v>
      </c>
      <c r="D26" s="74"/>
      <c r="E26" s="74"/>
      <c r="F26" s="74"/>
      <c r="G26" s="74"/>
      <c r="H26" s="74"/>
      <c r="I26" s="74"/>
      <c r="J26" s="74"/>
      <c r="K26" s="74"/>
      <c r="L26" s="74"/>
      <c r="M26" s="74"/>
      <c r="N26" s="74"/>
      <c r="O26" s="74"/>
      <c r="P26" s="199">
        <v>2324933.9699999993</v>
      </c>
      <c r="Q26" s="501"/>
    </row>
    <row r="27" spans="1:26">
      <c r="A27" s="657">
        <f t="shared" si="0"/>
        <v>21</v>
      </c>
      <c r="B27" s="1309" t="s">
        <v>577</v>
      </c>
      <c r="C27" s="39" t="s">
        <v>891</v>
      </c>
      <c r="D27" s="74"/>
      <c r="E27" s="74"/>
      <c r="F27" s="74"/>
      <c r="G27" s="74"/>
      <c r="H27" s="74"/>
      <c r="I27" s="74"/>
      <c r="J27" s="74"/>
      <c r="K27" s="74"/>
      <c r="L27" s="74"/>
      <c r="M27" s="74"/>
      <c r="N27" s="74"/>
      <c r="O27" s="74"/>
      <c r="P27" s="199">
        <v>0</v>
      </c>
      <c r="Q27" s="501"/>
    </row>
    <row r="28" spans="1:26">
      <c r="A28" s="657">
        <f t="shared" si="0"/>
        <v>22</v>
      </c>
      <c r="B28" s="1309" t="s">
        <v>640</v>
      </c>
      <c r="C28" s="39" t="s">
        <v>892</v>
      </c>
      <c r="D28" s="74"/>
      <c r="E28" s="74"/>
      <c r="F28" s="74"/>
      <c r="G28" s="74"/>
      <c r="H28" s="74"/>
      <c r="I28" s="74"/>
      <c r="J28" s="74"/>
      <c r="K28" s="74"/>
      <c r="L28" s="74"/>
      <c r="M28" s="74"/>
      <c r="N28" s="74"/>
      <c r="O28" s="74"/>
      <c r="P28" s="185">
        <v>0</v>
      </c>
      <c r="Q28" s="501"/>
    </row>
    <row r="29" spans="1:26" s="173" customFormat="1" ht="25.5" customHeight="1">
      <c r="A29" s="693">
        <f t="shared" si="0"/>
        <v>23</v>
      </c>
      <c r="B29" s="1589" t="s">
        <v>847</v>
      </c>
      <c r="C29" s="534" t="s">
        <v>893</v>
      </c>
      <c r="D29" s="74"/>
      <c r="E29" s="74"/>
      <c r="F29" s="74"/>
      <c r="G29" s="74"/>
      <c r="H29" s="74"/>
      <c r="I29" s="74"/>
      <c r="J29" s="74"/>
      <c r="K29" s="74"/>
      <c r="L29" s="74"/>
      <c r="M29" s="74"/>
      <c r="N29" s="74"/>
      <c r="O29" s="74"/>
      <c r="P29" s="695">
        <v>0</v>
      </c>
      <c r="Q29" s="885"/>
      <c r="R29" s="40"/>
      <c r="S29" s="40"/>
      <c r="T29" s="40"/>
      <c r="U29" s="40"/>
      <c r="V29" s="40"/>
      <c r="W29" s="40"/>
      <c r="X29" s="40"/>
      <c r="Y29" s="40"/>
      <c r="Z29" s="40"/>
    </row>
    <row r="30" spans="1:26" ht="13.2" customHeight="1">
      <c r="A30" s="657">
        <f t="shared" si="0"/>
        <v>24</v>
      </c>
      <c r="B30" s="1684" t="s">
        <v>42</v>
      </c>
      <c r="C30" s="1080" t="str">
        <f>+"L"&amp;A23&amp;" - L"&amp;A24&amp;" + L"&amp;A25&amp;" + L"&amp;A26&amp;" - L"&amp;A27&amp;" - L"&amp;A28&amp;" + L"&amp;A29</f>
        <v>L17 - L18 + L19 + L20 - L21 - L22 + L23</v>
      </c>
      <c r="D30" s="74"/>
      <c r="E30" s="74"/>
      <c r="F30" s="74"/>
      <c r="G30" s="74"/>
      <c r="H30" s="74"/>
      <c r="I30" s="74"/>
      <c r="J30" s="74"/>
      <c r="K30" s="74"/>
      <c r="L30" s="74"/>
      <c r="M30" s="74"/>
      <c r="N30" s="74"/>
      <c r="O30" s="74"/>
      <c r="P30" s="256">
        <f>+P23-P24+P25+P26-P27-P28+P29</f>
        <v>260600199.91999999</v>
      </c>
      <c r="Q30" s="256"/>
    </row>
    <row r="31" spans="1:26">
      <c r="A31" s="657">
        <f t="shared" si="0"/>
        <v>25</v>
      </c>
      <c r="B31" s="39"/>
      <c r="C31" s="181"/>
      <c r="D31" s="74"/>
      <c r="E31" s="74"/>
      <c r="F31" s="74"/>
      <c r="G31" s="74"/>
      <c r="H31" s="74"/>
      <c r="I31" s="74"/>
      <c r="J31" s="74"/>
      <c r="K31" s="74"/>
      <c r="L31" s="74"/>
      <c r="M31" s="74"/>
      <c r="N31" s="74"/>
      <c r="O31" s="74"/>
      <c r="P31" s="74"/>
    </row>
    <row r="32" spans="1:26">
      <c r="A32" s="657">
        <f t="shared" si="0"/>
        <v>26</v>
      </c>
      <c r="B32" s="964" t="s">
        <v>46</v>
      </c>
      <c r="C32" s="39"/>
      <c r="D32" s="74"/>
      <c r="E32" s="74"/>
      <c r="F32" s="74"/>
      <c r="G32" s="74"/>
      <c r="H32" s="74"/>
      <c r="I32" s="74"/>
      <c r="J32" s="74"/>
      <c r="K32" s="74"/>
      <c r="L32" s="74"/>
      <c r="M32" s="74"/>
      <c r="N32" s="74"/>
      <c r="O32" s="74"/>
      <c r="P32" s="74"/>
    </row>
    <row r="33" spans="1:26">
      <c r="A33" s="657">
        <f t="shared" si="0"/>
        <v>27</v>
      </c>
      <c r="B33" s="39" t="s">
        <v>575</v>
      </c>
      <c r="C33" s="39" t="s">
        <v>701</v>
      </c>
      <c r="D33" s="199">
        <v>0</v>
      </c>
      <c r="E33" s="199">
        <v>0</v>
      </c>
      <c r="F33" s="199">
        <v>0</v>
      </c>
      <c r="G33" s="199">
        <v>0</v>
      </c>
      <c r="H33" s="199">
        <v>0</v>
      </c>
      <c r="I33" s="199">
        <v>0</v>
      </c>
      <c r="J33" s="199">
        <v>0</v>
      </c>
      <c r="K33" s="199">
        <v>0</v>
      </c>
      <c r="L33" s="199">
        <v>0</v>
      </c>
      <c r="M33" s="199">
        <v>0</v>
      </c>
      <c r="N33" s="199">
        <v>0</v>
      </c>
      <c r="O33" s="199">
        <v>0</v>
      </c>
      <c r="P33" s="199">
        <v>0</v>
      </c>
      <c r="Q33" s="74">
        <f t="shared" ref="Q33:Q38" si="5">SUM(D33:P33)/13</f>
        <v>0</v>
      </c>
    </row>
    <row r="34" spans="1:26">
      <c r="A34" s="657">
        <f t="shared" si="0"/>
        <v>28</v>
      </c>
      <c r="B34" s="39" t="s">
        <v>886</v>
      </c>
      <c r="C34" s="39" t="s">
        <v>708</v>
      </c>
      <c r="D34" s="199">
        <v>0</v>
      </c>
      <c r="E34" s="199">
        <v>0</v>
      </c>
      <c r="F34" s="199">
        <v>0</v>
      </c>
      <c r="G34" s="199">
        <v>0</v>
      </c>
      <c r="H34" s="199">
        <v>0</v>
      </c>
      <c r="I34" s="199">
        <v>0</v>
      </c>
      <c r="J34" s="199">
        <v>0</v>
      </c>
      <c r="K34" s="199">
        <v>0</v>
      </c>
      <c r="L34" s="199">
        <v>0</v>
      </c>
      <c r="M34" s="199">
        <v>0</v>
      </c>
      <c r="N34" s="199">
        <v>0</v>
      </c>
      <c r="O34" s="199">
        <v>0</v>
      </c>
      <c r="P34" s="199">
        <v>0</v>
      </c>
      <c r="Q34" s="74">
        <f t="shared" si="5"/>
        <v>0</v>
      </c>
    </row>
    <row r="35" spans="1:26">
      <c r="A35" s="657">
        <f t="shared" si="0"/>
        <v>29</v>
      </c>
      <c r="B35" s="39" t="s">
        <v>945</v>
      </c>
      <c r="C35" s="39" t="s">
        <v>709</v>
      </c>
      <c r="D35" s="199">
        <v>0</v>
      </c>
      <c r="E35" s="199">
        <v>0</v>
      </c>
      <c r="F35" s="199">
        <v>0</v>
      </c>
      <c r="G35" s="199">
        <v>0</v>
      </c>
      <c r="H35" s="199">
        <v>0</v>
      </c>
      <c r="I35" s="199">
        <v>0</v>
      </c>
      <c r="J35" s="199">
        <v>0</v>
      </c>
      <c r="K35" s="199">
        <v>0</v>
      </c>
      <c r="L35" s="199">
        <v>0</v>
      </c>
      <c r="M35" s="199">
        <v>0</v>
      </c>
      <c r="N35" s="199">
        <v>0</v>
      </c>
      <c r="O35" s="199">
        <v>0</v>
      </c>
      <c r="P35" s="199">
        <v>0</v>
      </c>
      <c r="Q35" s="74">
        <f t="shared" si="5"/>
        <v>0</v>
      </c>
    </row>
    <row r="36" spans="1:26">
      <c r="A36" s="657">
        <f t="shared" si="0"/>
        <v>30</v>
      </c>
      <c r="B36" s="1249" t="s">
        <v>946</v>
      </c>
      <c r="C36" s="39" t="s">
        <v>710</v>
      </c>
      <c r="D36" s="185">
        <v>0</v>
      </c>
      <c r="E36" s="185">
        <v>0</v>
      </c>
      <c r="F36" s="185">
        <v>0</v>
      </c>
      <c r="G36" s="185">
        <v>0</v>
      </c>
      <c r="H36" s="185">
        <v>0</v>
      </c>
      <c r="I36" s="185">
        <v>0</v>
      </c>
      <c r="J36" s="185">
        <v>0</v>
      </c>
      <c r="K36" s="185">
        <v>0</v>
      </c>
      <c r="L36" s="185">
        <v>0</v>
      </c>
      <c r="M36" s="185">
        <v>0</v>
      </c>
      <c r="N36" s="185">
        <v>0</v>
      </c>
      <c r="O36" s="185">
        <v>0</v>
      </c>
      <c r="P36" s="185">
        <v>0</v>
      </c>
      <c r="Q36" s="74">
        <f t="shared" si="5"/>
        <v>0</v>
      </c>
    </row>
    <row r="37" spans="1:26">
      <c r="A37" s="657">
        <f t="shared" si="0"/>
        <v>31</v>
      </c>
      <c r="B37" s="1249" t="s">
        <v>885</v>
      </c>
      <c r="C37" s="39" t="s">
        <v>711</v>
      </c>
      <c r="D37" s="185">
        <v>0</v>
      </c>
      <c r="E37" s="185">
        <v>0</v>
      </c>
      <c r="F37" s="185">
        <v>0</v>
      </c>
      <c r="G37" s="185">
        <v>0</v>
      </c>
      <c r="H37" s="185">
        <v>0</v>
      </c>
      <c r="I37" s="185">
        <v>0</v>
      </c>
      <c r="J37" s="185">
        <v>0</v>
      </c>
      <c r="K37" s="185">
        <v>0</v>
      </c>
      <c r="L37" s="185">
        <v>0</v>
      </c>
      <c r="M37" s="185">
        <v>0</v>
      </c>
      <c r="N37" s="185">
        <v>0</v>
      </c>
      <c r="O37" s="185">
        <v>0</v>
      </c>
      <c r="P37" s="185">
        <v>0</v>
      </c>
      <c r="Q37" s="74">
        <f t="shared" si="5"/>
        <v>0</v>
      </c>
    </row>
    <row r="38" spans="1:26">
      <c r="A38" s="657">
        <f t="shared" si="0"/>
        <v>32</v>
      </c>
      <c r="B38" s="1249" t="s">
        <v>947</v>
      </c>
      <c r="C38" s="39" t="s">
        <v>712</v>
      </c>
      <c r="D38" s="251">
        <v>0</v>
      </c>
      <c r="E38" s="251">
        <v>0</v>
      </c>
      <c r="F38" s="251">
        <v>0</v>
      </c>
      <c r="G38" s="251">
        <v>0</v>
      </c>
      <c r="H38" s="251">
        <v>0</v>
      </c>
      <c r="I38" s="251">
        <v>0</v>
      </c>
      <c r="J38" s="251">
        <v>0</v>
      </c>
      <c r="K38" s="251">
        <v>0</v>
      </c>
      <c r="L38" s="251">
        <v>0</v>
      </c>
      <c r="M38" s="251">
        <v>0</v>
      </c>
      <c r="N38" s="251">
        <v>0</v>
      </c>
      <c r="O38" s="251">
        <v>0</v>
      </c>
      <c r="P38" s="251">
        <v>0</v>
      </c>
      <c r="Q38" s="535">
        <f t="shared" si="5"/>
        <v>0</v>
      </c>
    </row>
    <row r="39" spans="1:26">
      <c r="A39" s="657">
        <f t="shared" si="0"/>
        <v>33</v>
      </c>
      <c r="B39" s="965" t="s">
        <v>47</v>
      </c>
      <c r="C39" s="882" t="str">
        <f>+"L"&amp;A33&amp;"+L"&amp;A34&amp;"+L"&amp;A35&amp;"-L"&amp;A36&amp;"-L"&amp;A37&amp;"-L"&amp;A38</f>
        <v>L27+L28+L29-L30-L31-L32</v>
      </c>
      <c r="D39" s="74">
        <f t="shared" ref="D39:Q39" si="6">+D33-D38+D34+D35-D36-D37</f>
        <v>0</v>
      </c>
      <c r="E39" s="74">
        <f t="shared" si="6"/>
        <v>0</v>
      </c>
      <c r="F39" s="74">
        <f t="shared" si="6"/>
        <v>0</v>
      </c>
      <c r="G39" s="74">
        <f t="shared" si="6"/>
        <v>0</v>
      </c>
      <c r="H39" s="74">
        <f t="shared" si="6"/>
        <v>0</v>
      </c>
      <c r="I39" s="74">
        <f t="shared" si="6"/>
        <v>0</v>
      </c>
      <c r="J39" s="74">
        <f t="shared" si="6"/>
        <v>0</v>
      </c>
      <c r="K39" s="74">
        <f t="shared" si="6"/>
        <v>0</v>
      </c>
      <c r="L39" s="74">
        <f t="shared" si="6"/>
        <v>0</v>
      </c>
      <c r="M39" s="74">
        <f t="shared" si="6"/>
        <v>0</v>
      </c>
      <c r="N39" s="74">
        <f t="shared" si="6"/>
        <v>0</v>
      </c>
      <c r="O39" s="74">
        <f t="shared" si="6"/>
        <v>0</v>
      </c>
      <c r="P39" s="74">
        <f t="shared" si="6"/>
        <v>0</v>
      </c>
      <c r="Q39" s="74">
        <f t="shared" si="6"/>
        <v>0</v>
      </c>
    </row>
    <row r="40" spans="1:26">
      <c r="A40" s="657">
        <f t="shared" si="0"/>
        <v>34</v>
      </c>
      <c r="B40" s="69"/>
      <c r="C40" s="69"/>
      <c r="D40" s="74"/>
      <c r="E40" s="74"/>
      <c r="F40" s="74"/>
      <c r="G40" s="74"/>
      <c r="H40" s="74"/>
      <c r="I40" s="74"/>
      <c r="J40" s="74"/>
      <c r="K40" s="74"/>
      <c r="L40" s="74"/>
      <c r="M40" s="74"/>
      <c r="N40" s="74"/>
      <c r="O40" s="74"/>
      <c r="P40" s="74"/>
      <c r="Q40" s="74"/>
    </row>
    <row r="41" spans="1:26">
      <c r="A41" s="657">
        <f t="shared" si="0"/>
        <v>35</v>
      </c>
      <c r="B41" s="41" t="s">
        <v>702</v>
      </c>
      <c r="C41" s="39" t="s">
        <v>894</v>
      </c>
      <c r="D41" s="74"/>
      <c r="E41" s="74"/>
      <c r="F41" s="74"/>
      <c r="G41" s="74"/>
      <c r="H41" s="74"/>
      <c r="I41" s="74"/>
      <c r="J41" s="74"/>
      <c r="K41" s="74"/>
      <c r="L41" s="74"/>
      <c r="M41" s="74"/>
      <c r="N41" s="74"/>
      <c r="O41" s="74"/>
      <c r="P41" s="199">
        <v>0</v>
      </c>
      <c r="Q41" s="74"/>
    </row>
    <row r="42" spans="1:26">
      <c r="A42" s="657">
        <f t="shared" si="0"/>
        <v>36</v>
      </c>
      <c r="B42" s="39"/>
      <c r="C42" s="39"/>
      <c r="D42" s="74"/>
      <c r="E42" s="74"/>
      <c r="F42" s="74"/>
      <c r="G42" s="74"/>
      <c r="H42" s="74"/>
      <c r="I42" s="74"/>
      <c r="J42" s="74"/>
      <c r="K42" s="74"/>
      <c r="L42" s="74"/>
      <c r="M42" s="74"/>
      <c r="N42" s="74"/>
      <c r="O42" s="74"/>
      <c r="P42" s="74"/>
      <c r="Q42" s="74"/>
    </row>
    <row r="43" spans="1:26">
      <c r="A43" s="657">
        <f t="shared" si="0"/>
        <v>37</v>
      </c>
      <c r="B43" s="884" t="s">
        <v>53</v>
      </c>
      <c r="C43" s="39"/>
      <c r="D43" s="74"/>
      <c r="E43" s="74"/>
      <c r="F43" s="74"/>
      <c r="G43" s="74"/>
      <c r="H43" s="74"/>
      <c r="I43" s="74"/>
      <c r="J43" s="74"/>
      <c r="K43" s="74"/>
      <c r="L43" s="74"/>
      <c r="M43" s="74"/>
      <c r="N43" s="74"/>
      <c r="O43" s="74"/>
      <c r="P43" s="74"/>
      <c r="Q43" s="74"/>
    </row>
    <row r="44" spans="1:26">
      <c r="A44" s="657">
        <f t="shared" si="0"/>
        <v>38</v>
      </c>
      <c r="B44" s="39" t="s">
        <v>115</v>
      </c>
      <c r="C44" s="39" t="s">
        <v>703</v>
      </c>
      <c r="D44" s="199">
        <v>5081204852.1900005</v>
      </c>
      <c r="E44" s="199">
        <v>5098422248.9966669</v>
      </c>
      <c r="F44" s="199">
        <v>5115794023.0033331</v>
      </c>
      <c r="G44" s="199">
        <v>5133088608.3599997</v>
      </c>
      <c r="H44" s="199">
        <v>5158143772.6800013</v>
      </c>
      <c r="I44" s="199">
        <v>5183138142.3000002</v>
      </c>
      <c r="J44" s="199">
        <v>5208132494.1400003</v>
      </c>
      <c r="K44" s="199">
        <v>5270103605.3033333</v>
      </c>
      <c r="L44" s="199">
        <v>5332074716.4766665</v>
      </c>
      <c r="M44" s="199">
        <v>5394045807.9700003</v>
      </c>
      <c r="N44" s="199">
        <v>5364324503.4233332</v>
      </c>
      <c r="O44" s="199">
        <v>5334603198.916667</v>
      </c>
      <c r="P44" s="199">
        <v>5308344630</v>
      </c>
      <c r="Q44" s="74">
        <f t="shared" ref="Q44:Q47" si="7">SUM(D44:P44)/13</f>
        <v>5229340046.443078</v>
      </c>
    </row>
    <row r="45" spans="1:26">
      <c r="A45" s="657">
        <f t="shared" si="0"/>
        <v>39</v>
      </c>
      <c r="B45" s="197" t="s">
        <v>496</v>
      </c>
      <c r="C45" s="39" t="str">
        <f>+"L"&amp;A39&amp;" Above"</f>
        <v>L33 Above</v>
      </c>
      <c r="D45" s="74">
        <f>D39</f>
        <v>0</v>
      </c>
      <c r="E45" s="74">
        <f t="shared" ref="E45:P45" si="8">E39</f>
        <v>0</v>
      </c>
      <c r="F45" s="74">
        <f t="shared" si="8"/>
        <v>0</v>
      </c>
      <c r="G45" s="74">
        <f t="shared" si="8"/>
        <v>0</v>
      </c>
      <c r="H45" s="74">
        <f t="shared" si="8"/>
        <v>0</v>
      </c>
      <c r="I45" s="74">
        <f t="shared" si="8"/>
        <v>0</v>
      </c>
      <c r="J45" s="74">
        <f t="shared" si="8"/>
        <v>0</v>
      </c>
      <c r="K45" s="74">
        <f t="shared" si="8"/>
        <v>0</v>
      </c>
      <c r="L45" s="74">
        <f t="shared" si="8"/>
        <v>0</v>
      </c>
      <c r="M45" s="74">
        <f t="shared" si="8"/>
        <v>0</v>
      </c>
      <c r="N45" s="74">
        <f t="shared" si="8"/>
        <v>0</v>
      </c>
      <c r="O45" s="74">
        <f t="shared" si="8"/>
        <v>0</v>
      </c>
      <c r="P45" s="74">
        <f t="shared" si="8"/>
        <v>0</v>
      </c>
      <c r="Q45" s="74">
        <f t="shared" si="7"/>
        <v>0</v>
      </c>
    </row>
    <row r="46" spans="1:26" s="173" customFormat="1" ht="26.25" customHeight="1">
      <c r="A46" s="693">
        <f t="shared" si="0"/>
        <v>40</v>
      </c>
      <c r="B46" s="909" t="s">
        <v>641</v>
      </c>
      <c r="C46" s="534" t="s">
        <v>704</v>
      </c>
      <c r="D46" s="694">
        <v>-32909582</v>
      </c>
      <c r="E46" s="694">
        <v>-33049461.333333332</v>
      </c>
      <c r="F46" s="694">
        <v>-33189340.666666664</v>
      </c>
      <c r="G46" s="694">
        <v>-33329220</v>
      </c>
      <c r="H46" s="694">
        <v>-33316723.333333332</v>
      </c>
      <c r="I46" s="694">
        <v>-33304226.666666664</v>
      </c>
      <c r="J46" s="694">
        <v>-33291730</v>
      </c>
      <c r="K46" s="694">
        <v>-33287715.333333332</v>
      </c>
      <c r="L46" s="694">
        <v>-33283700.666666664</v>
      </c>
      <c r="M46" s="694">
        <v>-33279686</v>
      </c>
      <c r="N46" s="694">
        <v>-33178872.666666668</v>
      </c>
      <c r="O46" s="694">
        <v>-33078059.333333336</v>
      </c>
      <c r="P46" s="694">
        <v>-32977246</v>
      </c>
      <c r="Q46" s="887">
        <f t="shared" si="7"/>
        <v>-33190428</v>
      </c>
      <c r="R46" s="40"/>
      <c r="S46" s="40"/>
      <c r="T46" s="40"/>
      <c r="U46" s="40"/>
      <c r="V46" s="40"/>
      <c r="W46" s="40"/>
      <c r="X46" s="40"/>
      <c r="Y46" s="40"/>
      <c r="Z46" s="40"/>
    </row>
    <row r="47" spans="1:26">
      <c r="A47" s="657">
        <f t="shared" si="0"/>
        <v>41</v>
      </c>
      <c r="B47" s="197" t="s">
        <v>581</v>
      </c>
      <c r="C47" s="39" t="s">
        <v>705</v>
      </c>
      <c r="D47" s="199">
        <v>-48442105.670000002</v>
      </c>
      <c r="E47" s="199">
        <v>-48642713.670000002</v>
      </c>
      <c r="F47" s="199">
        <v>-48688944.329999998</v>
      </c>
      <c r="G47" s="199">
        <v>-48812363.640000001</v>
      </c>
      <c r="H47" s="199">
        <v>-48874988.32</v>
      </c>
      <c r="I47" s="199">
        <v>-48998407.700000003</v>
      </c>
      <c r="J47" s="199">
        <v>-49121844.859999999</v>
      </c>
      <c r="K47" s="199">
        <v>-49245282.030000001</v>
      </c>
      <c r="L47" s="199">
        <v>-49368719.189999998</v>
      </c>
      <c r="M47" s="199">
        <v>-49492176.030000001</v>
      </c>
      <c r="N47" s="199">
        <v>-49615632.909999996</v>
      </c>
      <c r="O47" s="199">
        <v>-49739089.75</v>
      </c>
      <c r="P47" s="199">
        <v>-46399811.140000001</v>
      </c>
      <c r="Q47" s="74">
        <f t="shared" si="7"/>
        <v>-48880159.941538461</v>
      </c>
    </row>
    <row r="48" spans="1:26">
      <c r="A48" s="657">
        <f t="shared" si="0"/>
        <v>42</v>
      </c>
      <c r="B48" s="965" t="s">
        <v>44</v>
      </c>
      <c r="C48" s="882" t="str">
        <f>+"L"&amp;A44&amp;" - (L"&amp;A45&amp;" to L"&amp;A47&amp;")"</f>
        <v>L38 - (L39 to L41)</v>
      </c>
      <c r="D48" s="883">
        <f>+D44-D45-D46-D47</f>
        <v>5162556539.8600006</v>
      </c>
      <c r="E48" s="883">
        <f t="shared" ref="E48:Q48" si="9">+E44-E45-E46-E47</f>
        <v>5180114424</v>
      </c>
      <c r="F48" s="883">
        <f t="shared" si="9"/>
        <v>5197672308</v>
      </c>
      <c r="G48" s="883">
        <f t="shared" si="9"/>
        <v>5215230192</v>
      </c>
      <c r="H48" s="883">
        <f t="shared" si="9"/>
        <v>5240335484.333334</v>
      </c>
      <c r="I48" s="883">
        <f t="shared" si="9"/>
        <v>5265440776.666667</v>
      </c>
      <c r="J48" s="883">
        <f t="shared" si="9"/>
        <v>5290546069</v>
      </c>
      <c r="K48" s="883">
        <f t="shared" si="9"/>
        <v>5352636602.666666</v>
      </c>
      <c r="L48" s="883">
        <f t="shared" si="9"/>
        <v>5414727136.333333</v>
      </c>
      <c r="M48" s="883">
        <f t="shared" si="9"/>
        <v>5476817670</v>
      </c>
      <c r="N48" s="883">
        <f t="shared" si="9"/>
        <v>5447119009</v>
      </c>
      <c r="O48" s="883">
        <f t="shared" si="9"/>
        <v>5417420348</v>
      </c>
      <c r="P48" s="883">
        <f t="shared" si="9"/>
        <v>5387721687.1400003</v>
      </c>
      <c r="Q48" s="883">
        <f t="shared" si="9"/>
        <v>5311410634.3846169</v>
      </c>
    </row>
    <row r="49" spans="1:26" s="690" customFormat="1">
      <c r="A49" s="689"/>
      <c r="B49" s="917"/>
      <c r="C49" s="917"/>
      <c r="D49" s="692"/>
      <c r="E49" s="692"/>
      <c r="F49" s="692"/>
      <c r="G49" s="692"/>
      <c r="H49" s="692"/>
      <c r="I49" s="692"/>
      <c r="J49" s="692"/>
      <c r="K49" s="692"/>
      <c r="L49" s="692"/>
      <c r="M49" s="692"/>
      <c r="N49" s="692"/>
      <c r="O49" s="692"/>
      <c r="P49" s="692"/>
      <c r="Q49" s="692"/>
      <c r="R49" s="40"/>
      <c r="S49" s="40"/>
      <c r="T49" s="40"/>
      <c r="U49" s="40"/>
      <c r="V49" s="40"/>
      <c r="W49" s="40"/>
      <c r="X49" s="40"/>
      <c r="Y49" s="40"/>
      <c r="Z49" s="40"/>
    </row>
    <row r="50" spans="1:26">
      <c r="A50" s="657" t="s">
        <v>124</v>
      </c>
      <c r="B50" s="39"/>
      <c r="C50" s="39"/>
      <c r="D50" s="74"/>
      <c r="E50" s="74"/>
      <c r="F50" s="74"/>
      <c r="G50" s="74"/>
      <c r="H50" s="74"/>
      <c r="I50" s="74"/>
      <c r="J50" s="74"/>
      <c r="K50" s="74"/>
      <c r="L50" s="74"/>
      <c r="M50" s="74"/>
      <c r="N50" s="74"/>
      <c r="O50" s="74"/>
      <c r="P50" s="243"/>
      <c r="Q50" s="74"/>
    </row>
    <row r="51" spans="1:26" ht="25.8" customHeight="1">
      <c r="A51" s="888" t="s">
        <v>167</v>
      </c>
      <c r="B51" s="2324" t="s">
        <v>563</v>
      </c>
      <c r="C51" s="2324"/>
      <c r="D51" s="534"/>
      <c r="E51" s="534"/>
      <c r="F51" s="534"/>
      <c r="G51" s="534"/>
      <c r="H51" s="534"/>
      <c r="I51" s="534"/>
      <c r="J51" s="534"/>
      <c r="K51" s="534"/>
      <c r="L51" s="534"/>
      <c r="M51" s="534"/>
      <c r="N51" s="534"/>
      <c r="O51" s="534"/>
      <c r="P51" s="534"/>
      <c r="Q51" s="887"/>
    </row>
    <row r="52" spans="1:26" s="39" customFormat="1" ht="27" customHeight="1">
      <c r="A52" s="888" t="s">
        <v>320</v>
      </c>
      <c r="B52" s="2324" t="s">
        <v>866</v>
      </c>
      <c r="C52" s="2324"/>
      <c r="D52" s="534"/>
      <c r="E52" s="534"/>
      <c r="F52" s="534"/>
      <c r="G52" s="534"/>
      <c r="H52" s="534"/>
      <c r="I52" s="534"/>
      <c r="J52" s="534"/>
      <c r="K52" s="534"/>
      <c r="L52" s="534"/>
      <c r="M52" s="534"/>
      <c r="N52" s="534"/>
      <c r="O52" s="534"/>
      <c r="P52" s="534"/>
      <c r="Q52" s="887"/>
      <c r="R52" s="887"/>
      <c r="S52" s="887"/>
      <c r="T52" s="887"/>
    </row>
    <row r="53" spans="1:26" s="39" customFormat="1" ht="25.8" customHeight="1">
      <c r="A53" s="888" t="s">
        <v>321</v>
      </c>
      <c r="B53" s="2324" t="s">
        <v>848</v>
      </c>
      <c r="C53" s="2324"/>
      <c r="D53" s="534"/>
      <c r="E53" s="534"/>
      <c r="F53" s="534"/>
      <c r="G53" s="534"/>
      <c r="H53" s="534"/>
      <c r="I53" s="534"/>
      <c r="J53" s="534"/>
      <c r="K53" s="534"/>
      <c r="L53" s="534"/>
      <c r="M53" s="534"/>
      <c r="N53" s="534"/>
      <c r="O53" s="534"/>
      <c r="P53" s="534"/>
      <c r="Q53" s="887"/>
    </row>
    <row r="54" spans="1:26" s="39" customFormat="1" ht="46.8" customHeight="1">
      <c r="A54" s="888" t="s">
        <v>322</v>
      </c>
      <c r="B54" s="2324" t="s">
        <v>940</v>
      </c>
      <c r="C54" s="2324"/>
      <c r="D54" s="216"/>
      <c r="E54" s="216"/>
      <c r="F54" s="216"/>
      <c r="G54" s="216"/>
      <c r="H54" s="216"/>
      <c r="I54" s="216"/>
      <c r="J54" s="216"/>
      <c r="K54" s="216"/>
      <c r="L54" s="216"/>
      <c r="M54" s="216"/>
      <c r="N54" s="216"/>
      <c r="O54" s="216"/>
      <c r="Q54" s="74"/>
    </row>
    <row r="55" spans="1:26" s="39" customFormat="1" ht="15">
      <c r="A55" s="1249"/>
      <c r="B55" s="1263"/>
      <c r="C55" s="1263"/>
      <c r="D55" s="1264"/>
      <c r="E55" s="854"/>
      <c r="F55" s="216"/>
      <c r="G55" s="216"/>
      <c r="H55" s="216"/>
      <c r="I55" s="216"/>
      <c r="J55" s="216"/>
      <c r="K55" s="216"/>
      <c r="L55" s="216"/>
      <c r="M55" s="216"/>
      <c r="N55" s="216"/>
      <c r="O55" s="216"/>
      <c r="Q55" s="74"/>
    </row>
    <row r="56" spans="1:26" s="39" customFormat="1">
      <c r="A56" s="1249"/>
      <c r="B56" s="855"/>
      <c r="C56" s="799"/>
      <c r="D56" s="74"/>
      <c r="E56" s="74"/>
      <c r="Q56" s="74"/>
    </row>
    <row r="57" spans="1:26" s="39" customFormat="1">
      <c r="A57" s="1249"/>
      <c r="B57" s="855"/>
      <c r="C57" s="799"/>
      <c r="D57" s="74"/>
      <c r="E57" s="74"/>
      <c r="Q57" s="74"/>
    </row>
  </sheetData>
  <mergeCells count="7">
    <mergeCell ref="B53:C53"/>
    <mergeCell ref="B54:C54"/>
    <mergeCell ref="A1:C1"/>
    <mergeCell ref="A2:C2"/>
    <mergeCell ref="A3:C3"/>
    <mergeCell ref="B51:C51"/>
    <mergeCell ref="B52:C52"/>
  </mergeCells>
  <phoneticPr fontId="71" type="noConversion"/>
  <pageMargins left="0.5" right="0.5" top="0.5" bottom="0.5" header="0.3" footer="0.5"/>
  <pageSetup scale="70" orientation="landscape" r:id="rId1"/>
  <headerFoot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N214"/>
  <sheetViews>
    <sheetView workbookViewId="0">
      <selection activeCell="L6" sqref="L6"/>
    </sheetView>
  </sheetViews>
  <sheetFormatPr defaultColWidth="9.109375" defaultRowHeight="13.2"/>
  <cols>
    <col min="1" max="1" width="6.109375" style="646" customWidth="1"/>
    <col min="2" max="2" width="68" style="180" bestFit="1" customWidth="1"/>
    <col min="3" max="3" width="12.88671875" style="180" customWidth="1"/>
    <col min="4" max="4" width="17.33203125" style="180" bestFit="1" customWidth="1"/>
    <col min="5" max="5" width="14.109375" style="180" bestFit="1" customWidth="1"/>
    <col min="6" max="6" width="12.44140625" style="180" bestFit="1" customWidth="1"/>
    <col min="7" max="7" width="12.33203125" style="180" bestFit="1" customWidth="1"/>
    <col min="8" max="249" width="9.109375" style="180"/>
    <col min="250" max="250" width="24.88671875" style="180" customWidth="1"/>
    <col min="251" max="256" width="17.88671875" style="180" customWidth="1"/>
    <col min="257" max="257" width="15.5546875" style="180" bestFit="1" customWidth="1"/>
    <col min="258" max="258" width="8.6640625" style="180" customWidth="1"/>
    <col min="259" max="259" width="14.5546875" style="180" bestFit="1" customWidth="1"/>
    <col min="260" max="505" width="9.109375" style="180"/>
    <col min="506" max="506" width="24.88671875" style="180" customWidth="1"/>
    <col min="507" max="512" width="17.88671875" style="180" customWidth="1"/>
    <col min="513" max="513" width="15.5546875" style="180" bestFit="1" customWidth="1"/>
    <col min="514" max="514" width="8.6640625" style="180" customWidth="1"/>
    <col min="515" max="515" width="14.5546875" style="180" bestFit="1" customWidth="1"/>
    <col min="516" max="761" width="9.109375" style="180"/>
    <col min="762" max="762" width="24.88671875" style="180" customWidth="1"/>
    <col min="763" max="768" width="17.88671875" style="180" customWidth="1"/>
    <col min="769" max="769" width="15.5546875" style="180" bestFit="1" customWidth="1"/>
    <col min="770" max="770" width="8.6640625" style="180" customWidth="1"/>
    <col min="771" max="771" width="14.5546875" style="180" bestFit="1" customWidth="1"/>
    <col min="772" max="1017" width="9.109375" style="180"/>
    <col min="1018" max="1018" width="24.88671875" style="180" customWidth="1"/>
    <col min="1019" max="1024" width="17.88671875" style="180" customWidth="1"/>
    <col min="1025" max="1025" width="15.5546875" style="180" bestFit="1" customWidth="1"/>
    <col min="1026" max="1026" width="8.6640625" style="180" customWidth="1"/>
    <col min="1027" max="1027" width="14.5546875" style="180" bestFit="1" customWidth="1"/>
    <col min="1028" max="1273" width="9.109375" style="180"/>
    <col min="1274" max="1274" width="24.88671875" style="180" customWidth="1"/>
    <col min="1275" max="1280" width="17.88671875" style="180" customWidth="1"/>
    <col min="1281" max="1281" width="15.5546875" style="180" bestFit="1" customWidth="1"/>
    <col min="1282" max="1282" width="8.6640625" style="180" customWidth="1"/>
    <col min="1283" max="1283" width="14.5546875" style="180" bestFit="1" customWidth="1"/>
    <col min="1284" max="1529" width="9.109375" style="180"/>
    <col min="1530" max="1530" width="24.88671875" style="180" customWidth="1"/>
    <col min="1531" max="1536" width="17.88671875" style="180" customWidth="1"/>
    <col min="1537" max="1537" width="15.5546875" style="180" bestFit="1" customWidth="1"/>
    <col min="1538" max="1538" width="8.6640625" style="180" customWidth="1"/>
    <col min="1539" max="1539" width="14.5546875" style="180" bestFit="1" customWidth="1"/>
    <col min="1540" max="1785" width="9.109375" style="180"/>
    <col min="1786" max="1786" width="24.88671875" style="180" customWidth="1"/>
    <col min="1787" max="1792" width="17.88671875" style="180" customWidth="1"/>
    <col min="1793" max="1793" width="15.5546875" style="180" bestFit="1" customWidth="1"/>
    <col min="1794" max="1794" width="8.6640625" style="180" customWidth="1"/>
    <col min="1795" max="1795" width="14.5546875" style="180" bestFit="1" customWidth="1"/>
    <col min="1796" max="2041" width="9.109375" style="180"/>
    <col min="2042" max="2042" width="24.88671875" style="180" customWidth="1"/>
    <col min="2043" max="2048" width="17.88671875" style="180" customWidth="1"/>
    <col min="2049" max="2049" width="15.5546875" style="180" bestFit="1" customWidth="1"/>
    <col min="2050" max="2050" width="8.6640625" style="180" customWidth="1"/>
    <col min="2051" max="2051" width="14.5546875" style="180" bestFit="1" customWidth="1"/>
    <col min="2052" max="2297" width="9.109375" style="180"/>
    <col min="2298" max="2298" width="24.88671875" style="180" customWidth="1"/>
    <col min="2299" max="2304" width="17.88671875" style="180" customWidth="1"/>
    <col min="2305" max="2305" width="15.5546875" style="180" bestFit="1" customWidth="1"/>
    <col min="2306" max="2306" width="8.6640625" style="180" customWidth="1"/>
    <col min="2307" max="2307" width="14.5546875" style="180" bestFit="1" customWidth="1"/>
    <col min="2308" max="2553" width="9.109375" style="180"/>
    <col min="2554" max="2554" width="24.88671875" style="180" customWidth="1"/>
    <col min="2555" max="2560" width="17.88671875" style="180" customWidth="1"/>
    <col min="2561" max="2561" width="15.5546875" style="180" bestFit="1" customWidth="1"/>
    <col min="2562" max="2562" width="8.6640625" style="180" customWidth="1"/>
    <col min="2563" max="2563" width="14.5546875" style="180" bestFit="1" customWidth="1"/>
    <col min="2564" max="2809" width="9.109375" style="180"/>
    <col min="2810" max="2810" width="24.88671875" style="180" customWidth="1"/>
    <col min="2811" max="2816" width="17.88671875" style="180" customWidth="1"/>
    <col min="2817" max="2817" width="15.5546875" style="180" bestFit="1" customWidth="1"/>
    <col min="2818" max="2818" width="8.6640625" style="180" customWidth="1"/>
    <col min="2819" max="2819" width="14.5546875" style="180" bestFit="1" customWidth="1"/>
    <col min="2820" max="3065" width="9.109375" style="180"/>
    <col min="3066" max="3066" width="24.88671875" style="180" customWidth="1"/>
    <col min="3067" max="3072" width="17.88671875" style="180" customWidth="1"/>
    <col min="3073" max="3073" width="15.5546875" style="180" bestFit="1" customWidth="1"/>
    <col min="3074" max="3074" width="8.6640625" style="180" customWidth="1"/>
    <col min="3075" max="3075" width="14.5546875" style="180" bestFit="1" customWidth="1"/>
    <col min="3076" max="3321" width="9.109375" style="180"/>
    <col min="3322" max="3322" width="24.88671875" style="180" customWidth="1"/>
    <col min="3323" max="3328" width="17.88671875" style="180" customWidth="1"/>
    <col min="3329" max="3329" width="15.5546875" style="180" bestFit="1" customWidth="1"/>
    <col min="3330" max="3330" width="8.6640625" style="180" customWidth="1"/>
    <col min="3331" max="3331" width="14.5546875" style="180" bestFit="1" customWidth="1"/>
    <col min="3332" max="3577" width="9.109375" style="180"/>
    <col min="3578" max="3578" width="24.88671875" style="180" customWidth="1"/>
    <col min="3579" max="3584" width="17.88671875" style="180" customWidth="1"/>
    <col min="3585" max="3585" width="15.5546875" style="180" bestFit="1" customWidth="1"/>
    <col min="3586" max="3586" width="8.6640625" style="180" customWidth="1"/>
    <col min="3587" max="3587" width="14.5546875" style="180" bestFit="1" customWidth="1"/>
    <col min="3588" max="3833" width="9.109375" style="180"/>
    <col min="3834" max="3834" width="24.88671875" style="180" customWidth="1"/>
    <col min="3835" max="3840" width="17.88671875" style="180" customWidth="1"/>
    <col min="3841" max="3841" width="15.5546875" style="180" bestFit="1" customWidth="1"/>
    <col min="3842" max="3842" width="8.6640625" style="180" customWidth="1"/>
    <col min="3843" max="3843" width="14.5546875" style="180" bestFit="1" customWidth="1"/>
    <col min="3844" max="4089" width="9.109375" style="180"/>
    <col min="4090" max="4090" width="24.88671875" style="180" customWidth="1"/>
    <col min="4091" max="4096" width="17.88671875" style="180" customWidth="1"/>
    <col min="4097" max="4097" width="15.5546875" style="180" bestFit="1" customWidth="1"/>
    <col min="4098" max="4098" width="8.6640625" style="180" customWidth="1"/>
    <col min="4099" max="4099" width="14.5546875" style="180" bestFit="1" customWidth="1"/>
    <col min="4100" max="4345" width="9.109375" style="180"/>
    <col min="4346" max="4346" width="24.88671875" style="180" customWidth="1"/>
    <col min="4347" max="4352" width="17.88671875" style="180" customWidth="1"/>
    <col min="4353" max="4353" width="15.5546875" style="180" bestFit="1" customWidth="1"/>
    <col min="4354" max="4354" width="8.6640625" style="180" customWidth="1"/>
    <col min="4355" max="4355" width="14.5546875" style="180" bestFit="1" customWidth="1"/>
    <col min="4356" max="4601" width="9.109375" style="180"/>
    <col min="4602" max="4602" width="24.88671875" style="180" customWidth="1"/>
    <col min="4603" max="4608" width="17.88671875" style="180" customWidth="1"/>
    <col min="4609" max="4609" width="15.5546875" style="180" bestFit="1" customWidth="1"/>
    <col min="4610" max="4610" width="8.6640625" style="180" customWidth="1"/>
    <col min="4611" max="4611" width="14.5546875" style="180" bestFit="1" customWidth="1"/>
    <col min="4612" max="4857" width="9.109375" style="180"/>
    <col min="4858" max="4858" width="24.88671875" style="180" customWidth="1"/>
    <col min="4859" max="4864" width="17.88671875" style="180" customWidth="1"/>
    <col min="4865" max="4865" width="15.5546875" style="180" bestFit="1" customWidth="1"/>
    <col min="4866" max="4866" width="8.6640625" style="180" customWidth="1"/>
    <col min="4867" max="4867" width="14.5546875" style="180" bestFit="1" customWidth="1"/>
    <col min="4868" max="5113" width="9.109375" style="180"/>
    <col min="5114" max="5114" width="24.88671875" style="180" customWidth="1"/>
    <col min="5115" max="5120" width="17.88671875" style="180" customWidth="1"/>
    <col min="5121" max="5121" width="15.5546875" style="180" bestFit="1" customWidth="1"/>
    <col min="5122" max="5122" width="8.6640625" style="180" customWidth="1"/>
    <col min="5123" max="5123" width="14.5546875" style="180" bestFit="1" customWidth="1"/>
    <col min="5124" max="5369" width="9.109375" style="180"/>
    <col min="5370" max="5370" width="24.88671875" style="180" customWidth="1"/>
    <col min="5371" max="5376" width="17.88671875" style="180" customWidth="1"/>
    <col min="5377" max="5377" width="15.5546875" style="180" bestFit="1" customWidth="1"/>
    <col min="5378" max="5378" width="8.6640625" style="180" customWidth="1"/>
    <col min="5379" max="5379" width="14.5546875" style="180" bestFit="1" customWidth="1"/>
    <col min="5380" max="5625" width="9.109375" style="180"/>
    <col min="5626" max="5626" width="24.88671875" style="180" customWidth="1"/>
    <col min="5627" max="5632" width="17.88671875" style="180" customWidth="1"/>
    <col min="5633" max="5633" width="15.5546875" style="180" bestFit="1" customWidth="1"/>
    <col min="5634" max="5634" width="8.6640625" style="180" customWidth="1"/>
    <col min="5635" max="5635" width="14.5546875" style="180" bestFit="1" customWidth="1"/>
    <col min="5636" max="5881" width="9.109375" style="180"/>
    <col min="5882" max="5882" width="24.88671875" style="180" customWidth="1"/>
    <col min="5883" max="5888" width="17.88671875" style="180" customWidth="1"/>
    <col min="5889" max="5889" width="15.5546875" style="180" bestFit="1" customWidth="1"/>
    <col min="5890" max="5890" width="8.6640625" style="180" customWidth="1"/>
    <col min="5891" max="5891" width="14.5546875" style="180" bestFit="1" customWidth="1"/>
    <col min="5892" max="6137" width="9.109375" style="180"/>
    <col min="6138" max="6138" width="24.88671875" style="180" customWidth="1"/>
    <col min="6139" max="6144" width="17.88671875" style="180" customWidth="1"/>
    <col min="6145" max="6145" width="15.5546875" style="180" bestFit="1" customWidth="1"/>
    <col min="6146" max="6146" width="8.6640625" style="180" customWidth="1"/>
    <col min="6147" max="6147" width="14.5546875" style="180" bestFit="1" customWidth="1"/>
    <col min="6148" max="6393" width="9.109375" style="180"/>
    <col min="6394" max="6394" width="24.88671875" style="180" customWidth="1"/>
    <col min="6395" max="6400" width="17.88671875" style="180" customWidth="1"/>
    <col min="6401" max="6401" width="15.5546875" style="180" bestFit="1" customWidth="1"/>
    <col min="6402" max="6402" width="8.6640625" style="180" customWidth="1"/>
    <col min="6403" max="6403" width="14.5546875" style="180" bestFit="1" customWidth="1"/>
    <col min="6404" max="6649" width="9.109375" style="180"/>
    <col min="6650" max="6650" width="24.88671875" style="180" customWidth="1"/>
    <col min="6651" max="6656" width="17.88671875" style="180" customWidth="1"/>
    <col min="6657" max="6657" width="15.5546875" style="180" bestFit="1" customWidth="1"/>
    <col min="6658" max="6658" width="8.6640625" style="180" customWidth="1"/>
    <col min="6659" max="6659" width="14.5546875" style="180" bestFit="1" customWidth="1"/>
    <col min="6660" max="6905" width="9.109375" style="180"/>
    <col min="6906" max="6906" width="24.88671875" style="180" customWidth="1"/>
    <col min="6907" max="6912" width="17.88671875" style="180" customWidth="1"/>
    <col min="6913" max="6913" width="15.5546875" style="180" bestFit="1" customWidth="1"/>
    <col min="6914" max="6914" width="8.6640625" style="180" customWidth="1"/>
    <col min="6915" max="6915" width="14.5546875" style="180" bestFit="1" customWidth="1"/>
    <col min="6916" max="7161" width="9.109375" style="180"/>
    <col min="7162" max="7162" width="24.88671875" style="180" customWidth="1"/>
    <col min="7163" max="7168" width="17.88671875" style="180" customWidth="1"/>
    <col min="7169" max="7169" width="15.5546875" style="180" bestFit="1" customWidth="1"/>
    <col min="7170" max="7170" width="8.6640625" style="180" customWidth="1"/>
    <col min="7171" max="7171" width="14.5546875" style="180" bestFit="1" customWidth="1"/>
    <col min="7172" max="7417" width="9.109375" style="180"/>
    <col min="7418" max="7418" width="24.88671875" style="180" customWidth="1"/>
    <col min="7419" max="7424" width="17.88671875" style="180" customWidth="1"/>
    <col min="7425" max="7425" width="15.5546875" style="180" bestFit="1" customWidth="1"/>
    <col min="7426" max="7426" width="8.6640625" style="180" customWidth="1"/>
    <col min="7427" max="7427" width="14.5546875" style="180" bestFit="1" customWidth="1"/>
    <col min="7428" max="7673" width="9.109375" style="180"/>
    <col min="7674" max="7674" width="24.88671875" style="180" customWidth="1"/>
    <col min="7675" max="7680" width="17.88671875" style="180" customWidth="1"/>
    <col min="7681" max="7681" width="15.5546875" style="180" bestFit="1" customWidth="1"/>
    <col min="7682" max="7682" width="8.6640625" style="180" customWidth="1"/>
    <col min="7683" max="7683" width="14.5546875" style="180" bestFit="1" customWidth="1"/>
    <col min="7684" max="7929" width="9.109375" style="180"/>
    <col min="7930" max="7930" width="24.88671875" style="180" customWidth="1"/>
    <col min="7931" max="7936" width="17.88671875" style="180" customWidth="1"/>
    <col min="7937" max="7937" width="15.5546875" style="180" bestFit="1" customWidth="1"/>
    <col min="7938" max="7938" width="8.6640625" style="180" customWidth="1"/>
    <col min="7939" max="7939" width="14.5546875" style="180" bestFit="1" customWidth="1"/>
    <col min="7940" max="8185" width="9.109375" style="180"/>
    <col min="8186" max="8186" width="24.88671875" style="180" customWidth="1"/>
    <col min="8187" max="8192" width="17.88671875" style="180" customWidth="1"/>
    <col min="8193" max="8193" width="15.5546875" style="180" bestFit="1" customWidth="1"/>
    <col min="8194" max="8194" width="8.6640625" style="180" customWidth="1"/>
    <col min="8195" max="8195" width="14.5546875" style="180" bestFit="1" customWidth="1"/>
    <col min="8196" max="8441" width="9.109375" style="180"/>
    <col min="8442" max="8442" width="24.88671875" style="180" customWidth="1"/>
    <col min="8443" max="8448" width="17.88671875" style="180" customWidth="1"/>
    <col min="8449" max="8449" width="15.5546875" style="180" bestFit="1" customWidth="1"/>
    <col min="8450" max="8450" width="8.6640625" style="180" customWidth="1"/>
    <col min="8451" max="8451" width="14.5546875" style="180" bestFit="1" customWidth="1"/>
    <col min="8452" max="8697" width="9.109375" style="180"/>
    <col min="8698" max="8698" width="24.88671875" style="180" customWidth="1"/>
    <col min="8699" max="8704" width="17.88671875" style="180" customWidth="1"/>
    <col min="8705" max="8705" width="15.5546875" style="180" bestFit="1" customWidth="1"/>
    <col min="8706" max="8706" width="8.6640625" style="180" customWidth="1"/>
    <col min="8707" max="8707" width="14.5546875" style="180" bestFit="1" customWidth="1"/>
    <col min="8708" max="8953" width="9.109375" style="180"/>
    <col min="8954" max="8954" width="24.88671875" style="180" customWidth="1"/>
    <col min="8955" max="8960" width="17.88671875" style="180" customWidth="1"/>
    <col min="8961" max="8961" width="15.5546875" style="180" bestFit="1" customWidth="1"/>
    <col min="8962" max="8962" width="8.6640625" style="180" customWidth="1"/>
    <col min="8963" max="8963" width="14.5546875" style="180" bestFit="1" customWidth="1"/>
    <col min="8964" max="9209" width="9.109375" style="180"/>
    <col min="9210" max="9210" width="24.88671875" style="180" customWidth="1"/>
    <col min="9211" max="9216" width="17.88671875" style="180" customWidth="1"/>
    <col min="9217" max="9217" width="15.5546875" style="180" bestFit="1" customWidth="1"/>
    <col min="9218" max="9218" width="8.6640625" style="180" customWidth="1"/>
    <col min="9219" max="9219" width="14.5546875" style="180" bestFit="1" customWidth="1"/>
    <col min="9220" max="9465" width="9.109375" style="180"/>
    <col min="9466" max="9466" width="24.88671875" style="180" customWidth="1"/>
    <col min="9467" max="9472" width="17.88671875" style="180" customWidth="1"/>
    <col min="9473" max="9473" width="15.5546875" style="180" bestFit="1" customWidth="1"/>
    <col min="9474" max="9474" width="8.6640625" style="180" customWidth="1"/>
    <col min="9475" max="9475" width="14.5546875" style="180" bestFit="1" customWidth="1"/>
    <col min="9476" max="9721" width="9.109375" style="180"/>
    <col min="9722" max="9722" width="24.88671875" style="180" customWidth="1"/>
    <col min="9723" max="9728" width="17.88671875" style="180" customWidth="1"/>
    <col min="9729" max="9729" width="15.5546875" style="180" bestFit="1" customWidth="1"/>
    <col min="9730" max="9730" width="8.6640625" style="180" customWidth="1"/>
    <col min="9731" max="9731" width="14.5546875" style="180" bestFit="1" customWidth="1"/>
    <col min="9732" max="9977" width="9.109375" style="180"/>
    <col min="9978" max="9978" width="24.88671875" style="180" customWidth="1"/>
    <col min="9979" max="9984" width="17.88671875" style="180" customWidth="1"/>
    <col min="9985" max="9985" width="15.5546875" style="180" bestFit="1" customWidth="1"/>
    <col min="9986" max="9986" width="8.6640625" style="180" customWidth="1"/>
    <col min="9987" max="9987" width="14.5546875" style="180" bestFit="1" customWidth="1"/>
    <col min="9988" max="10233" width="9.109375" style="180"/>
    <col min="10234" max="10234" width="24.88671875" style="180" customWidth="1"/>
    <col min="10235" max="10240" width="17.88671875" style="180" customWidth="1"/>
    <col min="10241" max="10241" width="15.5546875" style="180" bestFit="1" customWidth="1"/>
    <col min="10242" max="10242" width="8.6640625" style="180" customWidth="1"/>
    <col min="10243" max="10243" width="14.5546875" style="180" bestFit="1" customWidth="1"/>
    <col min="10244" max="10489" width="9.109375" style="180"/>
    <col min="10490" max="10490" width="24.88671875" style="180" customWidth="1"/>
    <col min="10491" max="10496" width="17.88671875" style="180" customWidth="1"/>
    <col min="10497" max="10497" width="15.5546875" style="180" bestFit="1" customWidth="1"/>
    <col min="10498" max="10498" width="8.6640625" style="180" customWidth="1"/>
    <col min="10499" max="10499" width="14.5546875" style="180" bestFit="1" customWidth="1"/>
    <col min="10500" max="10745" width="9.109375" style="180"/>
    <col min="10746" max="10746" width="24.88671875" style="180" customWidth="1"/>
    <col min="10747" max="10752" width="17.88671875" style="180" customWidth="1"/>
    <col min="10753" max="10753" width="15.5546875" style="180" bestFit="1" customWidth="1"/>
    <col min="10754" max="10754" width="8.6640625" style="180" customWidth="1"/>
    <col min="10755" max="10755" width="14.5546875" style="180" bestFit="1" customWidth="1"/>
    <col min="10756" max="11001" width="9.109375" style="180"/>
    <col min="11002" max="11002" width="24.88671875" style="180" customWidth="1"/>
    <col min="11003" max="11008" width="17.88671875" style="180" customWidth="1"/>
    <col min="11009" max="11009" width="15.5546875" style="180" bestFit="1" customWidth="1"/>
    <col min="11010" max="11010" width="8.6640625" style="180" customWidth="1"/>
    <col min="11011" max="11011" width="14.5546875" style="180" bestFit="1" customWidth="1"/>
    <col min="11012" max="11257" width="9.109375" style="180"/>
    <col min="11258" max="11258" width="24.88671875" style="180" customWidth="1"/>
    <col min="11259" max="11264" width="17.88671875" style="180" customWidth="1"/>
    <col min="11265" max="11265" width="15.5546875" style="180" bestFit="1" customWidth="1"/>
    <col min="11266" max="11266" width="8.6640625" style="180" customWidth="1"/>
    <col min="11267" max="11267" width="14.5546875" style="180" bestFit="1" customWidth="1"/>
    <col min="11268" max="11513" width="9.109375" style="180"/>
    <col min="11514" max="11514" width="24.88671875" style="180" customWidth="1"/>
    <col min="11515" max="11520" width="17.88671875" style="180" customWidth="1"/>
    <col min="11521" max="11521" width="15.5546875" style="180" bestFit="1" customWidth="1"/>
    <col min="11522" max="11522" width="8.6640625" style="180" customWidth="1"/>
    <col min="11523" max="11523" width="14.5546875" style="180" bestFit="1" customWidth="1"/>
    <col min="11524" max="11769" width="9.109375" style="180"/>
    <col min="11770" max="11770" width="24.88671875" style="180" customWidth="1"/>
    <col min="11771" max="11776" width="17.88671875" style="180" customWidth="1"/>
    <col min="11777" max="11777" width="15.5546875" style="180" bestFit="1" customWidth="1"/>
    <col min="11778" max="11778" width="8.6640625" style="180" customWidth="1"/>
    <col min="11779" max="11779" width="14.5546875" style="180" bestFit="1" customWidth="1"/>
    <col min="11780" max="12025" width="9.109375" style="180"/>
    <col min="12026" max="12026" width="24.88671875" style="180" customWidth="1"/>
    <col min="12027" max="12032" width="17.88671875" style="180" customWidth="1"/>
    <col min="12033" max="12033" width="15.5546875" style="180" bestFit="1" customWidth="1"/>
    <col min="12034" max="12034" width="8.6640625" style="180" customWidth="1"/>
    <col min="12035" max="12035" width="14.5546875" style="180" bestFit="1" customWidth="1"/>
    <col min="12036" max="12281" width="9.109375" style="180"/>
    <col min="12282" max="12282" width="24.88671875" style="180" customWidth="1"/>
    <col min="12283" max="12288" width="17.88671875" style="180" customWidth="1"/>
    <col min="12289" max="12289" width="15.5546875" style="180" bestFit="1" customWidth="1"/>
    <col min="12290" max="12290" width="8.6640625" style="180" customWidth="1"/>
    <col min="12291" max="12291" width="14.5546875" style="180" bestFit="1" customWidth="1"/>
    <col min="12292" max="12537" width="9.109375" style="180"/>
    <col min="12538" max="12538" width="24.88671875" style="180" customWidth="1"/>
    <col min="12539" max="12544" width="17.88671875" style="180" customWidth="1"/>
    <col min="12545" max="12545" width="15.5546875" style="180" bestFit="1" customWidth="1"/>
    <col min="12546" max="12546" width="8.6640625" style="180" customWidth="1"/>
    <col min="12547" max="12547" width="14.5546875" style="180" bestFit="1" customWidth="1"/>
    <col min="12548" max="12793" width="9.109375" style="180"/>
    <col min="12794" max="12794" width="24.88671875" style="180" customWidth="1"/>
    <col min="12795" max="12800" width="17.88671875" style="180" customWidth="1"/>
    <col min="12801" max="12801" width="15.5546875" style="180" bestFit="1" customWidth="1"/>
    <col min="12802" max="12802" width="8.6640625" style="180" customWidth="1"/>
    <col min="12803" max="12803" width="14.5546875" style="180" bestFit="1" customWidth="1"/>
    <col min="12804" max="13049" width="9.109375" style="180"/>
    <col min="13050" max="13050" width="24.88671875" style="180" customWidth="1"/>
    <col min="13051" max="13056" width="17.88671875" style="180" customWidth="1"/>
    <col min="13057" max="13057" width="15.5546875" style="180" bestFit="1" customWidth="1"/>
    <col min="13058" max="13058" width="8.6640625" style="180" customWidth="1"/>
    <col min="13059" max="13059" width="14.5546875" style="180" bestFit="1" customWidth="1"/>
    <col min="13060" max="13305" width="9.109375" style="180"/>
    <col min="13306" max="13306" width="24.88671875" style="180" customWidth="1"/>
    <col min="13307" max="13312" width="17.88671875" style="180" customWidth="1"/>
    <col min="13313" max="13313" width="15.5546875" style="180" bestFit="1" customWidth="1"/>
    <col min="13314" max="13314" width="8.6640625" style="180" customWidth="1"/>
    <col min="13315" max="13315" width="14.5546875" style="180" bestFit="1" customWidth="1"/>
    <col min="13316" max="13561" width="9.109375" style="180"/>
    <col min="13562" max="13562" width="24.88671875" style="180" customWidth="1"/>
    <col min="13563" max="13568" width="17.88671875" style="180" customWidth="1"/>
    <col min="13569" max="13569" width="15.5546875" style="180" bestFit="1" customWidth="1"/>
    <col min="13570" max="13570" width="8.6640625" style="180" customWidth="1"/>
    <col min="13571" max="13571" width="14.5546875" style="180" bestFit="1" customWidth="1"/>
    <col min="13572" max="13817" width="9.109375" style="180"/>
    <col min="13818" max="13818" width="24.88671875" style="180" customWidth="1"/>
    <col min="13819" max="13824" width="17.88671875" style="180" customWidth="1"/>
    <col min="13825" max="13825" width="15.5546875" style="180" bestFit="1" customWidth="1"/>
    <col min="13826" max="13826" width="8.6640625" style="180" customWidth="1"/>
    <col min="13827" max="13827" width="14.5546875" style="180" bestFit="1" customWidth="1"/>
    <col min="13828" max="14073" width="9.109375" style="180"/>
    <col min="14074" max="14074" width="24.88671875" style="180" customWidth="1"/>
    <col min="14075" max="14080" width="17.88671875" style="180" customWidth="1"/>
    <col min="14081" max="14081" width="15.5546875" style="180" bestFit="1" customWidth="1"/>
    <col min="14082" max="14082" width="8.6640625" style="180" customWidth="1"/>
    <col min="14083" max="14083" width="14.5546875" style="180" bestFit="1" customWidth="1"/>
    <col min="14084" max="14329" width="9.109375" style="180"/>
    <col min="14330" max="14330" width="24.88671875" style="180" customWidth="1"/>
    <col min="14331" max="14336" width="17.88671875" style="180" customWidth="1"/>
    <col min="14337" max="14337" width="15.5546875" style="180" bestFit="1" customWidth="1"/>
    <col min="14338" max="14338" width="8.6640625" style="180" customWidth="1"/>
    <col min="14339" max="14339" width="14.5546875" style="180" bestFit="1" customWidth="1"/>
    <col min="14340" max="14585" width="9.109375" style="180"/>
    <col min="14586" max="14586" width="24.88671875" style="180" customWidth="1"/>
    <col min="14587" max="14592" width="17.88671875" style="180" customWidth="1"/>
    <col min="14593" max="14593" width="15.5546875" style="180" bestFit="1" customWidth="1"/>
    <col min="14594" max="14594" width="8.6640625" style="180" customWidth="1"/>
    <col min="14595" max="14595" width="14.5546875" style="180" bestFit="1" customWidth="1"/>
    <col min="14596" max="14841" width="9.109375" style="180"/>
    <col min="14842" max="14842" width="24.88671875" style="180" customWidth="1"/>
    <col min="14843" max="14848" width="17.88671875" style="180" customWidth="1"/>
    <col min="14849" max="14849" width="15.5546875" style="180" bestFit="1" customWidth="1"/>
    <col min="14850" max="14850" width="8.6640625" style="180" customWidth="1"/>
    <col min="14851" max="14851" width="14.5546875" style="180" bestFit="1" customWidth="1"/>
    <col min="14852" max="15097" width="9.109375" style="180"/>
    <col min="15098" max="15098" width="24.88671875" style="180" customWidth="1"/>
    <col min="15099" max="15104" width="17.88671875" style="180" customWidth="1"/>
    <col min="15105" max="15105" width="15.5546875" style="180" bestFit="1" customWidth="1"/>
    <col min="15106" max="15106" width="8.6640625" style="180" customWidth="1"/>
    <col min="15107" max="15107" width="14.5546875" style="180" bestFit="1" customWidth="1"/>
    <col min="15108" max="15353" width="9.109375" style="180"/>
    <col min="15354" max="15354" width="24.88671875" style="180" customWidth="1"/>
    <col min="15355" max="15360" width="17.88671875" style="180" customWidth="1"/>
    <col min="15361" max="15361" width="15.5546875" style="180" bestFit="1" customWidth="1"/>
    <col min="15362" max="15362" width="8.6640625" style="180" customWidth="1"/>
    <col min="15363" max="15363" width="14.5546875" style="180" bestFit="1" customWidth="1"/>
    <col min="15364" max="15609" width="9.109375" style="180"/>
    <col min="15610" max="15610" width="24.88671875" style="180" customWidth="1"/>
    <col min="15611" max="15616" width="17.88671875" style="180" customWidth="1"/>
    <col min="15617" max="15617" width="15.5546875" style="180" bestFit="1" customWidth="1"/>
    <col min="15618" max="15618" width="8.6640625" style="180" customWidth="1"/>
    <col min="15619" max="15619" width="14.5546875" style="180" bestFit="1" customWidth="1"/>
    <col min="15620" max="15865" width="9.109375" style="180"/>
    <col min="15866" max="15866" width="24.88671875" style="180" customWidth="1"/>
    <col min="15867" max="15872" width="17.88671875" style="180" customWidth="1"/>
    <col min="15873" max="15873" width="15.5546875" style="180" bestFit="1" customWidth="1"/>
    <col min="15874" max="15874" width="8.6640625" style="180" customWidth="1"/>
    <col min="15875" max="15875" width="14.5546875" style="180" bestFit="1" customWidth="1"/>
    <col min="15876" max="16121" width="9.109375" style="180"/>
    <col min="16122" max="16122" width="24.88671875" style="180" customWidth="1"/>
    <col min="16123" max="16128" width="17.88671875" style="180" customWidth="1"/>
    <col min="16129" max="16129" width="15.5546875" style="180" bestFit="1" customWidth="1"/>
    <col min="16130" max="16130" width="8.6640625" style="180" customWidth="1"/>
    <col min="16131" max="16131" width="14.5546875" style="180" bestFit="1" customWidth="1"/>
    <col min="16132" max="16384" width="9.109375" style="180"/>
  </cols>
  <sheetData>
    <row r="1" spans="1:13" s="40" customFormat="1">
      <c r="A1" s="2344" t="str">
        <f>+'MISO Cover'!C6</f>
        <v>Entergy Louisiana, LLC</v>
      </c>
      <c r="B1" s="2344"/>
      <c r="C1" s="2344"/>
      <c r="D1" s="2344"/>
      <c r="E1" s="2344"/>
      <c r="F1" s="2344"/>
      <c r="G1" s="2344"/>
    </row>
    <row r="2" spans="1:13" s="40" customFormat="1">
      <c r="A2" s="2344" t="s">
        <v>659</v>
      </c>
      <c r="B2" s="2344"/>
      <c r="C2" s="2344"/>
      <c r="D2" s="2344"/>
      <c r="E2" s="2344"/>
      <c r="F2" s="2344"/>
      <c r="G2" s="2344"/>
      <c r="H2" s="747"/>
    </row>
    <row r="3" spans="1:13" s="40" customFormat="1">
      <c r="A3" s="2344" t="str">
        <f>+'MISO Cover'!K4</f>
        <v>For  the 12 Months Ended 12/31/2017</v>
      </c>
      <c r="B3" s="2344"/>
      <c r="C3" s="2344"/>
      <c r="D3" s="2344"/>
      <c r="E3" s="2344"/>
      <c r="F3" s="2344"/>
      <c r="G3" s="2344"/>
    </row>
    <row r="4" spans="1:13" s="40" customFormat="1">
      <c r="A4" s="1591"/>
      <c r="B4" s="179"/>
      <c r="C4" s="179"/>
      <c r="D4" s="179"/>
      <c r="E4" s="179"/>
      <c r="F4" s="210"/>
    </row>
    <row r="5" spans="1:13" s="40" customFormat="1">
      <c r="A5" s="1591" t="s">
        <v>280</v>
      </c>
      <c r="B5" s="1591" t="s">
        <v>67</v>
      </c>
      <c r="C5" s="1588" t="s">
        <v>114</v>
      </c>
      <c r="D5" s="1588" t="s">
        <v>55</v>
      </c>
      <c r="E5" s="1588" t="s">
        <v>68</v>
      </c>
      <c r="F5" s="1141" t="s">
        <v>66</v>
      </c>
      <c r="G5" s="1141" t="s">
        <v>154</v>
      </c>
    </row>
    <row r="6" spans="1:13" s="40" customFormat="1" ht="26.4">
      <c r="A6" s="1588">
        <v>1</v>
      </c>
      <c r="B6" s="179"/>
      <c r="C6" s="171"/>
      <c r="D6" s="171"/>
      <c r="E6" s="1682" t="s">
        <v>163</v>
      </c>
      <c r="F6" s="2249" t="s">
        <v>158</v>
      </c>
      <c r="G6" s="2248" t="s">
        <v>140</v>
      </c>
    </row>
    <row r="7" spans="1:13" s="40" customFormat="1">
      <c r="A7" s="1588">
        <f>+A6+1</f>
        <v>2</v>
      </c>
      <c r="B7" s="41" t="s">
        <v>411</v>
      </c>
      <c r="C7" s="39" t="str">
        <f>+"Sum Line "&amp;A$11&amp;" Subparts for Included"</f>
        <v>Sum Line 6 Subparts for Included</v>
      </c>
      <c r="D7" s="256"/>
      <c r="E7" s="822">
        <f>+SUM(E12:E17)+SUM(E43:E50)</f>
        <v>18498103.850000001</v>
      </c>
      <c r="F7" s="2250">
        <f>+SUM(F12:F17)+SUM(F43:F50)</f>
        <v>18792412.110000003</v>
      </c>
      <c r="G7" s="256">
        <f>+(E7+F7)/2</f>
        <v>18645257.980000004</v>
      </c>
      <c r="J7" s="466" t="s">
        <v>1309</v>
      </c>
    </row>
    <row r="8" spans="1:13" s="40" customFormat="1">
      <c r="A8" s="1588">
        <f>+A7+1</f>
        <v>3</v>
      </c>
      <c r="B8" s="41" t="s">
        <v>412</v>
      </c>
      <c r="C8" s="39" t="str">
        <f>+"Sum Line "&amp;A$11&amp;" Subparts for Excluded"</f>
        <v>Sum Line 6 Subparts for Excluded</v>
      </c>
      <c r="D8" s="256"/>
      <c r="E8" s="1420">
        <f>+SUM(E18:E42)+SUM(E51:E144)</f>
        <v>82442744.700000003</v>
      </c>
      <c r="F8" s="2251">
        <f>+SUM(F18:F42)+SUM(F51:F144)</f>
        <v>88978451.010000005</v>
      </c>
      <c r="G8" s="535">
        <f>+(E8+F8)/2</f>
        <v>85710597.855000004</v>
      </c>
      <c r="J8" s="466" t="s">
        <v>1309</v>
      </c>
    </row>
    <row r="9" spans="1:13" s="40" customFormat="1">
      <c r="A9" s="1588">
        <f>+A8+1</f>
        <v>4</v>
      </c>
      <c r="B9" s="41" t="s">
        <v>113</v>
      </c>
      <c r="C9" s="39"/>
      <c r="D9" s="256"/>
      <c r="E9" s="822">
        <f>SUM(E7:E8)</f>
        <v>100940848.55000001</v>
      </c>
      <c r="F9" s="2250">
        <f>SUM(F7:F8)</f>
        <v>107770863.12</v>
      </c>
      <c r="G9" s="256">
        <f>+(E9+F9)/2</f>
        <v>104355855.83500001</v>
      </c>
      <c r="I9" s="1370"/>
      <c r="J9" s="41"/>
      <c r="K9" s="41"/>
      <c r="L9" s="180"/>
      <c r="M9" s="180"/>
    </row>
    <row r="10" spans="1:13" s="40" customFormat="1">
      <c r="A10" s="1588">
        <f>+A9+1</f>
        <v>5</v>
      </c>
      <c r="B10" s="180"/>
      <c r="C10" s="645"/>
      <c r="D10" s="645"/>
      <c r="E10" s="645"/>
      <c r="F10" s="2252"/>
      <c r="G10" s="41"/>
      <c r="H10" s="39"/>
      <c r="I10" s="2424"/>
      <c r="J10" s="2424"/>
      <c r="K10" s="2424"/>
      <c r="L10" s="2424"/>
      <c r="M10" s="2424"/>
    </row>
    <row r="11" spans="1:13" ht="26.4">
      <c r="A11" s="1588">
        <f>+A10+1</f>
        <v>6</v>
      </c>
      <c r="B11" s="1740" t="s">
        <v>293</v>
      </c>
      <c r="C11" s="1740" t="s">
        <v>569</v>
      </c>
      <c r="D11" s="1740" t="s">
        <v>895</v>
      </c>
      <c r="E11" s="1682" t="s">
        <v>163</v>
      </c>
      <c r="F11" s="2249" t="s">
        <v>158</v>
      </c>
      <c r="G11" s="2248" t="s">
        <v>140</v>
      </c>
      <c r="H11" s="41"/>
      <c r="I11" s="2424"/>
      <c r="J11" s="2424"/>
      <c r="K11" s="2424"/>
      <c r="L11" s="2424"/>
      <c r="M11" s="2424"/>
    </row>
    <row r="12" spans="1:13">
      <c r="A12" s="1402">
        <f>+A11+0.001</f>
        <v>6.0010000000000003</v>
      </c>
      <c r="B12" s="1421" t="s">
        <v>972</v>
      </c>
      <c r="C12" s="1421" t="s">
        <v>973</v>
      </c>
      <c r="D12" s="1422" t="s">
        <v>2184</v>
      </c>
      <c r="E12" s="185">
        <v>38615.79</v>
      </c>
      <c r="F12" s="1423">
        <v>38615.79</v>
      </c>
      <c r="G12" s="256">
        <f>+SUM(E12,F12)/2</f>
        <v>38615.79</v>
      </c>
      <c r="H12" s="41"/>
      <c r="I12" s="2424"/>
      <c r="J12" s="2424"/>
      <c r="K12" s="2424"/>
      <c r="L12" s="2424"/>
      <c r="M12" s="2424"/>
    </row>
    <row r="13" spans="1:13" ht="15.6">
      <c r="A13" s="1402">
        <f t="shared" ref="A13:A76" si="0">+A12+0.001</f>
        <v>6.0020000000000007</v>
      </c>
      <c r="B13" s="1421" t="s">
        <v>974</v>
      </c>
      <c r="C13" s="1421" t="s">
        <v>973</v>
      </c>
      <c r="D13" s="1422" t="s">
        <v>2184</v>
      </c>
      <c r="E13" s="185">
        <v>667225.76</v>
      </c>
      <c r="F13" s="1423">
        <v>667225.76</v>
      </c>
      <c r="G13" s="256">
        <f t="shared" ref="G13:G76" si="1">+SUM(E13,F13)/2</f>
        <v>667225.76</v>
      </c>
      <c r="H13" s="41"/>
      <c r="I13" s="1382" t="s">
        <v>1124</v>
      </c>
    </row>
    <row r="14" spans="1:13" ht="13.8">
      <c r="A14" s="1402">
        <f t="shared" si="0"/>
        <v>6.003000000000001</v>
      </c>
      <c r="B14" s="1421" t="s">
        <v>975</v>
      </c>
      <c r="C14" s="1421" t="s">
        <v>976</v>
      </c>
      <c r="D14" s="1422" t="s">
        <v>2184</v>
      </c>
      <c r="E14" s="185">
        <v>441196.12</v>
      </c>
      <c r="F14" s="1423">
        <v>458685.95</v>
      </c>
      <c r="G14" s="256">
        <f t="shared" si="1"/>
        <v>449941.03500000003</v>
      </c>
      <c r="H14" s="41"/>
      <c r="I14" s="1383" t="s">
        <v>665</v>
      </c>
    </row>
    <row r="15" spans="1:13">
      <c r="A15" s="1402">
        <f t="shared" si="0"/>
        <v>6.0040000000000013</v>
      </c>
      <c r="B15" s="1421" t="s">
        <v>977</v>
      </c>
      <c r="C15" s="1421" t="s">
        <v>976</v>
      </c>
      <c r="D15" s="1422" t="s">
        <v>2184</v>
      </c>
      <c r="E15" s="185">
        <v>391306.97</v>
      </c>
      <c r="F15" s="1423">
        <v>391306.97</v>
      </c>
      <c r="G15" s="256">
        <f t="shared" si="1"/>
        <v>391306.97</v>
      </c>
      <c r="H15" s="41"/>
      <c r="I15" s="2425" t="s">
        <v>1125</v>
      </c>
      <c r="J15" s="2425"/>
      <c r="K15" s="2425"/>
      <c r="L15" s="2425"/>
      <c r="M15" s="2425"/>
    </row>
    <row r="16" spans="1:13">
      <c r="A16" s="1402">
        <f t="shared" si="0"/>
        <v>6.0050000000000017</v>
      </c>
      <c r="B16" s="1421" t="s">
        <v>978</v>
      </c>
      <c r="C16" s="1421" t="s">
        <v>979</v>
      </c>
      <c r="D16" s="1422" t="s">
        <v>2184</v>
      </c>
      <c r="E16" s="185">
        <v>12079639.08</v>
      </c>
      <c r="F16" s="1423">
        <v>12162076.4</v>
      </c>
      <c r="G16" s="256">
        <f t="shared" si="1"/>
        <v>12120857.74</v>
      </c>
      <c r="H16" s="41"/>
      <c r="I16" s="2425"/>
      <c r="J16" s="2425"/>
      <c r="K16" s="2425"/>
      <c r="L16" s="2425"/>
      <c r="M16" s="2425"/>
    </row>
    <row r="17" spans="1:13" s="41" customFormat="1">
      <c r="A17" s="1402">
        <f t="shared" si="0"/>
        <v>6.006000000000002</v>
      </c>
      <c r="B17" s="1421" t="s">
        <v>980</v>
      </c>
      <c r="C17" s="1421" t="s">
        <v>979</v>
      </c>
      <c r="D17" s="1422" t="s">
        <v>2184</v>
      </c>
      <c r="E17" s="185">
        <v>4143552.87</v>
      </c>
      <c r="F17" s="1423">
        <v>4144193.28</v>
      </c>
      <c r="G17" s="256">
        <f t="shared" si="1"/>
        <v>4143873.0750000002</v>
      </c>
      <c r="I17" s="2425"/>
      <c r="J17" s="2425"/>
      <c r="K17" s="2425"/>
      <c r="L17" s="2425"/>
      <c r="M17" s="2425"/>
    </row>
    <row r="18" spans="1:13">
      <c r="A18" s="1402">
        <f t="shared" si="0"/>
        <v>6.0070000000000023</v>
      </c>
      <c r="B18" s="1421" t="s">
        <v>981</v>
      </c>
      <c r="C18" s="1421" t="s">
        <v>982</v>
      </c>
      <c r="D18" s="1422" t="s">
        <v>2185</v>
      </c>
      <c r="E18" s="185">
        <v>1568266.13</v>
      </c>
      <c r="F18" s="1423">
        <v>1583999.07</v>
      </c>
      <c r="G18" s="256">
        <f t="shared" si="1"/>
        <v>1576132.6</v>
      </c>
      <c r="H18" s="41"/>
      <c r="I18" s="2425"/>
      <c r="J18" s="2425"/>
      <c r="K18" s="2425"/>
      <c r="L18" s="2425"/>
      <c r="M18" s="2425"/>
    </row>
    <row r="19" spans="1:13">
      <c r="A19" s="1402">
        <f t="shared" si="0"/>
        <v>6.0080000000000027</v>
      </c>
      <c r="B19" s="1421" t="s">
        <v>983</v>
      </c>
      <c r="C19" s="1421" t="s">
        <v>984</v>
      </c>
      <c r="D19" s="1422" t="s">
        <v>2185</v>
      </c>
      <c r="E19" s="185">
        <v>1270232.48</v>
      </c>
      <c r="F19" s="1423">
        <v>1270232.48</v>
      </c>
      <c r="G19" s="256">
        <f t="shared" si="1"/>
        <v>1270232.48</v>
      </c>
      <c r="H19" s="41"/>
      <c r="I19" s="2425"/>
      <c r="J19" s="2425"/>
      <c r="K19" s="2425"/>
      <c r="L19" s="2425"/>
      <c r="M19" s="2425"/>
    </row>
    <row r="20" spans="1:13">
      <c r="A20" s="1402">
        <f t="shared" si="0"/>
        <v>6.009000000000003</v>
      </c>
      <c r="B20" s="1421" t="s">
        <v>985</v>
      </c>
      <c r="C20" s="1421" t="s">
        <v>986</v>
      </c>
      <c r="D20" s="1422" t="s">
        <v>2185</v>
      </c>
      <c r="E20" s="185">
        <v>279395.28000000003</v>
      </c>
      <c r="F20" s="1423">
        <v>279395.28000000003</v>
      </c>
      <c r="G20" s="256">
        <f t="shared" si="1"/>
        <v>279395.28000000003</v>
      </c>
      <c r="H20" s="41"/>
      <c r="I20" s="2425"/>
      <c r="J20" s="2425"/>
      <c r="K20" s="2425"/>
      <c r="L20" s="2425"/>
      <c r="M20" s="2425"/>
    </row>
    <row r="21" spans="1:13">
      <c r="A21" s="1402">
        <f t="shared" si="0"/>
        <v>6.0100000000000033</v>
      </c>
      <c r="B21" s="1421" t="s">
        <v>987</v>
      </c>
      <c r="C21" s="1421" t="s">
        <v>986</v>
      </c>
      <c r="D21" s="1422" t="s">
        <v>2185</v>
      </c>
      <c r="E21" s="185">
        <v>110001.26</v>
      </c>
      <c r="F21" s="1423">
        <v>119487.19</v>
      </c>
      <c r="G21" s="256">
        <f t="shared" si="1"/>
        <v>114744.22500000001</v>
      </c>
      <c r="H21" s="41"/>
      <c r="I21" s="41"/>
    </row>
    <row r="22" spans="1:13">
      <c r="A22" s="1402">
        <f t="shared" si="0"/>
        <v>6.0110000000000037</v>
      </c>
      <c r="B22" s="1421" t="s">
        <v>988</v>
      </c>
      <c r="C22" s="1421" t="s">
        <v>989</v>
      </c>
      <c r="D22" s="1422" t="s">
        <v>2185</v>
      </c>
      <c r="E22" s="185">
        <v>127813.84</v>
      </c>
      <c r="F22" s="1423">
        <v>127813.84</v>
      </c>
      <c r="G22" s="256">
        <f t="shared" si="1"/>
        <v>127813.84</v>
      </c>
      <c r="H22" s="41"/>
      <c r="I22" s="41"/>
    </row>
    <row r="23" spans="1:13">
      <c r="A23" s="1402">
        <f t="shared" si="0"/>
        <v>6.012000000000004</v>
      </c>
      <c r="B23" s="1421" t="s">
        <v>990</v>
      </c>
      <c r="C23" s="1421" t="s">
        <v>991</v>
      </c>
      <c r="D23" s="1422" t="s">
        <v>2185</v>
      </c>
      <c r="E23" s="185">
        <v>1612046.96</v>
      </c>
      <c r="F23" s="1423">
        <v>1612046.96</v>
      </c>
      <c r="G23" s="256">
        <f t="shared" si="1"/>
        <v>1612046.96</v>
      </c>
      <c r="H23" s="41"/>
      <c r="I23" s="41"/>
    </row>
    <row r="24" spans="1:13">
      <c r="A24" s="1402">
        <f t="shared" si="0"/>
        <v>6.0130000000000043</v>
      </c>
      <c r="B24" s="1421" t="s">
        <v>992</v>
      </c>
      <c r="C24" s="1421" t="s">
        <v>993</v>
      </c>
      <c r="D24" s="1422" t="s">
        <v>2185</v>
      </c>
      <c r="E24" s="185">
        <v>30838941.949999999</v>
      </c>
      <c r="F24" s="1423">
        <v>30838941.949999999</v>
      </c>
      <c r="G24" s="256">
        <f t="shared" si="1"/>
        <v>30838941.949999999</v>
      </c>
      <c r="H24" s="41"/>
      <c r="I24" s="41"/>
    </row>
    <row r="25" spans="1:13">
      <c r="A25" s="1402">
        <f t="shared" si="0"/>
        <v>6.0140000000000047</v>
      </c>
      <c r="B25" s="1421" t="s">
        <v>994</v>
      </c>
      <c r="C25" s="1421" t="s">
        <v>993</v>
      </c>
      <c r="D25" s="1422" t="s">
        <v>2185</v>
      </c>
      <c r="E25" s="185">
        <v>2152542.88</v>
      </c>
      <c r="F25" s="1423">
        <v>2152542.88</v>
      </c>
      <c r="G25" s="256">
        <f t="shared" si="1"/>
        <v>2152542.88</v>
      </c>
      <c r="H25" s="41"/>
      <c r="I25" s="41"/>
    </row>
    <row r="26" spans="1:13">
      <c r="A26" s="1402">
        <f t="shared" si="0"/>
        <v>6.015000000000005</v>
      </c>
      <c r="B26" s="1421" t="s">
        <v>995</v>
      </c>
      <c r="C26" s="1421" t="s">
        <v>996</v>
      </c>
      <c r="D26" s="1422" t="s">
        <v>2185</v>
      </c>
      <c r="E26" s="185">
        <v>174280.5</v>
      </c>
      <c r="F26" s="1423">
        <v>174164.17</v>
      </c>
      <c r="G26" s="256">
        <f t="shared" si="1"/>
        <v>174222.33500000002</v>
      </c>
      <c r="H26" s="41"/>
      <c r="I26" s="41"/>
    </row>
    <row r="27" spans="1:13">
      <c r="A27" s="1402">
        <f t="shared" si="0"/>
        <v>6.0160000000000053</v>
      </c>
      <c r="B27" s="1421" t="s">
        <v>997</v>
      </c>
      <c r="C27" s="1421" t="s">
        <v>996</v>
      </c>
      <c r="D27" s="1422" t="s">
        <v>2185</v>
      </c>
      <c r="E27" s="185">
        <v>86395.42</v>
      </c>
      <c r="F27" s="1423">
        <v>86395.42</v>
      </c>
      <c r="G27" s="256">
        <f t="shared" si="1"/>
        <v>86395.42</v>
      </c>
      <c r="H27" s="41"/>
      <c r="I27" s="41"/>
    </row>
    <row r="28" spans="1:13">
      <c r="A28" s="1402">
        <f t="shared" si="0"/>
        <v>6.0170000000000057</v>
      </c>
      <c r="B28" s="1421" t="s">
        <v>998</v>
      </c>
      <c r="C28" s="1421" t="s">
        <v>999</v>
      </c>
      <c r="D28" s="1422" t="s">
        <v>2185</v>
      </c>
      <c r="E28" s="185">
        <v>118316.02</v>
      </c>
      <c r="F28" s="1423">
        <v>118316.02</v>
      </c>
      <c r="G28" s="256">
        <f t="shared" si="1"/>
        <v>118316.02</v>
      </c>
      <c r="H28" s="41"/>
      <c r="I28" s="41"/>
    </row>
    <row r="29" spans="1:13">
      <c r="A29" s="1402">
        <f t="shared" si="0"/>
        <v>6.018000000000006</v>
      </c>
      <c r="B29" s="1421" t="s">
        <v>1000</v>
      </c>
      <c r="C29" s="1421" t="s">
        <v>999</v>
      </c>
      <c r="D29" s="1422" t="s">
        <v>2185</v>
      </c>
      <c r="E29" s="185">
        <v>2300.2800000000002</v>
      </c>
      <c r="F29" s="1423">
        <v>2300.2800000000002</v>
      </c>
      <c r="G29" s="256">
        <f t="shared" si="1"/>
        <v>2300.2800000000002</v>
      </c>
      <c r="H29" s="41"/>
      <c r="I29" s="41"/>
    </row>
    <row r="30" spans="1:13">
      <c r="A30" s="1402">
        <f t="shared" si="0"/>
        <v>6.0190000000000063</v>
      </c>
      <c r="B30" s="1421" t="s">
        <v>1001</v>
      </c>
      <c r="C30" s="1421" t="s">
        <v>1002</v>
      </c>
      <c r="D30" s="1422" t="s">
        <v>2185</v>
      </c>
      <c r="E30" s="185">
        <v>2308604.64</v>
      </c>
      <c r="F30" s="1423">
        <v>2308492.87</v>
      </c>
      <c r="G30" s="256">
        <f t="shared" si="1"/>
        <v>2308548.7549999999</v>
      </c>
      <c r="H30" s="41"/>
      <c r="I30" s="41"/>
    </row>
    <row r="31" spans="1:13">
      <c r="A31" s="1402">
        <f t="shared" si="0"/>
        <v>6.0200000000000067</v>
      </c>
      <c r="B31" s="1166" t="s">
        <v>1003</v>
      </c>
      <c r="C31" s="1166" t="s">
        <v>1002</v>
      </c>
      <c r="D31" s="1422" t="s">
        <v>2185</v>
      </c>
      <c r="E31" s="185">
        <v>3928.36</v>
      </c>
      <c r="F31" s="1423">
        <v>3928.36</v>
      </c>
      <c r="G31" s="256">
        <f t="shared" si="1"/>
        <v>3928.36</v>
      </c>
      <c r="H31" s="41"/>
      <c r="I31" s="41"/>
    </row>
    <row r="32" spans="1:13">
      <c r="A32" s="1402">
        <f t="shared" si="0"/>
        <v>6.021000000000007</v>
      </c>
      <c r="B32" s="1166" t="s">
        <v>1004</v>
      </c>
      <c r="C32" s="1166" t="s">
        <v>1005</v>
      </c>
      <c r="D32" s="1422" t="s">
        <v>2185</v>
      </c>
      <c r="E32" s="185">
        <v>258075.4</v>
      </c>
      <c r="F32" s="1423">
        <v>258075.4</v>
      </c>
      <c r="G32" s="256">
        <f t="shared" si="1"/>
        <v>258075.4</v>
      </c>
      <c r="H32" s="41"/>
      <c r="I32" s="41"/>
    </row>
    <row r="33" spans="1:9">
      <c r="A33" s="1402">
        <f t="shared" si="0"/>
        <v>6.0220000000000073</v>
      </c>
      <c r="B33" s="1166" t="s">
        <v>1006</v>
      </c>
      <c r="C33" s="1166" t="s">
        <v>1005</v>
      </c>
      <c r="D33" s="1422" t="s">
        <v>2185</v>
      </c>
      <c r="E33" s="185">
        <v>96121.8</v>
      </c>
      <c r="F33" s="1423">
        <v>96121.8</v>
      </c>
      <c r="G33" s="256">
        <f t="shared" si="1"/>
        <v>96121.8</v>
      </c>
      <c r="H33" s="41"/>
      <c r="I33" s="41"/>
    </row>
    <row r="34" spans="1:9">
      <c r="A34" s="1402">
        <f t="shared" si="0"/>
        <v>6.0230000000000077</v>
      </c>
      <c r="B34" s="1166" t="s">
        <v>1007</v>
      </c>
      <c r="C34" s="1166" t="s">
        <v>1008</v>
      </c>
      <c r="D34" s="1422" t="s">
        <v>2185</v>
      </c>
      <c r="E34" s="185">
        <v>1052775.7</v>
      </c>
      <c r="F34" s="1423">
        <v>1067412.25</v>
      </c>
      <c r="G34" s="256">
        <f t="shared" si="1"/>
        <v>1060093.9750000001</v>
      </c>
      <c r="H34" s="41"/>
      <c r="I34" s="41"/>
    </row>
    <row r="35" spans="1:9">
      <c r="A35" s="1402">
        <f t="shared" si="0"/>
        <v>6.024000000000008</v>
      </c>
      <c r="B35" s="1166" t="s">
        <v>1009</v>
      </c>
      <c r="C35" s="1166" t="s">
        <v>1008</v>
      </c>
      <c r="D35" s="1422" t="s">
        <v>2185</v>
      </c>
      <c r="E35" s="185">
        <v>203054.69</v>
      </c>
      <c r="F35" s="1423">
        <v>205809.42</v>
      </c>
      <c r="G35" s="256">
        <f t="shared" si="1"/>
        <v>204432.05499999999</v>
      </c>
      <c r="H35" s="41"/>
      <c r="I35" s="41"/>
    </row>
    <row r="36" spans="1:9">
      <c r="A36" s="1402">
        <f t="shared" si="0"/>
        <v>6.0250000000000083</v>
      </c>
      <c r="B36" s="1421" t="s">
        <v>1010</v>
      </c>
      <c r="C36" s="1421" t="s">
        <v>1011</v>
      </c>
      <c r="D36" s="1533"/>
      <c r="E36" s="185">
        <v>0</v>
      </c>
      <c r="F36" s="1423">
        <v>0</v>
      </c>
      <c r="G36" s="256">
        <f t="shared" si="1"/>
        <v>0</v>
      </c>
      <c r="I36" s="2117" t="s">
        <v>2054</v>
      </c>
    </row>
    <row r="37" spans="1:9">
      <c r="A37" s="1402">
        <f t="shared" si="0"/>
        <v>6.0260000000000087</v>
      </c>
      <c r="B37" s="1421" t="s">
        <v>1012</v>
      </c>
      <c r="C37" s="1421" t="s">
        <v>1013</v>
      </c>
      <c r="D37" s="1422" t="s">
        <v>2185</v>
      </c>
      <c r="E37" s="185">
        <v>122039.4</v>
      </c>
      <c r="F37" s="1423">
        <v>122039.4</v>
      </c>
      <c r="G37" s="256">
        <f t="shared" si="1"/>
        <v>122039.4</v>
      </c>
      <c r="I37" s="41"/>
    </row>
    <row r="38" spans="1:9">
      <c r="A38" s="1402">
        <f t="shared" si="0"/>
        <v>6.027000000000009</v>
      </c>
      <c r="B38" s="1421" t="s">
        <v>1014</v>
      </c>
      <c r="C38" s="1421" t="s">
        <v>1015</v>
      </c>
      <c r="D38" s="1533"/>
      <c r="E38" s="185">
        <v>0</v>
      </c>
      <c r="F38" s="1423">
        <v>0</v>
      </c>
      <c r="G38" s="256">
        <f t="shared" si="1"/>
        <v>0</v>
      </c>
      <c r="I38" s="2117" t="s">
        <v>2054</v>
      </c>
    </row>
    <row r="39" spans="1:9">
      <c r="A39" s="1402">
        <f t="shared" si="0"/>
        <v>6.0280000000000094</v>
      </c>
      <c r="B39" s="1421" t="s">
        <v>1016</v>
      </c>
      <c r="C39" s="1421" t="s">
        <v>1017</v>
      </c>
      <c r="D39" s="1533"/>
      <c r="E39" s="185">
        <v>0</v>
      </c>
      <c r="F39" s="1423">
        <v>0</v>
      </c>
      <c r="G39" s="256">
        <f t="shared" si="1"/>
        <v>0</v>
      </c>
      <c r="I39" s="2117" t="s">
        <v>2054</v>
      </c>
    </row>
    <row r="40" spans="1:9">
      <c r="A40" s="1402">
        <f t="shared" si="0"/>
        <v>6.0290000000000097</v>
      </c>
      <c r="B40" s="1166" t="s">
        <v>1018</v>
      </c>
      <c r="C40" s="1166" t="s">
        <v>1019</v>
      </c>
      <c r="D40" s="1422" t="s">
        <v>2185</v>
      </c>
      <c r="E40" s="185">
        <v>43780.2</v>
      </c>
      <c r="F40" s="1423">
        <v>43780.2</v>
      </c>
      <c r="G40" s="256">
        <f t="shared" si="1"/>
        <v>43780.2</v>
      </c>
      <c r="H40" s="41"/>
      <c r="I40" s="41"/>
    </row>
    <row r="41" spans="1:9">
      <c r="A41" s="1402">
        <f t="shared" si="0"/>
        <v>6.03000000000001</v>
      </c>
      <c r="B41" s="1166" t="s">
        <v>1020</v>
      </c>
      <c r="C41" s="1166" t="s">
        <v>1021</v>
      </c>
      <c r="D41" s="1422" t="s">
        <v>2185</v>
      </c>
      <c r="E41" s="185">
        <v>1995989.98</v>
      </c>
      <c r="F41" s="1423">
        <v>1995989.98</v>
      </c>
      <c r="G41" s="256">
        <f t="shared" si="1"/>
        <v>1995989.98</v>
      </c>
      <c r="H41" s="41"/>
      <c r="I41" s="41"/>
    </row>
    <row r="42" spans="1:9">
      <c r="A42" s="1402">
        <f t="shared" si="0"/>
        <v>6.0310000000000104</v>
      </c>
      <c r="B42" s="1166" t="s">
        <v>1022</v>
      </c>
      <c r="C42" s="1166" t="s">
        <v>1023</v>
      </c>
      <c r="D42" s="1422" t="s">
        <v>2185</v>
      </c>
      <c r="E42" s="185">
        <v>1935263.24</v>
      </c>
      <c r="F42" s="1423">
        <v>1935263.24</v>
      </c>
      <c r="G42" s="256">
        <f t="shared" si="1"/>
        <v>1935263.24</v>
      </c>
      <c r="H42" s="41"/>
      <c r="I42" s="41"/>
    </row>
    <row r="43" spans="1:9" s="1394" customFormat="1">
      <c r="A43" s="1402">
        <f t="shared" si="0"/>
        <v>6.0320000000000107</v>
      </c>
      <c r="B43" s="1421" t="s">
        <v>1144</v>
      </c>
      <c r="C43" s="1421" t="s">
        <v>1145</v>
      </c>
      <c r="D43" s="1422" t="s">
        <v>2184</v>
      </c>
      <c r="E43" s="185">
        <v>127718.74</v>
      </c>
      <c r="F43" s="1423">
        <v>303481.15999999997</v>
      </c>
      <c r="G43" s="256">
        <f t="shared" si="1"/>
        <v>215599.94999999998</v>
      </c>
      <c r="H43" s="1385"/>
      <c r="I43" s="1400" t="s">
        <v>1460</v>
      </c>
    </row>
    <row r="44" spans="1:9" s="1394" customFormat="1">
      <c r="A44" s="1402">
        <f t="shared" si="0"/>
        <v>6.033000000000011</v>
      </c>
      <c r="B44" s="1421" t="s">
        <v>1146</v>
      </c>
      <c r="C44" s="1421" t="s">
        <v>1145</v>
      </c>
      <c r="D44" s="1422" t="s">
        <v>2184</v>
      </c>
      <c r="E44" s="185">
        <v>1709.63</v>
      </c>
      <c r="F44" s="1423">
        <v>1706.94</v>
      </c>
      <c r="G44" s="256">
        <f t="shared" si="1"/>
        <v>1708.2850000000001</v>
      </c>
      <c r="H44" s="1385"/>
      <c r="I44" s="1400" t="s">
        <v>1460</v>
      </c>
    </row>
    <row r="45" spans="1:9" s="1394" customFormat="1">
      <c r="A45" s="1402">
        <f t="shared" si="0"/>
        <v>6.0340000000000114</v>
      </c>
      <c r="B45" s="1421" t="s">
        <v>1147</v>
      </c>
      <c r="C45" s="1421" t="s">
        <v>1148</v>
      </c>
      <c r="D45" s="1422" t="s">
        <v>2184</v>
      </c>
      <c r="E45" s="185">
        <v>181213.89</v>
      </c>
      <c r="F45" s="1423">
        <v>189528.25</v>
      </c>
      <c r="G45" s="256">
        <f t="shared" si="1"/>
        <v>185371.07</v>
      </c>
      <c r="H45" s="1385"/>
      <c r="I45" s="1400" t="s">
        <v>1460</v>
      </c>
    </row>
    <row r="46" spans="1:9" s="1394" customFormat="1">
      <c r="A46" s="1402">
        <f t="shared" si="0"/>
        <v>6.0350000000000117</v>
      </c>
      <c r="B46" s="1421" t="s">
        <v>1149</v>
      </c>
      <c r="C46" s="1421" t="s">
        <v>1150</v>
      </c>
      <c r="D46" s="1422" t="s">
        <v>2184</v>
      </c>
      <c r="E46" s="185">
        <v>137424.63</v>
      </c>
      <c r="F46" s="1423">
        <v>137424.63</v>
      </c>
      <c r="G46" s="256">
        <f t="shared" si="1"/>
        <v>137424.63</v>
      </c>
      <c r="H46" s="1385"/>
      <c r="I46" s="1400" t="s">
        <v>1460</v>
      </c>
    </row>
    <row r="47" spans="1:9" s="1394" customFormat="1">
      <c r="A47" s="1402">
        <f t="shared" si="0"/>
        <v>6.036000000000012</v>
      </c>
      <c r="B47" s="1421" t="s">
        <v>1151</v>
      </c>
      <c r="C47" s="1421" t="s">
        <v>1152</v>
      </c>
      <c r="D47" s="1422" t="s">
        <v>2184</v>
      </c>
      <c r="E47" s="185">
        <v>102542.48</v>
      </c>
      <c r="F47" s="1423">
        <v>109164.83</v>
      </c>
      <c r="G47" s="256">
        <f t="shared" si="1"/>
        <v>105853.655</v>
      </c>
      <c r="H47" s="1385"/>
      <c r="I47" s="1400" t="s">
        <v>1460</v>
      </c>
    </row>
    <row r="48" spans="1:9" s="1394" customFormat="1">
      <c r="A48" s="1402">
        <f t="shared" si="0"/>
        <v>6.0370000000000124</v>
      </c>
      <c r="B48" s="1421" t="s">
        <v>1153</v>
      </c>
      <c r="C48" s="1421" t="s">
        <v>1152</v>
      </c>
      <c r="D48" s="1422" t="s">
        <v>2184</v>
      </c>
      <c r="E48" s="185">
        <v>1438.11</v>
      </c>
      <c r="F48" s="1423">
        <v>1434.22</v>
      </c>
      <c r="G48" s="256">
        <f t="shared" si="1"/>
        <v>1436.165</v>
      </c>
      <c r="H48" s="1385"/>
      <c r="I48" s="1400" t="s">
        <v>1460</v>
      </c>
    </row>
    <row r="49" spans="1:9" s="1394" customFormat="1">
      <c r="A49" s="1402">
        <f t="shared" si="0"/>
        <v>6.0380000000000127</v>
      </c>
      <c r="B49" s="1421" t="s">
        <v>1154</v>
      </c>
      <c r="C49" s="1421" t="s">
        <v>1155</v>
      </c>
      <c r="D49" s="1422" t="s">
        <v>2186</v>
      </c>
      <c r="E49" s="185">
        <v>54984.24</v>
      </c>
      <c r="F49" s="1423">
        <v>54984.24</v>
      </c>
      <c r="G49" s="256">
        <f t="shared" si="1"/>
        <v>54984.24</v>
      </c>
      <c r="H49" s="1385"/>
      <c r="I49" s="1400" t="s">
        <v>1460</v>
      </c>
    </row>
    <row r="50" spans="1:9" s="1394" customFormat="1">
      <c r="A50" s="1402">
        <f t="shared" si="0"/>
        <v>6.039000000000013</v>
      </c>
      <c r="B50" s="1421" t="s">
        <v>1156</v>
      </c>
      <c r="C50" s="1421" t="s">
        <v>1155</v>
      </c>
      <c r="D50" s="1422" t="s">
        <v>2186</v>
      </c>
      <c r="E50" s="185">
        <v>129535.54</v>
      </c>
      <c r="F50" s="1423">
        <v>132583.69</v>
      </c>
      <c r="G50" s="256">
        <f t="shared" si="1"/>
        <v>131059.61499999999</v>
      </c>
      <c r="H50" s="1385"/>
      <c r="I50" s="1400" t="s">
        <v>1460</v>
      </c>
    </row>
    <row r="51" spans="1:9" s="1394" customFormat="1">
      <c r="A51" s="1402">
        <f t="shared" si="0"/>
        <v>6.0400000000000134</v>
      </c>
      <c r="B51" s="1421" t="s">
        <v>1157</v>
      </c>
      <c r="C51" s="1421" t="s">
        <v>1158</v>
      </c>
      <c r="D51" s="1422" t="s">
        <v>2185</v>
      </c>
      <c r="E51" s="185">
        <v>50239.05</v>
      </c>
      <c r="F51" s="1423">
        <v>50239.05</v>
      </c>
      <c r="G51" s="256">
        <f t="shared" si="1"/>
        <v>50239.05</v>
      </c>
      <c r="H51" s="1385"/>
      <c r="I51" s="1400" t="s">
        <v>1460</v>
      </c>
    </row>
    <row r="52" spans="1:9" s="1394" customFormat="1">
      <c r="A52" s="1402">
        <f t="shared" si="0"/>
        <v>6.0410000000000137</v>
      </c>
      <c r="B52" s="1421" t="s">
        <v>1159</v>
      </c>
      <c r="C52" s="1421" t="s">
        <v>1158</v>
      </c>
      <c r="D52" s="1422" t="s">
        <v>2185</v>
      </c>
      <c r="E52" s="185">
        <v>794264.87</v>
      </c>
      <c r="F52" s="1423">
        <v>641140.04</v>
      </c>
      <c r="G52" s="256">
        <f t="shared" si="1"/>
        <v>717702.45500000007</v>
      </c>
      <c r="H52" s="1385"/>
      <c r="I52" s="1400" t="s">
        <v>1460</v>
      </c>
    </row>
    <row r="53" spans="1:9" s="1394" customFormat="1">
      <c r="A53" s="1402">
        <f t="shared" si="0"/>
        <v>6.042000000000014</v>
      </c>
      <c r="B53" s="1421" t="s">
        <v>1160</v>
      </c>
      <c r="C53" s="1421" t="s">
        <v>1161</v>
      </c>
      <c r="D53" s="1422" t="s">
        <v>2185</v>
      </c>
      <c r="E53" s="185">
        <v>52075.46</v>
      </c>
      <c r="F53" s="1423">
        <v>54481.919999999998</v>
      </c>
      <c r="G53" s="256">
        <f t="shared" si="1"/>
        <v>53278.69</v>
      </c>
      <c r="H53" s="1385"/>
      <c r="I53" s="1400" t="s">
        <v>1460</v>
      </c>
    </row>
    <row r="54" spans="1:9" s="1394" customFormat="1">
      <c r="A54" s="1402">
        <f t="shared" si="0"/>
        <v>6.0430000000000144</v>
      </c>
      <c r="B54" s="1421" t="s">
        <v>1162</v>
      </c>
      <c r="C54" s="1421" t="s">
        <v>1163</v>
      </c>
      <c r="D54" s="1422" t="s">
        <v>2185</v>
      </c>
      <c r="E54" s="185">
        <v>5971.12</v>
      </c>
      <c r="F54" s="1423">
        <v>5971.12</v>
      </c>
      <c r="G54" s="256">
        <f t="shared" si="1"/>
        <v>5971.12</v>
      </c>
      <c r="H54" s="1385"/>
      <c r="I54" s="1400" t="s">
        <v>1460</v>
      </c>
    </row>
    <row r="55" spans="1:9" s="1394" customFormat="1">
      <c r="A55" s="1402">
        <f t="shared" si="0"/>
        <v>6.0440000000000147</v>
      </c>
      <c r="B55" s="1421" t="s">
        <v>1164</v>
      </c>
      <c r="C55" s="1421" t="s">
        <v>1163</v>
      </c>
      <c r="D55" s="1422" t="s">
        <v>2185</v>
      </c>
      <c r="E55" s="185">
        <v>4711.17</v>
      </c>
      <c r="F55" s="1423">
        <v>4711.17</v>
      </c>
      <c r="G55" s="256">
        <f t="shared" si="1"/>
        <v>4711.17</v>
      </c>
      <c r="H55" s="1385"/>
      <c r="I55" s="1400" t="s">
        <v>1460</v>
      </c>
    </row>
    <row r="56" spans="1:9" s="1394" customFormat="1">
      <c r="A56" s="1402">
        <f t="shared" si="0"/>
        <v>6.045000000000015</v>
      </c>
      <c r="B56" s="1421" t="s">
        <v>1165</v>
      </c>
      <c r="C56" s="1421" t="s">
        <v>1166</v>
      </c>
      <c r="D56" s="1422" t="s">
        <v>2185</v>
      </c>
      <c r="E56" s="185">
        <v>520142.74</v>
      </c>
      <c r="F56" s="1423">
        <v>759470.43</v>
      </c>
      <c r="G56" s="256">
        <f t="shared" si="1"/>
        <v>639806.58499999996</v>
      </c>
      <c r="H56" s="1385"/>
      <c r="I56" s="1400" t="s">
        <v>1460</v>
      </c>
    </row>
    <row r="57" spans="1:9" s="1394" customFormat="1">
      <c r="A57" s="1402">
        <f t="shared" si="0"/>
        <v>6.0460000000000154</v>
      </c>
      <c r="B57" s="1421" t="s">
        <v>1167</v>
      </c>
      <c r="C57" s="1421" t="s">
        <v>1166</v>
      </c>
      <c r="D57" s="1422"/>
      <c r="E57" s="185">
        <v>0</v>
      </c>
      <c r="F57" s="1423">
        <v>0</v>
      </c>
      <c r="G57" s="256">
        <f t="shared" si="1"/>
        <v>0</v>
      </c>
      <c r="H57" s="1385" t="s">
        <v>2054</v>
      </c>
      <c r="I57" s="1400" t="s">
        <v>1460</v>
      </c>
    </row>
    <row r="58" spans="1:9" s="1394" customFormat="1">
      <c r="A58" s="1402">
        <f t="shared" si="0"/>
        <v>6.0470000000000157</v>
      </c>
      <c r="B58" s="1421" t="s">
        <v>1168</v>
      </c>
      <c r="C58" s="1421" t="s">
        <v>1169</v>
      </c>
      <c r="D58" s="1422" t="s">
        <v>2185</v>
      </c>
      <c r="E58" s="185">
        <v>525820.56999999995</v>
      </c>
      <c r="F58" s="1423">
        <v>624410.56999999995</v>
      </c>
      <c r="G58" s="256">
        <f t="shared" si="1"/>
        <v>575115.56999999995</v>
      </c>
      <c r="H58" s="1385"/>
      <c r="I58" s="1400" t="s">
        <v>1460</v>
      </c>
    </row>
    <row r="59" spans="1:9" s="1394" customFormat="1">
      <c r="A59" s="1402">
        <f t="shared" si="0"/>
        <v>6.048000000000016</v>
      </c>
      <c r="B59" s="1421" t="s">
        <v>1170</v>
      </c>
      <c r="C59" s="1421" t="s">
        <v>1169</v>
      </c>
      <c r="D59" s="1422" t="s">
        <v>2185</v>
      </c>
      <c r="E59" s="185">
        <v>1516845.74</v>
      </c>
      <c r="F59" s="1423">
        <v>1522711.51</v>
      </c>
      <c r="G59" s="256">
        <f t="shared" si="1"/>
        <v>1519778.625</v>
      </c>
      <c r="H59" s="1385"/>
      <c r="I59" s="1400" t="s">
        <v>1460</v>
      </c>
    </row>
    <row r="60" spans="1:9" s="1394" customFormat="1">
      <c r="A60" s="1402">
        <f t="shared" si="0"/>
        <v>6.0490000000000164</v>
      </c>
      <c r="B60" s="1421" t="s">
        <v>1171</v>
      </c>
      <c r="C60" s="1421" t="s">
        <v>1172</v>
      </c>
      <c r="D60" s="1422" t="s">
        <v>2185</v>
      </c>
      <c r="E60" s="185">
        <v>181574.62</v>
      </c>
      <c r="F60" s="1423">
        <v>171008.95</v>
      </c>
      <c r="G60" s="256">
        <f t="shared" si="1"/>
        <v>176291.785</v>
      </c>
      <c r="H60" s="1385"/>
      <c r="I60" s="1400" t="s">
        <v>1460</v>
      </c>
    </row>
    <row r="61" spans="1:9" s="1394" customFormat="1">
      <c r="A61" s="1402">
        <f t="shared" si="0"/>
        <v>6.0500000000000167</v>
      </c>
      <c r="B61" s="1421" t="s">
        <v>1173</v>
      </c>
      <c r="C61" s="1421" t="s">
        <v>1172</v>
      </c>
      <c r="D61" s="1422" t="s">
        <v>2185</v>
      </c>
      <c r="E61" s="185">
        <v>43711.63</v>
      </c>
      <c r="F61" s="1423">
        <v>44790.720000000001</v>
      </c>
      <c r="G61" s="256">
        <f t="shared" si="1"/>
        <v>44251.175000000003</v>
      </c>
      <c r="H61" s="1385"/>
      <c r="I61" s="1400" t="s">
        <v>1460</v>
      </c>
    </row>
    <row r="62" spans="1:9" s="1394" customFormat="1">
      <c r="A62" s="1402">
        <f t="shared" si="0"/>
        <v>6.051000000000017</v>
      </c>
      <c r="B62" s="1421" t="s">
        <v>1174</v>
      </c>
      <c r="C62" s="1421" t="s">
        <v>1175</v>
      </c>
      <c r="D62" s="1422" t="s">
        <v>2185</v>
      </c>
      <c r="E62" s="185">
        <v>69021.64</v>
      </c>
      <c r="F62" s="1423">
        <v>75643.990000000005</v>
      </c>
      <c r="G62" s="256">
        <f t="shared" si="1"/>
        <v>72332.815000000002</v>
      </c>
      <c r="H62" s="1385"/>
      <c r="I62" s="1400" t="s">
        <v>1460</v>
      </c>
    </row>
    <row r="63" spans="1:9" s="1394" customFormat="1">
      <c r="A63" s="1402">
        <f t="shared" si="0"/>
        <v>6.0520000000000174</v>
      </c>
      <c r="B63" s="1421" t="s">
        <v>1176</v>
      </c>
      <c r="C63" s="1421" t="s">
        <v>1175</v>
      </c>
      <c r="D63" s="1422" t="s">
        <v>2185</v>
      </c>
      <c r="E63" s="185">
        <v>873.88</v>
      </c>
      <c r="F63" s="1423">
        <v>991.02</v>
      </c>
      <c r="G63" s="256">
        <f t="shared" si="1"/>
        <v>932.45</v>
      </c>
      <c r="H63" s="1385"/>
      <c r="I63" s="1400" t="s">
        <v>1460</v>
      </c>
    </row>
    <row r="64" spans="1:9" s="1394" customFormat="1">
      <c r="A64" s="1402">
        <f t="shared" si="0"/>
        <v>6.0530000000000177</v>
      </c>
      <c r="B64" s="1421" t="s">
        <v>1177</v>
      </c>
      <c r="C64" s="1421" t="s">
        <v>1178</v>
      </c>
      <c r="D64" s="1422" t="s">
        <v>2185</v>
      </c>
      <c r="E64" s="185">
        <v>69082.63</v>
      </c>
      <c r="F64" s="1423">
        <v>75704.98</v>
      </c>
      <c r="G64" s="256">
        <f t="shared" si="1"/>
        <v>72393.804999999993</v>
      </c>
      <c r="H64" s="1385"/>
      <c r="I64" s="1400" t="s">
        <v>1460</v>
      </c>
    </row>
    <row r="65" spans="1:9" s="1394" customFormat="1">
      <c r="A65" s="1402">
        <f t="shared" si="0"/>
        <v>6.054000000000018</v>
      </c>
      <c r="B65" s="1421" t="s">
        <v>1179</v>
      </c>
      <c r="C65" s="1421" t="s">
        <v>1178</v>
      </c>
      <c r="D65" s="1422" t="s">
        <v>2185</v>
      </c>
      <c r="E65" s="185">
        <v>6131.08</v>
      </c>
      <c r="F65" s="1423">
        <v>6117.55</v>
      </c>
      <c r="G65" s="256">
        <f t="shared" si="1"/>
        <v>6124.3150000000005</v>
      </c>
      <c r="H65" s="1385"/>
      <c r="I65" s="1400" t="s">
        <v>1460</v>
      </c>
    </row>
    <row r="66" spans="1:9" s="1394" customFormat="1">
      <c r="A66" s="1402">
        <f t="shared" si="0"/>
        <v>6.0550000000000184</v>
      </c>
      <c r="B66" s="1421" t="s">
        <v>1180</v>
      </c>
      <c r="C66" s="1421" t="s">
        <v>1181</v>
      </c>
      <c r="D66" s="1422" t="s">
        <v>2185</v>
      </c>
      <c r="E66" s="185">
        <v>204768.43</v>
      </c>
      <c r="F66" s="1423">
        <v>494622.1</v>
      </c>
      <c r="G66" s="256">
        <f t="shared" si="1"/>
        <v>349695.26500000001</v>
      </c>
      <c r="H66" s="1385"/>
      <c r="I66" s="1400" t="s">
        <v>1460</v>
      </c>
    </row>
    <row r="67" spans="1:9" s="1394" customFormat="1">
      <c r="A67" s="1402">
        <f t="shared" si="0"/>
        <v>6.0560000000000187</v>
      </c>
      <c r="B67" s="1421" t="s">
        <v>1182</v>
      </c>
      <c r="C67" s="1421" t="s">
        <v>1181</v>
      </c>
      <c r="D67" s="1422" t="s">
        <v>2185</v>
      </c>
      <c r="E67" s="185">
        <v>21429.01</v>
      </c>
      <c r="F67" s="1423">
        <v>21458.05</v>
      </c>
      <c r="G67" s="256">
        <f t="shared" si="1"/>
        <v>21443.53</v>
      </c>
      <c r="H67" s="1385"/>
      <c r="I67" s="1400" t="s">
        <v>1460</v>
      </c>
    </row>
    <row r="68" spans="1:9" s="1394" customFormat="1">
      <c r="A68" s="1402">
        <f t="shared" si="0"/>
        <v>6.057000000000019</v>
      </c>
      <c r="B68" s="1421" t="s">
        <v>1183</v>
      </c>
      <c r="C68" s="1421" t="s">
        <v>1184</v>
      </c>
      <c r="D68" s="1422" t="s">
        <v>2185</v>
      </c>
      <c r="E68" s="185">
        <v>2327.0300000000002</v>
      </c>
      <c r="F68" s="1423">
        <v>2272.27</v>
      </c>
      <c r="G68" s="256">
        <f t="shared" si="1"/>
        <v>2299.65</v>
      </c>
      <c r="H68" s="1385"/>
      <c r="I68" s="1400" t="s">
        <v>1460</v>
      </c>
    </row>
    <row r="69" spans="1:9" s="1394" customFormat="1">
      <c r="A69" s="1402">
        <f t="shared" si="0"/>
        <v>6.0580000000000194</v>
      </c>
      <c r="B69" s="1421" t="s">
        <v>1185</v>
      </c>
      <c r="C69" s="1421" t="s">
        <v>1186</v>
      </c>
      <c r="D69" s="1422" t="s">
        <v>2185</v>
      </c>
      <c r="E69" s="185">
        <v>2542.71</v>
      </c>
      <c r="F69" s="1423">
        <v>2542.71</v>
      </c>
      <c r="G69" s="256">
        <f t="shared" si="1"/>
        <v>2542.71</v>
      </c>
      <c r="H69" s="1385"/>
      <c r="I69" s="1400" t="s">
        <v>1460</v>
      </c>
    </row>
    <row r="70" spans="1:9" s="1394" customFormat="1">
      <c r="A70" s="1402">
        <f t="shared" si="0"/>
        <v>6.0590000000000197</v>
      </c>
      <c r="B70" s="1421" t="s">
        <v>1187</v>
      </c>
      <c r="C70" s="1421" t="s">
        <v>1188</v>
      </c>
      <c r="D70" s="1422" t="s">
        <v>2185</v>
      </c>
      <c r="E70" s="185">
        <v>1108.26</v>
      </c>
      <c r="F70" s="1423">
        <v>1108.26</v>
      </c>
      <c r="G70" s="256">
        <f t="shared" si="1"/>
        <v>1108.26</v>
      </c>
      <c r="H70" s="1385"/>
      <c r="I70" s="1400" t="s">
        <v>1460</v>
      </c>
    </row>
    <row r="71" spans="1:9" s="1394" customFormat="1">
      <c r="A71" s="1402">
        <f t="shared" si="0"/>
        <v>6.06000000000002</v>
      </c>
      <c r="B71" s="1421" t="s">
        <v>1189</v>
      </c>
      <c r="C71" s="1421" t="s">
        <v>1188</v>
      </c>
      <c r="D71" s="1422" t="s">
        <v>2185</v>
      </c>
      <c r="E71" s="185">
        <v>39535.629999999997</v>
      </c>
      <c r="F71" s="1423">
        <v>39535.629999999997</v>
      </c>
      <c r="G71" s="256">
        <f t="shared" si="1"/>
        <v>39535.629999999997</v>
      </c>
      <c r="H71" s="1385"/>
      <c r="I71" s="1400" t="s">
        <v>1460</v>
      </c>
    </row>
    <row r="72" spans="1:9" s="1394" customFormat="1">
      <c r="A72" s="1402">
        <f t="shared" si="0"/>
        <v>6.0610000000000204</v>
      </c>
      <c r="B72" s="1421" t="s">
        <v>1190</v>
      </c>
      <c r="C72" s="1421" t="s">
        <v>1191</v>
      </c>
      <c r="D72" s="1422" t="s">
        <v>2185</v>
      </c>
      <c r="E72" s="185">
        <v>2662031.58</v>
      </c>
      <c r="F72" s="1423">
        <v>2680334.38</v>
      </c>
      <c r="G72" s="256">
        <f t="shared" si="1"/>
        <v>2671182.98</v>
      </c>
      <c r="H72" s="1385"/>
      <c r="I72" s="1400" t="s">
        <v>1460</v>
      </c>
    </row>
    <row r="73" spans="1:9" s="1394" customFormat="1">
      <c r="A73" s="1402">
        <f t="shared" si="0"/>
        <v>6.0620000000000207</v>
      </c>
      <c r="B73" s="1421" t="s">
        <v>1192</v>
      </c>
      <c r="C73" s="1421" t="s">
        <v>1191</v>
      </c>
      <c r="D73" s="1422" t="s">
        <v>2185</v>
      </c>
      <c r="E73" s="185">
        <v>88787.91</v>
      </c>
      <c r="F73" s="1423">
        <v>125473.91</v>
      </c>
      <c r="G73" s="256">
        <f t="shared" si="1"/>
        <v>107130.91</v>
      </c>
      <c r="H73" s="1385"/>
      <c r="I73" s="1400" t="s">
        <v>1460</v>
      </c>
    </row>
    <row r="74" spans="1:9" s="1394" customFormat="1">
      <c r="A74" s="1402">
        <f t="shared" si="0"/>
        <v>6.063000000000021</v>
      </c>
      <c r="B74" s="1421" t="s">
        <v>1193</v>
      </c>
      <c r="C74" s="1421" t="s">
        <v>1194</v>
      </c>
      <c r="D74" s="1422" t="s">
        <v>2185</v>
      </c>
      <c r="E74" s="185">
        <v>165013.41</v>
      </c>
      <c r="F74" s="1423">
        <v>165013.41</v>
      </c>
      <c r="G74" s="256">
        <f t="shared" si="1"/>
        <v>165013.41</v>
      </c>
      <c r="H74" s="1385"/>
      <c r="I74" s="1400" t="s">
        <v>1460</v>
      </c>
    </row>
    <row r="75" spans="1:9" s="1394" customFormat="1">
      <c r="A75" s="1402">
        <f t="shared" si="0"/>
        <v>6.0640000000000214</v>
      </c>
      <c r="B75" s="1421" t="s">
        <v>1195</v>
      </c>
      <c r="C75" s="1421" t="s">
        <v>1196</v>
      </c>
      <c r="D75" s="1422" t="s">
        <v>2185</v>
      </c>
      <c r="E75" s="185">
        <v>11095.46</v>
      </c>
      <c r="F75" s="1423">
        <v>7203.13</v>
      </c>
      <c r="G75" s="256">
        <f t="shared" si="1"/>
        <v>9149.2950000000001</v>
      </c>
      <c r="H75" s="1385"/>
      <c r="I75" s="1400" t="s">
        <v>1460</v>
      </c>
    </row>
    <row r="76" spans="1:9" s="1394" customFormat="1">
      <c r="A76" s="1402">
        <f t="shared" si="0"/>
        <v>6.0650000000000217</v>
      </c>
      <c r="B76" s="1421" t="s">
        <v>1197</v>
      </c>
      <c r="C76" s="1421" t="s">
        <v>1196</v>
      </c>
      <c r="D76" s="1422" t="s">
        <v>2185</v>
      </c>
      <c r="E76" s="185">
        <v>153305.65</v>
      </c>
      <c r="F76" s="1423">
        <v>156412.99</v>
      </c>
      <c r="G76" s="256">
        <f t="shared" si="1"/>
        <v>154859.32</v>
      </c>
      <c r="H76" s="1385"/>
      <c r="I76" s="1400" t="s">
        <v>1460</v>
      </c>
    </row>
    <row r="77" spans="1:9" s="1394" customFormat="1">
      <c r="A77" s="1402">
        <f t="shared" ref="A77:A137" si="2">+A76+0.001</f>
        <v>6.066000000000022</v>
      </c>
      <c r="B77" s="1421" t="s">
        <v>1198</v>
      </c>
      <c r="C77" s="1421" t="s">
        <v>1199</v>
      </c>
      <c r="D77" s="1422" t="s">
        <v>2185</v>
      </c>
      <c r="E77" s="185">
        <v>16641.330000000002</v>
      </c>
      <c r="F77" s="1423">
        <v>16641.330000000002</v>
      </c>
      <c r="G77" s="256">
        <f t="shared" ref="G77:G142" si="3">+SUM(E77,F77)/2</f>
        <v>16641.330000000002</v>
      </c>
      <c r="H77" s="1385"/>
      <c r="I77" s="1400" t="s">
        <v>1460</v>
      </c>
    </row>
    <row r="78" spans="1:9" s="1394" customFormat="1">
      <c r="A78" s="1402">
        <f t="shared" si="2"/>
        <v>6.0670000000000224</v>
      </c>
      <c r="B78" s="1421" t="s">
        <v>1200</v>
      </c>
      <c r="C78" s="1421" t="s">
        <v>1199</v>
      </c>
      <c r="D78" s="1422" t="s">
        <v>2185</v>
      </c>
      <c r="E78" s="185">
        <v>3603458.64</v>
      </c>
      <c r="F78" s="1423">
        <v>3600740.54</v>
      </c>
      <c r="G78" s="256">
        <f t="shared" si="3"/>
        <v>3602099.59</v>
      </c>
      <c r="H78" s="1385"/>
      <c r="I78" s="1400" t="s">
        <v>1460</v>
      </c>
    </row>
    <row r="79" spans="1:9" s="1394" customFormat="1">
      <c r="A79" s="1402">
        <f t="shared" si="2"/>
        <v>6.0680000000000227</v>
      </c>
      <c r="B79" s="1421" t="s">
        <v>1201</v>
      </c>
      <c r="C79" s="1421" t="s">
        <v>1202</v>
      </c>
      <c r="D79" s="1422" t="s">
        <v>2185</v>
      </c>
      <c r="E79" s="185">
        <v>46930.07</v>
      </c>
      <c r="F79" s="1423">
        <v>46930.07</v>
      </c>
      <c r="G79" s="256">
        <f t="shared" si="3"/>
        <v>46930.07</v>
      </c>
      <c r="H79" s="1385"/>
      <c r="I79" s="1400" t="s">
        <v>1460</v>
      </c>
    </row>
    <row r="80" spans="1:9" s="1394" customFormat="1">
      <c r="A80" s="1402">
        <f t="shared" si="2"/>
        <v>6.069000000000023</v>
      </c>
      <c r="B80" s="1421" t="s">
        <v>1203</v>
      </c>
      <c r="C80" s="1421" t="s">
        <v>1202</v>
      </c>
      <c r="D80" s="1422" t="s">
        <v>2185</v>
      </c>
      <c r="E80" s="185">
        <v>129181.43</v>
      </c>
      <c r="F80" s="1423">
        <v>129181.43</v>
      </c>
      <c r="G80" s="256">
        <f t="shared" si="3"/>
        <v>129181.43</v>
      </c>
      <c r="H80" s="1385"/>
      <c r="I80" s="1400" t="s">
        <v>1460</v>
      </c>
    </row>
    <row r="81" spans="1:9" s="1394" customFormat="1">
      <c r="A81" s="1402">
        <f t="shared" si="2"/>
        <v>6.0700000000000234</v>
      </c>
      <c r="B81" s="1421" t="s">
        <v>1204</v>
      </c>
      <c r="C81" s="1421" t="s">
        <v>1205</v>
      </c>
      <c r="D81" s="1422" t="s">
        <v>2185</v>
      </c>
      <c r="E81" s="185">
        <v>16157.9</v>
      </c>
      <c r="F81" s="1423">
        <v>16157.9</v>
      </c>
      <c r="G81" s="256">
        <f t="shared" si="3"/>
        <v>16157.9</v>
      </c>
      <c r="H81" s="1385"/>
      <c r="I81" s="1400" t="s">
        <v>1460</v>
      </c>
    </row>
    <row r="82" spans="1:9" s="1394" customFormat="1">
      <c r="A82" s="1402">
        <f t="shared" si="2"/>
        <v>6.0710000000000237</v>
      </c>
      <c r="B82" s="1421" t="s">
        <v>1206</v>
      </c>
      <c r="C82" s="1421" t="s">
        <v>1205</v>
      </c>
      <c r="D82" s="1422" t="s">
        <v>2185</v>
      </c>
      <c r="E82" s="185">
        <v>259077.63</v>
      </c>
      <c r="F82" s="1423">
        <v>259077.63</v>
      </c>
      <c r="G82" s="256">
        <f t="shared" si="3"/>
        <v>259077.63</v>
      </c>
      <c r="H82" s="1385"/>
      <c r="I82" s="1400" t="s">
        <v>1460</v>
      </c>
    </row>
    <row r="83" spans="1:9" s="1394" customFormat="1">
      <c r="A83" s="1402">
        <f t="shared" si="2"/>
        <v>6.072000000000024</v>
      </c>
      <c r="B83" s="1421" t="s">
        <v>1207</v>
      </c>
      <c r="C83" s="1421" t="s">
        <v>1208</v>
      </c>
      <c r="D83" s="1422" t="s">
        <v>2185</v>
      </c>
      <c r="E83" s="185">
        <v>25492.080000000002</v>
      </c>
      <c r="F83" s="1423">
        <v>25492.080000000002</v>
      </c>
      <c r="G83" s="256">
        <f t="shared" si="3"/>
        <v>25492.080000000002</v>
      </c>
      <c r="H83" s="1385"/>
      <c r="I83" s="1400" t="s">
        <v>1460</v>
      </c>
    </row>
    <row r="84" spans="1:9" s="1394" customFormat="1">
      <c r="A84" s="1402">
        <f t="shared" si="2"/>
        <v>6.0730000000000244</v>
      </c>
      <c r="B84" s="1421" t="s">
        <v>1209</v>
      </c>
      <c r="C84" s="1421" t="s">
        <v>1210</v>
      </c>
      <c r="D84" s="1422" t="s">
        <v>2185</v>
      </c>
      <c r="E84" s="185">
        <v>290108.15999999997</v>
      </c>
      <c r="F84" s="1423">
        <v>290108.15999999997</v>
      </c>
      <c r="G84" s="256">
        <f t="shared" si="3"/>
        <v>290108.15999999997</v>
      </c>
      <c r="H84" s="1385"/>
      <c r="I84" s="1400" t="s">
        <v>1460</v>
      </c>
    </row>
    <row r="85" spans="1:9" s="1394" customFormat="1">
      <c r="A85" s="1402">
        <f t="shared" si="2"/>
        <v>6.0740000000000247</v>
      </c>
      <c r="B85" s="1421" t="s">
        <v>1211</v>
      </c>
      <c r="C85" s="1421" t="s">
        <v>1210</v>
      </c>
      <c r="D85" s="1422" t="s">
        <v>2185</v>
      </c>
      <c r="E85" s="185">
        <v>491290.95</v>
      </c>
      <c r="F85" s="1423">
        <v>491290.95</v>
      </c>
      <c r="G85" s="256">
        <f t="shared" si="3"/>
        <v>491290.95</v>
      </c>
      <c r="H85" s="1385"/>
      <c r="I85" s="1400" t="s">
        <v>1460</v>
      </c>
    </row>
    <row r="86" spans="1:9" s="1394" customFormat="1">
      <c r="A86" s="1402">
        <f t="shared" si="2"/>
        <v>6.075000000000025</v>
      </c>
      <c r="B86" s="1421" t="s">
        <v>1212</v>
      </c>
      <c r="C86" s="1421" t="s">
        <v>1213</v>
      </c>
      <c r="D86" s="1422" t="s">
        <v>2185</v>
      </c>
      <c r="E86" s="185">
        <v>26285.45</v>
      </c>
      <c r="F86" s="1423">
        <v>26285.45</v>
      </c>
      <c r="G86" s="256">
        <f t="shared" si="3"/>
        <v>26285.45</v>
      </c>
      <c r="H86" s="1385"/>
      <c r="I86" s="1400" t="s">
        <v>1460</v>
      </c>
    </row>
    <row r="87" spans="1:9" s="1394" customFormat="1">
      <c r="A87" s="1402">
        <f t="shared" si="2"/>
        <v>6.0760000000000254</v>
      </c>
      <c r="B87" s="1421" t="s">
        <v>1214</v>
      </c>
      <c r="C87" s="1421" t="s">
        <v>1213</v>
      </c>
      <c r="D87" s="1422" t="s">
        <v>2185</v>
      </c>
      <c r="E87" s="185">
        <v>365721.55</v>
      </c>
      <c r="F87" s="1423">
        <v>405518.71</v>
      </c>
      <c r="G87" s="256">
        <f t="shared" si="3"/>
        <v>385620.13</v>
      </c>
      <c r="H87" s="1385"/>
      <c r="I87" s="1400" t="s">
        <v>1460</v>
      </c>
    </row>
    <row r="88" spans="1:9" s="1394" customFormat="1">
      <c r="A88" s="1402">
        <f t="shared" si="2"/>
        <v>6.0770000000000257</v>
      </c>
      <c r="B88" s="1421" t="s">
        <v>1215</v>
      </c>
      <c r="C88" s="1421" t="s">
        <v>1216</v>
      </c>
      <c r="D88" s="1422" t="s">
        <v>2185</v>
      </c>
      <c r="E88" s="185">
        <v>1.96</v>
      </c>
      <c r="F88" s="1423">
        <v>1.96</v>
      </c>
      <c r="G88" s="256">
        <f t="shared" si="3"/>
        <v>1.96</v>
      </c>
      <c r="H88" s="1385"/>
      <c r="I88" s="1400" t="s">
        <v>1460</v>
      </c>
    </row>
    <row r="89" spans="1:9" s="1394" customFormat="1">
      <c r="A89" s="1402">
        <f t="shared" si="2"/>
        <v>6.078000000000026</v>
      </c>
      <c r="B89" s="1421" t="s">
        <v>1217</v>
      </c>
      <c r="C89" s="1421" t="s">
        <v>1216</v>
      </c>
      <c r="D89" s="1422" t="s">
        <v>2185</v>
      </c>
      <c r="E89" s="185">
        <v>242425.78</v>
      </c>
      <c r="F89" s="1423">
        <v>242425.78</v>
      </c>
      <c r="G89" s="256">
        <f t="shared" si="3"/>
        <v>242425.78</v>
      </c>
      <c r="H89" s="1385"/>
      <c r="I89" s="1400" t="s">
        <v>1460</v>
      </c>
    </row>
    <row r="90" spans="1:9" s="1394" customFormat="1">
      <c r="A90" s="1402">
        <f t="shared" si="2"/>
        <v>6.0790000000000264</v>
      </c>
      <c r="B90" s="1421" t="s">
        <v>1218</v>
      </c>
      <c r="C90" s="1421" t="s">
        <v>1219</v>
      </c>
      <c r="D90" s="1422" t="s">
        <v>2185</v>
      </c>
      <c r="E90" s="185">
        <v>86865.83</v>
      </c>
      <c r="F90" s="1423">
        <v>239640.25</v>
      </c>
      <c r="G90" s="256">
        <f t="shared" si="3"/>
        <v>163253.04</v>
      </c>
      <c r="H90" s="1385"/>
      <c r="I90" s="1400" t="s">
        <v>1460</v>
      </c>
    </row>
    <row r="91" spans="1:9" s="1394" customFormat="1">
      <c r="A91" s="1402">
        <f t="shared" si="2"/>
        <v>6.0800000000000267</v>
      </c>
      <c r="B91" s="1421" t="s">
        <v>1220</v>
      </c>
      <c r="C91" s="1421" t="s">
        <v>1219</v>
      </c>
      <c r="D91" s="1422" t="s">
        <v>2185</v>
      </c>
      <c r="E91" s="185">
        <v>129606.19</v>
      </c>
      <c r="F91" s="1423">
        <v>129606.19</v>
      </c>
      <c r="G91" s="256">
        <f t="shared" si="3"/>
        <v>129606.19</v>
      </c>
      <c r="H91" s="1385"/>
      <c r="I91" s="1400" t="s">
        <v>1460</v>
      </c>
    </row>
    <row r="92" spans="1:9" s="1394" customFormat="1">
      <c r="A92" s="1402">
        <f t="shared" si="2"/>
        <v>6.0810000000000271</v>
      </c>
      <c r="B92" s="1421" t="s">
        <v>1221</v>
      </c>
      <c r="C92" s="1421" t="s">
        <v>1222</v>
      </c>
      <c r="D92" s="1422" t="s">
        <v>2185</v>
      </c>
      <c r="E92" s="185">
        <v>14336.88</v>
      </c>
      <c r="F92" s="1423">
        <v>14336.88</v>
      </c>
      <c r="G92" s="256">
        <f t="shared" si="3"/>
        <v>14336.88</v>
      </c>
      <c r="H92" s="1385"/>
      <c r="I92" s="1400" t="s">
        <v>1460</v>
      </c>
    </row>
    <row r="93" spans="1:9" s="1394" customFormat="1">
      <c r="A93" s="1402">
        <f t="shared" si="2"/>
        <v>6.0820000000000274</v>
      </c>
      <c r="B93" s="1421" t="s">
        <v>1223</v>
      </c>
      <c r="C93" s="1421" t="s">
        <v>1222</v>
      </c>
      <c r="D93" s="1422" t="s">
        <v>2185</v>
      </c>
      <c r="E93" s="185">
        <v>142656.39000000001</v>
      </c>
      <c r="F93" s="1423">
        <v>163384.10999999999</v>
      </c>
      <c r="G93" s="256">
        <f t="shared" si="3"/>
        <v>153020.25</v>
      </c>
      <c r="H93" s="1385"/>
      <c r="I93" s="1400" t="s">
        <v>1460</v>
      </c>
    </row>
    <row r="94" spans="1:9" s="1394" customFormat="1">
      <c r="A94" s="1402">
        <f t="shared" si="2"/>
        <v>6.0830000000000277</v>
      </c>
      <c r="B94" s="1421" t="s">
        <v>1224</v>
      </c>
      <c r="C94" s="1421" t="s">
        <v>1225</v>
      </c>
      <c r="D94" s="1422" t="s">
        <v>2185</v>
      </c>
      <c r="E94" s="185">
        <v>11668.88</v>
      </c>
      <c r="F94" s="1423">
        <v>11668.88</v>
      </c>
      <c r="G94" s="256">
        <f t="shared" si="3"/>
        <v>11668.88</v>
      </c>
      <c r="H94" s="1385"/>
      <c r="I94" s="1400" t="s">
        <v>1460</v>
      </c>
    </row>
    <row r="95" spans="1:9" s="1394" customFormat="1">
      <c r="A95" s="1402">
        <f t="shared" si="2"/>
        <v>6.0840000000000281</v>
      </c>
      <c r="B95" s="1421" t="s">
        <v>1226</v>
      </c>
      <c r="C95" s="1421" t="s">
        <v>1225</v>
      </c>
      <c r="D95" s="1422" t="s">
        <v>2185</v>
      </c>
      <c r="E95" s="185">
        <v>206916.27</v>
      </c>
      <c r="F95" s="1423">
        <v>206916.27</v>
      </c>
      <c r="G95" s="256">
        <f t="shared" si="3"/>
        <v>206916.27</v>
      </c>
      <c r="H95" s="1385"/>
      <c r="I95" s="1400" t="s">
        <v>1460</v>
      </c>
    </row>
    <row r="96" spans="1:9" s="1394" customFormat="1">
      <c r="A96" s="1402">
        <f t="shared" si="2"/>
        <v>6.0850000000000284</v>
      </c>
      <c r="B96" s="1421" t="s">
        <v>1227</v>
      </c>
      <c r="C96" s="1421" t="s">
        <v>1228</v>
      </c>
      <c r="D96" s="1422" t="s">
        <v>2185</v>
      </c>
      <c r="E96" s="185">
        <v>201097.56</v>
      </c>
      <c r="F96" s="1423">
        <v>217427.76</v>
      </c>
      <c r="G96" s="256">
        <f t="shared" si="3"/>
        <v>209262.66</v>
      </c>
      <c r="H96" s="1385"/>
      <c r="I96" s="1400" t="s">
        <v>1460</v>
      </c>
    </row>
    <row r="97" spans="1:14" s="1394" customFormat="1">
      <c r="A97" s="1402">
        <f t="shared" si="2"/>
        <v>6.0860000000000287</v>
      </c>
      <c r="B97" s="1421" t="s">
        <v>1229</v>
      </c>
      <c r="C97" s="1421" t="s">
        <v>1228</v>
      </c>
      <c r="D97" s="1422" t="s">
        <v>2185</v>
      </c>
      <c r="E97" s="185">
        <v>3241365.01</v>
      </c>
      <c r="F97" s="1423">
        <v>3695374.07</v>
      </c>
      <c r="G97" s="256">
        <f t="shared" si="3"/>
        <v>3468369.54</v>
      </c>
      <c r="H97" s="1385"/>
      <c r="I97" s="1400" t="s">
        <v>1460</v>
      </c>
    </row>
    <row r="98" spans="1:14" s="1394" customFormat="1">
      <c r="A98" s="1402">
        <f t="shared" si="2"/>
        <v>6.0870000000000291</v>
      </c>
      <c r="B98" s="1421" t="s">
        <v>1230</v>
      </c>
      <c r="C98" s="1421" t="s">
        <v>1231</v>
      </c>
      <c r="D98" s="1422" t="s">
        <v>2185</v>
      </c>
      <c r="E98" s="185">
        <v>9534.77</v>
      </c>
      <c r="F98" s="1423">
        <v>9534.77</v>
      </c>
      <c r="G98" s="256">
        <f t="shared" si="3"/>
        <v>9534.77</v>
      </c>
      <c r="H98" s="1385"/>
      <c r="I98" s="1400" t="s">
        <v>1460</v>
      </c>
    </row>
    <row r="99" spans="1:14" s="1394" customFormat="1">
      <c r="A99" s="1402">
        <f t="shared" si="2"/>
        <v>6.0880000000000294</v>
      </c>
      <c r="B99" s="1421" t="s">
        <v>1232</v>
      </c>
      <c r="C99" s="1421" t="s">
        <v>1231</v>
      </c>
      <c r="D99" s="1422" t="s">
        <v>2185</v>
      </c>
      <c r="E99" s="185">
        <v>286890.55</v>
      </c>
      <c r="F99" s="1423">
        <v>286890.55</v>
      </c>
      <c r="G99" s="256">
        <f t="shared" si="3"/>
        <v>286890.55</v>
      </c>
      <c r="H99" s="1385"/>
      <c r="I99" s="1400" t="s">
        <v>1460</v>
      </c>
    </row>
    <row r="100" spans="1:14" s="1394" customFormat="1">
      <c r="A100" s="1402">
        <f t="shared" si="2"/>
        <v>6.0890000000000297</v>
      </c>
      <c r="B100" s="1421" t="s">
        <v>1233</v>
      </c>
      <c r="C100" s="1421" t="s">
        <v>1234</v>
      </c>
      <c r="D100" s="1422" t="s">
        <v>2185</v>
      </c>
      <c r="E100" s="185">
        <v>3848.39</v>
      </c>
      <c r="F100" s="1423">
        <v>3848.39</v>
      </c>
      <c r="G100" s="256">
        <f t="shared" si="3"/>
        <v>3848.39</v>
      </c>
      <c r="H100" s="1385"/>
      <c r="I100" s="1400" t="s">
        <v>1460</v>
      </c>
    </row>
    <row r="101" spans="1:14" s="1394" customFormat="1">
      <c r="A101" s="1402">
        <f t="shared" si="2"/>
        <v>6.0900000000000301</v>
      </c>
      <c r="B101" s="1421" t="s">
        <v>1544</v>
      </c>
      <c r="C101" s="1421" t="s">
        <v>1234</v>
      </c>
      <c r="D101" s="1422" t="s">
        <v>2185</v>
      </c>
      <c r="E101" s="185">
        <v>11833.04</v>
      </c>
      <c r="F101" s="1423">
        <v>13078.03</v>
      </c>
      <c r="G101" s="256">
        <f t="shared" si="3"/>
        <v>12455.535</v>
      </c>
      <c r="H101" s="1385"/>
      <c r="I101" s="1400" t="s">
        <v>1460</v>
      </c>
      <c r="N101" s="1394" t="s">
        <v>1545</v>
      </c>
    </row>
    <row r="102" spans="1:14" s="1394" customFormat="1">
      <c r="A102" s="1402">
        <f t="shared" si="2"/>
        <v>6.0910000000000304</v>
      </c>
      <c r="B102" s="1421" t="s">
        <v>1235</v>
      </c>
      <c r="C102" s="1421" t="s">
        <v>1236</v>
      </c>
      <c r="D102" s="1422" t="s">
        <v>2185</v>
      </c>
      <c r="E102" s="185">
        <v>436606.7</v>
      </c>
      <c r="F102" s="1423">
        <v>436606.7</v>
      </c>
      <c r="G102" s="256">
        <f t="shared" si="3"/>
        <v>436606.7</v>
      </c>
      <c r="H102" s="1385"/>
      <c r="I102" s="1400" t="s">
        <v>1460</v>
      </c>
    </row>
    <row r="103" spans="1:14" s="1394" customFormat="1">
      <c r="A103" s="1402">
        <f t="shared" si="2"/>
        <v>6.0920000000000307</v>
      </c>
      <c r="B103" s="1421" t="s">
        <v>1237</v>
      </c>
      <c r="C103" s="1421" t="s">
        <v>1236</v>
      </c>
      <c r="D103" s="1422" t="s">
        <v>2185</v>
      </c>
      <c r="E103" s="185">
        <v>911244.66</v>
      </c>
      <c r="F103" s="1423">
        <v>1397597.32</v>
      </c>
      <c r="G103" s="256">
        <f t="shared" si="3"/>
        <v>1154420.99</v>
      </c>
      <c r="H103" s="1385"/>
      <c r="I103" s="1400" t="s">
        <v>1460</v>
      </c>
    </row>
    <row r="104" spans="1:14" s="1394" customFormat="1">
      <c r="A104" s="1402">
        <f t="shared" si="2"/>
        <v>6.0930000000000311</v>
      </c>
      <c r="B104" s="1421" t="s">
        <v>1238</v>
      </c>
      <c r="C104" s="1421" t="s">
        <v>1239</v>
      </c>
      <c r="D104" s="1422" t="s">
        <v>2185</v>
      </c>
      <c r="E104" s="185">
        <v>184515.93</v>
      </c>
      <c r="F104" s="1423">
        <v>196761.28</v>
      </c>
      <c r="G104" s="256">
        <f t="shared" si="3"/>
        <v>190638.60499999998</v>
      </c>
      <c r="H104" s="1385"/>
      <c r="I104" s="1400" t="s">
        <v>1460</v>
      </c>
    </row>
    <row r="105" spans="1:14" s="1394" customFormat="1">
      <c r="A105" s="1402">
        <f t="shared" si="2"/>
        <v>6.0940000000000314</v>
      </c>
      <c r="B105" s="1421" t="s">
        <v>1240</v>
      </c>
      <c r="C105" s="1421" t="s">
        <v>1239</v>
      </c>
      <c r="D105" s="1422" t="s">
        <v>2185</v>
      </c>
      <c r="E105" s="185">
        <v>2000205.26</v>
      </c>
      <c r="F105" s="1423">
        <v>1934483.19</v>
      </c>
      <c r="G105" s="256">
        <f t="shared" si="3"/>
        <v>1967344.2250000001</v>
      </c>
      <c r="H105" s="1385"/>
      <c r="I105" s="1400" t="s">
        <v>1460</v>
      </c>
    </row>
    <row r="106" spans="1:14" s="1394" customFormat="1">
      <c r="A106" s="1402">
        <f t="shared" si="2"/>
        <v>6.0950000000000317</v>
      </c>
      <c r="B106" s="1421" t="s">
        <v>1241</v>
      </c>
      <c r="C106" s="1421" t="s">
        <v>1242</v>
      </c>
      <c r="D106" s="1422" t="s">
        <v>2185</v>
      </c>
      <c r="E106" s="185">
        <v>123859.71</v>
      </c>
      <c r="F106" s="1423">
        <v>994877.2</v>
      </c>
      <c r="G106" s="256">
        <f t="shared" si="3"/>
        <v>559368.45499999996</v>
      </c>
      <c r="H106" s="1385"/>
      <c r="I106" s="1400" t="s">
        <v>1460</v>
      </c>
    </row>
    <row r="107" spans="1:14" s="1394" customFormat="1">
      <c r="A107" s="1402">
        <f t="shared" si="2"/>
        <v>6.0960000000000321</v>
      </c>
      <c r="B107" s="1421" t="s">
        <v>1243</v>
      </c>
      <c r="C107" s="1421" t="s">
        <v>1242</v>
      </c>
      <c r="D107" s="1422" t="s">
        <v>2185</v>
      </c>
      <c r="E107" s="185">
        <v>3329880.3</v>
      </c>
      <c r="F107" s="1423">
        <v>3420945.19</v>
      </c>
      <c r="G107" s="256">
        <f t="shared" si="3"/>
        <v>3375412.7450000001</v>
      </c>
      <c r="H107" s="1385"/>
      <c r="I107" s="1400" t="s">
        <v>1460</v>
      </c>
    </row>
    <row r="108" spans="1:14" s="1394" customFormat="1">
      <c r="A108" s="1402">
        <f t="shared" si="2"/>
        <v>6.0970000000000324</v>
      </c>
      <c r="B108" s="1421" t="s">
        <v>1244</v>
      </c>
      <c r="C108" s="1421" t="s">
        <v>1245</v>
      </c>
      <c r="D108" s="1422" t="s">
        <v>2185</v>
      </c>
      <c r="E108" s="185">
        <v>2092.85</v>
      </c>
      <c r="F108" s="1423">
        <v>2092.85</v>
      </c>
      <c r="G108" s="256">
        <f t="shared" si="3"/>
        <v>2092.85</v>
      </c>
      <c r="H108" s="1385"/>
      <c r="I108" s="1400" t="s">
        <v>1460</v>
      </c>
    </row>
    <row r="109" spans="1:14" s="1394" customFormat="1">
      <c r="A109" s="1402">
        <f t="shared" si="2"/>
        <v>6.0980000000000327</v>
      </c>
      <c r="B109" s="1421" t="s">
        <v>1246</v>
      </c>
      <c r="C109" s="1421" t="s">
        <v>1245</v>
      </c>
      <c r="D109" s="1422" t="s">
        <v>2185</v>
      </c>
      <c r="E109" s="185">
        <v>833422.31</v>
      </c>
      <c r="F109" s="1423">
        <v>833422.31</v>
      </c>
      <c r="G109" s="256">
        <f t="shared" si="3"/>
        <v>833422.31</v>
      </c>
      <c r="H109" s="1385"/>
      <c r="I109" s="1400" t="s">
        <v>1460</v>
      </c>
    </row>
    <row r="110" spans="1:14" s="1394" customFormat="1">
      <c r="A110" s="1402">
        <f t="shared" si="2"/>
        <v>6.0990000000000331</v>
      </c>
      <c r="B110" s="1421" t="s">
        <v>1247</v>
      </c>
      <c r="C110" s="1421" t="s">
        <v>1248</v>
      </c>
      <c r="D110" s="1422" t="s">
        <v>2185</v>
      </c>
      <c r="E110" s="185">
        <v>14085.14</v>
      </c>
      <c r="F110" s="1423">
        <v>14085.14</v>
      </c>
      <c r="G110" s="256">
        <f t="shared" si="3"/>
        <v>14085.14</v>
      </c>
      <c r="H110" s="1385"/>
      <c r="I110" s="1400" t="s">
        <v>1460</v>
      </c>
    </row>
    <row r="111" spans="1:14" s="1394" customFormat="1">
      <c r="A111" s="1402">
        <f t="shared" si="2"/>
        <v>6.1000000000000334</v>
      </c>
      <c r="B111" s="1421" t="s">
        <v>1249</v>
      </c>
      <c r="C111" s="1421" t="s">
        <v>1248</v>
      </c>
      <c r="D111" s="1422" t="s">
        <v>2185</v>
      </c>
      <c r="E111" s="185">
        <v>933974.04</v>
      </c>
      <c r="F111" s="1423">
        <v>933974.04</v>
      </c>
      <c r="G111" s="256">
        <f t="shared" si="3"/>
        <v>933974.04</v>
      </c>
      <c r="H111" s="1385"/>
      <c r="I111" s="1400" t="s">
        <v>1460</v>
      </c>
    </row>
    <row r="112" spans="1:14" s="1394" customFormat="1">
      <c r="A112" s="1402">
        <f t="shared" si="2"/>
        <v>6.1010000000000337</v>
      </c>
      <c r="B112" s="1421" t="s">
        <v>1250</v>
      </c>
      <c r="C112" s="1421" t="s">
        <v>1251</v>
      </c>
      <c r="D112" s="1422" t="s">
        <v>2185</v>
      </c>
      <c r="E112" s="185">
        <v>174016.91</v>
      </c>
      <c r="F112" s="1423">
        <v>534485.93999999994</v>
      </c>
      <c r="G112" s="256">
        <f t="shared" si="3"/>
        <v>354251.42499999999</v>
      </c>
      <c r="H112" s="1385"/>
      <c r="I112" s="1400" t="s">
        <v>1460</v>
      </c>
    </row>
    <row r="113" spans="1:9" s="1394" customFormat="1">
      <c r="A113" s="1402">
        <f t="shared" si="2"/>
        <v>6.1020000000000341</v>
      </c>
      <c r="B113" s="1421" t="s">
        <v>1252</v>
      </c>
      <c r="C113" s="1421" t="s">
        <v>1251</v>
      </c>
      <c r="D113" s="1422" t="s">
        <v>2185</v>
      </c>
      <c r="E113" s="185">
        <v>551117.65</v>
      </c>
      <c r="F113" s="1423">
        <v>551117.65</v>
      </c>
      <c r="G113" s="256">
        <f t="shared" si="3"/>
        <v>551117.65</v>
      </c>
      <c r="H113" s="1385"/>
      <c r="I113" s="1400" t="s">
        <v>1460</v>
      </c>
    </row>
    <row r="114" spans="1:9" s="1394" customFormat="1">
      <c r="A114" s="1402">
        <f t="shared" si="2"/>
        <v>6.1030000000000344</v>
      </c>
      <c r="B114" s="1421" t="s">
        <v>1253</v>
      </c>
      <c r="C114" s="1421" t="s">
        <v>1254</v>
      </c>
      <c r="D114" s="1422" t="s">
        <v>2185</v>
      </c>
      <c r="E114" s="185">
        <v>547.41</v>
      </c>
      <c r="F114" s="1423">
        <v>547.41</v>
      </c>
      <c r="G114" s="256">
        <f t="shared" si="3"/>
        <v>547.41</v>
      </c>
      <c r="H114" s="1385"/>
      <c r="I114" s="1400" t="s">
        <v>1460</v>
      </c>
    </row>
    <row r="115" spans="1:9" s="1394" customFormat="1">
      <c r="A115" s="1402">
        <f t="shared" si="2"/>
        <v>6.1040000000000347</v>
      </c>
      <c r="B115" s="1421" t="s">
        <v>1255</v>
      </c>
      <c r="C115" s="1421" t="s">
        <v>1256</v>
      </c>
      <c r="D115" s="1422" t="s">
        <v>2185</v>
      </c>
      <c r="E115" s="185">
        <v>3463.27</v>
      </c>
      <c r="F115" s="1423">
        <v>3463.27</v>
      </c>
      <c r="G115" s="256">
        <f t="shared" si="3"/>
        <v>3463.27</v>
      </c>
      <c r="H115" s="1385"/>
      <c r="I115" s="1400" t="s">
        <v>1460</v>
      </c>
    </row>
    <row r="116" spans="1:9" s="1394" customFormat="1">
      <c r="A116" s="1402">
        <f t="shared" si="2"/>
        <v>6.1050000000000351</v>
      </c>
      <c r="B116" s="1421" t="s">
        <v>1257</v>
      </c>
      <c r="C116" s="1421" t="s">
        <v>1256</v>
      </c>
      <c r="D116" s="1422" t="s">
        <v>2185</v>
      </c>
      <c r="E116" s="185">
        <v>372862.31</v>
      </c>
      <c r="F116" s="1423">
        <v>372862.31</v>
      </c>
      <c r="G116" s="256">
        <f t="shared" si="3"/>
        <v>372862.31</v>
      </c>
      <c r="H116" s="1385"/>
      <c r="I116" s="1400" t="s">
        <v>1460</v>
      </c>
    </row>
    <row r="117" spans="1:9" s="1394" customFormat="1">
      <c r="A117" s="1402">
        <f t="shared" si="2"/>
        <v>6.1060000000000354</v>
      </c>
      <c r="B117" s="1421" t="s">
        <v>1258</v>
      </c>
      <c r="C117" s="1421" t="s">
        <v>1259</v>
      </c>
      <c r="D117" s="1422" t="s">
        <v>2185</v>
      </c>
      <c r="E117" s="185">
        <v>4596.66</v>
      </c>
      <c r="F117" s="1423">
        <v>4596.66</v>
      </c>
      <c r="G117" s="256">
        <f t="shared" si="3"/>
        <v>4596.66</v>
      </c>
      <c r="H117" s="1385"/>
      <c r="I117" s="1400" t="s">
        <v>1460</v>
      </c>
    </row>
    <row r="118" spans="1:9" s="1394" customFormat="1">
      <c r="A118" s="1402">
        <f t="shared" si="2"/>
        <v>6.1070000000000357</v>
      </c>
      <c r="B118" s="1421" t="s">
        <v>1260</v>
      </c>
      <c r="C118" s="1421" t="s">
        <v>1259</v>
      </c>
      <c r="D118" s="1422" t="s">
        <v>2185</v>
      </c>
      <c r="E118" s="185">
        <v>552790.06000000006</v>
      </c>
      <c r="F118" s="1423">
        <v>560999.47</v>
      </c>
      <c r="G118" s="256">
        <f t="shared" si="3"/>
        <v>556894.76500000001</v>
      </c>
      <c r="H118" s="1385"/>
      <c r="I118" s="1400" t="s">
        <v>1460</v>
      </c>
    </row>
    <row r="119" spans="1:9" s="1394" customFormat="1">
      <c r="A119" s="1402">
        <f t="shared" si="2"/>
        <v>6.1080000000000361</v>
      </c>
      <c r="B119" s="1421" t="s">
        <v>1261</v>
      </c>
      <c r="C119" s="1421" t="s">
        <v>1259</v>
      </c>
      <c r="D119" s="1422" t="s">
        <v>2185</v>
      </c>
      <c r="E119" s="185">
        <v>92253.41</v>
      </c>
      <c r="F119" s="1423">
        <v>92253.41</v>
      </c>
      <c r="G119" s="256">
        <f t="shared" si="3"/>
        <v>92253.41</v>
      </c>
      <c r="H119" s="1385"/>
      <c r="I119" s="1400" t="s">
        <v>1460</v>
      </c>
    </row>
    <row r="120" spans="1:9" s="1394" customFormat="1">
      <c r="A120" s="1402">
        <f t="shared" si="2"/>
        <v>6.1090000000000364</v>
      </c>
      <c r="B120" s="1421" t="s">
        <v>1262</v>
      </c>
      <c r="C120" s="1421" t="s">
        <v>1263</v>
      </c>
      <c r="D120" s="1422" t="s">
        <v>2185</v>
      </c>
      <c r="E120" s="185">
        <v>129576.02</v>
      </c>
      <c r="F120" s="1423">
        <v>139329.38</v>
      </c>
      <c r="G120" s="256">
        <f t="shared" si="3"/>
        <v>134452.70000000001</v>
      </c>
      <c r="H120" s="1385"/>
      <c r="I120" s="1400" t="s">
        <v>1460</v>
      </c>
    </row>
    <row r="121" spans="1:9" s="1394" customFormat="1">
      <c r="A121" s="1402">
        <f t="shared" si="2"/>
        <v>6.1100000000000367</v>
      </c>
      <c r="B121" s="1421" t="s">
        <v>1264</v>
      </c>
      <c r="C121" s="1421" t="s">
        <v>1263</v>
      </c>
      <c r="D121" s="1422" t="s">
        <v>2185</v>
      </c>
      <c r="E121" s="185">
        <v>597793.1</v>
      </c>
      <c r="F121" s="1423">
        <v>597793.1</v>
      </c>
      <c r="G121" s="256">
        <f t="shared" si="3"/>
        <v>597793.1</v>
      </c>
      <c r="H121" s="1385"/>
      <c r="I121" s="1400" t="s">
        <v>1460</v>
      </c>
    </row>
    <row r="122" spans="1:9" s="1394" customFormat="1">
      <c r="A122" s="1402">
        <f t="shared" si="2"/>
        <v>6.1110000000000371</v>
      </c>
      <c r="B122" s="1421" t="s">
        <v>1265</v>
      </c>
      <c r="C122" s="1421" t="s">
        <v>1266</v>
      </c>
      <c r="D122" s="1422" t="s">
        <v>2185</v>
      </c>
      <c r="E122" s="185">
        <v>79705.710000000006</v>
      </c>
      <c r="F122" s="1423">
        <v>199660.34</v>
      </c>
      <c r="G122" s="256">
        <f t="shared" si="3"/>
        <v>139683.02499999999</v>
      </c>
      <c r="H122" s="1385"/>
      <c r="I122" s="1400" t="s">
        <v>1460</v>
      </c>
    </row>
    <row r="123" spans="1:9" s="1394" customFormat="1">
      <c r="A123" s="1402">
        <f t="shared" si="2"/>
        <v>6.1120000000000374</v>
      </c>
      <c r="B123" s="1421" t="s">
        <v>1267</v>
      </c>
      <c r="C123" s="1421" t="s">
        <v>1266</v>
      </c>
      <c r="D123" s="1422" t="s">
        <v>2185</v>
      </c>
      <c r="E123" s="185">
        <v>126958.85</v>
      </c>
      <c r="F123" s="1423">
        <v>126958.85</v>
      </c>
      <c r="G123" s="256">
        <f t="shared" si="3"/>
        <v>126958.85</v>
      </c>
      <c r="H123" s="1385"/>
      <c r="I123" s="1400" t="s">
        <v>1460</v>
      </c>
    </row>
    <row r="124" spans="1:9" s="1394" customFormat="1">
      <c r="A124" s="1402">
        <f t="shared" si="2"/>
        <v>6.1130000000000377</v>
      </c>
      <c r="B124" s="1421" t="s">
        <v>1268</v>
      </c>
      <c r="C124" s="1421" t="s">
        <v>1269</v>
      </c>
      <c r="D124" s="1422" t="s">
        <v>2185</v>
      </c>
      <c r="E124" s="185">
        <v>19411.169999999998</v>
      </c>
      <c r="F124" s="1423">
        <v>19411.169999999998</v>
      </c>
      <c r="G124" s="256">
        <f t="shared" si="3"/>
        <v>19411.169999999998</v>
      </c>
      <c r="H124" s="1385"/>
      <c r="I124" s="1400" t="s">
        <v>1460</v>
      </c>
    </row>
    <row r="125" spans="1:9" s="1394" customFormat="1">
      <c r="A125" s="1402">
        <f t="shared" si="2"/>
        <v>6.1140000000000381</v>
      </c>
      <c r="B125" s="1421" t="s">
        <v>1270</v>
      </c>
      <c r="C125" s="1421" t="s">
        <v>1269</v>
      </c>
      <c r="D125" s="1422" t="s">
        <v>2185</v>
      </c>
      <c r="E125" s="185">
        <v>321857.18</v>
      </c>
      <c r="F125" s="1423">
        <v>321857.18</v>
      </c>
      <c r="G125" s="256">
        <f t="shared" si="3"/>
        <v>321857.18</v>
      </c>
      <c r="H125" s="1385"/>
      <c r="I125" s="1400" t="s">
        <v>1460</v>
      </c>
    </row>
    <row r="126" spans="1:9" s="1394" customFormat="1">
      <c r="A126" s="1402">
        <f t="shared" si="2"/>
        <v>6.1150000000000384</v>
      </c>
      <c r="B126" s="1421" t="s">
        <v>1271</v>
      </c>
      <c r="C126" s="1421" t="s">
        <v>1272</v>
      </c>
      <c r="D126" s="1422" t="s">
        <v>2185</v>
      </c>
      <c r="E126" s="185">
        <v>201548.95</v>
      </c>
      <c r="F126" s="1423">
        <v>627012.52</v>
      </c>
      <c r="G126" s="256">
        <f t="shared" si="3"/>
        <v>414280.73499999999</v>
      </c>
      <c r="H126" s="1385"/>
      <c r="I126" s="1400" t="s">
        <v>1460</v>
      </c>
    </row>
    <row r="127" spans="1:9" s="1394" customFormat="1">
      <c r="A127" s="1402">
        <f t="shared" si="2"/>
        <v>6.1160000000000387</v>
      </c>
      <c r="B127" s="1421" t="s">
        <v>1273</v>
      </c>
      <c r="C127" s="1421" t="s">
        <v>1272</v>
      </c>
      <c r="D127" s="1422" t="s">
        <v>2185</v>
      </c>
      <c r="E127" s="185">
        <v>632192.74</v>
      </c>
      <c r="F127" s="1423">
        <v>640968.76</v>
      </c>
      <c r="G127" s="256">
        <f t="shared" si="3"/>
        <v>636580.75</v>
      </c>
      <c r="H127" s="1385"/>
      <c r="I127" s="1400" t="s">
        <v>1460</v>
      </c>
    </row>
    <row r="128" spans="1:9" s="1394" customFormat="1">
      <c r="A128" s="1402">
        <f t="shared" si="2"/>
        <v>6.1170000000000391</v>
      </c>
      <c r="B128" s="1421" t="s">
        <v>1274</v>
      </c>
      <c r="C128" s="1421" t="s">
        <v>1275</v>
      </c>
      <c r="D128" s="1422" t="s">
        <v>2185</v>
      </c>
      <c r="E128" s="185">
        <v>163300.84</v>
      </c>
      <c r="F128" s="1423">
        <v>175546.19</v>
      </c>
      <c r="G128" s="256">
        <f t="shared" si="3"/>
        <v>169423.51500000001</v>
      </c>
      <c r="H128" s="1385"/>
      <c r="I128" s="1400" t="s">
        <v>1460</v>
      </c>
    </row>
    <row r="129" spans="1:12" s="1394" customFormat="1">
      <c r="A129" s="1402">
        <f t="shared" si="2"/>
        <v>6.1180000000000394</v>
      </c>
      <c r="B129" s="1421" t="s">
        <v>1276</v>
      </c>
      <c r="C129" s="1421" t="s">
        <v>1275</v>
      </c>
      <c r="D129" s="1422" t="s">
        <v>2185</v>
      </c>
      <c r="E129" s="185">
        <v>134737.68</v>
      </c>
      <c r="F129" s="1423">
        <v>134737.68</v>
      </c>
      <c r="G129" s="256">
        <f t="shared" si="3"/>
        <v>134737.68</v>
      </c>
      <c r="H129" s="1385"/>
      <c r="I129" s="1400" t="s">
        <v>1460</v>
      </c>
    </row>
    <row r="130" spans="1:12" s="1394" customFormat="1">
      <c r="A130" s="1402">
        <f t="shared" si="2"/>
        <v>6.1190000000000397</v>
      </c>
      <c r="B130" s="1421" t="s">
        <v>1277</v>
      </c>
      <c r="C130" s="1421" t="s">
        <v>1278</v>
      </c>
      <c r="D130" s="1422" t="s">
        <v>2185</v>
      </c>
      <c r="E130" s="185">
        <v>1514.52</v>
      </c>
      <c r="F130" s="1423">
        <v>1514.52</v>
      </c>
      <c r="G130" s="256">
        <f t="shared" si="3"/>
        <v>1514.52</v>
      </c>
      <c r="H130" s="1385"/>
      <c r="I130" s="1400" t="s">
        <v>1460</v>
      </c>
    </row>
    <row r="131" spans="1:12" s="1394" customFormat="1">
      <c r="A131" s="1402">
        <f t="shared" si="2"/>
        <v>6.1200000000000401</v>
      </c>
      <c r="B131" s="1421" t="s">
        <v>1279</v>
      </c>
      <c r="C131" s="1421" t="s">
        <v>1278</v>
      </c>
      <c r="D131" s="1422" t="s">
        <v>2185</v>
      </c>
      <c r="E131" s="185">
        <v>1555032.9</v>
      </c>
      <c r="F131" s="1423">
        <v>1555032.9</v>
      </c>
      <c r="G131" s="256">
        <f t="shared" si="3"/>
        <v>1555032.9</v>
      </c>
      <c r="H131" s="1385"/>
      <c r="I131" s="1400" t="s">
        <v>1460</v>
      </c>
    </row>
    <row r="132" spans="1:12" s="1394" customFormat="1">
      <c r="A132" s="1402">
        <f t="shared" si="2"/>
        <v>6.1210000000000404</v>
      </c>
      <c r="B132" s="1421" t="s">
        <v>1280</v>
      </c>
      <c r="C132" s="1421" t="s">
        <v>1281</v>
      </c>
      <c r="D132" s="1422" t="s">
        <v>2185</v>
      </c>
      <c r="E132" s="185">
        <v>266625.71999999997</v>
      </c>
      <c r="F132" s="1423">
        <v>574592.24</v>
      </c>
      <c r="G132" s="256">
        <f t="shared" si="3"/>
        <v>420608.98</v>
      </c>
      <c r="H132" s="1385"/>
      <c r="I132" s="1400" t="s">
        <v>1460</v>
      </c>
    </row>
    <row r="133" spans="1:12" s="1394" customFormat="1">
      <c r="A133" s="1402">
        <f t="shared" si="2"/>
        <v>6.1220000000000407</v>
      </c>
      <c r="B133" s="1421" t="s">
        <v>1282</v>
      </c>
      <c r="C133" s="1421" t="s">
        <v>1283</v>
      </c>
      <c r="D133" s="1532"/>
      <c r="E133" s="185">
        <v>0</v>
      </c>
      <c r="F133" s="1423">
        <v>0</v>
      </c>
      <c r="G133" s="256">
        <f t="shared" si="3"/>
        <v>0</v>
      </c>
      <c r="H133" s="1385" t="s">
        <v>2054</v>
      </c>
      <c r="I133" s="1400" t="s">
        <v>1460</v>
      </c>
    </row>
    <row r="134" spans="1:12" s="1394" customFormat="1">
      <c r="A134" s="1402">
        <f t="shared" si="2"/>
        <v>6.1230000000000411</v>
      </c>
      <c r="B134" s="1421" t="s">
        <v>1284</v>
      </c>
      <c r="C134" s="1421" t="s">
        <v>1283</v>
      </c>
      <c r="D134" s="1422" t="s">
        <v>2185</v>
      </c>
      <c r="E134" s="185">
        <v>1667.91</v>
      </c>
      <c r="F134" s="1423">
        <v>1678.16</v>
      </c>
      <c r="G134" s="256">
        <f t="shared" si="3"/>
        <v>1673.0350000000001</v>
      </c>
      <c r="H134" s="1385"/>
      <c r="I134" s="1400" t="s">
        <v>1460</v>
      </c>
    </row>
    <row r="135" spans="1:12" s="1394" customFormat="1">
      <c r="A135" s="1402">
        <f t="shared" si="2"/>
        <v>6.1240000000000414</v>
      </c>
      <c r="B135" s="1421" t="s">
        <v>1285</v>
      </c>
      <c r="C135" s="1421" t="s">
        <v>1286</v>
      </c>
      <c r="D135" s="1422" t="s">
        <v>2185</v>
      </c>
      <c r="E135" s="185">
        <v>1224917.83</v>
      </c>
      <c r="F135" s="1423">
        <v>1224917.83</v>
      </c>
      <c r="G135" s="256">
        <f t="shared" si="3"/>
        <v>1224917.83</v>
      </c>
      <c r="H135" s="1385"/>
      <c r="I135" s="1400" t="s">
        <v>1460</v>
      </c>
    </row>
    <row r="136" spans="1:12" s="1394" customFormat="1">
      <c r="A136" s="1402">
        <f t="shared" si="2"/>
        <v>6.1250000000000417</v>
      </c>
      <c r="B136" s="1421" t="s">
        <v>1287</v>
      </c>
      <c r="C136" s="1421" t="s">
        <v>1288</v>
      </c>
      <c r="D136" s="1422" t="s">
        <v>2185</v>
      </c>
      <c r="E136" s="185">
        <v>1272376.9099999999</v>
      </c>
      <c r="F136" s="1423">
        <v>1272376.9099999999</v>
      </c>
      <c r="G136" s="256">
        <f t="shared" si="3"/>
        <v>1272376.9099999999</v>
      </c>
      <c r="H136" s="1385"/>
      <c r="I136" s="1400" t="s">
        <v>1460</v>
      </c>
    </row>
    <row r="137" spans="1:12" s="1394" customFormat="1">
      <c r="A137" s="1402">
        <f t="shared" si="2"/>
        <v>6.1260000000000421</v>
      </c>
      <c r="B137" s="1421" t="s">
        <v>1289</v>
      </c>
      <c r="C137" s="1421" t="s">
        <v>1290</v>
      </c>
      <c r="D137" s="1422" t="s">
        <v>2185</v>
      </c>
      <c r="E137" s="185">
        <v>1312652.03</v>
      </c>
      <c r="F137" s="1423">
        <v>1312652.03</v>
      </c>
      <c r="G137" s="256">
        <f t="shared" si="3"/>
        <v>1312652.03</v>
      </c>
      <c r="H137" s="1385"/>
      <c r="I137" s="1400" t="s">
        <v>1460</v>
      </c>
    </row>
    <row r="138" spans="1:12" s="1394" customFormat="1">
      <c r="A138" s="1402">
        <v>6.1270000000000424</v>
      </c>
      <c r="B138" s="657" t="s">
        <v>2178</v>
      </c>
      <c r="C138" s="1421" t="s">
        <v>2179</v>
      </c>
      <c r="D138" s="1422" t="s">
        <v>2185</v>
      </c>
      <c r="E138" s="185">
        <v>0</v>
      </c>
      <c r="F138" s="1423">
        <v>2622395.4500000002</v>
      </c>
      <c r="G138" s="256">
        <f t="shared" si="3"/>
        <v>1311197.7250000001</v>
      </c>
      <c r="H138" s="1385"/>
      <c r="I138" s="1400" t="s">
        <v>2187</v>
      </c>
    </row>
    <row r="139" spans="1:12" s="1394" customFormat="1">
      <c r="A139" s="1402">
        <f>+A138+0.001</f>
        <v>6.1280000000000427</v>
      </c>
      <c r="B139" s="657" t="s">
        <v>2180</v>
      </c>
      <c r="C139" s="1421" t="s">
        <v>1023</v>
      </c>
      <c r="D139" s="1422" t="s">
        <v>2185</v>
      </c>
      <c r="E139" s="185">
        <v>404264.31</v>
      </c>
      <c r="F139" s="1423">
        <v>404264.31</v>
      </c>
      <c r="G139" s="256">
        <f t="shared" si="3"/>
        <v>404264.31</v>
      </c>
      <c r="H139" s="1385"/>
      <c r="I139" s="1400" t="s">
        <v>2187</v>
      </c>
    </row>
    <row r="140" spans="1:12" s="1394" customFormat="1">
      <c r="A140" s="1402">
        <f>+A139+0.001</f>
        <v>6.1290000000000431</v>
      </c>
      <c r="B140" s="657" t="s">
        <v>2181</v>
      </c>
      <c r="C140" s="1421" t="s">
        <v>1166</v>
      </c>
      <c r="D140" s="1422" t="s">
        <v>2185</v>
      </c>
      <c r="E140" s="185">
        <v>1990.26</v>
      </c>
      <c r="F140" s="1423">
        <v>1988.58</v>
      </c>
      <c r="G140" s="256">
        <f t="shared" si="3"/>
        <v>1989.42</v>
      </c>
      <c r="H140" s="1385"/>
      <c r="I140" s="1400" t="s">
        <v>2187</v>
      </c>
    </row>
    <row r="141" spans="1:12" s="1394" customFormat="1">
      <c r="A141" s="1402">
        <f>+A140+0.001</f>
        <v>6.1300000000000434</v>
      </c>
      <c r="B141" s="657" t="s">
        <v>2182</v>
      </c>
      <c r="C141" s="1421" t="s">
        <v>2183</v>
      </c>
      <c r="D141" s="1422" t="s">
        <v>2185</v>
      </c>
      <c r="E141" s="185">
        <v>61115.11</v>
      </c>
      <c r="F141" s="1423">
        <v>61115.11</v>
      </c>
      <c r="G141" s="256">
        <f t="shared" si="3"/>
        <v>61115.11</v>
      </c>
      <c r="H141" s="1385"/>
      <c r="I141" s="1400" t="s">
        <v>2187</v>
      </c>
    </row>
    <row r="142" spans="1:12" s="1394" customFormat="1">
      <c r="A142" s="1242">
        <f t="shared" ref="A142" si="4">+A141+0.001</f>
        <v>6.1310000000000437</v>
      </c>
      <c r="B142" s="1242" t="s">
        <v>934</v>
      </c>
      <c r="C142" s="1242"/>
      <c r="D142" s="1422"/>
      <c r="E142" s="185">
        <f>IFERROR(INDEX(#REF!,MATCH($B142,#REF!,0)),0)</f>
        <v>0</v>
      </c>
      <c r="F142" s="1423">
        <f>IFERROR(INDEX(#REF!,MATCH($B142,#REF!,0)),0)</f>
        <v>0</v>
      </c>
      <c r="G142" s="256">
        <f t="shared" si="3"/>
        <v>0</v>
      </c>
      <c r="H142" s="1475"/>
      <c r="I142" s="1400" t="s">
        <v>1461</v>
      </c>
      <c r="J142" s="1475"/>
      <c r="K142" s="1476"/>
      <c r="L142" s="1400"/>
    </row>
    <row r="143" spans="1:12">
      <c r="A143" s="1244" t="s">
        <v>925</v>
      </c>
      <c r="B143" s="1242" t="s">
        <v>934</v>
      </c>
      <c r="C143" s="1242"/>
      <c r="D143" s="1242"/>
      <c r="E143" s="1243">
        <f>IFERROR(INDEX(#REF!,MATCH($B143,#REF!,0)),0)</f>
        <v>0</v>
      </c>
      <c r="F143" s="1379">
        <f>IFERROR(INDEX(#REF!,MATCH($B143,#REF!,0)),0)</f>
        <v>0</v>
      </c>
      <c r="G143" s="256">
        <f t="shared" ref="G143:G144" si="5">+SUM(E143,F143)/2</f>
        <v>0</v>
      </c>
      <c r="H143" s="41"/>
      <c r="I143" s="41"/>
    </row>
    <row r="144" spans="1:12">
      <c r="A144" s="1244" t="str">
        <f>+A11&amp;".XXX"</f>
        <v>6.XXX</v>
      </c>
      <c r="B144" s="1242" t="s">
        <v>934</v>
      </c>
      <c r="C144" s="1242"/>
      <c r="D144" s="1242"/>
      <c r="E144" s="1340">
        <f>IFERROR(INDEX(#REF!,MATCH($B144,#REF!,0)),0)</f>
        <v>0</v>
      </c>
      <c r="F144" s="1380">
        <f>IFERROR(INDEX(#REF!,MATCH($B144,#REF!,0)),0)</f>
        <v>0</v>
      </c>
      <c r="G144" s="535">
        <f t="shared" si="5"/>
        <v>0</v>
      </c>
      <c r="H144" s="41"/>
      <c r="I144" s="41"/>
    </row>
    <row r="145" spans="1:10">
      <c r="A145" s="1403">
        <f>+A11+1</f>
        <v>7</v>
      </c>
      <c r="B145" s="1166" t="s">
        <v>113</v>
      </c>
      <c r="C145" s="1166"/>
      <c r="D145" s="1166"/>
      <c r="E145" s="1151">
        <f>SUM(E12:E144)</f>
        <v>100940848.54999997</v>
      </c>
      <c r="F145" s="1381">
        <f>SUM(F12:F144)</f>
        <v>107770863.1199999</v>
      </c>
      <c r="G145" s="1151">
        <f>SUM(G12:G144)</f>
        <v>104355855.83499998</v>
      </c>
      <c r="H145" s="41"/>
      <c r="I145" s="41"/>
    </row>
    <row r="146" spans="1:10">
      <c r="A146" s="533"/>
      <c r="B146" s="41"/>
      <c r="C146" s="41"/>
      <c r="D146" s="41"/>
      <c r="E146" s="256"/>
      <c r="F146" s="896"/>
      <c r="G146" s="41"/>
    </row>
    <row r="147" spans="1:10">
      <c r="A147" s="41" t="s">
        <v>299</v>
      </c>
      <c r="B147" s="41"/>
      <c r="C147" s="41"/>
      <c r="D147" s="41"/>
      <c r="E147" s="1489"/>
      <c r="F147" s="1489"/>
      <c r="G147" s="41"/>
    </row>
    <row r="148" spans="1:10" s="647" customFormat="1">
      <c r="A148" s="826" t="s">
        <v>167</v>
      </c>
      <c r="B148" s="2423" t="str">
        <f>+"Reference Appendix A Note "&amp;'Appendix A'!A320</f>
        <v>Reference Appendix A Note M</v>
      </c>
      <c r="C148" s="2423"/>
      <c r="D148" s="2423"/>
      <c r="E148" s="2423"/>
      <c r="F148" s="2423"/>
      <c r="G148" s="2423"/>
      <c r="J148" s="674"/>
    </row>
    <row r="149" spans="1:10">
      <c r="A149" s="826"/>
    </row>
    <row r="214" spans="7:7">
      <c r="G214" s="41"/>
    </row>
  </sheetData>
  <mergeCells count="6">
    <mergeCell ref="B148:G148"/>
    <mergeCell ref="A1:G1"/>
    <mergeCell ref="A2:G2"/>
    <mergeCell ref="A3:G3"/>
    <mergeCell ref="I10:M12"/>
    <mergeCell ref="I15:M20"/>
  </mergeCells>
  <printOptions horizontalCentered="1"/>
  <pageMargins left="0.7" right="0.7" top="0.7" bottom="0.7" header="0.3" footer="0.5"/>
  <pageSetup scale="64" fitToHeight="0" orientation="portrait" r:id="rId1"/>
  <headerFoot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215"/>
  <sheetViews>
    <sheetView zoomScaleNormal="100" workbookViewId="0">
      <selection activeCell="L6" sqref="L6"/>
    </sheetView>
  </sheetViews>
  <sheetFormatPr defaultColWidth="8.88671875" defaultRowHeight="13.2"/>
  <cols>
    <col min="1" max="1" width="6.44140625" style="648" bestFit="1" customWidth="1"/>
    <col min="2" max="2" width="54" style="40" bestFit="1" customWidth="1"/>
    <col min="3" max="16" width="11.44140625" style="40" bestFit="1" customWidth="1"/>
    <col min="17" max="17" width="28.5546875" style="40" customWidth="1"/>
    <col min="18" max="16384" width="8.88671875" style="40"/>
  </cols>
  <sheetData>
    <row r="1" spans="1:17">
      <c r="A1" s="2428" t="str">
        <f>+'MISO Cover'!C6</f>
        <v>Entergy Louisiana, LLC</v>
      </c>
      <c r="B1" s="2428"/>
      <c r="C1" s="2428"/>
      <c r="D1" s="2428"/>
      <c r="E1" s="2428"/>
      <c r="F1" s="2428"/>
      <c r="G1" s="2428"/>
      <c r="H1" s="2428"/>
      <c r="I1" s="2428"/>
      <c r="J1" s="2428"/>
      <c r="K1" s="2428"/>
      <c r="L1" s="2428"/>
      <c r="M1" s="2428"/>
      <c r="N1" s="2428"/>
      <c r="O1" s="2428"/>
      <c r="P1" s="2428"/>
      <c r="Q1" s="747"/>
    </row>
    <row r="2" spans="1:17">
      <c r="A2" s="2426" t="s">
        <v>899</v>
      </c>
      <c r="B2" s="2426"/>
      <c r="C2" s="2426"/>
      <c r="D2" s="2426"/>
      <c r="E2" s="2426"/>
      <c r="F2" s="2426"/>
      <c r="G2" s="2426"/>
      <c r="H2" s="2426"/>
      <c r="I2" s="2426"/>
      <c r="J2" s="2426"/>
      <c r="K2" s="2426"/>
      <c r="L2" s="2426"/>
      <c r="M2" s="2426"/>
      <c r="N2" s="2426"/>
      <c r="O2" s="2426"/>
      <c r="P2" s="2426"/>
    </row>
    <row r="3" spans="1:17">
      <c r="A3" s="2426" t="str">
        <f>+'MISO Cover'!K4</f>
        <v>For  the 12 Months Ended 12/31/2017</v>
      </c>
      <c r="B3" s="2426"/>
      <c r="C3" s="2426"/>
      <c r="D3" s="2426"/>
      <c r="E3" s="2426"/>
      <c r="F3" s="2426"/>
      <c r="G3" s="2426"/>
      <c r="H3" s="2426"/>
      <c r="I3" s="2426"/>
      <c r="J3" s="2426"/>
      <c r="K3" s="2426"/>
      <c r="L3" s="2426"/>
      <c r="M3" s="2426"/>
      <c r="N3" s="2426"/>
      <c r="O3" s="2426"/>
      <c r="P3" s="2426"/>
    </row>
    <row r="4" spans="1:17">
      <c r="A4" s="1593"/>
    </row>
    <row r="5" spans="1:17" s="716" customFormat="1">
      <c r="A5" s="1593" t="s">
        <v>280</v>
      </c>
      <c r="B5" s="1591" t="s">
        <v>67</v>
      </c>
      <c r="C5" s="1591" t="s">
        <v>114</v>
      </c>
      <c r="D5" s="1591" t="s">
        <v>55</v>
      </c>
      <c r="E5" s="1591" t="s">
        <v>68</v>
      </c>
      <c r="F5" s="716" t="s">
        <v>66</v>
      </c>
      <c r="G5" s="716" t="s">
        <v>154</v>
      </c>
      <c r="H5" s="716" t="s">
        <v>69</v>
      </c>
      <c r="I5" s="716" t="s">
        <v>166</v>
      </c>
      <c r="J5" s="716" t="s">
        <v>59</v>
      </c>
      <c r="K5" s="716" t="s">
        <v>60</v>
      </c>
      <c r="L5" s="716" t="s">
        <v>71</v>
      </c>
      <c r="M5" s="716" t="s">
        <v>98</v>
      </c>
      <c r="N5" s="716" t="s">
        <v>99</v>
      </c>
      <c r="O5" s="716" t="s">
        <v>155</v>
      </c>
      <c r="P5" s="716" t="s">
        <v>221</v>
      </c>
    </row>
    <row r="6" spans="1:17" s="716" customFormat="1">
      <c r="A6" s="1593"/>
      <c r="B6" s="1591"/>
      <c r="C6" s="1348" t="s">
        <v>37</v>
      </c>
      <c r="D6" s="1348" t="s">
        <v>27</v>
      </c>
      <c r="E6" s="1348" t="s">
        <v>28</v>
      </c>
      <c r="F6" s="1348" t="s">
        <v>29</v>
      </c>
      <c r="G6" s="1348" t="s">
        <v>30</v>
      </c>
      <c r="H6" s="1348" t="s">
        <v>26</v>
      </c>
      <c r="I6" s="1348" t="s">
        <v>31</v>
      </c>
      <c r="J6" s="1348" t="s">
        <v>32</v>
      </c>
      <c r="K6" s="1348" t="s">
        <v>33</v>
      </c>
      <c r="L6" s="1348" t="s">
        <v>34</v>
      </c>
      <c r="M6" s="1348" t="s">
        <v>35</v>
      </c>
      <c r="N6" s="1348" t="s">
        <v>36</v>
      </c>
      <c r="O6" s="1348" t="s">
        <v>37</v>
      </c>
      <c r="P6" s="1360" t="s">
        <v>415</v>
      </c>
    </row>
    <row r="7" spans="1:17" ht="13.95" customHeight="1">
      <c r="A7" s="1598">
        <v>1</v>
      </c>
      <c r="B7" s="40" t="s">
        <v>517</v>
      </c>
      <c r="C7" s="748"/>
      <c r="D7" s="748"/>
    </row>
    <row r="8" spans="1:17" ht="13.2" customHeight="1">
      <c r="A8" s="1598">
        <f t="shared" ref="A8:A15" si="0">A7+0.1</f>
        <v>1.1000000000000001</v>
      </c>
      <c r="B8" s="545" t="s">
        <v>968</v>
      </c>
      <c r="C8" s="1240">
        <v>3833016.72</v>
      </c>
      <c r="D8" s="1240">
        <v>3833016.72</v>
      </c>
      <c r="E8" s="1240">
        <v>3833016.72</v>
      </c>
      <c r="F8" s="1240">
        <v>3833016.72</v>
      </c>
      <c r="G8" s="1240">
        <v>3833016.72</v>
      </c>
      <c r="H8" s="1240">
        <v>3833016.72</v>
      </c>
      <c r="I8" s="1240">
        <v>3833016.72</v>
      </c>
      <c r="J8" s="1240">
        <v>3833016.72</v>
      </c>
      <c r="K8" s="1240">
        <v>3833016.72</v>
      </c>
      <c r="L8" s="1240">
        <v>3833016.72</v>
      </c>
      <c r="M8" s="1240">
        <v>3833016.72</v>
      </c>
      <c r="N8" s="1240">
        <v>3833016.72</v>
      </c>
      <c r="O8" s="1240">
        <v>3833016.72</v>
      </c>
      <c r="P8" s="243">
        <f>+SUM(C8:O8)/13</f>
        <v>3833016.7199999993</v>
      </c>
    </row>
    <row r="9" spans="1:17" s="80" customFormat="1" ht="14.4" customHeight="1">
      <c r="A9" s="1598">
        <f t="shared" si="0"/>
        <v>1.2000000000000002</v>
      </c>
      <c r="B9" s="1424" t="s">
        <v>1291</v>
      </c>
      <c r="C9" s="185">
        <v>75558.81</v>
      </c>
      <c r="D9" s="185">
        <v>75558.81</v>
      </c>
      <c r="E9" s="185">
        <v>75558.81</v>
      </c>
      <c r="F9" s="185">
        <v>75558.81</v>
      </c>
      <c r="G9" s="185">
        <v>75558.81</v>
      </c>
      <c r="H9" s="185">
        <v>75558.81</v>
      </c>
      <c r="I9" s="185">
        <v>75558.81</v>
      </c>
      <c r="J9" s="185">
        <v>75558.81</v>
      </c>
      <c r="K9" s="185">
        <v>75558.81</v>
      </c>
      <c r="L9" s="185">
        <v>75558.81</v>
      </c>
      <c r="M9" s="185">
        <v>75558.81</v>
      </c>
      <c r="N9" s="185">
        <v>75558.81</v>
      </c>
      <c r="O9" s="185">
        <v>75558.81</v>
      </c>
      <c r="P9" s="501">
        <f t="shared" ref="P9:P12" si="1">+SUM(C9:O9)/13</f>
        <v>75558.810000000027</v>
      </c>
      <c r="Q9" s="2244" t="s">
        <v>1295</v>
      </c>
    </row>
    <row r="10" spans="1:17" s="80" customFormat="1" ht="14.4" customHeight="1">
      <c r="A10" s="1598">
        <f t="shared" si="0"/>
        <v>1.3000000000000003</v>
      </c>
      <c r="B10" s="1424" t="s">
        <v>1293</v>
      </c>
      <c r="C10" s="185">
        <v>4046125.13</v>
      </c>
      <c r="D10" s="185">
        <v>4046125.13</v>
      </c>
      <c r="E10" s="185">
        <v>4046125.13</v>
      </c>
      <c r="F10" s="185">
        <v>4046125.13</v>
      </c>
      <c r="G10" s="185">
        <v>4046125.13</v>
      </c>
      <c r="H10" s="185">
        <v>4046125.13</v>
      </c>
      <c r="I10" s="185">
        <v>4046125.13</v>
      </c>
      <c r="J10" s="185">
        <v>4046125.13</v>
      </c>
      <c r="K10" s="185">
        <v>4046125.13</v>
      </c>
      <c r="L10" s="185">
        <v>4046125.13</v>
      </c>
      <c r="M10" s="185">
        <v>4046125.13</v>
      </c>
      <c r="N10" s="185">
        <v>4046125.13</v>
      </c>
      <c r="O10" s="185">
        <v>4046125.13</v>
      </c>
      <c r="P10" s="501">
        <f t="shared" si="1"/>
        <v>4046125.1300000004</v>
      </c>
      <c r="Q10" s="2244" t="s">
        <v>1295</v>
      </c>
    </row>
    <row r="11" spans="1:17" s="80" customFormat="1" ht="14.4" customHeight="1">
      <c r="A11" s="1598">
        <f t="shared" si="0"/>
        <v>1.4000000000000004</v>
      </c>
      <c r="B11" s="1424" t="s">
        <v>1292</v>
      </c>
      <c r="C11" s="185">
        <v>4000000</v>
      </c>
      <c r="D11" s="185">
        <v>4000000</v>
      </c>
      <c r="E11" s="185">
        <v>4000000</v>
      </c>
      <c r="F11" s="185">
        <v>4000000</v>
      </c>
      <c r="G11" s="185">
        <v>4000000</v>
      </c>
      <c r="H11" s="185">
        <v>4000000</v>
      </c>
      <c r="I11" s="185">
        <v>4000000</v>
      </c>
      <c r="J11" s="185">
        <v>4000000</v>
      </c>
      <c r="K11" s="185">
        <v>4000000</v>
      </c>
      <c r="L11" s="185">
        <v>4000000</v>
      </c>
      <c r="M11" s="185">
        <v>4000000</v>
      </c>
      <c r="N11" s="185">
        <v>4000000</v>
      </c>
      <c r="O11" s="185">
        <v>4000000</v>
      </c>
      <c r="P11" s="501">
        <f t="shared" si="1"/>
        <v>4000000</v>
      </c>
      <c r="Q11" s="2244" t="s">
        <v>1295</v>
      </c>
    </row>
    <row r="12" spans="1:17" s="80" customFormat="1" ht="14.4" customHeight="1">
      <c r="A12" s="1598">
        <f t="shared" si="0"/>
        <v>1.5000000000000004</v>
      </c>
      <c r="B12" s="1424" t="s">
        <v>1294</v>
      </c>
      <c r="C12" s="185">
        <v>1743305.1600000001</v>
      </c>
      <c r="D12" s="185">
        <v>1743305.1600000001</v>
      </c>
      <c r="E12" s="185">
        <v>1743305.1600000001</v>
      </c>
      <c r="F12" s="185">
        <v>1743305.1600000001</v>
      </c>
      <c r="G12" s="185">
        <v>1743305.1600000001</v>
      </c>
      <c r="H12" s="185">
        <v>1743305.1600000001</v>
      </c>
      <c r="I12" s="185">
        <v>1743305.1600000001</v>
      </c>
      <c r="J12" s="185">
        <v>1743305.1600000001</v>
      </c>
      <c r="K12" s="185">
        <v>1743305.1600000001</v>
      </c>
      <c r="L12" s="185">
        <v>1743305.1600000001</v>
      </c>
      <c r="M12" s="185">
        <v>1743305.1600000001</v>
      </c>
      <c r="N12" s="185">
        <v>1743305.1600000001</v>
      </c>
      <c r="O12" s="185">
        <v>1743305.1600000001</v>
      </c>
      <c r="P12" s="501">
        <f t="shared" si="1"/>
        <v>1743305.1600000001</v>
      </c>
      <c r="Q12" s="2244" t="s">
        <v>1295</v>
      </c>
    </row>
    <row r="13" spans="1:17" ht="13.95" customHeight="1">
      <c r="A13" s="1564">
        <f t="shared" si="0"/>
        <v>1.6000000000000005</v>
      </c>
      <c r="B13" s="1202" t="s">
        <v>2223</v>
      </c>
      <c r="C13" s="1240">
        <f>+IFERROR(INDEX(#REF!,MATCH($B13,#REF!,0)),0)</f>
        <v>0</v>
      </c>
      <c r="D13" s="1240">
        <f>+IFERROR(INDEX(#REF!,MATCH($B13,#REF!,0)),0)</f>
        <v>0</v>
      </c>
      <c r="E13" s="1240">
        <f>+IFERROR(INDEX(#REF!,MATCH($B13,#REF!,0)),0)</f>
        <v>0</v>
      </c>
      <c r="F13" s="1240">
        <f>+IFERROR(INDEX(#REF!,MATCH($B13,#REF!,0)),0)</f>
        <v>0</v>
      </c>
      <c r="G13" s="1240">
        <f>+IFERROR(INDEX(#REF!,MATCH($B13,#REF!,0)),0)</f>
        <v>0</v>
      </c>
      <c r="H13" s="1240">
        <f>+IFERROR(INDEX(#REF!,MATCH($B13,#REF!,0)),0)</f>
        <v>0</v>
      </c>
      <c r="I13" s="1240">
        <f>+IFERROR(INDEX(#REF!,MATCH($B13,#REF!,0)),0)</f>
        <v>0</v>
      </c>
      <c r="J13" s="1240">
        <f>+IFERROR(INDEX(#REF!,MATCH($B13,#REF!,0)),0)</f>
        <v>0</v>
      </c>
      <c r="K13" s="1240">
        <f>+IFERROR(INDEX(#REF!,MATCH($B13,#REF!,0)),0)</f>
        <v>0</v>
      </c>
      <c r="L13" s="1240">
        <f>+IFERROR(INDEX(#REF!,MATCH($B13,#REF!,0)),0)</f>
        <v>0</v>
      </c>
      <c r="M13" s="1240">
        <f>+IFERROR(INDEX(#REF!,MATCH($B13,#REF!,0)),0)</f>
        <v>0</v>
      </c>
      <c r="N13" s="1240">
        <f>+IFERROR(INDEX(#REF!,MATCH($B13,#REF!,0)),0)</f>
        <v>0</v>
      </c>
      <c r="O13" s="1240">
        <v>6779440.5</v>
      </c>
      <c r="P13" s="243">
        <f t="shared" ref="P13:P16" si="2">+SUM(C13:O13)/13</f>
        <v>521495.42307692306</v>
      </c>
    </row>
    <row r="14" spans="1:17" ht="13.95" customHeight="1">
      <c r="A14" s="1564">
        <f t="shared" si="0"/>
        <v>1.7000000000000006</v>
      </c>
      <c r="B14" s="1202" t="s">
        <v>2224</v>
      </c>
      <c r="C14" s="1240">
        <f>+IFERROR(INDEX(#REF!,MATCH($B14,#REF!,0)),0)</f>
        <v>0</v>
      </c>
      <c r="D14" s="1240">
        <f>+IFERROR(INDEX(#REF!,MATCH($B14,#REF!,0)),0)</f>
        <v>0</v>
      </c>
      <c r="E14" s="1240">
        <f>+IFERROR(INDEX(#REF!,MATCH($B14,#REF!,0)),0)</f>
        <v>0</v>
      </c>
      <c r="F14" s="1240">
        <f>+IFERROR(INDEX(#REF!,MATCH($B14,#REF!,0)),0)</f>
        <v>0</v>
      </c>
      <c r="G14" s="1240">
        <f>+IFERROR(INDEX(#REF!,MATCH($B14,#REF!,0)),0)</f>
        <v>0</v>
      </c>
      <c r="H14" s="1240">
        <f>+IFERROR(INDEX(#REF!,MATCH($B14,#REF!,0)),0)</f>
        <v>0</v>
      </c>
      <c r="I14" s="1240">
        <f>+IFERROR(INDEX(#REF!,MATCH($B14,#REF!,0)),0)</f>
        <v>0</v>
      </c>
      <c r="J14" s="1240">
        <f>+IFERROR(INDEX(#REF!,MATCH($B14,#REF!,0)),0)</f>
        <v>0</v>
      </c>
      <c r="K14" s="1240">
        <f>+IFERROR(INDEX(#REF!,MATCH($B14,#REF!,0)),0)</f>
        <v>0</v>
      </c>
      <c r="L14" s="1240">
        <f>+IFERROR(INDEX(#REF!,MATCH($B14,#REF!,0)),0)</f>
        <v>0</v>
      </c>
      <c r="M14" s="1240">
        <f>+IFERROR(INDEX(#REF!,MATCH($B14,#REF!,0)),0)</f>
        <v>0</v>
      </c>
      <c r="N14" s="1240">
        <f>+IFERROR(INDEX(#REF!,MATCH($B14,#REF!,0)),0)</f>
        <v>0</v>
      </c>
      <c r="O14" s="1240">
        <v>7046532.2300000004</v>
      </c>
      <c r="P14" s="243">
        <f t="shared" ref="P14" si="3">+SUM(C14:O14)/13</f>
        <v>542040.94076923083</v>
      </c>
    </row>
    <row r="15" spans="1:17" ht="13.95" customHeight="1">
      <c r="A15" s="1564">
        <f t="shared" si="0"/>
        <v>1.8000000000000007</v>
      </c>
      <c r="B15" s="1202" t="s">
        <v>934</v>
      </c>
      <c r="C15" s="1240">
        <f>+IFERROR(INDEX(#REF!,MATCH($B15,#REF!,0)),0)</f>
        <v>0</v>
      </c>
      <c r="D15" s="1240">
        <f>+IFERROR(INDEX(#REF!,MATCH($B15,#REF!,0)),0)</f>
        <v>0</v>
      </c>
      <c r="E15" s="1240">
        <f>+IFERROR(INDEX(#REF!,MATCH($B15,#REF!,0)),0)</f>
        <v>0</v>
      </c>
      <c r="F15" s="1240">
        <f>+IFERROR(INDEX(#REF!,MATCH($B15,#REF!,0)),0)</f>
        <v>0</v>
      </c>
      <c r="G15" s="1240">
        <f>+IFERROR(INDEX(#REF!,MATCH($B15,#REF!,0)),0)</f>
        <v>0</v>
      </c>
      <c r="H15" s="1240">
        <f>+IFERROR(INDEX(#REF!,MATCH($B15,#REF!,0)),0)</f>
        <v>0</v>
      </c>
      <c r="I15" s="1240">
        <f>+IFERROR(INDEX(#REF!,MATCH($B15,#REF!,0)),0)</f>
        <v>0</v>
      </c>
      <c r="J15" s="1240">
        <f>+IFERROR(INDEX(#REF!,MATCH($B15,#REF!,0)),0)</f>
        <v>0</v>
      </c>
      <c r="K15" s="1240">
        <f>+IFERROR(INDEX(#REF!,MATCH($B15,#REF!,0)),0)</f>
        <v>0</v>
      </c>
      <c r="L15" s="1240">
        <f>+IFERROR(INDEX(#REF!,MATCH($B15,#REF!,0)),0)</f>
        <v>0</v>
      </c>
      <c r="M15" s="1240">
        <f>+IFERROR(INDEX(#REF!,MATCH($B15,#REF!,0)),0)</f>
        <v>0</v>
      </c>
      <c r="N15" s="1240">
        <f>+IFERROR(INDEX(#REF!,MATCH($B15,#REF!,0)),0)</f>
        <v>0</v>
      </c>
      <c r="O15" s="1240">
        <f>+IFERROR(INDEX(#REF!,MATCH($B15,#REF!,0)),0)</f>
        <v>0</v>
      </c>
      <c r="P15" s="243">
        <f t="shared" ref="P15" si="4">+SUM(C15:O15)/13</f>
        <v>0</v>
      </c>
    </row>
    <row r="16" spans="1:17" ht="13.95" customHeight="1">
      <c r="A16" s="1239" t="s">
        <v>925</v>
      </c>
      <c r="B16" s="1202" t="s">
        <v>934</v>
      </c>
      <c r="C16" s="1240">
        <f>+IFERROR(INDEX(#REF!,MATCH($B16,#REF!,0)),0)</f>
        <v>0</v>
      </c>
      <c r="D16" s="1240">
        <f>+IFERROR(INDEX(#REF!,MATCH($B16,#REF!,0)),0)</f>
        <v>0</v>
      </c>
      <c r="E16" s="1240">
        <f>+IFERROR(INDEX(#REF!,MATCH($B16,#REF!,0)),0)</f>
        <v>0</v>
      </c>
      <c r="F16" s="1240">
        <f>+IFERROR(INDEX(#REF!,MATCH($B16,#REF!,0)),0)</f>
        <v>0</v>
      </c>
      <c r="G16" s="1240">
        <f>+IFERROR(INDEX(#REF!,MATCH($B16,#REF!,0)),0)</f>
        <v>0</v>
      </c>
      <c r="H16" s="1240">
        <f>+IFERROR(INDEX(#REF!,MATCH($B16,#REF!,0)),0)</f>
        <v>0</v>
      </c>
      <c r="I16" s="1240">
        <f>+IFERROR(INDEX(#REF!,MATCH($B16,#REF!,0)),0)</f>
        <v>0</v>
      </c>
      <c r="J16" s="1240">
        <f>+IFERROR(INDEX(#REF!,MATCH($B16,#REF!,0)),0)</f>
        <v>0</v>
      </c>
      <c r="K16" s="1240">
        <f>+IFERROR(INDEX(#REF!,MATCH($B16,#REF!,0)),0)</f>
        <v>0</v>
      </c>
      <c r="L16" s="1240">
        <f>+IFERROR(INDEX(#REF!,MATCH($B16,#REF!,0)),0)</f>
        <v>0</v>
      </c>
      <c r="M16" s="1240">
        <f>+IFERROR(INDEX(#REF!,MATCH($B16,#REF!,0)),0)</f>
        <v>0</v>
      </c>
      <c r="N16" s="1240">
        <f>+IFERROR(INDEX(#REF!,MATCH($B16,#REF!,0)),0)</f>
        <v>0</v>
      </c>
      <c r="O16" s="1240">
        <f>+IFERROR(INDEX(#REF!,MATCH($B16,#REF!,0)),0)</f>
        <v>0</v>
      </c>
      <c r="P16" s="243">
        <f t="shared" si="2"/>
        <v>0</v>
      </c>
    </row>
    <row r="17" spans="1:27" ht="13.95" customHeight="1">
      <c r="A17" s="1239" t="s">
        <v>929</v>
      </c>
      <c r="B17" s="1202" t="s">
        <v>934</v>
      </c>
      <c r="C17" s="1531">
        <f>+IFERROR(INDEX(#REF!,MATCH($B17,#REF!,0)),0)</f>
        <v>0</v>
      </c>
      <c r="D17" s="1531">
        <f>+IFERROR(INDEX(#REF!,MATCH($B17,#REF!,0)),0)</f>
        <v>0</v>
      </c>
      <c r="E17" s="1531">
        <f>+IFERROR(INDEX(#REF!,MATCH($B17,#REF!,0)),0)</f>
        <v>0</v>
      </c>
      <c r="F17" s="1531">
        <f>+IFERROR(INDEX(#REF!,MATCH($B17,#REF!,0)),0)</f>
        <v>0</v>
      </c>
      <c r="G17" s="1531">
        <f>+IFERROR(INDEX(#REF!,MATCH($B17,#REF!,0)),0)</f>
        <v>0</v>
      </c>
      <c r="H17" s="1531">
        <f>+IFERROR(INDEX(#REF!,MATCH($B17,#REF!,0)),0)</f>
        <v>0</v>
      </c>
      <c r="I17" s="1531">
        <f>+IFERROR(INDEX(#REF!,MATCH($B17,#REF!,0)),0)</f>
        <v>0</v>
      </c>
      <c r="J17" s="1531">
        <f>+IFERROR(INDEX(#REF!,MATCH($B17,#REF!,0)),0)</f>
        <v>0</v>
      </c>
      <c r="K17" s="1531">
        <f>+IFERROR(INDEX(#REF!,MATCH($B17,#REF!,0)),0)</f>
        <v>0</v>
      </c>
      <c r="L17" s="1531">
        <f>+IFERROR(INDEX(#REF!,MATCH($B17,#REF!,0)),0)</f>
        <v>0</v>
      </c>
      <c r="M17" s="1531">
        <f>+IFERROR(INDEX(#REF!,MATCH($B17,#REF!,0)),0)</f>
        <v>0</v>
      </c>
      <c r="N17" s="1531">
        <f>+IFERROR(INDEX(#REF!,MATCH($B17,#REF!,0)),0)</f>
        <v>0</v>
      </c>
      <c r="O17" s="1531">
        <f>+IFERROR(INDEX(#REF!,MATCH($B17,#REF!,0)),0)</f>
        <v>0</v>
      </c>
      <c r="P17" s="536">
        <f>+SUM(C17:O17)/13</f>
        <v>0</v>
      </c>
    </row>
    <row r="18" spans="1:27" ht="13.95" customHeight="1">
      <c r="A18" s="1179">
        <f>+A7+1</f>
        <v>2</v>
      </c>
      <c r="B18" s="545" t="str">
        <f>+"Total - Generator (Sum of Line "&amp;A7&amp;" Subparts)"</f>
        <v>Total - Generator (Sum of Line 1 Subparts)</v>
      </c>
      <c r="C18" s="661">
        <f t="shared" ref="C18:P18" si="5">SUM(C8:C17)</f>
        <v>13698005.82</v>
      </c>
      <c r="D18" s="661">
        <f t="shared" si="5"/>
        <v>13698005.82</v>
      </c>
      <c r="E18" s="661">
        <f t="shared" si="5"/>
        <v>13698005.82</v>
      </c>
      <c r="F18" s="661">
        <f t="shared" si="5"/>
        <v>13698005.82</v>
      </c>
      <c r="G18" s="661">
        <f t="shared" si="5"/>
        <v>13698005.82</v>
      </c>
      <c r="H18" s="661">
        <f t="shared" si="5"/>
        <v>13698005.82</v>
      </c>
      <c r="I18" s="661">
        <f t="shared" si="5"/>
        <v>13698005.82</v>
      </c>
      <c r="J18" s="661">
        <f t="shared" si="5"/>
        <v>13698005.82</v>
      </c>
      <c r="K18" s="661">
        <f t="shared" si="5"/>
        <v>13698005.82</v>
      </c>
      <c r="L18" s="661">
        <f t="shared" si="5"/>
        <v>13698005.82</v>
      </c>
      <c r="M18" s="661">
        <f t="shared" si="5"/>
        <v>13698005.82</v>
      </c>
      <c r="N18" s="661">
        <f t="shared" si="5"/>
        <v>13698005.82</v>
      </c>
      <c r="O18" s="661">
        <f t="shared" si="5"/>
        <v>27523978.550000001</v>
      </c>
      <c r="P18" s="749">
        <f t="shared" si="5"/>
        <v>14761542.183846155</v>
      </c>
    </row>
    <row r="19" spans="1:27" ht="13.95" customHeight="1">
      <c r="A19" s="1598">
        <f>+A18+1</f>
        <v>3</v>
      </c>
      <c r="B19" s="545"/>
      <c r="C19" s="661"/>
      <c r="D19" s="661"/>
      <c r="E19" s="661"/>
      <c r="F19" s="264"/>
      <c r="G19" s="264"/>
      <c r="H19" s="264"/>
      <c r="I19" s="264"/>
      <c r="J19" s="264"/>
      <c r="K19" s="264"/>
      <c r="L19" s="264"/>
      <c r="M19" s="264"/>
      <c r="N19" s="264"/>
      <c r="O19" s="264"/>
    </row>
    <row r="20" spans="1:27" ht="13.95" customHeight="1">
      <c r="A20" s="1598">
        <f>+A19+1</f>
        <v>4</v>
      </c>
      <c r="B20" s="657" t="s">
        <v>515</v>
      </c>
      <c r="C20" s="661"/>
      <c r="D20" s="661"/>
      <c r="E20" s="661"/>
      <c r="F20" s="264"/>
      <c r="G20" s="264"/>
      <c r="H20" s="264"/>
      <c r="I20" s="264"/>
      <c r="J20" s="264"/>
      <c r="K20" s="264"/>
      <c r="L20" s="264"/>
      <c r="M20" s="264"/>
      <c r="N20" s="264"/>
      <c r="O20" s="264"/>
    </row>
    <row r="21" spans="1:27" ht="13.95" customHeight="1">
      <c r="A21" s="1598">
        <f>A20+0.1</f>
        <v>4.0999999999999996</v>
      </c>
      <c r="B21" s="545" t="s">
        <v>969</v>
      </c>
      <c r="C21" s="185">
        <v>5663235.629999999</v>
      </c>
      <c r="D21" s="185">
        <v>5663235.629999999</v>
      </c>
      <c r="E21" s="185">
        <v>5663235.629999999</v>
      </c>
      <c r="F21" s="185">
        <v>5663235.629999999</v>
      </c>
      <c r="G21" s="185">
        <v>5663235.629999999</v>
      </c>
      <c r="H21" s="185">
        <v>5663235.629999999</v>
      </c>
      <c r="I21" s="185">
        <v>5663235.629999999</v>
      </c>
      <c r="J21" s="185">
        <v>5663235.629999999</v>
      </c>
      <c r="K21" s="185">
        <v>5663235.629999999</v>
      </c>
      <c r="L21" s="185">
        <v>5663235.629999999</v>
      </c>
      <c r="M21" s="185">
        <v>5663235.629999999</v>
      </c>
      <c r="N21" s="185">
        <v>5663235.629999999</v>
      </c>
      <c r="O21" s="185">
        <v>5663235.629999999</v>
      </c>
      <c r="P21" s="501">
        <f>+SUM(C21:O21)/13</f>
        <v>5663235.6299999971</v>
      </c>
    </row>
    <row r="22" spans="1:27" ht="13.95" customHeight="1">
      <c r="A22" s="1598">
        <f t="shared" ref="A22:A23" si="6">A21+0.1</f>
        <v>4.1999999999999993</v>
      </c>
      <c r="B22" s="545" t="s">
        <v>970</v>
      </c>
      <c r="C22" s="185">
        <v>311138.68</v>
      </c>
      <c r="D22" s="185">
        <v>311138.68</v>
      </c>
      <c r="E22" s="185">
        <v>311138.68</v>
      </c>
      <c r="F22" s="185">
        <v>311138.68</v>
      </c>
      <c r="G22" s="185">
        <v>311138.68</v>
      </c>
      <c r="H22" s="185">
        <v>311138.68</v>
      </c>
      <c r="I22" s="185">
        <v>311138.68</v>
      </c>
      <c r="J22" s="185">
        <v>311138.68</v>
      </c>
      <c r="K22" s="185">
        <v>311138.68</v>
      </c>
      <c r="L22" s="185">
        <v>311138.68</v>
      </c>
      <c r="M22" s="185">
        <v>311138.68</v>
      </c>
      <c r="N22" s="185">
        <v>311138.68</v>
      </c>
      <c r="O22" s="185">
        <v>311138.68</v>
      </c>
      <c r="P22" s="501">
        <f t="shared" ref="P22:P27" si="7">+SUM(C22:O22)/13</f>
        <v>311138.68000000005</v>
      </c>
    </row>
    <row r="23" spans="1:27" ht="13.95" customHeight="1">
      <c r="A23" s="1598">
        <f t="shared" si="6"/>
        <v>4.2999999999999989</v>
      </c>
      <c r="B23" s="545" t="s">
        <v>971</v>
      </c>
      <c r="C23" s="185">
        <v>301690.7300000001</v>
      </c>
      <c r="D23" s="185">
        <v>301690.7300000001</v>
      </c>
      <c r="E23" s="185">
        <v>301690.7300000001</v>
      </c>
      <c r="F23" s="185">
        <v>301690.7300000001</v>
      </c>
      <c r="G23" s="185">
        <v>301690.7300000001</v>
      </c>
      <c r="H23" s="185">
        <v>301690.7300000001</v>
      </c>
      <c r="I23" s="185">
        <v>301690.7300000001</v>
      </c>
      <c r="J23" s="185">
        <v>301690.7300000001</v>
      </c>
      <c r="K23" s="185">
        <v>301690.7300000001</v>
      </c>
      <c r="L23" s="185">
        <v>301690.7300000001</v>
      </c>
      <c r="M23" s="185">
        <v>301690.7300000001</v>
      </c>
      <c r="N23" s="185">
        <v>301690.7300000001</v>
      </c>
      <c r="O23" s="185">
        <v>301690.7300000001</v>
      </c>
      <c r="P23" s="501">
        <f t="shared" si="7"/>
        <v>301690.73000000004</v>
      </c>
    </row>
    <row r="24" spans="1:27" s="80" customFormat="1" ht="14.4" customHeight="1">
      <c r="A24" s="1598">
        <f>A23+0.1</f>
        <v>4.3999999999999986</v>
      </c>
      <c r="B24" s="1424" t="s">
        <v>1343</v>
      </c>
      <c r="C24" s="185">
        <v>3099741.8699999996</v>
      </c>
      <c r="D24" s="185">
        <v>3099741.8699999996</v>
      </c>
      <c r="E24" s="185">
        <v>3099741.8699999996</v>
      </c>
      <c r="F24" s="185">
        <v>3099741.8699999996</v>
      </c>
      <c r="G24" s="185">
        <v>3099741.8699999996</v>
      </c>
      <c r="H24" s="185">
        <v>3099741.8699999996</v>
      </c>
      <c r="I24" s="185">
        <v>3099741.8699999996</v>
      </c>
      <c r="J24" s="185">
        <v>3099741.8699999996</v>
      </c>
      <c r="K24" s="185">
        <v>3099741.8699999996</v>
      </c>
      <c r="L24" s="185">
        <v>3099741.8699999996</v>
      </c>
      <c r="M24" s="185">
        <v>3099741.8699999996</v>
      </c>
      <c r="N24" s="185">
        <v>3099741.8699999996</v>
      </c>
      <c r="O24" s="185">
        <v>3099741.8699999996</v>
      </c>
      <c r="P24" s="501">
        <f t="shared" ref="P24:P25" si="8">+SUM(C24:O24)/13</f>
        <v>3099741.8699999996</v>
      </c>
      <c r="Q24" s="2244" t="s">
        <v>1295</v>
      </c>
    </row>
    <row r="25" spans="1:27" ht="13.95" customHeight="1">
      <c r="A25" s="1241">
        <f>A24+0.1</f>
        <v>4.4999999999999982</v>
      </c>
      <c r="B25" s="1202" t="s">
        <v>2222</v>
      </c>
      <c r="C25" s="1240">
        <f>+IFERROR(INDEX(#REF!,MATCH($B25,#REF!,0)),0)</f>
        <v>0</v>
      </c>
      <c r="D25" s="1240">
        <f>+IFERROR(INDEX(#REF!,MATCH($B25,#REF!,0)),0)</f>
        <v>0</v>
      </c>
      <c r="E25" s="1240">
        <f>+IFERROR(INDEX(#REF!,MATCH($B25,#REF!,0)),0)</f>
        <v>0</v>
      </c>
      <c r="F25" s="1240">
        <f>+IFERROR(INDEX(#REF!,MATCH($B25,#REF!,0)),0)</f>
        <v>0</v>
      </c>
      <c r="G25" s="1240">
        <f>+IFERROR(INDEX(#REF!,MATCH($B25,#REF!,0)),0)</f>
        <v>0</v>
      </c>
      <c r="H25" s="1240">
        <f>+IFERROR(INDEX(#REF!,MATCH($B25,#REF!,0)),0)</f>
        <v>0</v>
      </c>
      <c r="I25" s="1240">
        <f>+IFERROR(INDEX(#REF!,MATCH($B25,#REF!,0)),0)</f>
        <v>0</v>
      </c>
      <c r="J25" s="1240">
        <f>+IFERROR(INDEX(#REF!,MATCH($B25,#REF!,0)),0)</f>
        <v>0</v>
      </c>
      <c r="K25" s="1240">
        <f>+IFERROR(INDEX(#REF!,MATCH($B25,#REF!,0)),0)</f>
        <v>0</v>
      </c>
      <c r="L25" s="1240">
        <f>+IFERROR(INDEX(#REF!,MATCH($B25,#REF!,0)),0)</f>
        <v>0</v>
      </c>
      <c r="M25" s="1240">
        <f>+IFERROR(INDEX(#REF!,MATCH($B25,#REF!,0)),0)</f>
        <v>0</v>
      </c>
      <c r="N25" s="1240">
        <f>+IFERROR(INDEX(#REF!,MATCH($B25,#REF!,0)),0)</f>
        <v>0</v>
      </c>
      <c r="O25" s="1240">
        <v>2654870.59</v>
      </c>
      <c r="P25" s="501">
        <f t="shared" si="8"/>
        <v>204220.81461538462</v>
      </c>
      <c r="AA25" s="40">
        <v>2654870.59</v>
      </c>
    </row>
    <row r="26" spans="1:27" ht="13.95" customHeight="1">
      <c r="A26" s="1239" t="s">
        <v>925</v>
      </c>
      <c r="B26" s="1202" t="s">
        <v>934</v>
      </c>
      <c r="C26" s="1240">
        <f>+IFERROR(INDEX(#REF!,MATCH($B26,#REF!,0)),0)</f>
        <v>0</v>
      </c>
      <c r="D26" s="1240">
        <f>+IFERROR(INDEX(#REF!,MATCH($B26,#REF!,0)),0)</f>
        <v>0</v>
      </c>
      <c r="E26" s="1240">
        <f>+IFERROR(INDEX(#REF!,MATCH($B26,#REF!,0)),0)</f>
        <v>0</v>
      </c>
      <c r="F26" s="1240">
        <f>+IFERROR(INDEX(#REF!,MATCH($B26,#REF!,0)),0)</f>
        <v>0</v>
      </c>
      <c r="G26" s="1240">
        <f>+IFERROR(INDEX(#REF!,MATCH($B26,#REF!,0)),0)</f>
        <v>0</v>
      </c>
      <c r="H26" s="1240">
        <f>+IFERROR(INDEX(#REF!,MATCH($B26,#REF!,0)),0)</f>
        <v>0</v>
      </c>
      <c r="I26" s="1240">
        <f>+IFERROR(INDEX(#REF!,MATCH($B26,#REF!,0)),0)</f>
        <v>0</v>
      </c>
      <c r="J26" s="1240">
        <f>+IFERROR(INDEX(#REF!,MATCH($B26,#REF!,0)),0)</f>
        <v>0</v>
      </c>
      <c r="K26" s="1240">
        <f>+IFERROR(INDEX(#REF!,MATCH($B26,#REF!,0)),0)</f>
        <v>0</v>
      </c>
      <c r="L26" s="1240">
        <f>+IFERROR(INDEX(#REF!,MATCH($B26,#REF!,0)),0)</f>
        <v>0</v>
      </c>
      <c r="M26" s="1240">
        <f>+IFERROR(INDEX(#REF!,MATCH($B26,#REF!,0)),0)</f>
        <v>0</v>
      </c>
      <c r="N26" s="1240">
        <f>+IFERROR(INDEX(#REF!,MATCH($B26,#REF!,0)),0)</f>
        <v>0</v>
      </c>
      <c r="O26" s="1240">
        <f>+IFERROR(INDEX(#REF!,MATCH($B26,#REF!,0)),0)</f>
        <v>0</v>
      </c>
      <c r="P26" s="243">
        <f t="shared" si="7"/>
        <v>0</v>
      </c>
    </row>
    <row r="27" spans="1:27" ht="13.95" customHeight="1">
      <c r="A27" s="1241" t="s">
        <v>926</v>
      </c>
      <c r="B27" s="1202" t="s">
        <v>934</v>
      </c>
      <c r="C27" s="251">
        <f>+IFERROR(INDEX(#REF!,MATCH($B27,#REF!,0)),0)</f>
        <v>0</v>
      </c>
      <c r="D27" s="251">
        <f>+IFERROR(INDEX(#REF!,MATCH($B27,#REF!,0)),0)</f>
        <v>0</v>
      </c>
      <c r="E27" s="251">
        <f>+IFERROR(INDEX(#REF!,MATCH($B27,#REF!,0)),0)</f>
        <v>0</v>
      </c>
      <c r="F27" s="251">
        <f>+IFERROR(INDEX(#REF!,MATCH($B27,#REF!,0)),0)</f>
        <v>0</v>
      </c>
      <c r="G27" s="251">
        <f>+IFERROR(INDEX(#REF!,MATCH($B27,#REF!,0)),0)</f>
        <v>0</v>
      </c>
      <c r="H27" s="251">
        <f>+IFERROR(INDEX(#REF!,MATCH($B27,#REF!,0)),0)</f>
        <v>0</v>
      </c>
      <c r="I27" s="251">
        <f>+IFERROR(INDEX(#REF!,MATCH($B27,#REF!,0)),0)</f>
        <v>0</v>
      </c>
      <c r="J27" s="251">
        <f>+IFERROR(INDEX(#REF!,MATCH($B27,#REF!,0)),0)</f>
        <v>0</v>
      </c>
      <c r="K27" s="251">
        <f>+IFERROR(INDEX(#REF!,MATCH($B27,#REF!,0)),0)</f>
        <v>0</v>
      </c>
      <c r="L27" s="251">
        <f>+IFERROR(INDEX(#REF!,MATCH($B27,#REF!,0)),0)</f>
        <v>0</v>
      </c>
      <c r="M27" s="251">
        <f>+IFERROR(INDEX(#REF!,MATCH($B27,#REF!,0)),0)</f>
        <v>0</v>
      </c>
      <c r="N27" s="251">
        <f>+IFERROR(INDEX(#REF!,MATCH($B27,#REF!,0)),0)</f>
        <v>0</v>
      </c>
      <c r="O27" s="251">
        <f>+IFERROR(INDEX(#REF!,MATCH($B27,#REF!,0)),0)</f>
        <v>0</v>
      </c>
      <c r="P27" s="536">
        <f t="shared" si="7"/>
        <v>0</v>
      </c>
    </row>
    <row r="28" spans="1:27" s="39" customFormat="1" ht="13.95" customHeight="1">
      <c r="A28" s="1598">
        <f>+A20+1</f>
        <v>5</v>
      </c>
      <c r="B28" s="545" t="str">
        <f>+"Total - Transm Substation (Sum of Line "&amp;A20&amp;" Subparts)"</f>
        <v>Total - Transm Substation (Sum of Line 4 Subparts)</v>
      </c>
      <c r="C28" s="74">
        <f t="shared" ref="C28:O28" si="9">SUM(C21:C27)</f>
        <v>9375806.9099999983</v>
      </c>
      <c r="D28" s="74">
        <f t="shared" si="9"/>
        <v>9375806.9099999983</v>
      </c>
      <c r="E28" s="74">
        <f t="shared" si="9"/>
        <v>9375806.9099999983</v>
      </c>
      <c r="F28" s="74">
        <f t="shared" si="9"/>
        <v>9375806.9099999983</v>
      </c>
      <c r="G28" s="74">
        <f t="shared" si="9"/>
        <v>9375806.9099999983</v>
      </c>
      <c r="H28" s="74">
        <f t="shared" si="9"/>
        <v>9375806.9099999983</v>
      </c>
      <c r="I28" s="74">
        <f t="shared" si="9"/>
        <v>9375806.9099999983</v>
      </c>
      <c r="J28" s="74">
        <f t="shared" si="9"/>
        <v>9375806.9099999983</v>
      </c>
      <c r="K28" s="74">
        <f t="shared" si="9"/>
        <v>9375806.9099999983</v>
      </c>
      <c r="L28" s="74">
        <f t="shared" si="9"/>
        <v>9375806.9099999983</v>
      </c>
      <c r="M28" s="74">
        <f t="shared" si="9"/>
        <v>9375806.9099999983</v>
      </c>
      <c r="N28" s="74">
        <f t="shared" si="9"/>
        <v>9375806.9099999983</v>
      </c>
      <c r="O28" s="74">
        <f t="shared" si="9"/>
        <v>12030677.499999998</v>
      </c>
      <c r="P28" s="74">
        <f>+SUM(C28:O28)/13</f>
        <v>9580027.724615382</v>
      </c>
    </row>
    <row r="29" spans="1:27" s="39" customFormat="1" ht="13.95" customHeight="1">
      <c r="A29" s="1598">
        <f>+A28+1</f>
        <v>6</v>
      </c>
      <c r="B29" s="545"/>
      <c r="C29" s="74"/>
      <c r="D29" s="74"/>
      <c r="E29" s="74"/>
      <c r="F29" s="74"/>
      <c r="G29" s="74"/>
      <c r="H29" s="74"/>
      <c r="I29" s="74"/>
      <c r="J29" s="74"/>
      <c r="K29" s="74"/>
      <c r="L29" s="74"/>
      <c r="M29" s="74"/>
      <c r="N29" s="74"/>
      <c r="O29" s="74"/>
      <c r="P29" s="74"/>
    </row>
    <row r="30" spans="1:27" ht="13.95" customHeight="1" thickBot="1">
      <c r="A30" s="1598">
        <f>+A29+1</f>
        <v>7</v>
      </c>
      <c r="B30" s="1309" t="s">
        <v>516</v>
      </c>
      <c r="C30" s="662">
        <f t="shared" ref="C30:P30" si="10">+C18+C28</f>
        <v>23073812.729999997</v>
      </c>
      <c r="D30" s="662">
        <f t="shared" si="10"/>
        <v>23073812.729999997</v>
      </c>
      <c r="E30" s="662">
        <f t="shared" si="10"/>
        <v>23073812.729999997</v>
      </c>
      <c r="F30" s="662">
        <f t="shared" si="10"/>
        <v>23073812.729999997</v>
      </c>
      <c r="G30" s="662">
        <f t="shared" si="10"/>
        <v>23073812.729999997</v>
      </c>
      <c r="H30" s="662">
        <f t="shared" si="10"/>
        <v>23073812.729999997</v>
      </c>
      <c r="I30" s="662">
        <f t="shared" si="10"/>
        <v>23073812.729999997</v>
      </c>
      <c r="J30" s="662">
        <f t="shared" si="10"/>
        <v>23073812.729999997</v>
      </c>
      <c r="K30" s="662">
        <f t="shared" si="10"/>
        <v>23073812.729999997</v>
      </c>
      <c r="L30" s="662">
        <f t="shared" si="10"/>
        <v>23073812.729999997</v>
      </c>
      <c r="M30" s="662">
        <f t="shared" si="10"/>
        <v>23073812.729999997</v>
      </c>
      <c r="N30" s="662">
        <f t="shared" si="10"/>
        <v>23073812.729999997</v>
      </c>
      <c r="O30" s="662">
        <f t="shared" si="10"/>
        <v>39554656.049999997</v>
      </c>
      <c r="P30" s="662">
        <f t="shared" si="10"/>
        <v>24341569.908461537</v>
      </c>
    </row>
    <row r="31" spans="1:27" ht="13.95" customHeight="1" thickTop="1">
      <c r="A31" s="1598"/>
      <c r="B31" s="545" t="str">
        <f>+"Sum of Lines "&amp;A18&amp;" + "&amp;A28</f>
        <v>Sum of Lines 2 + 5</v>
      </c>
      <c r="C31" s="243"/>
      <c r="D31" s="243"/>
    </row>
    <row r="32" spans="1:27" ht="13.95" customHeight="1">
      <c r="A32" s="1598"/>
      <c r="B32" s="545"/>
      <c r="C32" s="243"/>
      <c r="D32" s="243"/>
    </row>
    <row r="33" spans="1:16" ht="13.95" customHeight="1">
      <c r="A33" s="41" t="s">
        <v>299</v>
      </c>
    </row>
    <row r="34" spans="1:16" ht="13.95" customHeight="1">
      <c r="A34" s="730" t="s">
        <v>167</v>
      </c>
      <c r="B34" s="2427" t="str">
        <f>+"Reference Appendix A Note "&amp;'Appendix A'!A320</f>
        <v>Reference Appendix A Note M</v>
      </c>
      <c r="C34" s="2427"/>
      <c r="D34" s="2427"/>
      <c r="E34" s="2427"/>
      <c r="F34" s="2427"/>
      <c r="G34" s="2427"/>
      <c r="H34" s="2427"/>
      <c r="I34" s="2427"/>
      <c r="J34" s="2427"/>
      <c r="K34" s="2427"/>
      <c r="L34" s="2427"/>
      <c r="M34" s="2427"/>
      <c r="N34" s="2427"/>
      <c r="O34" s="2427"/>
      <c r="P34" s="2427"/>
    </row>
    <row r="35" spans="1:16" ht="13.95" customHeight="1"/>
    <row r="215" spans="7:7">
      <c r="G215" s="39"/>
    </row>
  </sheetData>
  <mergeCells count="4">
    <mergeCell ref="A3:P3"/>
    <mergeCell ref="B34:P34"/>
    <mergeCell ref="A1:P1"/>
    <mergeCell ref="A2:P2"/>
  </mergeCells>
  <printOptions horizontalCentered="1"/>
  <pageMargins left="0.45" right="0.45" top="0.7" bottom="0.7" header="0.3" footer="0.5"/>
  <pageSetup scale="59" fitToHeight="0" orientation="landscape" r:id="rId1"/>
  <headerFoot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P220"/>
  <sheetViews>
    <sheetView zoomScaleNormal="100" zoomScaleSheetLayoutView="90" workbookViewId="0">
      <selection activeCell="L6" sqref="L6"/>
    </sheetView>
  </sheetViews>
  <sheetFormatPr defaultColWidth="9.109375" defaultRowHeight="13.2"/>
  <cols>
    <col min="1" max="1" width="5.44140625" style="167" customWidth="1"/>
    <col min="2" max="2" width="51.44140625" style="166" customWidth="1"/>
    <col min="3" max="3" width="12.44140625" style="166" bestFit="1" customWidth="1"/>
    <col min="4" max="4" width="12.6640625" style="166" customWidth="1"/>
    <col min="5" max="5" width="15.33203125" style="166" bestFit="1" customWidth="1"/>
    <col min="6" max="6" width="11.88671875" style="166" customWidth="1"/>
    <col min="7" max="7" width="11.44140625" style="166" customWidth="1"/>
    <col min="8" max="8" width="11.44140625" style="166" bestFit="1" customWidth="1"/>
    <col min="9" max="9" width="9.88671875" style="166" customWidth="1"/>
    <col min="10" max="10" width="9.109375" style="166"/>
    <col min="11" max="11" width="7.5546875" style="166" customWidth="1"/>
    <col min="12" max="12" width="35.6640625" style="166" bestFit="1" customWidth="1"/>
    <col min="13" max="13" width="16.109375" style="166" customWidth="1"/>
    <col min="14" max="14" width="9.109375" style="166"/>
    <col min="15" max="15" width="9.109375" style="40"/>
    <col min="16" max="16384" width="9.109375" style="166"/>
  </cols>
  <sheetData>
    <row r="1" spans="1:15">
      <c r="A1" s="2372" t="str">
        <f>+'MISO Cover'!C6</f>
        <v>Entergy Louisiana, LLC</v>
      </c>
      <c r="B1" s="2372"/>
      <c r="C1" s="2372"/>
      <c r="D1" s="2372"/>
      <c r="E1" s="2372"/>
      <c r="F1" s="2372"/>
      <c r="G1" s="2372"/>
      <c r="H1" s="2372"/>
      <c r="I1" s="2372"/>
      <c r="O1" s="166"/>
    </row>
    <row r="2" spans="1:15">
      <c r="A2" s="2372" t="s">
        <v>671</v>
      </c>
      <c r="B2" s="2372"/>
      <c r="C2" s="2372"/>
      <c r="D2" s="2372"/>
      <c r="E2" s="2372"/>
      <c r="F2" s="2372"/>
      <c r="G2" s="2372"/>
      <c r="H2" s="2372"/>
      <c r="I2" s="2372"/>
      <c r="O2" s="166"/>
    </row>
    <row r="3" spans="1:15">
      <c r="A3" s="2432" t="str">
        <f>+'MISO Cover'!K4</f>
        <v>For  the 12 Months Ended 12/31/2017</v>
      </c>
      <c r="B3" s="2432"/>
      <c r="C3" s="2432"/>
      <c r="D3" s="2432"/>
      <c r="E3" s="2432"/>
      <c r="F3" s="2432"/>
      <c r="G3" s="2432"/>
      <c r="H3" s="2432"/>
      <c r="I3" s="2432"/>
      <c r="K3" s="754"/>
      <c r="O3" s="166"/>
    </row>
    <row r="4" spans="1:15">
      <c r="A4" s="1728"/>
      <c r="B4" s="1601"/>
      <c r="C4" s="1596"/>
      <c r="D4" s="1596"/>
      <c r="E4" s="1596"/>
      <c r="F4" s="718"/>
      <c r="G4" s="718"/>
      <c r="H4" s="718"/>
      <c r="I4" s="718"/>
      <c r="O4" s="166"/>
    </row>
    <row r="5" spans="1:15" s="272" customFormat="1">
      <c r="A5" s="1729" t="s">
        <v>280</v>
      </c>
      <c r="B5" s="1730" t="s">
        <v>67</v>
      </c>
      <c r="C5" s="1730" t="s">
        <v>1084</v>
      </c>
      <c r="D5" s="1730" t="s">
        <v>55</v>
      </c>
      <c r="E5" s="1730" t="s">
        <v>68</v>
      </c>
      <c r="F5" s="1339" t="s">
        <v>66</v>
      </c>
      <c r="G5" s="1339" t="s">
        <v>1085</v>
      </c>
      <c r="H5" s="1339" t="s">
        <v>69</v>
      </c>
      <c r="I5" s="1339" t="s">
        <v>166</v>
      </c>
      <c r="M5" s="2137"/>
    </row>
    <row r="6" spans="1:15" s="40" customFormat="1">
      <c r="A6" s="682"/>
      <c r="B6" s="522"/>
      <c r="C6" s="523"/>
      <c r="D6" s="523"/>
      <c r="E6" s="523"/>
      <c r="F6" s="523"/>
      <c r="G6" s="523"/>
      <c r="H6" s="523"/>
      <c r="I6" s="522"/>
      <c r="M6" s="2138"/>
    </row>
    <row r="7" spans="1:15">
      <c r="A7" s="1309">
        <v>1</v>
      </c>
      <c r="B7" s="525" t="s">
        <v>463</v>
      </c>
      <c r="C7" s="1731" t="s">
        <v>464</v>
      </c>
      <c r="D7" s="1732" t="s">
        <v>135</v>
      </c>
      <c r="E7" s="1733"/>
      <c r="F7" s="604" t="s">
        <v>169</v>
      </c>
      <c r="G7" s="605" t="s">
        <v>153</v>
      </c>
      <c r="H7" s="529" t="s">
        <v>20</v>
      </c>
      <c r="I7" s="526" t="s">
        <v>168</v>
      </c>
      <c r="M7" s="2137"/>
      <c r="O7" s="166"/>
    </row>
    <row r="8" spans="1:15">
      <c r="A8" s="1309">
        <f>+A7+0.1</f>
        <v>1.1000000000000001</v>
      </c>
      <c r="B8" s="523" t="s">
        <v>461</v>
      </c>
      <c r="C8" s="192">
        <f>SUM(D8:G8)</f>
        <v>4983769.4400000013</v>
      </c>
      <c r="D8" s="1734">
        <v>1008200.46</v>
      </c>
      <c r="E8" s="514"/>
      <c r="F8" s="269">
        <v>184203.50000000003</v>
      </c>
      <c r="G8" s="850">
        <f>+H8+I8</f>
        <v>3791365.4800000009</v>
      </c>
      <c r="H8" s="527">
        <v>3543773.5200000009</v>
      </c>
      <c r="I8" s="269">
        <v>247591.96</v>
      </c>
      <c r="M8" s="2137"/>
      <c r="O8" s="166"/>
    </row>
    <row r="9" spans="1:15" s="272" customFormat="1" ht="15">
      <c r="A9" s="1309">
        <f>+A8+0.1</f>
        <v>1.2000000000000002</v>
      </c>
      <c r="B9" s="1735" t="s">
        <v>462</v>
      </c>
      <c r="C9" s="219">
        <f>SUM(D9:G9)</f>
        <v>15156994.809999999</v>
      </c>
      <c r="D9" s="1700"/>
      <c r="E9" s="525"/>
      <c r="F9" s="524"/>
      <c r="G9" s="1343">
        <f>+H9+I9</f>
        <v>15156994.809999999</v>
      </c>
      <c r="H9" s="528">
        <v>15156994.809999999</v>
      </c>
      <c r="I9" s="524"/>
      <c r="M9" s="2137"/>
    </row>
    <row r="10" spans="1:15" s="272" customFormat="1">
      <c r="A10" s="1309">
        <f>+A7+1</f>
        <v>2</v>
      </c>
      <c r="B10" s="521" t="s">
        <v>564</v>
      </c>
      <c r="C10" s="1123">
        <f>SUM(C8:C9)</f>
        <v>20140764.25</v>
      </c>
      <c r="D10" s="1124">
        <f>SUM(D8:D9)</f>
        <v>1008200.46</v>
      </c>
      <c r="E10" s="1123"/>
      <c r="F10" s="1123">
        <f>SUM(F8:F9)</f>
        <v>184203.50000000003</v>
      </c>
      <c r="G10" s="1123">
        <f>+G8+G9</f>
        <v>18948360.289999999</v>
      </c>
      <c r="H10" s="1125">
        <f>SUM(H8:H9)</f>
        <v>18700768.329999998</v>
      </c>
      <c r="I10" s="1123">
        <f>SUM(I8:I9)</f>
        <v>247591.96</v>
      </c>
      <c r="M10" s="2137"/>
    </row>
    <row r="11" spans="1:15" s="272" customFormat="1">
      <c r="A11" s="1309">
        <f>1+A10</f>
        <v>3</v>
      </c>
      <c r="B11" s="521"/>
      <c r="C11" s="520"/>
      <c r="D11" s="520"/>
      <c r="E11" s="520"/>
      <c r="F11" s="520"/>
      <c r="G11" s="520"/>
      <c r="H11" s="520"/>
      <c r="I11" s="520"/>
      <c r="M11" s="2137"/>
    </row>
    <row r="12" spans="1:15" s="272" customFormat="1">
      <c r="A12" s="1309">
        <f>1+A11</f>
        <v>4</v>
      </c>
      <c r="B12" s="1736"/>
      <c r="C12" s="74"/>
      <c r="D12" s="2431" t="s">
        <v>811</v>
      </c>
      <c r="E12" s="2431"/>
      <c r="F12" s="2431"/>
      <c r="G12" s="2431"/>
      <c r="M12" s="2137"/>
    </row>
    <row r="13" spans="1:15" s="1076" customFormat="1">
      <c r="A13" s="1309">
        <f t="shared" ref="A13:A14" si="0">1+A12</f>
        <v>5</v>
      </c>
      <c r="B13" s="1736"/>
      <c r="C13" s="74"/>
      <c r="D13" s="2429" t="s">
        <v>135</v>
      </c>
      <c r="E13" s="2429"/>
      <c r="F13" s="1127"/>
      <c r="G13" s="1127"/>
      <c r="M13" s="2139"/>
    </row>
    <row r="14" spans="1:15" s="750" customFormat="1">
      <c r="A14" s="1309">
        <f t="shared" si="0"/>
        <v>6</v>
      </c>
      <c r="B14" s="1737" t="s">
        <v>465</v>
      </c>
      <c r="C14" s="535"/>
      <c r="D14" s="573" t="s">
        <v>550</v>
      </c>
      <c r="E14" s="1128" t="s">
        <v>772</v>
      </c>
      <c r="F14" s="1129" t="s">
        <v>142</v>
      </c>
      <c r="G14" s="574" t="s">
        <v>153</v>
      </c>
      <c r="H14" s="1077"/>
      <c r="I14" s="1077"/>
      <c r="J14" s="1076"/>
      <c r="K14" s="1076"/>
      <c r="L14" s="1076"/>
      <c r="M14" s="2139"/>
    </row>
    <row r="15" spans="1:15" ht="15.75" customHeight="1">
      <c r="A15" s="825">
        <f>+A14+0.01</f>
        <v>6.01</v>
      </c>
      <c r="B15" s="179" t="s">
        <v>1344</v>
      </c>
      <c r="C15" s="1738">
        <v>477011</v>
      </c>
      <c r="D15" s="1739"/>
      <c r="E15" s="514"/>
      <c r="F15" s="492"/>
      <c r="G15" s="576">
        <f t="shared" ref="G15:G23" si="1">+C15</f>
        <v>477011</v>
      </c>
      <c r="H15" s="572"/>
      <c r="I15" s="572"/>
      <c r="K15" s="40"/>
      <c r="L15" s="40"/>
      <c r="M15" s="2138"/>
      <c r="N15" s="40"/>
    </row>
    <row r="16" spans="1:15" s="750" customFormat="1" ht="15.75" customHeight="1">
      <c r="A16" s="825">
        <f t="shared" ref="A16:A51" si="2">+A15+0.01</f>
        <v>6.02</v>
      </c>
      <c r="B16" s="179" t="s">
        <v>1345</v>
      </c>
      <c r="C16" s="1738">
        <v>0</v>
      </c>
      <c r="D16" s="1739"/>
      <c r="E16" s="514"/>
      <c r="F16" s="492"/>
      <c r="G16" s="576">
        <f t="shared" si="1"/>
        <v>0</v>
      </c>
      <c r="M16" s="2139"/>
    </row>
    <row r="17" spans="1:16" ht="15.75" customHeight="1">
      <c r="A17" s="825">
        <f t="shared" si="2"/>
        <v>6.0299999999999994</v>
      </c>
      <c r="B17" s="179" t="s">
        <v>1346</v>
      </c>
      <c r="C17" s="1738">
        <v>0</v>
      </c>
      <c r="D17" s="1739"/>
      <c r="E17" s="514"/>
      <c r="F17" s="492"/>
      <c r="G17" s="576">
        <f t="shared" si="1"/>
        <v>0</v>
      </c>
      <c r="J17" s="751"/>
      <c r="K17" s="498"/>
      <c r="L17" s="498"/>
      <c r="M17" s="2138"/>
      <c r="N17" s="498"/>
      <c r="O17" s="498"/>
      <c r="P17" s="751"/>
    </row>
    <row r="18" spans="1:16" s="750" customFormat="1" ht="15.75" customHeight="1">
      <c r="A18" s="825">
        <f t="shared" si="2"/>
        <v>6.0399999999999991</v>
      </c>
      <c r="B18" s="179" t="s">
        <v>1347</v>
      </c>
      <c r="C18" s="1738">
        <v>1918058.97</v>
      </c>
      <c r="D18" s="1739"/>
      <c r="E18" s="514"/>
      <c r="F18" s="492"/>
      <c r="G18" s="576">
        <f t="shared" si="1"/>
        <v>1918058.97</v>
      </c>
      <c r="M18" s="2139"/>
    </row>
    <row r="19" spans="1:16" s="750" customFormat="1" ht="15.75" customHeight="1">
      <c r="A19" s="825">
        <f t="shared" si="2"/>
        <v>6.0499999999999989</v>
      </c>
      <c r="B19" s="179" t="s">
        <v>1348</v>
      </c>
      <c r="C19" s="1738">
        <v>2199264</v>
      </c>
      <c r="D19" s="1739"/>
      <c r="E19" s="514"/>
      <c r="F19" s="492"/>
      <c r="G19" s="576">
        <f>+C19</f>
        <v>2199264</v>
      </c>
      <c r="M19" s="2139"/>
    </row>
    <row r="20" spans="1:16" s="750" customFormat="1" ht="15.75" customHeight="1">
      <c r="A20" s="825">
        <f t="shared" si="2"/>
        <v>6.0599999999999987</v>
      </c>
      <c r="B20" s="179" t="s">
        <v>1349</v>
      </c>
      <c r="C20" s="1738">
        <v>38815.780000000013</v>
      </c>
      <c r="D20" s="1739"/>
      <c r="E20" s="514"/>
      <c r="F20" s="492"/>
      <c r="G20" s="576">
        <f>+C20</f>
        <v>38815.780000000013</v>
      </c>
      <c r="M20" s="2139"/>
    </row>
    <row r="21" spans="1:16" s="750" customFormat="1" ht="15.75" customHeight="1">
      <c r="A21" s="825">
        <f t="shared" si="2"/>
        <v>6.0699999999999985</v>
      </c>
      <c r="B21" s="179" t="s">
        <v>1350</v>
      </c>
      <c r="C21" s="1738">
        <v>2180914.6500000004</v>
      </c>
      <c r="D21" s="1739"/>
      <c r="E21" s="514"/>
      <c r="F21" s="492"/>
      <c r="G21" s="576">
        <f t="shared" si="1"/>
        <v>2180914.6500000004</v>
      </c>
      <c r="M21" s="2139"/>
    </row>
    <row r="22" spans="1:16" s="750" customFormat="1" ht="15.75" customHeight="1">
      <c r="A22" s="825">
        <f t="shared" si="2"/>
        <v>6.0799999999999983</v>
      </c>
      <c r="B22" s="179" t="s">
        <v>1351</v>
      </c>
      <c r="C22" s="1738">
        <v>55102</v>
      </c>
      <c r="D22" s="1739"/>
      <c r="E22" s="514"/>
      <c r="F22" s="492"/>
      <c r="G22" s="576">
        <f t="shared" si="1"/>
        <v>55102</v>
      </c>
      <c r="H22" s="168"/>
      <c r="K22" s="40"/>
      <c r="L22" s="40"/>
      <c r="M22" s="2139"/>
    </row>
    <row r="23" spans="1:16" ht="15.75" customHeight="1">
      <c r="A23" s="825">
        <f t="shared" si="2"/>
        <v>6.0899999999999981</v>
      </c>
      <c r="B23" s="179" t="s">
        <v>1352</v>
      </c>
      <c r="C23" s="1738">
        <v>0</v>
      </c>
      <c r="D23" s="1739"/>
      <c r="E23" s="514"/>
      <c r="F23" s="492"/>
      <c r="G23" s="576">
        <f t="shared" si="1"/>
        <v>0</v>
      </c>
      <c r="H23" s="750"/>
      <c r="I23" s="750"/>
      <c r="J23" s="750"/>
      <c r="K23" s="40"/>
      <c r="L23" s="40"/>
      <c r="M23" s="40"/>
      <c r="N23" s="40"/>
    </row>
    <row r="24" spans="1:16" ht="15.75" customHeight="1">
      <c r="A24" s="825">
        <f t="shared" si="2"/>
        <v>6.0999999999999979</v>
      </c>
      <c r="B24" s="179" t="s">
        <v>1353</v>
      </c>
      <c r="C24" s="1738">
        <v>0</v>
      </c>
      <c r="D24" s="1739"/>
      <c r="E24" s="514">
        <f>+C24</f>
        <v>0</v>
      </c>
      <c r="F24" s="492"/>
      <c r="G24" s="576"/>
      <c r="H24" s="752"/>
      <c r="K24" s="40"/>
      <c r="L24" s="40"/>
      <c r="M24" s="40"/>
      <c r="N24" s="40"/>
    </row>
    <row r="25" spans="1:16" ht="15.75" customHeight="1">
      <c r="A25" s="825">
        <f t="shared" si="2"/>
        <v>6.1099999999999977</v>
      </c>
      <c r="B25" s="179" t="s">
        <v>1354</v>
      </c>
      <c r="C25" s="1738">
        <v>0</v>
      </c>
      <c r="D25" s="1130">
        <f>+C25</f>
        <v>0</v>
      </c>
      <c r="E25" s="194"/>
      <c r="F25" s="194"/>
      <c r="G25" s="576"/>
      <c r="K25" s="40"/>
      <c r="L25" s="40"/>
      <c r="M25" s="40"/>
      <c r="N25" s="40"/>
    </row>
    <row r="26" spans="1:16" ht="15.75" customHeight="1">
      <c r="A26" s="825">
        <f t="shared" si="2"/>
        <v>6.1199999999999974</v>
      </c>
      <c r="B26" s="179" t="s">
        <v>1355</v>
      </c>
      <c r="C26" s="1738">
        <v>11439815.49</v>
      </c>
      <c r="D26" s="1130"/>
      <c r="E26" s="194">
        <f>+C26</f>
        <v>11439815.49</v>
      </c>
      <c r="F26" s="194"/>
      <c r="G26" s="576"/>
      <c r="K26" s="40"/>
      <c r="L26" s="40"/>
      <c r="M26" s="40"/>
    </row>
    <row r="27" spans="1:16" ht="15.75" customHeight="1">
      <c r="A27" s="825">
        <f t="shared" si="2"/>
        <v>6.1299999999999972</v>
      </c>
      <c r="B27" s="179" t="s">
        <v>1356</v>
      </c>
      <c r="C27" s="1738">
        <v>0</v>
      </c>
      <c r="D27" s="1739"/>
      <c r="E27" s="514"/>
      <c r="F27" s="492"/>
      <c r="G27" s="576">
        <f>+C27</f>
        <v>0</v>
      </c>
      <c r="K27" s="750"/>
      <c r="L27" s="750"/>
      <c r="M27" s="40"/>
      <c r="N27" s="40"/>
    </row>
    <row r="28" spans="1:16" s="750" customFormat="1" ht="15.75" customHeight="1">
      <c r="A28" s="825">
        <f t="shared" si="2"/>
        <v>6.139999999999997</v>
      </c>
      <c r="B28" s="179" t="s">
        <v>1357</v>
      </c>
      <c r="C28" s="1738">
        <v>0</v>
      </c>
      <c r="D28" s="1739"/>
      <c r="E28" s="514"/>
      <c r="F28" s="492"/>
      <c r="G28" s="576">
        <f>+C28</f>
        <v>0</v>
      </c>
      <c r="H28" s="166"/>
      <c r="I28" s="166"/>
      <c r="J28" s="166"/>
      <c r="K28" s="40"/>
      <c r="L28" s="40"/>
    </row>
    <row r="29" spans="1:16" ht="15.75" customHeight="1">
      <c r="A29" s="825">
        <f t="shared" si="2"/>
        <v>6.1499999999999968</v>
      </c>
      <c r="B29" s="179" t="s">
        <v>1358</v>
      </c>
      <c r="C29" s="1738">
        <v>0</v>
      </c>
      <c r="D29" s="1739"/>
      <c r="E29" s="514"/>
      <c r="F29" s="492"/>
      <c r="G29" s="576">
        <f>+C29</f>
        <v>0</v>
      </c>
      <c r="H29" s="750"/>
      <c r="I29" s="750"/>
      <c r="J29" s="750"/>
      <c r="K29" s="40"/>
      <c r="L29" s="40"/>
      <c r="M29" s="40"/>
      <c r="N29" s="40"/>
    </row>
    <row r="30" spans="1:16" ht="15.75" customHeight="1">
      <c r="A30" s="825">
        <f t="shared" si="2"/>
        <v>6.1599999999999966</v>
      </c>
      <c r="B30" s="179" t="s">
        <v>1359</v>
      </c>
      <c r="C30" s="1738">
        <v>0</v>
      </c>
      <c r="D30" s="1739">
        <f>+C30</f>
        <v>0</v>
      </c>
      <c r="E30" s="514"/>
      <c r="F30" s="194"/>
      <c r="G30" s="1131"/>
      <c r="K30" s="40"/>
      <c r="L30" s="40"/>
      <c r="M30" s="40"/>
      <c r="N30" s="40"/>
    </row>
    <row r="31" spans="1:16" ht="15.75" customHeight="1">
      <c r="A31" s="825">
        <f t="shared" si="2"/>
        <v>6.1699999999999964</v>
      </c>
      <c r="B31" s="1428" t="s">
        <v>1360</v>
      </c>
      <c r="C31" s="1738">
        <v>0</v>
      </c>
      <c r="D31" s="575">
        <f>+C31</f>
        <v>0</v>
      </c>
      <c r="E31" s="492"/>
      <c r="F31" s="194"/>
      <c r="G31" s="1132"/>
      <c r="K31" s="40"/>
      <c r="L31" s="40"/>
      <c r="M31" s="40"/>
      <c r="N31" s="40"/>
    </row>
    <row r="32" spans="1:16" ht="15.75" customHeight="1">
      <c r="A32" s="825">
        <f t="shared" si="2"/>
        <v>6.1799999999999962</v>
      </c>
      <c r="B32" s="1428" t="s">
        <v>1361</v>
      </c>
      <c r="C32" s="1738">
        <v>0</v>
      </c>
      <c r="D32" s="1130"/>
      <c r="E32" s="194">
        <f>+C32</f>
        <v>0</v>
      </c>
      <c r="F32" s="194"/>
      <c r="G32" s="576"/>
      <c r="K32" s="40"/>
      <c r="L32" s="40"/>
      <c r="M32" s="40"/>
      <c r="N32" s="40"/>
    </row>
    <row r="33" spans="1:14" ht="15.75" customHeight="1">
      <c r="A33" s="825">
        <f t="shared" si="2"/>
        <v>6.1899999999999959</v>
      </c>
      <c r="B33" s="1428" t="s">
        <v>1362</v>
      </c>
      <c r="C33" s="1738">
        <v>0</v>
      </c>
      <c r="D33" s="575"/>
      <c r="E33" s="492"/>
      <c r="F33" s="492"/>
      <c r="G33" s="576">
        <f>+C33</f>
        <v>0</v>
      </c>
      <c r="K33" s="40"/>
      <c r="L33" s="40"/>
      <c r="M33" s="40"/>
      <c r="N33" s="40"/>
    </row>
    <row r="34" spans="1:14" ht="15.75" customHeight="1">
      <c r="A34" s="825">
        <f t="shared" si="2"/>
        <v>6.1999999999999957</v>
      </c>
      <c r="B34" s="1428" t="s">
        <v>1363</v>
      </c>
      <c r="C34" s="1738">
        <v>0</v>
      </c>
      <c r="D34" s="575"/>
      <c r="E34" s="492"/>
      <c r="F34" s="492"/>
      <c r="G34" s="576">
        <f>+C34</f>
        <v>0</v>
      </c>
      <c r="K34" s="40"/>
      <c r="L34" s="40"/>
      <c r="M34" s="40"/>
      <c r="N34" s="40"/>
    </row>
    <row r="35" spans="1:14" ht="15.75" customHeight="1">
      <c r="A35" s="825">
        <f t="shared" si="2"/>
        <v>6.2099999999999955</v>
      </c>
      <c r="B35" s="1428" t="s">
        <v>1364</v>
      </c>
      <c r="C35" s="1738">
        <v>0</v>
      </c>
      <c r="D35" s="575"/>
      <c r="E35" s="492"/>
      <c r="F35" s="492"/>
      <c r="G35" s="576">
        <f>+C35</f>
        <v>0</v>
      </c>
      <c r="K35" s="40"/>
      <c r="L35" s="40"/>
      <c r="M35" s="40"/>
      <c r="N35" s="40"/>
    </row>
    <row r="36" spans="1:14" ht="15.75" customHeight="1">
      <c r="A36" s="825">
        <f t="shared" si="2"/>
        <v>6.2199999999999953</v>
      </c>
      <c r="B36" s="1428" t="s">
        <v>1365</v>
      </c>
      <c r="C36" s="1738">
        <v>0</v>
      </c>
      <c r="D36" s="575"/>
      <c r="E36" s="492"/>
      <c r="F36" s="492">
        <f>+C36</f>
        <v>0</v>
      </c>
      <c r="G36" s="1131"/>
      <c r="K36" s="40"/>
      <c r="L36" s="40"/>
      <c r="M36" s="40"/>
      <c r="N36" s="40"/>
    </row>
    <row r="37" spans="1:14" ht="15.75" customHeight="1">
      <c r="A37" s="825">
        <f t="shared" si="2"/>
        <v>6.2299999999999951</v>
      </c>
      <c r="B37" s="1428" t="s">
        <v>1366</v>
      </c>
      <c r="C37" s="1738">
        <v>0</v>
      </c>
      <c r="D37" s="575"/>
      <c r="E37" s="492"/>
      <c r="F37" s="492"/>
      <c r="G37" s="576">
        <f>+C37</f>
        <v>0</v>
      </c>
      <c r="K37" s="40"/>
      <c r="L37" s="40"/>
      <c r="M37" s="40"/>
      <c r="N37" s="40"/>
    </row>
    <row r="38" spans="1:14" ht="15.75" customHeight="1">
      <c r="A38" s="825">
        <f t="shared" si="2"/>
        <v>6.2399999999999949</v>
      </c>
      <c r="B38" s="967" t="s">
        <v>2217</v>
      </c>
      <c r="C38" s="1738">
        <v>104743.61</v>
      </c>
      <c r="D38" s="575">
        <f>+C38</f>
        <v>104743.61</v>
      </c>
      <c r="E38" s="492"/>
      <c r="F38" s="492"/>
      <c r="G38" s="1131"/>
      <c r="I38" s="753"/>
      <c r="K38" s="40"/>
      <c r="L38" s="40"/>
      <c r="M38" s="40"/>
      <c r="N38" s="40"/>
    </row>
    <row r="39" spans="1:14" ht="15.75" customHeight="1">
      <c r="A39" s="825">
        <f t="shared" si="2"/>
        <v>6.2499999999999947</v>
      </c>
      <c r="B39" s="967" t="s">
        <v>2218</v>
      </c>
      <c r="C39" s="1738">
        <v>6622944.0300000003</v>
      </c>
      <c r="D39" s="575"/>
      <c r="E39" s="492">
        <f>+C39</f>
        <v>6622944.0300000003</v>
      </c>
      <c r="F39" s="492"/>
      <c r="G39" s="1133"/>
      <c r="K39" s="40"/>
      <c r="L39" s="40"/>
      <c r="M39" s="40"/>
      <c r="N39" s="40"/>
    </row>
    <row r="40" spans="1:14" ht="15.75" customHeight="1">
      <c r="A40" s="825">
        <f t="shared" si="2"/>
        <v>6.2599999999999945</v>
      </c>
      <c r="B40" s="967" t="s">
        <v>2219</v>
      </c>
      <c r="C40" s="1738">
        <v>221888.52</v>
      </c>
      <c r="D40" s="575">
        <f>+C40</f>
        <v>221888.52</v>
      </c>
      <c r="E40" s="492"/>
      <c r="F40" s="492"/>
      <c r="G40" s="1131"/>
      <c r="K40" s="40"/>
      <c r="L40" s="40"/>
      <c r="M40" s="40"/>
      <c r="N40" s="40"/>
    </row>
    <row r="41" spans="1:14" ht="15.75" customHeight="1">
      <c r="A41" s="825">
        <f t="shared" si="2"/>
        <v>6.2699999999999942</v>
      </c>
      <c r="B41" s="1428" t="s">
        <v>1367</v>
      </c>
      <c r="C41" s="1738">
        <v>50459817.750000007</v>
      </c>
      <c r="D41" s="575"/>
      <c r="E41" s="492">
        <f>+C41</f>
        <v>50459817.750000007</v>
      </c>
      <c r="F41" s="492"/>
      <c r="G41" s="576"/>
      <c r="H41" s="2435" t="s">
        <v>937</v>
      </c>
      <c r="I41" s="2436"/>
      <c r="K41" s="40"/>
      <c r="L41" s="40"/>
      <c r="M41" s="40"/>
      <c r="N41" s="40"/>
    </row>
    <row r="42" spans="1:14" ht="15.75" customHeight="1">
      <c r="A42" s="825">
        <f t="shared" si="2"/>
        <v>6.279999999999994</v>
      </c>
      <c r="B42" s="1428" t="s">
        <v>1368</v>
      </c>
      <c r="C42" s="1738">
        <v>6898920.1399999997</v>
      </c>
      <c r="D42" s="575"/>
      <c r="E42" s="492"/>
      <c r="F42" s="492"/>
      <c r="G42" s="576">
        <f>+C42</f>
        <v>6898920.1399999997</v>
      </c>
      <c r="H42" s="1193" t="s">
        <v>935</v>
      </c>
      <c r="I42" s="1194" t="s">
        <v>936</v>
      </c>
      <c r="K42" s="40"/>
      <c r="L42" s="40"/>
      <c r="M42" s="40"/>
      <c r="N42" s="40"/>
    </row>
    <row r="43" spans="1:14" ht="15.75" customHeight="1">
      <c r="A43" s="825">
        <f t="shared" si="2"/>
        <v>6.2899999999999938</v>
      </c>
      <c r="B43" s="1428" t="s">
        <v>1552</v>
      </c>
      <c r="C43" s="1738">
        <v>-66564.24000000002</v>
      </c>
      <c r="D43" s="575"/>
      <c r="E43" s="492"/>
      <c r="F43" s="492"/>
      <c r="G43" s="576">
        <f>+C43</f>
        <v>-66564.24000000002</v>
      </c>
      <c r="H43" s="1234">
        <v>24743.43</v>
      </c>
      <c r="I43" s="1234">
        <v>-91307.670000000013</v>
      </c>
      <c r="K43" s="40"/>
      <c r="L43" s="40"/>
      <c r="M43" s="40"/>
      <c r="N43" s="40"/>
    </row>
    <row r="44" spans="1:14" ht="15.75" customHeight="1">
      <c r="A44" s="825">
        <f t="shared" si="2"/>
        <v>6.2999999999999936</v>
      </c>
      <c r="B44" s="1428" t="s">
        <v>1369</v>
      </c>
      <c r="C44" s="1738">
        <v>0</v>
      </c>
      <c r="D44" s="575"/>
      <c r="E44" s="492"/>
      <c r="F44" s="492"/>
      <c r="G44" s="576">
        <f>+C44</f>
        <v>0</v>
      </c>
      <c r="K44" s="40"/>
      <c r="L44" s="40"/>
      <c r="M44" s="40"/>
      <c r="N44" s="40"/>
    </row>
    <row r="45" spans="1:14" ht="15.75" customHeight="1">
      <c r="A45" s="825">
        <f t="shared" si="2"/>
        <v>6.3099999999999934</v>
      </c>
      <c r="B45" s="1428" t="s">
        <v>1370</v>
      </c>
      <c r="C45" s="1738">
        <v>0</v>
      </c>
      <c r="D45" s="575"/>
      <c r="E45" s="492">
        <f>+C45</f>
        <v>0</v>
      </c>
      <c r="F45" s="492"/>
      <c r="G45" s="576"/>
      <c r="K45" s="40"/>
      <c r="L45" s="40"/>
      <c r="M45" s="40"/>
      <c r="N45" s="40"/>
    </row>
    <row r="46" spans="1:14" ht="15.75" customHeight="1">
      <c r="A46" s="825">
        <f t="shared" si="2"/>
        <v>6.3199999999999932</v>
      </c>
      <c r="B46" s="1428" t="s">
        <v>1371</v>
      </c>
      <c r="C46" s="1738">
        <v>0</v>
      </c>
      <c r="D46" s="575"/>
      <c r="E46" s="492"/>
      <c r="F46" s="492"/>
      <c r="G46" s="576">
        <f>+C46</f>
        <v>0</v>
      </c>
      <c r="K46" s="40"/>
      <c r="L46" s="40"/>
      <c r="M46" s="40"/>
      <c r="N46" s="40"/>
    </row>
    <row r="47" spans="1:14" ht="15.75" customHeight="1">
      <c r="A47" s="825">
        <f t="shared" si="2"/>
        <v>6.329999999999993</v>
      </c>
      <c r="B47" s="1428" t="s">
        <v>1372</v>
      </c>
      <c r="C47" s="1738">
        <v>-6896101.0200000256</v>
      </c>
      <c r="D47" s="575"/>
      <c r="E47" s="492"/>
      <c r="F47" s="492"/>
      <c r="G47" s="576">
        <f>+C47</f>
        <v>-6896101.0200000256</v>
      </c>
      <c r="K47" s="40"/>
      <c r="L47" s="40"/>
      <c r="M47" s="40"/>
      <c r="N47" s="40"/>
    </row>
    <row r="48" spans="1:14" ht="15.75" customHeight="1">
      <c r="A48" s="825">
        <f t="shared" si="2"/>
        <v>6.3399999999999928</v>
      </c>
      <c r="B48" s="1428" t="s">
        <v>1373</v>
      </c>
      <c r="C48" s="1738">
        <v>0</v>
      </c>
      <c r="D48" s="575"/>
      <c r="E48" s="492"/>
      <c r="F48" s="492"/>
      <c r="G48" s="576">
        <f>+C48</f>
        <v>0</v>
      </c>
      <c r="K48" s="40"/>
      <c r="L48" s="40"/>
      <c r="M48" s="40"/>
      <c r="N48" s="40"/>
    </row>
    <row r="49" spans="1:15" ht="15.75" customHeight="1">
      <c r="A49" s="825">
        <f t="shared" si="2"/>
        <v>6.3499999999999925</v>
      </c>
      <c r="B49" s="1428" t="s">
        <v>1374</v>
      </c>
      <c r="C49" s="1738">
        <v>0</v>
      </c>
      <c r="D49" s="575">
        <f>+C49</f>
        <v>0</v>
      </c>
      <c r="E49" s="492"/>
      <c r="F49" s="492"/>
      <c r="G49" s="1131"/>
      <c r="I49" s="755"/>
      <c r="K49" s="40"/>
      <c r="L49" s="40"/>
      <c r="M49" s="40"/>
      <c r="N49" s="40"/>
    </row>
    <row r="50" spans="1:15" ht="15.75" customHeight="1">
      <c r="A50" s="825">
        <f t="shared" si="2"/>
        <v>6.3599999999999923</v>
      </c>
      <c r="B50" s="1428" t="s">
        <v>1375</v>
      </c>
      <c r="C50" s="1738">
        <v>245000</v>
      </c>
      <c r="D50" s="575"/>
      <c r="E50" s="492"/>
      <c r="F50" s="492"/>
      <c r="G50" s="576">
        <f>+C50</f>
        <v>245000</v>
      </c>
      <c r="K50" s="40"/>
      <c r="L50" s="40"/>
      <c r="M50" s="40"/>
      <c r="N50" s="40"/>
    </row>
    <row r="51" spans="1:15" ht="15.75" customHeight="1">
      <c r="A51" s="825">
        <f t="shared" si="2"/>
        <v>6.3699999999999921</v>
      </c>
      <c r="B51" s="1428" t="s">
        <v>1376</v>
      </c>
      <c r="C51" s="1738">
        <v>0</v>
      </c>
      <c r="D51" s="575"/>
      <c r="E51" s="492"/>
      <c r="F51" s="492"/>
      <c r="G51" s="576">
        <f>+C51</f>
        <v>0</v>
      </c>
      <c r="K51" s="40"/>
      <c r="L51" s="40"/>
      <c r="M51" s="40"/>
      <c r="N51" s="40"/>
    </row>
    <row r="52" spans="1:15" ht="15.75" customHeight="1">
      <c r="A52" s="825">
        <f>ROUND(+A51+0.01,2)</f>
        <v>6.38</v>
      </c>
      <c r="B52" s="1167" t="s">
        <v>756</v>
      </c>
      <c r="C52" s="1738">
        <v>0</v>
      </c>
      <c r="D52" s="575">
        <f>+C52</f>
        <v>0</v>
      </c>
      <c r="E52" s="492"/>
      <c r="F52" s="492"/>
      <c r="G52" s="576"/>
      <c r="K52" s="40"/>
      <c r="L52" s="40"/>
      <c r="M52" s="40"/>
      <c r="N52" s="40"/>
    </row>
    <row r="53" spans="1:15" ht="15.75" customHeight="1">
      <c r="A53" s="825">
        <f>ROUND(+A52+0.01,2)</f>
        <v>6.39</v>
      </c>
      <c r="B53" s="1167" t="s">
        <v>757</v>
      </c>
      <c r="C53" s="1738">
        <v>0</v>
      </c>
      <c r="D53" s="575">
        <f>+C53</f>
        <v>0</v>
      </c>
      <c r="E53" s="492"/>
      <c r="F53" s="492"/>
      <c r="G53" s="576"/>
      <c r="K53" s="40"/>
      <c r="L53" s="40"/>
      <c r="M53" s="40"/>
      <c r="N53" s="40"/>
    </row>
    <row r="54" spans="1:15" s="272" customFormat="1" ht="15.75" customHeight="1">
      <c r="A54" s="1189">
        <f t="shared" ref="A54:A61" si="3">+A53+0.01</f>
        <v>6.3999999999999995</v>
      </c>
      <c r="B54" s="1227" t="s">
        <v>2022</v>
      </c>
      <c r="C54" s="1738">
        <v>338.99999999999994</v>
      </c>
      <c r="D54" s="527"/>
      <c r="E54" s="1225"/>
      <c r="F54" s="1225"/>
      <c r="G54" s="1228">
        <f>+C54</f>
        <v>338.99999999999994</v>
      </c>
      <c r="H54" s="166"/>
      <c r="I54" s="166"/>
      <c r="J54" s="166"/>
      <c r="K54" s="40"/>
      <c r="L54" s="40"/>
      <c r="M54" s="40"/>
      <c r="N54" s="40"/>
      <c r="O54" s="40"/>
    </row>
    <row r="55" spans="1:15" ht="15.75" customHeight="1">
      <c r="A55" s="1189">
        <f t="shared" si="3"/>
        <v>6.4099999999999993</v>
      </c>
      <c r="B55" s="1779" t="s">
        <v>2023</v>
      </c>
      <c r="C55" s="1738">
        <v>2199999.9600000004</v>
      </c>
      <c r="D55" s="527"/>
      <c r="E55" s="1225"/>
      <c r="F55" s="1225"/>
      <c r="G55" s="1228">
        <f t="shared" ref="G55:G56" si="4">+C55</f>
        <v>2199999.9600000004</v>
      </c>
      <c r="K55" s="40"/>
      <c r="L55" s="40"/>
      <c r="M55" s="40"/>
      <c r="N55" s="40"/>
    </row>
    <row r="56" spans="1:15" ht="15.75" customHeight="1">
      <c r="A56" s="1189">
        <f t="shared" si="3"/>
        <v>6.419999999999999</v>
      </c>
      <c r="B56" s="1779" t="s">
        <v>2024</v>
      </c>
      <c r="C56" s="1738">
        <v>2941292.4299999997</v>
      </c>
      <c r="D56" s="527"/>
      <c r="E56" s="1225"/>
      <c r="F56" s="1225"/>
      <c r="G56" s="1228">
        <f t="shared" si="4"/>
        <v>2941292.4299999997</v>
      </c>
      <c r="K56" s="40"/>
      <c r="L56" s="40"/>
      <c r="M56" s="40"/>
      <c r="N56" s="40"/>
    </row>
    <row r="57" spans="1:15" ht="15.75" customHeight="1">
      <c r="A57" s="1189">
        <f t="shared" si="3"/>
        <v>6.4299999999999988</v>
      </c>
      <c r="B57" s="1779" t="s">
        <v>2287</v>
      </c>
      <c r="C57" s="1738">
        <v>100</v>
      </c>
      <c r="D57" s="527"/>
      <c r="E57" s="1225"/>
      <c r="F57" s="1225"/>
      <c r="G57" s="1228">
        <f t="shared" ref="G57" si="5">+C57</f>
        <v>100</v>
      </c>
      <c r="K57" s="40"/>
      <c r="L57" s="40"/>
      <c r="M57" s="40"/>
      <c r="N57" s="40"/>
    </row>
    <row r="58" spans="1:15" s="272" customFormat="1" ht="15.75" customHeight="1">
      <c r="A58" s="1189">
        <f t="shared" si="3"/>
        <v>6.4399999999999986</v>
      </c>
      <c r="B58" s="1227" t="s">
        <v>2016</v>
      </c>
      <c r="C58" s="269">
        <v>0</v>
      </c>
      <c r="D58" s="527">
        <f>-G58*C38/(C38+C39)</f>
        <v>7945.6090679885901</v>
      </c>
      <c r="E58" s="1225">
        <f>-G58*C39/(C38+C39)</f>
        <v>502401.28387353552</v>
      </c>
      <c r="F58" s="1225"/>
      <c r="G58" s="1228">
        <f>+'WP17 Rev Support'!C10</f>
        <v>-510346.89294152416</v>
      </c>
      <c r="J58" s="272" t="s">
        <v>2017</v>
      </c>
      <c r="K58" s="40"/>
      <c r="L58" s="40"/>
      <c r="M58" s="40"/>
      <c r="N58" s="40"/>
      <c r="O58" s="40"/>
    </row>
    <row r="59" spans="1:15" s="272" customFormat="1" ht="15.75" customHeight="1">
      <c r="A59" s="1189">
        <f t="shared" si="3"/>
        <v>6.4499999999999984</v>
      </c>
      <c r="B59" s="1227" t="s">
        <v>2018</v>
      </c>
      <c r="C59" s="269">
        <v>0</v>
      </c>
      <c r="D59" s="527">
        <f>-G59</f>
        <v>46045.672758851731</v>
      </c>
      <c r="E59" s="1225"/>
      <c r="F59" s="1225"/>
      <c r="G59" s="1228">
        <f>+'WP17 Rev Support'!C16</f>
        <v>-46045.672758851731</v>
      </c>
      <c r="J59" s="272" t="s">
        <v>2019</v>
      </c>
      <c r="K59" s="40"/>
      <c r="L59" s="40"/>
      <c r="M59" s="40"/>
      <c r="N59" s="40"/>
      <c r="O59" s="40"/>
    </row>
    <row r="60" spans="1:15" s="272" customFormat="1" ht="15.75" customHeight="1">
      <c r="A60" s="1189">
        <f t="shared" si="3"/>
        <v>6.4599999999999982</v>
      </c>
      <c r="B60" s="1227" t="s">
        <v>2020</v>
      </c>
      <c r="C60" s="269">
        <v>0</v>
      </c>
      <c r="D60" s="527"/>
      <c r="E60" s="1225">
        <f>-G60</f>
        <v>3663038.1442996236</v>
      </c>
      <c r="F60" s="1225"/>
      <c r="G60" s="1228">
        <f>+'WP17 Rev Support'!C21</f>
        <v>-3663038.1442996236</v>
      </c>
      <c r="J60" s="272" t="s">
        <v>2021</v>
      </c>
      <c r="K60" s="40"/>
      <c r="L60" s="40"/>
      <c r="M60" s="40"/>
      <c r="N60" s="40"/>
      <c r="O60" s="40"/>
    </row>
    <row r="61" spans="1:15" ht="15.75" customHeight="1">
      <c r="A61" s="1189">
        <f t="shared" si="3"/>
        <v>6.469999999999998</v>
      </c>
      <c r="B61" s="1227" t="s">
        <v>934</v>
      </c>
      <c r="C61" s="269">
        <f>IFERROR(INDEX(#REF!,MATCH($B61,#REF!,0)),0)</f>
        <v>0</v>
      </c>
      <c r="D61" s="527"/>
      <c r="E61" s="1225"/>
      <c r="F61" s="1225"/>
      <c r="G61" s="1228">
        <f>+C61</f>
        <v>0</v>
      </c>
      <c r="K61" s="40"/>
      <c r="L61" s="40"/>
      <c r="M61" s="40"/>
      <c r="N61" s="40"/>
    </row>
    <row r="62" spans="1:15" ht="15.75" customHeight="1">
      <c r="A62" s="1189" t="s">
        <v>925</v>
      </c>
      <c r="B62" s="1227" t="s">
        <v>934</v>
      </c>
      <c r="C62" s="269">
        <v>0</v>
      </c>
      <c r="D62" s="527"/>
      <c r="E62" s="1225"/>
      <c r="F62" s="1225"/>
      <c r="G62" s="1228"/>
      <c r="K62" s="40"/>
      <c r="L62" s="40"/>
      <c r="M62" s="40"/>
      <c r="N62" s="40"/>
    </row>
    <row r="63" spans="1:15" ht="15.75" customHeight="1">
      <c r="A63" s="1189" t="s">
        <v>930</v>
      </c>
      <c r="B63" s="1229" t="s">
        <v>934</v>
      </c>
      <c r="C63" s="1230">
        <v>0</v>
      </c>
      <c r="D63" s="528"/>
      <c r="E63" s="1226"/>
      <c r="F63" s="1226"/>
      <c r="G63" s="1230"/>
      <c r="K63" s="40"/>
      <c r="L63" s="40"/>
      <c r="M63" s="40"/>
      <c r="N63" s="40"/>
    </row>
    <row r="64" spans="1:15" ht="15.75" customHeight="1">
      <c r="A64" s="966">
        <f>+A14+1</f>
        <v>7</v>
      </c>
      <c r="B64" s="1126" t="str">
        <f>+"Total Acct 456  (Sum Ln "&amp;A14&amp;" Subparts)  (3)"</f>
        <v>Total Acct 456  (Sum Ln 6 Subparts)  (3)</v>
      </c>
      <c r="C64" s="1134">
        <f>SUM(C15:C63)</f>
        <v>81041362.069999993</v>
      </c>
      <c r="D64" s="1134">
        <f>SUM(D15:D63)</f>
        <v>380623.41182684031</v>
      </c>
      <c r="E64" s="1134">
        <f>SUM(E15:E63)</f>
        <v>72688016.698173165</v>
      </c>
      <c r="F64" s="1134">
        <f>SUM(F15:F63)</f>
        <v>0</v>
      </c>
      <c r="G64" s="1134">
        <f>SUM(G15:G63)</f>
        <v>7972721.9599999757</v>
      </c>
      <c r="H64" s="750"/>
      <c r="I64" s="750"/>
      <c r="J64" s="750"/>
      <c r="K64" s="40"/>
      <c r="L64" s="39"/>
      <c r="M64" s="40"/>
      <c r="N64" s="40"/>
    </row>
    <row r="65" spans="1:15" s="750" customFormat="1" ht="15.75" customHeight="1" thickBot="1">
      <c r="A65" s="966">
        <f>+A64+1</f>
        <v>8</v>
      </c>
      <c r="B65" s="967" t="str">
        <f>+"Total (Sum Ln "&amp;A10&amp;" + Ln"&amp;A64&amp;")"</f>
        <v>Total (Sum Ln 2 + Ln7)</v>
      </c>
      <c r="C65" s="1135">
        <f>+C10+C64</f>
        <v>101182126.31999999</v>
      </c>
      <c r="D65" s="1135">
        <f>+D10+D64</f>
        <v>1388823.8718268403</v>
      </c>
      <c r="E65" s="1135">
        <f>+E10+E64</f>
        <v>72688016.698173165</v>
      </c>
      <c r="F65" s="1135">
        <f>+F10+F64</f>
        <v>184203.50000000003</v>
      </c>
      <c r="G65" s="1135">
        <f>+G10+G64</f>
        <v>26921082.249999974</v>
      </c>
      <c r="K65" s="40"/>
      <c r="L65" s="39"/>
      <c r="M65" s="39"/>
      <c r="N65" s="39"/>
      <c r="O65" s="39"/>
    </row>
    <row r="66" spans="1:15" s="750" customFormat="1" ht="15.75" customHeight="1" thickTop="1">
      <c r="B66" s="824"/>
      <c r="C66" s="824"/>
      <c r="D66" s="824"/>
      <c r="E66" s="824"/>
      <c r="F66" s="824"/>
      <c r="G66" s="824"/>
      <c r="K66" s="40"/>
      <c r="L66" s="39"/>
      <c r="M66" s="39"/>
      <c r="N66" s="39"/>
      <c r="O66" s="39"/>
    </row>
    <row r="67" spans="1:15" s="750" customFormat="1" ht="15.75" customHeight="1">
      <c r="A67" s="967"/>
      <c r="C67" s="1076"/>
      <c r="D67" s="1076"/>
      <c r="E67" s="1076"/>
      <c r="F67" s="1076"/>
      <c r="G67" s="1076"/>
      <c r="K67" s="40"/>
      <c r="L67" s="39"/>
      <c r="M67" s="39"/>
      <c r="N67" s="39"/>
      <c r="O67" s="39"/>
    </row>
    <row r="68" spans="1:15" s="750" customFormat="1" ht="15.75" customHeight="1">
      <c r="A68" s="967" t="s">
        <v>299</v>
      </c>
      <c r="B68" s="2430" t="s">
        <v>850</v>
      </c>
      <c r="C68" s="2430"/>
      <c r="D68" s="2430"/>
      <c r="E68" s="2430"/>
      <c r="F68" s="2430"/>
      <c r="G68" s="2430"/>
      <c r="H68" s="2430"/>
      <c r="I68" s="2430"/>
      <c r="K68" s="40"/>
      <c r="M68" s="39"/>
      <c r="N68" s="39"/>
      <c r="O68" s="39"/>
    </row>
    <row r="69" spans="1:15" s="750" customFormat="1" ht="15.75" customHeight="1">
      <c r="A69" s="1078" t="s">
        <v>167</v>
      </c>
      <c r="B69" s="2433" t="s">
        <v>1080</v>
      </c>
      <c r="C69" s="2433"/>
      <c r="D69" s="2433"/>
      <c r="E69" s="2433"/>
      <c r="F69" s="2433"/>
      <c r="G69" s="2433"/>
      <c r="K69" s="40"/>
      <c r="O69" s="39"/>
    </row>
    <row r="70" spans="1:15" s="750" customFormat="1">
      <c r="A70" s="1079" t="s">
        <v>320</v>
      </c>
      <c r="B70" s="1312" t="s">
        <v>849</v>
      </c>
      <c r="K70" s="40"/>
      <c r="O70" s="39"/>
    </row>
    <row r="71" spans="1:15" s="750" customFormat="1">
      <c r="A71" s="1079" t="s">
        <v>321</v>
      </c>
      <c r="B71" s="2434" t="str">
        <f>+"Revenues from Schedules associated with Attachment GG and MM should appear in the Rev. Credits category above because they are credited in Appendix A - Revenue Requirement Lines "&amp;'Appendix A'!A286&amp;" &amp; "&amp;'Appendix A'!A287&amp;"."</f>
        <v>Revenues from Schedules associated with Attachment GG and MM should appear in the Rev. Credits category above because they are credited in Appendix A - Revenue Requirement Lines 188 &amp; 189.</v>
      </c>
      <c r="C71" s="2434"/>
      <c r="D71" s="2434"/>
      <c r="E71" s="2434"/>
      <c r="F71" s="2434"/>
      <c r="G71" s="2434"/>
      <c r="H71" s="2434"/>
      <c r="K71" s="40"/>
      <c r="O71" s="39"/>
    </row>
    <row r="72" spans="1:15" s="750" customFormat="1" ht="26.4" customHeight="1">
      <c r="A72" s="1079" t="s">
        <v>322</v>
      </c>
      <c r="B72" s="2357" t="s">
        <v>911</v>
      </c>
      <c r="C72" s="2357"/>
      <c r="D72" s="2357"/>
      <c r="E72" s="2357"/>
      <c r="F72" s="2357"/>
      <c r="G72" s="2357"/>
      <c r="H72" s="2357"/>
      <c r="K72" s="40"/>
      <c r="O72" s="39"/>
    </row>
    <row r="73" spans="1:15" s="1076" customFormat="1" ht="67.95" customHeight="1">
      <c r="A73" s="1079" t="s">
        <v>323</v>
      </c>
      <c r="B73" s="2357" t="s">
        <v>911</v>
      </c>
      <c r="C73" s="2357"/>
      <c r="D73" s="2357"/>
      <c r="E73" s="2357"/>
      <c r="F73" s="2357"/>
      <c r="G73" s="2357"/>
      <c r="H73" s="2357"/>
      <c r="K73" s="40"/>
      <c r="O73" s="39"/>
    </row>
    <row r="74" spans="1:15">
      <c r="A74" s="1565" t="s">
        <v>716</v>
      </c>
      <c r="B74" s="272" t="s">
        <v>1086</v>
      </c>
      <c r="C74" s="272"/>
      <c r="D74" s="272"/>
    </row>
    <row r="75" spans="1:15">
      <c r="A75" s="683"/>
    </row>
    <row r="76" spans="1:15">
      <c r="A76" s="683"/>
    </row>
    <row r="77" spans="1:15">
      <c r="A77" s="683"/>
    </row>
    <row r="78" spans="1:15">
      <c r="A78" s="683"/>
    </row>
    <row r="79" spans="1:15">
      <c r="A79" s="683"/>
    </row>
    <row r="91" ht="14.4" customHeight="1"/>
    <row r="220" spans="7:7">
      <c r="G220" s="750"/>
    </row>
  </sheetData>
  <sortState ref="B29:E76">
    <sortCondition ref="B29:B76"/>
  </sortState>
  <mergeCells count="11">
    <mergeCell ref="B73:H73"/>
    <mergeCell ref="A1:I1"/>
    <mergeCell ref="A2:I2"/>
    <mergeCell ref="D13:E13"/>
    <mergeCell ref="B72:H72"/>
    <mergeCell ref="B68:I68"/>
    <mergeCell ref="D12:G12"/>
    <mergeCell ref="A3:I3"/>
    <mergeCell ref="B69:G69"/>
    <mergeCell ref="B71:H71"/>
    <mergeCell ref="H41:I41"/>
  </mergeCells>
  <phoneticPr fontId="104" type="noConversion"/>
  <printOptions horizontalCentered="1"/>
  <pageMargins left="0.7" right="0.7" top="0.7" bottom="0.7" header="0.3" footer="0.5"/>
  <pageSetup scale="62" orientation="portrait" r:id="rId1"/>
  <headerFoot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L6" sqref="L6"/>
    </sheetView>
  </sheetViews>
  <sheetFormatPr defaultColWidth="8.88671875" defaultRowHeight="13.2"/>
  <cols>
    <col min="1" max="1" width="5.33203125" style="169" customWidth="1"/>
    <col min="2" max="2" width="6.33203125" style="169" customWidth="1"/>
    <col min="3" max="4" width="11.109375" style="1462" bestFit="1" customWidth="1"/>
    <col min="5" max="5" width="8.5546875" style="1462" bestFit="1" customWidth="1"/>
    <col min="6" max="6" width="70.33203125" style="169" bestFit="1" customWidth="1"/>
    <col min="7" max="16384" width="8.88671875" style="169"/>
  </cols>
  <sheetData>
    <row r="1" spans="1:11" s="272" customFormat="1">
      <c r="A1" s="2426" t="str">
        <f>+'MISO Cover'!C6</f>
        <v>Entergy Louisiana, LLC</v>
      </c>
      <c r="B1" s="2428"/>
      <c r="C1" s="2428"/>
      <c r="D1" s="2428"/>
      <c r="E1" s="2428"/>
      <c r="F1" s="2428"/>
      <c r="G1" s="1477"/>
      <c r="H1" s="1477"/>
      <c r="I1" s="1477"/>
    </row>
    <row r="2" spans="1:11" s="272" customFormat="1">
      <c r="A2" s="2428" t="s">
        <v>1462</v>
      </c>
      <c r="B2" s="2428"/>
      <c r="C2" s="2428"/>
      <c r="D2" s="2428"/>
      <c r="E2" s="2428"/>
      <c r="F2" s="2428"/>
      <c r="G2" s="1477"/>
      <c r="H2" s="1477"/>
      <c r="I2" s="1477"/>
    </row>
    <row r="3" spans="1:11" s="272" customFormat="1">
      <c r="A3" s="2426" t="str">
        <f>+'MISO Cover'!K4</f>
        <v>For  the 12 Months Ended 12/31/2017</v>
      </c>
      <c r="B3" s="2426"/>
      <c r="C3" s="2426"/>
      <c r="D3" s="2426"/>
      <c r="E3" s="2426"/>
      <c r="F3" s="2426"/>
      <c r="G3" s="1478"/>
      <c r="H3" s="1478"/>
      <c r="I3" s="1478"/>
      <c r="K3" s="1479"/>
    </row>
    <row r="5" spans="1:11">
      <c r="A5" s="169" t="s">
        <v>1463</v>
      </c>
      <c r="C5" s="1480" t="s">
        <v>460</v>
      </c>
      <c r="D5" s="1970">
        <v>42736</v>
      </c>
      <c r="E5" s="1970">
        <v>42856</v>
      </c>
      <c r="F5" s="169" t="s">
        <v>1297</v>
      </c>
    </row>
    <row r="7" spans="1:11">
      <c r="A7" s="1971">
        <v>1</v>
      </c>
      <c r="C7" s="2254">
        <f>+D7+E7</f>
        <v>-469022.79000000004</v>
      </c>
      <c r="D7" s="1496">
        <v>-474659.45</v>
      </c>
      <c r="E7" s="1496">
        <v>5636.66</v>
      </c>
      <c r="F7" s="1973" t="s">
        <v>2005</v>
      </c>
    </row>
    <row r="8" spans="1:11">
      <c r="A8" s="1971">
        <f>+A7+1</f>
        <v>2</v>
      </c>
      <c r="C8" s="2254">
        <f t="shared" ref="C8:C9" si="0">+D8+E8</f>
        <v>-41324.102941524136</v>
      </c>
      <c r="D8" s="2255">
        <v>-41382.93</v>
      </c>
      <c r="E8" s="2255">
        <v>58.827058475868377</v>
      </c>
      <c r="F8" s="1973" t="s">
        <v>2006</v>
      </c>
    </row>
    <row r="9" spans="1:11">
      <c r="A9" s="1971">
        <f>+A8+1</f>
        <v>3</v>
      </c>
      <c r="C9" s="2254">
        <f t="shared" si="0"/>
        <v>0</v>
      </c>
      <c r="D9" s="2256"/>
      <c r="E9" s="2256"/>
      <c r="F9" s="1973" t="s">
        <v>2290</v>
      </c>
    </row>
    <row r="10" spans="1:11">
      <c r="A10" s="1971">
        <f t="shared" ref="A10:A22" si="1">+A9+1</f>
        <v>4</v>
      </c>
      <c r="B10" s="169" t="s">
        <v>2007</v>
      </c>
      <c r="C10" s="1487">
        <f>SUM(C7:C9)</f>
        <v>-510346.89294152416</v>
      </c>
      <c r="D10" s="1487">
        <f t="shared" ref="D10:E10" si="2">SUM(D7:D9)</f>
        <v>-516042.38</v>
      </c>
      <c r="E10" s="1487">
        <f t="shared" si="2"/>
        <v>5695.4870584758683</v>
      </c>
      <c r="F10" s="1973" t="s">
        <v>1466</v>
      </c>
    </row>
    <row r="11" spans="1:11">
      <c r="A11" s="1971">
        <f t="shared" si="1"/>
        <v>5</v>
      </c>
      <c r="C11" s="1972"/>
      <c r="D11" s="1974"/>
      <c r="E11" s="1974"/>
      <c r="F11" s="1973" t="s">
        <v>2008</v>
      </c>
    </row>
    <row r="12" spans="1:11">
      <c r="A12" s="1971">
        <f t="shared" si="1"/>
        <v>6</v>
      </c>
      <c r="C12" s="1972"/>
      <c r="D12" s="1974"/>
      <c r="E12" s="1974"/>
      <c r="F12" s="1975"/>
    </row>
    <row r="13" spans="1:11">
      <c r="A13" s="1971">
        <f t="shared" si="1"/>
        <v>7</v>
      </c>
      <c r="C13" s="2254">
        <f t="shared" ref="C13:C15" si="3">+D13+E13</f>
        <v>-42250.04</v>
      </c>
      <c r="D13" s="2255">
        <v>-42767.19</v>
      </c>
      <c r="E13" s="2255">
        <v>517.15000000000009</v>
      </c>
      <c r="F13" s="1973" t="s">
        <v>2009</v>
      </c>
    </row>
    <row r="14" spans="1:11">
      <c r="A14" s="1971">
        <f t="shared" si="1"/>
        <v>8</v>
      </c>
      <c r="C14" s="2254">
        <f t="shared" si="3"/>
        <v>-3795.632758851732</v>
      </c>
      <c r="D14" s="2255">
        <v>-3801.0299999999997</v>
      </c>
      <c r="E14" s="2255">
        <v>5.3972411482678284</v>
      </c>
      <c r="F14" s="1973" t="s">
        <v>2010</v>
      </c>
    </row>
    <row r="15" spans="1:11">
      <c r="A15" s="1971">
        <f t="shared" si="1"/>
        <v>9</v>
      </c>
      <c r="C15" s="2254">
        <f t="shared" si="3"/>
        <v>0</v>
      </c>
      <c r="D15" s="2256"/>
      <c r="E15" s="2256"/>
      <c r="F15" s="1973" t="s">
        <v>2290</v>
      </c>
    </row>
    <row r="16" spans="1:11">
      <c r="A16" s="1971">
        <f t="shared" si="1"/>
        <v>10</v>
      </c>
      <c r="B16" s="169" t="s">
        <v>2011</v>
      </c>
      <c r="C16" s="1487">
        <f>SUM(C13:C15)</f>
        <v>-46045.672758851731</v>
      </c>
      <c r="D16" s="1487">
        <f t="shared" ref="D16:E16" si="4">SUM(D13:D15)</f>
        <v>-46568.22</v>
      </c>
      <c r="E16" s="1487">
        <f t="shared" si="4"/>
        <v>522.54724114826797</v>
      </c>
      <c r="F16" s="1973" t="s">
        <v>1466</v>
      </c>
    </row>
    <row r="17" spans="1:6">
      <c r="A17" s="1971">
        <f t="shared" si="1"/>
        <v>11</v>
      </c>
      <c r="C17" s="1972"/>
      <c r="D17" s="1974"/>
      <c r="E17" s="1974"/>
      <c r="F17" s="1975"/>
    </row>
    <row r="18" spans="1:6">
      <c r="A18" s="1971">
        <f t="shared" si="1"/>
        <v>12</v>
      </c>
      <c r="C18" s="2254">
        <f t="shared" ref="C18:C20" si="5">+D18+E18</f>
        <v>-3375488.2499999995</v>
      </c>
      <c r="D18" s="2255">
        <v>-3294650.4699999997</v>
      </c>
      <c r="E18" s="2255">
        <v>-80837.78</v>
      </c>
      <c r="F18" s="1973" t="s">
        <v>2012</v>
      </c>
    </row>
    <row r="19" spans="1:6">
      <c r="A19" s="1971">
        <f t="shared" si="1"/>
        <v>13</v>
      </c>
      <c r="C19" s="2254">
        <f t="shared" si="5"/>
        <v>-287549.89429962414</v>
      </c>
      <c r="D19" s="2255">
        <v>-286706.23</v>
      </c>
      <c r="E19" s="2255">
        <v>-843.66429962413611</v>
      </c>
      <c r="F19" s="1973" t="s">
        <v>2013</v>
      </c>
    </row>
    <row r="20" spans="1:6">
      <c r="A20" s="1971">
        <f t="shared" si="1"/>
        <v>14</v>
      </c>
      <c r="C20" s="2254">
        <f t="shared" si="5"/>
        <v>0</v>
      </c>
      <c r="D20" s="2256"/>
      <c r="E20" s="2256"/>
      <c r="F20" s="1973" t="s">
        <v>2290</v>
      </c>
    </row>
    <row r="21" spans="1:6">
      <c r="A21" s="1971">
        <f t="shared" si="1"/>
        <v>15</v>
      </c>
      <c r="B21" s="169" t="s">
        <v>2014</v>
      </c>
      <c r="C21" s="1487">
        <f>SUM(C18:C20)</f>
        <v>-3663038.1442996236</v>
      </c>
      <c r="D21" s="1487">
        <f t="shared" ref="D21:E21" si="6">SUM(D18:D20)</f>
        <v>-3581356.6999999997</v>
      </c>
      <c r="E21" s="1487">
        <f t="shared" si="6"/>
        <v>-81681.444299624141</v>
      </c>
      <c r="F21" s="1973" t="s">
        <v>1466</v>
      </c>
    </row>
    <row r="22" spans="1:6">
      <c r="A22" s="1971">
        <f t="shared" si="1"/>
        <v>16</v>
      </c>
    </row>
    <row r="24" spans="1:6">
      <c r="A24" s="2437" t="s">
        <v>124</v>
      </c>
      <c r="B24" s="2437"/>
    </row>
    <row r="25" spans="1:6">
      <c r="A25" s="1976" t="s">
        <v>167</v>
      </c>
      <c r="B25" s="169" t="s">
        <v>1465</v>
      </c>
    </row>
    <row r="26" spans="1:6">
      <c r="A26" s="1976" t="s">
        <v>320</v>
      </c>
      <c r="B26" s="169" t="s">
        <v>2015</v>
      </c>
    </row>
  </sheetData>
  <mergeCells count="4">
    <mergeCell ref="A1:F1"/>
    <mergeCell ref="A2:F2"/>
    <mergeCell ref="A3:F3"/>
    <mergeCell ref="A24:B24"/>
  </mergeCells>
  <printOptions horizontalCentered="1"/>
  <pageMargins left="0.45" right="0.45" top="0.75" bottom="0.75" header="0.3" footer="0.5"/>
  <pageSetup scale="90" orientation="landscape" r:id="rId1"/>
  <headerFoot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Q213"/>
  <sheetViews>
    <sheetView workbookViewId="0">
      <selection activeCell="L6" sqref="L6"/>
    </sheetView>
  </sheetViews>
  <sheetFormatPr defaultColWidth="8.88671875" defaultRowHeight="13.2"/>
  <cols>
    <col min="1" max="1" width="7.6640625" style="40" customWidth="1"/>
    <col min="2" max="2" width="56.33203125" style="40" customWidth="1"/>
    <col min="3" max="4" width="22.33203125" style="40" customWidth="1"/>
    <col min="5" max="5" width="10.44140625" style="40" bestFit="1" customWidth="1"/>
    <col min="6" max="16384" width="8.88671875" style="40"/>
  </cols>
  <sheetData>
    <row r="1" spans="1:17">
      <c r="A1" s="2426" t="str">
        <f>+'MISO Cover'!C6</f>
        <v>Entergy Louisiana, LLC</v>
      </c>
      <c r="B1" s="2426"/>
      <c r="C1" s="2426"/>
      <c r="D1" s="2426"/>
      <c r="E1" s="1477"/>
      <c r="F1" s="1477"/>
    </row>
    <row r="2" spans="1:17">
      <c r="A2" s="2417" t="s">
        <v>1903</v>
      </c>
      <c r="B2" s="2417"/>
      <c r="C2" s="2417"/>
      <c r="D2" s="2417"/>
      <c r="E2" s="1541"/>
      <c r="F2" s="39"/>
      <c r="G2" s="39"/>
      <c r="H2" s="39"/>
      <c r="I2" s="39"/>
      <c r="J2" s="39"/>
      <c r="K2" s="39"/>
      <c r="L2" s="39"/>
      <c r="M2" s="39"/>
      <c r="N2" s="39"/>
      <c r="O2" s="39"/>
      <c r="P2" s="39"/>
      <c r="Q2" s="39"/>
    </row>
    <row r="3" spans="1:17">
      <c r="A3" s="2438" t="str">
        <f>+'MISO Cover'!K4</f>
        <v>For  the 12 Months Ended 12/31/2017</v>
      </c>
      <c r="B3" s="2438"/>
      <c r="C3" s="2438"/>
      <c r="D3" s="2438"/>
      <c r="E3" s="756"/>
      <c r="F3" s="756"/>
      <c r="G3" s="756"/>
      <c r="H3" s="756"/>
      <c r="I3" s="756"/>
      <c r="J3" s="756"/>
      <c r="K3" s="39"/>
      <c r="L3" s="39"/>
      <c r="M3" s="39"/>
      <c r="N3" s="39"/>
      <c r="O3" s="39"/>
      <c r="P3" s="39"/>
      <c r="Q3" s="39"/>
    </row>
    <row r="4" spans="1:17">
      <c r="A4" s="39"/>
      <c r="B4" s="530"/>
      <c r="C4" s="530"/>
      <c r="E4" s="39"/>
      <c r="F4" s="39"/>
      <c r="G4" s="39"/>
      <c r="H4" s="39"/>
      <c r="I4" s="39"/>
      <c r="J4" s="39"/>
      <c r="K4" s="39"/>
      <c r="L4" s="39"/>
      <c r="M4" s="39"/>
      <c r="N4" s="39"/>
      <c r="O4" s="39"/>
      <c r="P4" s="39"/>
      <c r="Q4" s="39"/>
    </row>
    <row r="5" spans="1:17">
      <c r="A5" s="1588" t="s">
        <v>280</v>
      </c>
      <c r="B5" s="1669" t="s">
        <v>67</v>
      </c>
      <c r="C5" s="1669" t="s">
        <v>114</v>
      </c>
      <c r="D5" s="1669" t="s">
        <v>55</v>
      </c>
      <c r="E5" s="39"/>
      <c r="F5" s="39"/>
      <c r="G5" s="39"/>
      <c r="H5" s="39"/>
      <c r="I5" s="39"/>
      <c r="J5" s="39"/>
      <c r="K5" s="39"/>
      <c r="L5" s="39"/>
      <c r="M5" s="39"/>
      <c r="N5" s="39"/>
      <c r="O5" s="39"/>
      <c r="P5" s="39"/>
      <c r="Q5" s="39"/>
    </row>
    <row r="6" spans="1:17">
      <c r="A6" s="1588"/>
      <c r="C6" s="2439" t="s">
        <v>95</v>
      </c>
      <c r="D6" s="2439"/>
      <c r="E6" s="1541"/>
      <c r="F6" s="39"/>
      <c r="G6" s="39"/>
      <c r="H6" s="39"/>
      <c r="I6" s="39"/>
      <c r="J6" s="39"/>
      <c r="K6" s="39"/>
      <c r="L6" s="39"/>
      <c r="M6" s="39"/>
      <c r="N6" s="39"/>
      <c r="O6" s="39"/>
      <c r="P6" s="39"/>
      <c r="Q6" s="39"/>
    </row>
    <row r="7" spans="1:17" ht="16.2" customHeight="1">
      <c r="A7" s="1309">
        <v>1</v>
      </c>
      <c r="B7" s="1591" t="s">
        <v>256</v>
      </c>
      <c r="C7" s="1669" t="s">
        <v>1906</v>
      </c>
      <c r="D7" s="1669" t="s">
        <v>1470</v>
      </c>
      <c r="E7" s="39"/>
      <c r="F7" s="39"/>
      <c r="G7" s="39"/>
      <c r="H7" s="39"/>
      <c r="I7" s="39"/>
      <c r="J7" s="39"/>
      <c r="K7" s="39"/>
      <c r="L7" s="39"/>
      <c r="M7" s="39"/>
      <c r="N7" s="39"/>
      <c r="O7" s="39"/>
      <c r="P7" s="39"/>
      <c r="Q7" s="39"/>
    </row>
    <row r="8" spans="1:17" ht="16.2" customHeight="1">
      <c r="A8" s="1309">
        <f>+A7+1</f>
        <v>2</v>
      </c>
      <c r="B8" s="1659" t="s">
        <v>2271</v>
      </c>
      <c r="C8" s="1660"/>
      <c r="E8" s="39"/>
      <c r="F8" s="39"/>
      <c r="G8" s="39"/>
      <c r="H8" s="39"/>
      <c r="I8" s="39"/>
      <c r="J8" s="39"/>
      <c r="K8" s="39"/>
      <c r="L8" s="39"/>
      <c r="M8" s="39"/>
      <c r="N8" s="39"/>
      <c r="O8" s="39"/>
      <c r="P8" s="39"/>
      <c r="Q8" s="39"/>
    </row>
    <row r="9" spans="1:17" ht="16.2" customHeight="1">
      <c r="A9" s="1309">
        <f>+A8+0.01</f>
        <v>2.0099999999999998</v>
      </c>
      <c r="B9" s="40" t="s">
        <v>229</v>
      </c>
      <c r="C9" s="1662">
        <v>0</v>
      </c>
      <c r="D9" s="199">
        <v>0</v>
      </c>
      <c r="E9" s="39"/>
      <c r="F9" s="1542"/>
      <c r="G9" s="1543"/>
      <c r="H9" s="39"/>
      <c r="I9" s="39"/>
      <c r="J9" s="39"/>
      <c r="K9" s="39"/>
      <c r="L9" s="39"/>
      <c r="M9" s="39"/>
      <c r="N9" s="39"/>
      <c r="O9" s="39"/>
      <c r="P9" s="39"/>
      <c r="Q9" s="39"/>
    </row>
    <row r="10" spans="1:17" ht="16.2" customHeight="1">
      <c r="A10" s="1309">
        <f t="shared" ref="A10:A22" si="0">+A9+0.01</f>
        <v>2.0199999999999996</v>
      </c>
      <c r="B10" s="40" t="s">
        <v>230</v>
      </c>
      <c r="C10" s="1663">
        <v>1.4795818065254067E-2</v>
      </c>
      <c r="D10" s="199">
        <v>4317428.3100000005</v>
      </c>
      <c r="E10" s="39"/>
      <c r="F10" s="1542"/>
      <c r="G10" s="1543"/>
      <c r="H10" s="39"/>
      <c r="I10" s="39"/>
      <c r="J10" s="39"/>
      <c r="K10" s="39"/>
      <c r="L10" s="39"/>
      <c r="M10" s="39"/>
      <c r="N10" s="39"/>
      <c r="O10" s="39"/>
      <c r="P10" s="39"/>
      <c r="Q10" s="39"/>
    </row>
    <row r="11" spans="1:17" ht="16.2" customHeight="1">
      <c r="A11" s="1309">
        <f t="shared" si="0"/>
        <v>2.0299999999999994</v>
      </c>
      <c r="B11" s="40" t="s">
        <v>231</v>
      </c>
      <c r="C11" s="1663">
        <v>6.669993842469997E-2</v>
      </c>
      <c r="D11" s="199">
        <v>228020.79999999996</v>
      </c>
      <c r="F11" s="1544"/>
      <c r="G11" s="1545"/>
    </row>
    <row r="12" spans="1:17" ht="16.2" customHeight="1">
      <c r="A12" s="1309">
        <f t="shared" si="0"/>
        <v>2.0399999999999991</v>
      </c>
      <c r="B12" s="40" t="s">
        <v>232</v>
      </c>
      <c r="C12" s="1663">
        <v>0.20315914428338272</v>
      </c>
      <c r="D12" s="199">
        <v>4270444.16</v>
      </c>
      <c r="F12" s="1544"/>
      <c r="G12" s="1545"/>
    </row>
    <row r="13" spans="1:17" ht="16.2" customHeight="1">
      <c r="A13" s="1309">
        <f t="shared" si="0"/>
        <v>2.0499999999999989</v>
      </c>
      <c r="B13" s="40" t="s">
        <v>233</v>
      </c>
      <c r="C13" s="1663">
        <v>6.6699879580401009E-2</v>
      </c>
      <c r="D13" s="199">
        <v>238170.12000000002</v>
      </c>
      <c r="F13" s="1544"/>
      <c r="G13" s="1545"/>
    </row>
    <row r="14" spans="1:17" ht="16.2" customHeight="1">
      <c r="A14" s="1309">
        <f t="shared" si="0"/>
        <v>2.0599999999999987</v>
      </c>
      <c r="B14" s="40" t="s">
        <v>234</v>
      </c>
      <c r="C14" s="1663">
        <v>0.12</v>
      </c>
      <c r="D14" s="199">
        <v>865.92</v>
      </c>
      <c r="F14" s="1544"/>
      <c r="G14" s="1545"/>
    </row>
    <row r="15" spans="1:17" ht="16.2" customHeight="1">
      <c r="A15" s="1309">
        <f t="shared" si="0"/>
        <v>2.0699999999999985</v>
      </c>
      <c r="B15" s="40" t="s">
        <v>235</v>
      </c>
      <c r="C15" s="1663">
        <v>6.6699900790154767E-2</v>
      </c>
      <c r="D15" s="199">
        <v>66631.919999999984</v>
      </c>
      <c r="F15" s="1544"/>
      <c r="G15" s="1545"/>
    </row>
    <row r="16" spans="1:17" ht="16.2" customHeight="1">
      <c r="A16" s="1309">
        <f t="shared" si="0"/>
        <v>2.0799999999999983</v>
      </c>
      <c r="B16" s="40" t="s">
        <v>236</v>
      </c>
      <c r="C16" s="1663">
        <v>6.6699951760601353E-2</v>
      </c>
      <c r="D16" s="199">
        <v>1302373.3500000003</v>
      </c>
      <c r="F16" s="1544"/>
      <c r="G16" s="1545"/>
    </row>
    <row r="17" spans="1:7" ht="16.2" customHeight="1">
      <c r="A17" s="1309">
        <f t="shared" si="0"/>
        <v>2.0899999999999981</v>
      </c>
      <c r="B17" s="40" t="s">
        <v>237</v>
      </c>
      <c r="C17" s="1663">
        <v>9.9999919729377731E-2</v>
      </c>
      <c r="D17" s="199">
        <v>629683.59999999986</v>
      </c>
      <c r="F17" s="1544"/>
      <c r="G17" s="1545"/>
    </row>
    <row r="18" spans="1:7" ht="16.2" customHeight="1">
      <c r="A18" s="825">
        <f t="shared" si="0"/>
        <v>2.0999999999999979</v>
      </c>
      <c r="B18" s="40" t="s">
        <v>238</v>
      </c>
      <c r="C18" s="1663">
        <v>6.6700286273739418E-2</v>
      </c>
      <c r="D18" s="199">
        <v>0</v>
      </c>
      <c r="F18" s="1544"/>
      <c r="G18" s="1545"/>
    </row>
    <row r="19" spans="1:7" ht="16.2" customHeight="1">
      <c r="A19" s="1309">
        <f t="shared" si="0"/>
        <v>2.1099999999999977</v>
      </c>
      <c r="B19" s="40" t="s">
        <v>239</v>
      </c>
      <c r="C19" s="1663">
        <v>9.9999933612433173E-2</v>
      </c>
      <c r="D19" s="199">
        <v>2836271.5</v>
      </c>
      <c r="F19" s="1544"/>
      <c r="G19" s="1545"/>
    </row>
    <row r="20" spans="1:7" ht="16.2" customHeight="1">
      <c r="A20" s="1309">
        <f t="shared" si="0"/>
        <v>2.1199999999999974</v>
      </c>
      <c r="B20" s="40" t="s">
        <v>240</v>
      </c>
      <c r="C20" s="1663">
        <v>6.6700001955464064E-2</v>
      </c>
      <c r="D20" s="199">
        <v>1871985.4700000009</v>
      </c>
      <c r="F20" s="1544"/>
      <c r="G20" s="1545"/>
    </row>
    <row r="21" spans="1:7" ht="16.2" customHeight="1">
      <c r="A21" s="1309">
        <f t="shared" si="0"/>
        <v>2.1299999999999972</v>
      </c>
      <c r="B21" s="40" t="s">
        <v>241</v>
      </c>
      <c r="C21" s="1663">
        <v>0.10000019955846867</v>
      </c>
      <c r="D21" s="199">
        <v>493070.41000000015</v>
      </c>
      <c r="F21" s="1544"/>
      <c r="G21" s="1545"/>
    </row>
    <row r="22" spans="1:7" ht="16.2" customHeight="1">
      <c r="A22" s="1309">
        <f t="shared" si="0"/>
        <v>2.139999999999997</v>
      </c>
      <c r="B22" s="40" t="s">
        <v>242</v>
      </c>
      <c r="C22" s="1663">
        <v>0.1</v>
      </c>
      <c r="D22" s="251">
        <v>0</v>
      </c>
      <c r="F22" s="1544"/>
      <c r="G22" s="1545"/>
    </row>
    <row r="23" spans="1:7" ht="16.2" customHeight="1">
      <c r="A23" s="1309">
        <f>+A22+0.01</f>
        <v>2.1499999999999968</v>
      </c>
      <c r="B23" s="271" t="str">
        <f>+"Total "&amp;B8</f>
        <v>Total General Plant (4)</v>
      </c>
      <c r="C23" s="1662"/>
      <c r="D23" s="749">
        <f>SUM(D9:D22)</f>
        <v>16254945.559999999</v>
      </c>
    </row>
    <row r="24" spans="1:7" ht="16.2" customHeight="1">
      <c r="A24" s="1309">
        <f>+A8+1</f>
        <v>3</v>
      </c>
      <c r="C24" s="1662"/>
    </row>
    <row r="25" spans="1:7" ht="16.2" customHeight="1">
      <c r="A25" s="1309">
        <f>+A24+1</f>
        <v>4</v>
      </c>
      <c r="B25" s="1668" t="s">
        <v>2272</v>
      </c>
      <c r="C25" s="1425"/>
      <c r="D25" s="39"/>
    </row>
    <row r="26" spans="1:7" ht="16.2" customHeight="1">
      <c r="A26" s="1309">
        <f>+A25+0.01</f>
        <v>4.01</v>
      </c>
      <c r="B26" s="39" t="s">
        <v>271</v>
      </c>
      <c r="C26" s="1664">
        <v>0.2</v>
      </c>
      <c r="D26" s="199">
        <v>0</v>
      </c>
    </row>
    <row r="27" spans="1:7" ht="16.2" customHeight="1">
      <c r="A27" s="1309">
        <f t="shared" ref="A27:A35" si="1">+A26+0.01</f>
        <v>4.0199999999999996</v>
      </c>
      <c r="B27" s="39" t="s">
        <v>272</v>
      </c>
      <c r="C27" s="1664"/>
      <c r="D27" s="39"/>
    </row>
    <row r="28" spans="1:7" ht="16.2" customHeight="1">
      <c r="A28" s="1309">
        <f t="shared" si="1"/>
        <v>4.0299999999999994</v>
      </c>
      <c r="B28" s="39" t="s">
        <v>273</v>
      </c>
      <c r="C28" s="1664"/>
      <c r="D28" s="39"/>
    </row>
    <row r="29" spans="1:7" ht="16.2" customHeight="1">
      <c r="A29" s="1309">
        <f t="shared" si="1"/>
        <v>4.0399999999999991</v>
      </c>
      <c r="B29" s="39" t="s">
        <v>274</v>
      </c>
      <c r="C29" s="1664"/>
      <c r="D29" s="39"/>
    </row>
    <row r="30" spans="1:7" ht="16.2" customHeight="1">
      <c r="A30" s="1309">
        <f t="shared" si="1"/>
        <v>4.0499999999999989</v>
      </c>
      <c r="B30" s="39" t="s">
        <v>275</v>
      </c>
      <c r="C30" s="1664">
        <v>0.2</v>
      </c>
      <c r="D30" s="199">
        <v>14592951.340000072</v>
      </c>
    </row>
    <row r="31" spans="1:7" ht="16.2" customHeight="1">
      <c r="A31" s="1309">
        <f t="shared" si="1"/>
        <v>4.0599999999999987</v>
      </c>
      <c r="B31" s="39" t="s">
        <v>276</v>
      </c>
      <c r="C31" s="1664">
        <v>0.1</v>
      </c>
      <c r="D31" s="199">
        <v>5235975.3200000096</v>
      </c>
    </row>
    <row r="32" spans="1:7" s="1547" customFormat="1" ht="16.2" customHeight="1">
      <c r="A32" s="1661">
        <f t="shared" si="1"/>
        <v>4.0699999999999985</v>
      </c>
      <c r="B32" s="1463" t="s">
        <v>1444</v>
      </c>
      <c r="C32" s="1665">
        <v>6.6699999999999995E-2</v>
      </c>
      <c r="D32" s="199">
        <v>6243438.1499999808</v>
      </c>
      <c r="E32" s="1546"/>
      <c r="G32" s="1548"/>
    </row>
    <row r="33" spans="1:7" s="1547" customFormat="1" ht="16.2" customHeight="1">
      <c r="A33" s="1661">
        <f t="shared" si="1"/>
        <v>4.0799999999999983</v>
      </c>
      <c r="B33" s="1463" t="s">
        <v>1445</v>
      </c>
      <c r="C33" s="1665">
        <v>0.05</v>
      </c>
      <c r="D33" s="199">
        <v>643400.32000000018</v>
      </c>
      <c r="E33" s="1546"/>
      <c r="G33" s="1548"/>
    </row>
    <row r="34" spans="1:7" ht="16.2" customHeight="1">
      <c r="A34" s="1309">
        <f>+A33+0.01</f>
        <v>4.0899999999999981</v>
      </c>
      <c r="B34" s="1463" t="s">
        <v>1904</v>
      </c>
      <c r="C34" s="1662" t="s">
        <v>1446</v>
      </c>
      <c r="D34" s="199">
        <v>-6724.35</v>
      </c>
    </row>
    <row r="35" spans="1:7" ht="16.2" customHeight="1">
      <c r="A35" s="825">
        <f t="shared" si="1"/>
        <v>4.0999999999999979</v>
      </c>
      <c r="B35" s="39" t="s">
        <v>1447</v>
      </c>
      <c r="C35" s="1663" t="s">
        <v>1448</v>
      </c>
      <c r="D35" s="251">
        <v>1548850.1</v>
      </c>
      <c r="E35" s="1549"/>
      <c r="G35" s="1550"/>
    </row>
    <row r="36" spans="1:7" s="1529" customFormat="1">
      <c r="A36" s="825">
        <f>+A35+0.01</f>
        <v>4.1099999999999977</v>
      </c>
      <c r="B36" s="545" t="str">
        <f>+"Total "&amp;B25</f>
        <v>Total Intangibles (4)</v>
      </c>
      <c r="C36" s="1664"/>
      <c r="D36" s="799">
        <f>SUM(D26:D35)</f>
        <v>28257890.880000062</v>
      </c>
    </row>
    <row r="37" spans="1:7" ht="16.2" customHeight="1">
      <c r="A37" s="1309">
        <f>+A25+1</f>
        <v>5</v>
      </c>
      <c r="B37" s="530"/>
      <c r="C37" s="1666"/>
      <c r="D37" s="39"/>
    </row>
    <row r="38" spans="1:7" ht="16.2" customHeight="1">
      <c r="A38" s="1309">
        <f>+A37+1</f>
        <v>6</v>
      </c>
      <c r="B38" s="1658" t="s">
        <v>135</v>
      </c>
      <c r="C38" s="1588"/>
    </row>
    <row r="39" spans="1:7" ht="16.2" customHeight="1">
      <c r="A39" s="1309">
        <f>+A38+0.01</f>
        <v>6.01</v>
      </c>
      <c r="B39" s="40" t="s">
        <v>243</v>
      </c>
      <c r="C39" s="1662">
        <v>0</v>
      </c>
      <c r="D39" s="199">
        <v>0</v>
      </c>
      <c r="F39" s="1544"/>
      <c r="G39" s="1551"/>
    </row>
    <row r="40" spans="1:7" ht="16.2" customHeight="1">
      <c r="A40" s="1309">
        <f t="shared" ref="A40:A52" si="2">+A39+0.01</f>
        <v>6.02</v>
      </c>
      <c r="B40" s="40" t="s">
        <v>244</v>
      </c>
      <c r="C40" s="1667">
        <v>1.1738267740857537E-2</v>
      </c>
      <c r="D40" s="199">
        <v>1653539.19</v>
      </c>
      <c r="F40" s="1544"/>
      <c r="G40" s="1551"/>
    </row>
    <row r="41" spans="1:7" ht="16.2" customHeight="1">
      <c r="A41" s="1309">
        <f t="shared" si="2"/>
        <v>6.0299999999999994</v>
      </c>
      <c r="B41" s="40" t="s">
        <v>245</v>
      </c>
      <c r="C41" s="1667">
        <v>1.1738267740857537E-2</v>
      </c>
      <c r="D41" s="199">
        <v>471661.4</v>
      </c>
      <c r="F41" s="1544"/>
      <c r="G41" s="1551"/>
    </row>
    <row r="42" spans="1:7" ht="16.2" customHeight="1">
      <c r="A42" s="1309">
        <f t="shared" si="2"/>
        <v>6.0399999999999991</v>
      </c>
      <c r="B42" s="40" t="s">
        <v>246</v>
      </c>
      <c r="C42" s="1667">
        <v>1.347524870864736E-2</v>
      </c>
      <c r="D42" s="199">
        <v>1242633.2200000007</v>
      </c>
      <c r="F42" s="1544"/>
      <c r="G42" s="1551"/>
    </row>
    <row r="43" spans="1:7" ht="16.2" customHeight="1">
      <c r="A43" s="1309">
        <f t="shared" si="2"/>
        <v>6.0499999999999989</v>
      </c>
      <c r="B43" s="40" t="s">
        <v>247</v>
      </c>
      <c r="C43" s="1667">
        <v>1.5479070305012412E-2</v>
      </c>
      <c r="D43" s="199">
        <v>19139697.120000005</v>
      </c>
      <c r="F43" s="1544"/>
      <c r="G43" s="1551"/>
    </row>
    <row r="44" spans="1:7" ht="16.2" customHeight="1">
      <c r="A44" s="1309">
        <f t="shared" si="2"/>
        <v>6.0599999999999987</v>
      </c>
      <c r="B44" s="40" t="s">
        <v>248</v>
      </c>
      <c r="C44" s="1667">
        <v>1.86259610437703E-2</v>
      </c>
      <c r="D44" s="199">
        <v>2778632.3800000022</v>
      </c>
      <c r="F44" s="1544"/>
      <c r="G44" s="1551"/>
    </row>
    <row r="45" spans="1:7" ht="16.2" customHeight="1">
      <c r="A45" s="1309">
        <f t="shared" si="2"/>
        <v>6.0699999999999985</v>
      </c>
      <c r="B45" s="40" t="s">
        <v>249</v>
      </c>
      <c r="C45" s="1667">
        <v>2.1728297252961146E-2</v>
      </c>
      <c r="D45" s="199">
        <v>15418503.51</v>
      </c>
      <c r="F45" s="1544"/>
      <c r="G45" s="1551"/>
    </row>
    <row r="46" spans="1:7" ht="16.2" customHeight="1">
      <c r="A46" s="1309">
        <f t="shared" si="2"/>
        <v>6.0799999999999983</v>
      </c>
      <c r="B46" s="40" t="s">
        <v>250</v>
      </c>
      <c r="C46" s="1667">
        <v>1.8521312517128515E-2</v>
      </c>
      <c r="D46" s="199">
        <v>9043085.8099999931</v>
      </c>
      <c r="F46" s="1544"/>
      <c r="G46" s="1551"/>
    </row>
    <row r="47" spans="1:7" ht="16.2" customHeight="1">
      <c r="A47" s="1309">
        <f t="shared" si="2"/>
        <v>6.0899999999999981</v>
      </c>
      <c r="B47" s="40" t="s">
        <v>251</v>
      </c>
      <c r="C47" s="1667">
        <v>1.8521312517128515E-2</v>
      </c>
      <c r="D47" s="199">
        <v>307497.42000000004</v>
      </c>
      <c r="F47" s="1544"/>
      <c r="G47" s="1551"/>
    </row>
    <row r="48" spans="1:7" ht="16.2" customHeight="1">
      <c r="A48" s="825">
        <f t="shared" si="2"/>
        <v>6.0999999999999979</v>
      </c>
      <c r="B48" s="40" t="s">
        <v>252</v>
      </c>
      <c r="C48" s="1667">
        <v>1.8521312517128515E-2</v>
      </c>
      <c r="D48" s="199">
        <v>1658605.3900000004</v>
      </c>
    </row>
    <row r="49" spans="1:7" ht="16.2" customHeight="1">
      <c r="A49" s="1309">
        <f t="shared" si="2"/>
        <v>6.1099999999999977</v>
      </c>
      <c r="B49" s="40" t="s">
        <v>253</v>
      </c>
      <c r="C49" s="1667">
        <v>1.6373619101762112E-2</v>
      </c>
      <c r="D49" s="199">
        <v>29313.960000000006</v>
      </c>
    </row>
    <row r="50" spans="1:7" ht="16.2" customHeight="1">
      <c r="A50" s="1309">
        <f t="shared" si="2"/>
        <v>6.1199999999999974</v>
      </c>
      <c r="B50" s="40" t="s">
        <v>254</v>
      </c>
      <c r="C50" s="1667">
        <v>1.6342904750866513E-2</v>
      </c>
      <c r="D50" s="199">
        <v>73799.039999999994</v>
      </c>
    </row>
    <row r="51" spans="1:7" ht="16.2" customHeight="1">
      <c r="A51" s="1309">
        <f t="shared" si="2"/>
        <v>6.1299999999999972</v>
      </c>
      <c r="B51" s="40" t="s">
        <v>255</v>
      </c>
      <c r="C51" s="1667">
        <v>1.3912471263185242E-2</v>
      </c>
      <c r="D51" s="251">
        <v>75559.649999999994</v>
      </c>
    </row>
    <row r="52" spans="1:7" ht="16.2" customHeight="1">
      <c r="A52" s="1309">
        <f t="shared" si="2"/>
        <v>6.139999999999997</v>
      </c>
      <c r="B52" s="271" t="str">
        <f>+"Total "&amp;B38</f>
        <v>Total Transmission</v>
      </c>
      <c r="C52" s="39"/>
      <c r="D52" s="799">
        <f>SUM(D39:D51)</f>
        <v>51892528.090000004</v>
      </c>
    </row>
    <row r="53" spans="1:7">
      <c r="A53" s="39" t="s">
        <v>299</v>
      </c>
      <c r="C53" s="39"/>
    </row>
    <row r="54" spans="1:7" ht="94.95" customHeight="1">
      <c r="A54" s="826" t="s">
        <v>167</v>
      </c>
      <c r="B54" s="2324" t="s">
        <v>1905</v>
      </c>
      <c r="C54" s="2324"/>
      <c r="D54" s="2324"/>
    </row>
    <row r="55" spans="1:7">
      <c r="A55" s="826" t="s">
        <v>320</v>
      </c>
      <c r="B55" s="2331" t="s">
        <v>1449</v>
      </c>
      <c r="C55" s="2331"/>
      <c r="D55" s="2331"/>
    </row>
    <row r="56" spans="1:7">
      <c r="A56" s="826" t="s">
        <v>321</v>
      </c>
      <c r="B56" s="2333" t="s">
        <v>1450</v>
      </c>
      <c r="C56" s="2333"/>
      <c r="D56" s="2333"/>
    </row>
    <row r="57" spans="1:7" ht="42.6" customHeight="1">
      <c r="A57" s="730" t="s">
        <v>322</v>
      </c>
      <c r="B57" s="2427" t="s">
        <v>2274</v>
      </c>
      <c r="C57" s="2427"/>
      <c r="D57" s="2427"/>
      <c r="E57" s="756"/>
      <c r="F57" s="1199"/>
      <c r="G57" s="756"/>
    </row>
    <row r="213" spans="7:7">
      <c r="G213" s="39"/>
    </row>
  </sheetData>
  <mergeCells count="8">
    <mergeCell ref="B55:D55"/>
    <mergeCell ref="B56:D56"/>
    <mergeCell ref="B57:D57"/>
    <mergeCell ref="A1:D1"/>
    <mergeCell ref="A2:D2"/>
    <mergeCell ref="A3:D3"/>
    <mergeCell ref="C6:D6"/>
    <mergeCell ref="B54:D54"/>
  </mergeCells>
  <printOptions horizontalCentered="1"/>
  <pageMargins left="0.7" right="0.7" top="0.5" bottom="0.7" header="0.3" footer="0.5"/>
  <pageSetup scale="75" orientation="portrait" r:id="rId1"/>
  <headerFooter>
    <oddFooter>&amp;C
&amp;R&amp;A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L347"/>
  <sheetViews>
    <sheetView tabSelected="1" zoomScale="80" zoomScaleNormal="80" zoomScaleSheetLayoutView="80" zoomScalePageLayoutView="50" workbookViewId="0">
      <selection sqref="A1:H1"/>
    </sheetView>
  </sheetViews>
  <sheetFormatPr defaultColWidth="11.5546875" defaultRowHeight="15"/>
  <cols>
    <col min="1" max="1" width="7" style="2" customWidth="1"/>
    <col min="2" max="2" width="2.109375" style="2" customWidth="1"/>
    <col min="3" max="3" width="45" style="200" customWidth="1"/>
    <col min="4" max="5" width="19.5546875" style="253" customWidth="1"/>
    <col min="6" max="6" width="44.6640625" style="253" customWidth="1"/>
    <col min="7" max="8" width="18.88671875" style="253" bestFit="1" customWidth="1"/>
    <col min="9" max="9" width="11.5546875" style="254" customWidth="1"/>
    <col min="10" max="10" width="15.88671875" style="253" customWidth="1"/>
    <col min="11" max="11" width="11.5546875" style="253" customWidth="1"/>
    <col min="12" max="16384" width="11.5546875" style="253"/>
  </cols>
  <sheetData>
    <row r="1" spans="1:12" ht="23.25" customHeight="1">
      <c r="A1" s="2309" t="str">
        <f>+"ATTACHMENT O - "&amp;'MISO Cover'!C6</f>
        <v>ATTACHMENT O - Entergy Louisiana, LLC</v>
      </c>
      <c r="B1" s="2309"/>
      <c r="C1" s="2309"/>
      <c r="D1" s="2309"/>
      <c r="E1" s="2309"/>
      <c r="F1" s="2309"/>
      <c r="G1" s="2309"/>
      <c r="H1" s="2309"/>
    </row>
    <row r="2" spans="1:12" ht="10.199999999999999" customHeight="1">
      <c r="A2" s="1815"/>
      <c r="B2" s="1816"/>
      <c r="C2" s="1816"/>
      <c r="D2" s="1"/>
      <c r="E2" s="1"/>
      <c r="F2" s="1"/>
      <c r="G2" s="1"/>
      <c r="H2" s="1"/>
    </row>
    <row r="3" spans="1:12" s="455" customFormat="1" ht="17.399999999999999">
      <c r="A3" s="2310" t="str">
        <f>+'MISO Cover'!K4</f>
        <v>For  the 12 Months Ended 12/31/2017</v>
      </c>
      <c r="B3" s="2310"/>
      <c r="C3" s="2310"/>
      <c r="D3" s="2310"/>
      <c r="E3" s="2310"/>
      <c r="F3" s="2310"/>
      <c r="G3" s="2310"/>
      <c r="H3" s="2310"/>
      <c r="I3" s="1797"/>
      <c r="J3" s="443"/>
      <c r="K3" s="443"/>
      <c r="L3" s="443"/>
    </row>
    <row r="4" spans="1:12" ht="10.199999999999999" customHeight="1" thickBot="1">
      <c r="A4" s="40"/>
      <c r="C4" s="2"/>
    </row>
    <row r="5" spans="1:12" s="1" customFormat="1" ht="22.8">
      <c r="A5" s="2320" t="s">
        <v>133</v>
      </c>
      <c r="B5" s="2321"/>
      <c r="C5" s="2321"/>
      <c r="D5" s="1694"/>
      <c r="E5" s="1695" t="s">
        <v>124</v>
      </c>
      <c r="F5" s="460" t="s">
        <v>278</v>
      </c>
      <c r="G5" s="457" t="s">
        <v>1067</v>
      </c>
      <c r="H5" s="833" t="s">
        <v>319</v>
      </c>
      <c r="I5" s="34"/>
    </row>
    <row r="6" spans="1:12" s="34" customFormat="1" ht="15.6">
      <c r="A6" s="1696" t="s">
        <v>67</v>
      </c>
      <c r="B6" s="1254" t="s">
        <v>114</v>
      </c>
      <c r="C6" s="1254" t="s">
        <v>55</v>
      </c>
      <c r="D6" s="1254" t="s">
        <v>68</v>
      </c>
      <c r="E6" s="1252" t="s">
        <v>66</v>
      </c>
      <c r="F6" s="454" t="s">
        <v>154</v>
      </c>
      <c r="G6" s="454" t="s">
        <v>69</v>
      </c>
      <c r="H6" s="1313" t="s">
        <v>166</v>
      </c>
    </row>
    <row r="7" spans="1:12" ht="11.4" customHeight="1">
      <c r="A7" s="1410"/>
      <c r="B7" s="1252"/>
      <c r="C7" s="1253"/>
      <c r="D7" s="1253"/>
      <c r="E7" s="1254"/>
      <c r="F7" s="834"/>
      <c r="G7" s="1250"/>
      <c r="H7" s="1251"/>
    </row>
    <row r="8" spans="1:12" s="254" customFormat="1" ht="15.6" thickBot="1">
      <c r="A8" s="2318" t="s">
        <v>86</v>
      </c>
      <c r="B8" s="2319"/>
      <c r="C8" s="2319"/>
      <c r="D8" s="233"/>
      <c r="E8" s="943" t="str">
        <f>"(Note "&amp;A$332&amp;")"</f>
        <v>(Note Y)</v>
      </c>
      <c r="F8" s="234"/>
      <c r="G8" s="458"/>
      <c r="H8" s="459"/>
    </row>
    <row r="9" spans="1:12" s="254" customFormat="1" ht="13.95" customHeight="1">
      <c r="A9" s="97"/>
      <c r="B9" s="98"/>
      <c r="C9" s="98"/>
      <c r="D9" s="98"/>
      <c r="E9" s="1697"/>
      <c r="F9" s="122"/>
      <c r="G9" s="99"/>
      <c r="H9" s="1000"/>
    </row>
    <row r="10" spans="1:12">
      <c r="A10" s="71"/>
      <c r="B10" s="2286" t="s">
        <v>87</v>
      </c>
      <c r="C10" s="2286"/>
      <c r="D10" s="8"/>
      <c r="E10" s="101"/>
      <c r="F10" s="128"/>
      <c r="G10" s="65"/>
      <c r="H10" s="1001"/>
    </row>
    <row r="11" spans="1:12" ht="15.6" customHeight="1">
      <c r="A11" s="71">
        <v>1</v>
      </c>
      <c r="B11" s="31"/>
      <c r="C11" s="14" t="s">
        <v>63</v>
      </c>
      <c r="D11" s="1586"/>
      <c r="E11" s="33"/>
      <c r="F11" s="128" t="str">
        <f>+"WP03 W&amp;S Line "&amp;'WP03 W&amp;S'!A10&amp;" Column "&amp;'WP03 W&amp;S'!C5</f>
        <v>WP03 W&amp;S Line 2 Column B</v>
      </c>
      <c r="G11" s="96">
        <f>'WP03 W&amp;S'!C10</f>
        <v>18003169.760000009</v>
      </c>
      <c r="H11" s="1002">
        <f>'WP03 W&amp;S'!C10</f>
        <v>18003169.760000009</v>
      </c>
    </row>
    <row r="12" spans="1:12" ht="15.6" customHeight="1">
      <c r="A12" s="71">
        <f>+A11+1</f>
        <v>2</v>
      </c>
      <c r="B12" s="31"/>
      <c r="C12" s="2304" t="s">
        <v>502</v>
      </c>
      <c r="D12" s="2304"/>
      <c r="E12" s="70" t="str">
        <f>"(Note "&amp;A$339&amp;")"</f>
        <v>(Note FF)</v>
      </c>
      <c r="F12" s="129" t="str">
        <f>+"WP02 Support Line "&amp;'WP02 Support'!A20&amp;" Column "&amp;'WP02 Support'!D5</f>
        <v>WP02 Support Line 5 Column C</v>
      </c>
      <c r="G12" s="624">
        <f>+'WP02 Support'!D20</f>
        <v>231084.34028620363</v>
      </c>
      <c r="H12" s="1003">
        <f>+'WP02 Support'!D20</f>
        <v>231084.34028620363</v>
      </c>
    </row>
    <row r="13" spans="1:12">
      <c r="A13" s="71">
        <f>+A12+1</f>
        <v>3</v>
      </c>
      <c r="B13" s="31"/>
      <c r="C13" s="14" t="s">
        <v>501</v>
      </c>
      <c r="D13" s="1586"/>
      <c r="E13" s="33"/>
      <c r="F13" s="830" t="str">
        <f>"(Line "&amp;A11&amp;" + Line "&amp;A12&amp;")"</f>
        <v>(Line 1 + Line 2)</v>
      </c>
      <c r="G13" s="688">
        <f>+G11+G12</f>
        <v>18234254.100286212</v>
      </c>
      <c r="H13" s="1002">
        <f>+H11+H12</f>
        <v>18234254.100286212</v>
      </c>
    </row>
    <row r="14" spans="1:12" ht="13.95" customHeight="1">
      <c r="A14" s="71"/>
      <c r="B14" s="31"/>
      <c r="C14" s="14"/>
      <c r="D14" s="1586"/>
      <c r="E14" s="33"/>
      <c r="F14" s="128"/>
      <c r="G14" s="442"/>
      <c r="H14" s="1002"/>
    </row>
    <row r="15" spans="1:12" ht="15.6" customHeight="1">
      <c r="A15" s="71">
        <f>+A13+1</f>
        <v>4</v>
      </c>
      <c r="B15" s="31"/>
      <c r="C15" s="14" t="s">
        <v>64</v>
      </c>
      <c r="D15" s="14"/>
      <c r="E15" s="33"/>
      <c r="F15" s="128" t="str">
        <f>+"WP03 W&amp;S Line "&amp;'WP03 W&amp;S'!A27&amp;" Column "&amp;'WP03 W&amp;S'!C5</f>
        <v>WP03 W&amp;S Line 5 Column B</v>
      </c>
      <c r="G15" s="96">
        <f>'WP03 W&amp;S'!C27</f>
        <v>305266614.68400007</v>
      </c>
      <c r="H15" s="1002">
        <f>'WP03 W&amp;S'!C27</f>
        <v>305266614.68400007</v>
      </c>
    </row>
    <row r="16" spans="1:12" ht="15.6" customHeight="1">
      <c r="A16" s="71">
        <f>+A15+1</f>
        <v>5</v>
      </c>
      <c r="B16" s="31"/>
      <c r="C16" s="450" t="s">
        <v>504</v>
      </c>
      <c r="D16" s="1587"/>
      <c r="E16" s="70" t="str">
        <f>"(Note "&amp;A$339&amp;")"</f>
        <v>(Note FF)</v>
      </c>
      <c r="F16" s="129" t="str">
        <f>+"WP02 Support Line "&amp;'WP02 Support'!A32&amp;" Column "&amp;'WP02 Support'!D5</f>
        <v>WP02 Support Line 8 Column C</v>
      </c>
      <c r="G16" s="624">
        <f>+'WP02 Support'!D32</f>
        <v>253372.52028620362</v>
      </c>
      <c r="H16" s="1003">
        <f>+'WP02 Support'!D32</f>
        <v>253372.52028620362</v>
      </c>
    </row>
    <row r="17" spans="1:8" ht="15.6" customHeight="1">
      <c r="A17" s="71">
        <f>+A16+1</f>
        <v>6</v>
      </c>
      <c r="B17" s="31"/>
      <c r="C17" s="14" t="s">
        <v>503</v>
      </c>
      <c r="D17" s="1586"/>
      <c r="E17" s="33"/>
      <c r="F17" s="46" t="str">
        <f>"(Line "&amp;A15&amp;" + Line "&amp;A16&amp;")"</f>
        <v>(Line 4 + Line 5)</v>
      </c>
      <c r="G17" s="96">
        <f>+G15+G16</f>
        <v>305519987.20428628</v>
      </c>
      <c r="H17" s="1002">
        <f>+H15+H16</f>
        <v>305519987.20428628</v>
      </c>
    </row>
    <row r="18" spans="1:8" ht="13.95" customHeight="1">
      <c r="A18" s="71"/>
      <c r="B18" s="31"/>
      <c r="C18" s="14"/>
      <c r="D18" s="14"/>
      <c r="E18" s="33"/>
      <c r="F18" s="128"/>
      <c r="G18" s="96"/>
      <c r="H18" s="1002"/>
    </row>
    <row r="19" spans="1:8" ht="15.6" customHeight="1">
      <c r="A19" s="71">
        <f>+A17+1</f>
        <v>7</v>
      </c>
      <c r="B19" s="31"/>
      <c r="C19" s="14" t="s">
        <v>506</v>
      </c>
      <c r="D19" s="14"/>
      <c r="E19" s="33"/>
      <c r="F19" s="128" t="str">
        <f>+"WP03 W&amp;S Line "&amp;'WP03 W&amp;S'!A33&amp;" Column "&amp;'WP03 W&amp;S'!C5</f>
        <v>WP03 W&amp;S Line 8 Column B</v>
      </c>
      <c r="G19" s="96">
        <f>'WP03 W&amp;S'!C33</f>
        <v>64611114.473000057</v>
      </c>
      <c r="H19" s="1002">
        <f>'WP03 W&amp;S'!C33</f>
        <v>64611114.473000057</v>
      </c>
    </row>
    <row r="20" spans="1:8" ht="15.6" customHeight="1">
      <c r="A20" s="71">
        <f>+A19+1</f>
        <v>8</v>
      </c>
      <c r="B20" s="31"/>
      <c r="C20" s="450" t="s">
        <v>500</v>
      </c>
      <c r="D20" s="1587"/>
      <c r="E20" s="70" t="str">
        <f>"(Note "&amp;A$339&amp;")"</f>
        <v>(Note FF)</v>
      </c>
      <c r="F20" s="129" t="str">
        <f>+"WP02 Support Line "&amp;'WP02 Support'!A44&amp;" Column "&amp;'WP02 Support'!D5</f>
        <v>WP02 Support Line 11 Column C</v>
      </c>
      <c r="G20" s="624">
        <f>+'WP02 Support'!D44</f>
        <v>22144.899999999998</v>
      </c>
      <c r="H20" s="1003">
        <f>+'WP02 Support'!D44</f>
        <v>22144.899999999998</v>
      </c>
    </row>
    <row r="21" spans="1:8" ht="15.6" customHeight="1">
      <c r="A21" s="71">
        <f>+A20+1</f>
        <v>9</v>
      </c>
      <c r="B21" s="31"/>
      <c r="C21" s="14" t="s">
        <v>759</v>
      </c>
      <c r="D21" s="1586"/>
      <c r="E21" s="33"/>
      <c r="F21" s="46" t="str">
        <f>"(Line "&amp;A19&amp;" + Line "&amp;A20&amp;")"</f>
        <v>(Line 7 + Line 8)</v>
      </c>
      <c r="G21" s="96">
        <f>+G19+G20</f>
        <v>64633259.373000056</v>
      </c>
      <c r="H21" s="1002">
        <f>+H19+H20</f>
        <v>64633259.373000056</v>
      </c>
    </row>
    <row r="22" spans="1:8" ht="13.95" customHeight="1">
      <c r="A22" s="71"/>
      <c r="B22" s="31"/>
      <c r="C22" s="14"/>
      <c r="D22" s="14"/>
      <c r="E22" s="33"/>
      <c r="F22" s="128"/>
      <c r="G22" s="96"/>
      <c r="H22" s="1002"/>
    </row>
    <row r="23" spans="1:8" ht="15.6" customHeight="1">
      <c r="A23" s="71">
        <f>+A21+1</f>
        <v>10</v>
      </c>
      <c r="B23" s="31"/>
      <c r="C23" s="273" t="s">
        <v>505</v>
      </c>
      <c r="D23" s="274"/>
      <c r="E23" s="275"/>
      <c r="F23" s="834" t="str">
        <f>"(Line "&amp;A17&amp;" - Line "&amp;A21&amp;")"</f>
        <v>(Line 6 - Line 9)</v>
      </c>
      <c r="G23" s="836">
        <f>+G17-G21</f>
        <v>240886727.83128622</v>
      </c>
      <c r="H23" s="1004">
        <f>+H17-H21</f>
        <v>240886727.83128622</v>
      </c>
    </row>
    <row r="24" spans="1:8" ht="15.6" customHeight="1" thickBot="1">
      <c r="A24" s="71">
        <f>+A23+1</f>
        <v>11</v>
      </c>
      <c r="B24" s="1698" t="s">
        <v>101</v>
      </c>
      <c r="C24" s="1698"/>
      <c r="D24" s="17"/>
      <c r="E24" s="49"/>
      <c r="F24" s="835" t="str">
        <f>"(Line "&amp;A13&amp;" / Line "&amp;A23&amp;")"</f>
        <v>(Line 3 / Line 10)</v>
      </c>
      <c r="G24" s="1255">
        <f>IF(G23=0,0,+G13/G23)</f>
        <v>7.5696383376743087E-2</v>
      </c>
      <c r="H24" s="1539">
        <f>IF(H23=0,0,+H13/H23)</f>
        <v>7.5696383376743087E-2</v>
      </c>
    </row>
    <row r="25" spans="1:8" ht="13.95" customHeight="1" thickTop="1">
      <c r="A25" s="71"/>
      <c r="B25" s="31"/>
      <c r="C25" s="56"/>
      <c r="D25" s="8"/>
      <c r="E25" s="101"/>
      <c r="F25" s="135"/>
      <c r="G25" s="82"/>
      <c r="H25" s="1005"/>
    </row>
    <row r="26" spans="1:8" ht="15.6" customHeight="1">
      <c r="A26" s="105"/>
      <c r="B26" s="2286" t="s">
        <v>109</v>
      </c>
      <c r="C26" s="2286"/>
      <c r="D26" s="14"/>
      <c r="E26" s="14"/>
      <c r="F26" s="124"/>
      <c r="G26" s="83"/>
      <c r="H26" s="1006"/>
    </row>
    <row r="27" spans="1:8" ht="15.6" customHeight="1">
      <c r="A27" s="71">
        <f>+A24+1</f>
        <v>12</v>
      </c>
      <c r="B27" s="14"/>
      <c r="C27" s="14" t="s">
        <v>300</v>
      </c>
      <c r="D27" s="444"/>
      <c r="E27" s="33" t="str">
        <f>"(Notes "&amp;A$309&amp;" "&amp;"&amp; "&amp;A$326&amp;")"</f>
        <v>(Notes B &amp; S)</v>
      </c>
      <c r="F27" s="128" t="str">
        <f>+"WP04 PIS Line "&amp;'WP04 PIS'!$A$23&amp;", Line "&amp;'WP04 PIS'!$A$21&amp;" Column "&amp;'WP04 PIS'!$L$5</f>
        <v>WP04 PIS Line 18, Line 16 Column K</v>
      </c>
      <c r="G27" s="96">
        <f>+'WP04 PIS'!L23</f>
        <v>18882815844.103073</v>
      </c>
      <c r="H27" s="1002">
        <f>+'WP04 PIS'!L21</f>
        <v>19447586834.649998</v>
      </c>
    </row>
    <row r="28" spans="1:8" ht="15.6" customHeight="1">
      <c r="A28" s="71">
        <f>+A27+1</f>
        <v>13</v>
      </c>
      <c r="B28" s="8"/>
      <c r="C28" s="2304" t="s">
        <v>301</v>
      </c>
      <c r="D28" s="2304"/>
      <c r="E28" s="70" t="str">
        <f>"(Notes "&amp;A$309&amp;" "&amp;"&amp; "&amp;A$326&amp;")"</f>
        <v>(Notes B &amp; S)</v>
      </c>
      <c r="F28" s="129" t="str">
        <f>+"WP04 PIS Line "&amp;'WP04 PIS'!$A$42&amp;", Line "&amp;'WP04 PIS'!$A$40&amp;" Column "&amp;'WP04 PIS'!$L$5</f>
        <v>WP04 PIS Line 37, Line 35 Column K</v>
      </c>
      <c r="G28" s="624">
        <f>+'WP04 PIS'!L42</f>
        <v>8674555489.3446159</v>
      </c>
      <c r="H28" s="1003">
        <f>+'WP04 PIS'!L40</f>
        <v>8806016470.4700012</v>
      </c>
    </row>
    <row r="29" spans="1:8" ht="15.6" customHeight="1">
      <c r="A29" s="71">
        <f>+A28+1</f>
        <v>14</v>
      </c>
      <c r="B29" s="14"/>
      <c r="C29" s="14" t="s">
        <v>302</v>
      </c>
      <c r="D29" s="14"/>
      <c r="E29" s="33"/>
      <c r="F29" s="128" t="str">
        <f>"(Line "&amp;A27&amp;" - Line "&amp;A28&amp;")"</f>
        <v>(Line 12 - Line 13)</v>
      </c>
      <c r="G29" s="96">
        <f>+G27-G28</f>
        <v>10208260354.758457</v>
      </c>
      <c r="H29" s="1002">
        <f>+H27-H28</f>
        <v>10641570364.179996</v>
      </c>
    </row>
    <row r="30" spans="1:8" ht="13.95" customHeight="1">
      <c r="A30" s="105"/>
      <c r="B30" s="14"/>
      <c r="C30" s="14"/>
      <c r="D30" s="14"/>
      <c r="E30" s="33"/>
      <c r="F30" s="124"/>
      <c r="G30" s="615"/>
      <c r="H30" s="1007"/>
    </row>
    <row r="31" spans="1:8" ht="15.6" customHeight="1">
      <c r="A31" s="71">
        <f>+A29+1</f>
        <v>15</v>
      </c>
      <c r="B31" s="14"/>
      <c r="C31" s="14" t="str">
        <f>+B50</f>
        <v>TOTAL Plant In Service - Transmission</v>
      </c>
      <c r="D31" s="444"/>
      <c r="E31" s="33"/>
      <c r="F31" s="129" t="str">
        <f>"(Line "&amp;A50&amp;")"</f>
        <v>(Line 27)</v>
      </c>
      <c r="G31" s="615">
        <f>+G50</f>
        <v>3087504699.2909174</v>
      </c>
      <c r="H31" s="1007">
        <f>+H50</f>
        <v>3613905156.8040671</v>
      </c>
    </row>
    <row r="32" spans="1:8" ht="15.6" customHeight="1" thickBot="1">
      <c r="A32" s="71">
        <f>+A31+1</f>
        <v>16</v>
      </c>
      <c r="B32" s="2307" t="s">
        <v>56</v>
      </c>
      <c r="C32" s="2307"/>
      <c r="D32" s="445"/>
      <c r="E32" s="446"/>
      <c r="F32" s="125" t="str">
        <f>"(Line "&amp;A31&amp;" / Line "&amp;A27&amp;")"</f>
        <v>(Line 15 / Line 12)</v>
      </c>
      <c r="G32" s="1255">
        <f>IF(G27=0,0,+G31/G27)</f>
        <v>0.16350870149777563</v>
      </c>
      <c r="H32" s="1539">
        <f>IF(H27=0,0,+H31/H27)</f>
        <v>0.18582794809097491</v>
      </c>
    </row>
    <row r="33" spans="1:9" ht="13.95" customHeight="1" thickTop="1">
      <c r="A33" s="105"/>
      <c r="B33" s="8"/>
      <c r="C33" s="8"/>
      <c r="D33" s="8"/>
      <c r="E33" s="33"/>
      <c r="F33" s="124"/>
      <c r="G33" s="83"/>
      <c r="H33" s="1006"/>
    </row>
    <row r="34" spans="1:9" ht="15.6" customHeight="1">
      <c r="A34" s="71">
        <f>+A32+1</f>
        <v>17</v>
      </c>
      <c r="B34" s="31"/>
      <c r="C34" s="2295" t="str">
        <f>+B63</f>
        <v>TOTAL Net Property, Plant &amp; Equipment - Transmission</v>
      </c>
      <c r="D34" s="2295"/>
      <c r="E34" s="33" t="str">
        <f>"(Notes "&amp;A$309&amp;" &amp; "&amp;A$326&amp;")"</f>
        <v>(Notes B &amp; S)</v>
      </c>
      <c r="F34" s="129" t="str">
        <f>"(Line "&amp;A63&amp;")"</f>
        <v>(Line 35)</v>
      </c>
      <c r="G34" s="615">
        <f>+G63</f>
        <v>1984861697.2352345</v>
      </c>
      <c r="H34" s="1007">
        <f>+H63</f>
        <v>2490023399.0391903</v>
      </c>
    </row>
    <row r="35" spans="1:9" ht="15.6" customHeight="1" thickBot="1">
      <c r="A35" s="71">
        <f>+A34+1</f>
        <v>18</v>
      </c>
      <c r="B35" s="2307" t="s">
        <v>106</v>
      </c>
      <c r="C35" s="2307"/>
      <c r="D35" s="445"/>
      <c r="E35" s="446"/>
      <c r="F35" s="125" t="str">
        <f>"(Line "&amp;A34&amp;" / Line "&amp;A29&amp;")"</f>
        <v>(Line 17 / Line 14)</v>
      </c>
      <c r="G35" s="1255">
        <f>IF(G29=0,0,+G34/G29)</f>
        <v>0.19443682157949813</v>
      </c>
      <c r="H35" s="1539">
        <f>IF(H29=0,0,+H34/H29)</f>
        <v>0.23399022078740567</v>
      </c>
    </row>
    <row r="36" spans="1:9" ht="13.95" customHeight="1" thickTop="1">
      <c r="A36" s="118"/>
      <c r="B36" s="31"/>
      <c r="C36" s="4"/>
      <c r="D36" s="8"/>
      <c r="E36" s="101"/>
      <c r="F36" s="135"/>
      <c r="G36" s="82"/>
      <c r="H36" s="1008"/>
    </row>
    <row r="37" spans="1:9" s="254" customFormat="1" ht="15.6" customHeight="1">
      <c r="A37" s="998" t="s">
        <v>105</v>
      </c>
      <c r="B37" s="236"/>
      <c r="C37" s="237"/>
      <c r="D37" s="237"/>
      <c r="E37" s="238"/>
      <c r="F37" s="239"/>
      <c r="G37" s="240"/>
      <c r="H37" s="1009"/>
    </row>
    <row r="38" spans="1:9" s="254" customFormat="1" ht="13.95" customHeight="1">
      <c r="A38" s="104"/>
      <c r="B38" s="18"/>
      <c r="C38" s="8"/>
      <c r="D38" s="8"/>
      <c r="E38" s="48"/>
      <c r="F38" s="124"/>
      <c r="G38" s="84"/>
      <c r="H38" s="1010"/>
    </row>
    <row r="39" spans="1:9" ht="15.6" customHeight="1">
      <c r="A39" s="105"/>
      <c r="B39" s="2300" t="str">
        <f>"Plant In Service "</f>
        <v xml:space="preserve">Plant In Service </v>
      </c>
      <c r="C39" s="2300"/>
      <c r="D39" s="8"/>
      <c r="E39" s="101"/>
      <c r="F39" s="128"/>
      <c r="G39" s="65"/>
      <c r="H39" s="1011"/>
    </row>
    <row r="40" spans="1:9" ht="15.6" customHeight="1">
      <c r="A40" s="105">
        <f>+A35+1</f>
        <v>19</v>
      </c>
      <c r="B40" s="4"/>
      <c r="C40" s="8" t="s">
        <v>480</v>
      </c>
      <c r="D40" s="8"/>
      <c r="E40" s="33" t="str">
        <f>"(Notes "&amp;A$309&amp;" &amp; "&amp;A$326&amp;")"</f>
        <v>(Notes B &amp; S)</v>
      </c>
      <c r="F40" s="128" t="str">
        <f>+"WP04 PIS Line "&amp;'WP04 PIS'!$A$23&amp;", Line "&amp;'WP04 PIS'!$A$21&amp;" Column "&amp;'WP04 PIS'!$G$5</f>
        <v>WP04 PIS Line 18, Line 16 Column F</v>
      </c>
      <c r="G40" s="96">
        <f>+'WP04 PIS'!G23</f>
        <v>3023228750.2992315</v>
      </c>
      <c r="H40" s="1002">
        <f>+'WP04 PIS'!G21</f>
        <v>3226216661.4899993</v>
      </c>
      <c r="I40" s="921"/>
    </row>
    <row r="41" spans="1:9" ht="15.6" customHeight="1">
      <c r="A41" s="105">
        <f>+A40+1</f>
        <v>20</v>
      </c>
      <c r="B41" s="4"/>
      <c r="C41" s="2304" t="s">
        <v>481</v>
      </c>
      <c r="D41" s="2304"/>
      <c r="E41" s="938" t="str">
        <f>"(Notes "&amp;A$309&amp;" &amp; "&amp;A$326&amp;")"</f>
        <v>(Notes B &amp; S)</v>
      </c>
      <c r="F41" s="252" t="str">
        <f>+"WP05 CapAds Line "&amp;'WP05 CapAds'!$A$22&amp;" Column "&amp;'WP05 CapAds'!$D$6</f>
        <v>WP05 CapAds Line 16 Column C</v>
      </c>
      <c r="G41" s="624"/>
      <c r="H41" s="1003">
        <f>+'WP05 CapAds'!D22</f>
        <v>318449228.71154892</v>
      </c>
    </row>
    <row r="42" spans="1:9" ht="15.6" customHeight="1">
      <c r="A42" s="105">
        <f>+A41+1</f>
        <v>21</v>
      </c>
      <c r="B42" s="31"/>
      <c r="C42" s="56" t="s">
        <v>38</v>
      </c>
      <c r="D42" s="8"/>
      <c r="E42" s="922"/>
      <c r="F42" s="128" t="str">
        <f>"(Line"&amp;A40&amp;" + Line "&amp;A41&amp;")"</f>
        <v>(Line19 + Line 20)</v>
      </c>
      <c r="G42" s="96">
        <f>+G40+G41</f>
        <v>3023228750.2992315</v>
      </c>
      <c r="H42" s="1002">
        <f>+H40+H41</f>
        <v>3544665890.2015481</v>
      </c>
    </row>
    <row r="43" spans="1:9" ht="13.95" customHeight="1">
      <c r="A43" s="71"/>
      <c r="B43" s="31"/>
      <c r="C43" s="4"/>
      <c r="D43" s="8"/>
      <c r="E43" s="33"/>
      <c r="F43" s="128"/>
      <c r="G43" s="68"/>
      <c r="H43" s="1012"/>
    </row>
    <row r="44" spans="1:9" ht="15.6" customHeight="1">
      <c r="A44" s="71">
        <f>+A42+1</f>
        <v>22</v>
      </c>
      <c r="B44" s="31"/>
      <c r="C44" s="56" t="s">
        <v>189</v>
      </c>
      <c r="D44" s="8"/>
      <c r="E44" s="33" t="str">
        <f>"(Notes "&amp;A$309&amp;" &amp; "&amp;A$326&amp;")"</f>
        <v>(Notes B &amp; S)</v>
      </c>
      <c r="F44" s="128" t="str">
        <f>+"WP04 PIS Line "&amp;'WP04 PIS'!$A$23&amp;", Line "&amp;'WP04 PIS'!$A$21&amp;" Column "&amp;'WP04 PIS'!$K$5</f>
        <v>WP04 PIS Line 18, Line 16 Column J</v>
      </c>
      <c r="G44" s="96">
        <f>+'WP04 PIS'!K23</f>
        <v>249171285.98461533</v>
      </c>
      <c r="H44" s="1002">
        <f>+'WP04 PIS'!K21</f>
        <v>262869004.72000003</v>
      </c>
    </row>
    <row r="45" spans="1:9" ht="15.6" customHeight="1">
      <c r="A45" s="71">
        <f>+A44+1</f>
        <v>23</v>
      </c>
      <c r="B45" s="31"/>
      <c r="C45" s="56" t="s">
        <v>261</v>
      </c>
      <c r="D45" s="8"/>
      <c r="E45" s="33" t="str">
        <f>"(Notes "&amp;A$309&amp;" &amp; "&amp;A$326&amp;")"</f>
        <v>(Notes B &amp; S)</v>
      </c>
      <c r="F45" s="129" t="str">
        <f>+"WP04 PIS Line "&amp;'WP04 PIS'!$A$23&amp;", Line "&amp;'WP04 PIS'!$A$21&amp;" Column "&amp;'WP04 PIS'!$C$5</f>
        <v>WP04 PIS Line 18, Line 16 Column B</v>
      </c>
      <c r="G45" s="624">
        <f>+'WP04 PIS'!C23</f>
        <v>599957115.19384575</v>
      </c>
      <c r="H45" s="1003">
        <f>+'WP04 PIS'!C21</f>
        <v>651828151.38999987</v>
      </c>
    </row>
    <row r="46" spans="1:9" ht="15.6" customHeight="1">
      <c r="A46" s="71">
        <f>+A45+1</f>
        <v>24</v>
      </c>
      <c r="B46" s="31"/>
      <c r="C46" s="273" t="s">
        <v>260</v>
      </c>
      <c r="D46" s="276"/>
      <c r="E46" s="277"/>
      <c r="F46" s="128" t="str">
        <f>"(Line"&amp;A44&amp;" + Line "&amp;A45&amp;")"</f>
        <v>(Line22 + Line 23)</v>
      </c>
      <c r="G46" s="96">
        <f>SUM(G44:G45)</f>
        <v>849128401.17846107</v>
      </c>
      <c r="H46" s="1002">
        <f>SUM(H44:H45)</f>
        <v>914697156.1099999</v>
      </c>
    </row>
    <row r="47" spans="1:9" ht="15.6" customHeight="1">
      <c r="A47" s="71">
        <f>+A46+1</f>
        <v>25</v>
      </c>
      <c r="B47" s="31"/>
      <c r="C47" s="54" t="s">
        <v>110</v>
      </c>
      <c r="D47" s="56"/>
      <c r="E47" s="101"/>
      <c r="F47" s="129" t="str">
        <f>"(Line "&amp;A$24&amp;")"</f>
        <v>(Line 11)</v>
      </c>
      <c r="G47" s="77">
        <f>+G24</f>
        <v>7.5696383376743087E-2</v>
      </c>
      <c r="H47" s="1013">
        <f>H$24</f>
        <v>7.5696383376743087E-2</v>
      </c>
    </row>
    <row r="48" spans="1:9" ht="15.6" customHeight="1">
      <c r="A48" s="71">
        <f>+A47+1</f>
        <v>26</v>
      </c>
      <c r="B48" s="14"/>
      <c r="C48" s="2293" t="s">
        <v>262</v>
      </c>
      <c r="D48" s="2293"/>
      <c r="E48" s="275"/>
      <c r="F48" s="128" t="str">
        <f>"(Line "&amp;A46&amp;" * Line "&amp;A47&amp;")"</f>
        <v>(Line 24 * Line 25)</v>
      </c>
      <c r="G48" s="96">
        <f>+G46*G47</f>
        <v>64275948.991685696</v>
      </c>
      <c r="H48" s="1002">
        <f>+H46*H47</f>
        <v>69239266.602519169</v>
      </c>
    </row>
    <row r="49" spans="1:10" ht="13.95" customHeight="1">
      <c r="A49" s="105"/>
      <c r="B49" s="14"/>
      <c r="C49" s="4"/>
      <c r="D49" s="14"/>
      <c r="E49" s="33"/>
      <c r="F49" s="124"/>
      <c r="G49" s="96"/>
      <c r="H49" s="1002"/>
    </row>
    <row r="50" spans="1:10" s="1" customFormat="1" ht="15.6" customHeight="1" thickBot="1">
      <c r="A50" s="71">
        <f>+A48+1</f>
        <v>27</v>
      </c>
      <c r="B50" s="2307" t="s">
        <v>303</v>
      </c>
      <c r="C50" s="2307"/>
      <c r="D50" s="153"/>
      <c r="E50" s="154"/>
      <c r="F50" s="447" t="str">
        <f>"(Line "&amp;A42&amp;" + Line "&amp;A48&amp;")"</f>
        <v>(Line 21 + Line 26)</v>
      </c>
      <c r="G50" s="563">
        <f>+G48+G42</f>
        <v>3087504699.2909174</v>
      </c>
      <c r="H50" s="1014">
        <f>+H48+H42</f>
        <v>3613905156.8040671</v>
      </c>
      <c r="I50" s="34"/>
    </row>
    <row r="51" spans="1:10" ht="13.95" customHeight="1" thickTop="1">
      <c r="A51" s="105"/>
      <c r="B51" s="14"/>
      <c r="C51" s="14"/>
      <c r="D51" s="14"/>
      <c r="E51" s="33"/>
      <c r="F51" s="124"/>
      <c r="G51" s="615"/>
      <c r="H51" s="1007"/>
    </row>
    <row r="52" spans="1:10" ht="15.6" customHeight="1">
      <c r="A52" s="71"/>
      <c r="B52" s="2300" t="s">
        <v>83</v>
      </c>
      <c r="C52" s="2300"/>
      <c r="D52" s="46"/>
      <c r="E52" s="101"/>
      <c r="F52" s="128"/>
      <c r="G52" s="96"/>
      <c r="H52" s="1002"/>
    </row>
    <row r="53" spans="1:10" s="254" customFormat="1" ht="15.6" customHeight="1">
      <c r="A53" s="71">
        <f>+A50+1</f>
        <v>28</v>
      </c>
      <c r="B53" s="31"/>
      <c r="C53" s="2286" t="s">
        <v>162</v>
      </c>
      <c r="D53" s="2286"/>
      <c r="E53" s="33" t="str">
        <f>"(Notes "&amp;A$309&amp;" &amp; "&amp;A$326&amp;")"</f>
        <v>(Notes B &amp; S)</v>
      </c>
      <c r="F53" s="128" t="str">
        <f>+"WP04 PIS Line "&amp;'WP04 PIS'!$A$42&amp;", Line "&amp;'WP04 PIS'!$A$40&amp;" Column "&amp;'WP04 PIS'!$G$5</f>
        <v>WP04 PIS Line 37, Line 35 Column F</v>
      </c>
      <c r="G53" s="687">
        <f>+'WP04 PIS'!G42</f>
        <v>1060981298.2200001</v>
      </c>
      <c r="H53" s="1003">
        <f>+'WP04 PIS'!G40</f>
        <v>1081508377.6900001</v>
      </c>
    </row>
    <row r="54" spans="1:10" s="254" customFormat="1" ht="13.95" customHeight="1">
      <c r="A54" s="71"/>
      <c r="B54" s="31"/>
      <c r="C54" s="56"/>
      <c r="D54" s="32"/>
      <c r="E54" s="14"/>
      <c r="F54" s="128"/>
      <c r="G54" s="688"/>
      <c r="H54" s="1002"/>
    </row>
    <row r="55" spans="1:10" ht="15.6" customHeight="1">
      <c r="A55" s="71">
        <f>+A53+1</f>
        <v>29</v>
      </c>
      <c r="B55" s="31"/>
      <c r="C55" s="56" t="s">
        <v>131</v>
      </c>
      <c r="D55" s="8"/>
      <c r="E55" s="33" t="str">
        <f>"(Notes "&amp;A$309&amp;", "&amp;A$326&amp;" &amp; "&amp;A$345&amp;")"</f>
        <v>(Notes B, S &amp; LL)</v>
      </c>
      <c r="F55" s="128" t="str">
        <f>+"WP04 PIS Line "&amp;'WP04 PIS'!$A$42&amp;", Line "&amp;'WP04 PIS'!$A$40&amp;" Column "&amp;'WP04 PIS'!$K$5</f>
        <v>WP04 PIS Line 37, Line 35 Column J</v>
      </c>
      <c r="G55" s="96">
        <f>+'WP04 PIS'!K42</f>
        <v>88146848.550000012</v>
      </c>
      <c r="H55" s="1002">
        <f>+'WP04 PIS'!K40</f>
        <v>83828442.670000017</v>
      </c>
      <c r="J55" s="253" t="s">
        <v>1492</v>
      </c>
    </row>
    <row r="56" spans="1:10" ht="15.6" customHeight="1">
      <c r="A56" s="71">
        <f>+A55+1</f>
        <v>30</v>
      </c>
      <c r="B56" s="31"/>
      <c r="C56" s="58" t="s">
        <v>161</v>
      </c>
      <c r="D56" s="62"/>
      <c r="E56" s="70" t="str">
        <f>"(Notes "&amp;A$309&amp;" &amp; "&amp;A$326&amp;")"</f>
        <v>(Notes B &amp; S)</v>
      </c>
      <c r="F56" s="129" t="str">
        <f>+"WP04 PIS Line "&amp;'WP04 PIS'!$A$42&amp;", Line "&amp;'WP04 PIS'!$A$40&amp;" Column "&amp;'WP04 PIS'!$C$5</f>
        <v>WP04 PIS Line 37, Line 35 Column B</v>
      </c>
      <c r="G56" s="624">
        <f>+'WP04 PIS'!C42</f>
        <v>462232204.94230777</v>
      </c>
      <c r="H56" s="1003">
        <f>+'WP04 PIS'!C40</f>
        <v>475952331.31999999</v>
      </c>
    </row>
    <row r="57" spans="1:10" ht="15.6" customHeight="1">
      <c r="A57" s="71">
        <f>+A56+1</f>
        <v>31</v>
      </c>
      <c r="B57" s="31"/>
      <c r="C57" s="2293" t="s">
        <v>474</v>
      </c>
      <c r="D57" s="2293"/>
      <c r="E57" s="101"/>
      <c r="F57" s="128" t="str">
        <f>"(Sum Line "&amp;A55&amp;" + Line "&amp;A56&amp;")"</f>
        <v>(Sum Line 29 + Line 30)</v>
      </c>
      <c r="G57" s="96">
        <f>SUM(G55:G56)</f>
        <v>550379053.49230778</v>
      </c>
      <c r="H57" s="1002">
        <f>SUM(H55:H56)</f>
        <v>559780773.99000001</v>
      </c>
    </row>
    <row r="58" spans="1:10" ht="15.6" customHeight="1">
      <c r="A58" s="71">
        <f>+A57+1</f>
        <v>32</v>
      </c>
      <c r="B58" s="31"/>
      <c r="C58" s="56" t="str">
        <f>+C47</f>
        <v>Wage &amp; Salary Allocation Factor</v>
      </c>
      <c r="D58" s="8"/>
      <c r="E58" s="101"/>
      <c r="F58" s="129" t="str">
        <f>"(Line "&amp;A$24&amp;")"</f>
        <v>(Line 11)</v>
      </c>
      <c r="G58" s="77">
        <f>+G24</f>
        <v>7.5696383376743087E-2</v>
      </c>
      <c r="H58" s="1013">
        <f>H$24</f>
        <v>7.5696383376743087E-2</v>
      </c>
    </row>
    <row r="59" spans="1:10" ht="15.6" customHeight="1">
      <c r="A59" s="71">
        <f>+A58+1</f>
        <v>33</v>
      </c>
      <c r="B59" s="14"/>
      <c r="C59" s="2293" t="s">
        <v>263</v>
      </c>
      <c r="D59" s="2293"/>
      <c r="E59" s="277"/>
      <c r="F59" s="128" t="str">
        <f>"(Line "&amp;A57&amp;" * Line "&amp;A58&amp;")"</f>
        <v>(Line 31 * Line 32)</v>
      </c>
      <c r="G59" s="96">
        <f>+G58*G57</f>
        <v>41661703.83568272</v>
      </c>
      <c r="H59" s="1002">
        <f>+H58*H57</f>
        <v>42373380.074877016</v>
      </c>
    </row>
    <row r="60" spans="1:10" ht="13.95" customHeight="1">
      <c r="A60" s="105"/>
      <c r="B60" s="14"/>
      <c r="C60" s="14"/>
      <c r="D60" s="14"/>
      <c r="E60" s="33"/>
      <c r="F60" s="124"/>
      <c r="G60" s="642"/>
      <c r="H60" s="1015"/>
    </row>
    <row r="61" spans="1:10" ht="15.6" customHeight="1" thickBot="1">
      <c r="A61" s="71">
        <f>+A59+1</f>
        <v>34</v>
      </c>
      <c r="B61" s="2307" t="s">
        <v>304</v>
      </c>
      <c r="C61" s="2307"/>
      <c r="D61" s="2307"/>
      <c r="E61" s="154"/>
      <c r="F61" s="447" t="str">
        <f>"(Line "&amp;A53&amp;" + Line "&amp;A59&amp;")"</f>
        <v>(Line 28 + Line 33)</v>
      </c>
      <c r="G61" s="563">
        <f>+G59+G53</f>
        <v>1102643002.0556829</v>
      </c>
      <c r="H61" s="1014">
        <f>+H59+H53</f>
        <v>1123881757.7648771</v>
      </c>
    </row>
    <row r="62" spans="1:10" ht="13.95" customHeight="1" thickTop="1">
      <c r="A62" s="105"/>
      <c r="B62" s="14"/>
      <c r="C62" s="14"/>
      <c r="D62" s="14"/>
      <c r="E62" s="33"/>
      <c r="F62" s="124"/>
      <c r="G62" s="615"/>
      <c r="H62" s="1007"/>
    </row>
    <row r="63" spans="1:10" ht="15.6" customHeight="1" thickBot="1">
      <c r="A63" s="71">
        <f>+A61+1</f>
        <v>35</v>
      </c>
      <c r="B63" s="2307" t="s">
        <v>305</v>
      </c>
      <c r="C63" s="2307"/>
      <c r="D63" s="2307"/>
      <c r="E63" s="154"/>
      <c r="F63" s="447" t="str">
        <f>"(Line "&amp;A50&amp;" - Line "&amp;A61&amp;")"</f>
        <v>(Line 27 - Line 34)</v>
      </c>
      <c r="G63" s="563">
        <f>+G50-G61</f>
        <v>1984861697.2352345</v>
      </c>
      <c r="H63" s="1014">
        <f>+H50-H61</f>
        <v>2490023399.0391903</v>
      </c>
    </row>
    <row r="64" spans="1:10" ht="13.95" customHeight="1" thickTop="1">
      <c r="A64" s="105"/>
      <c r="B64" s="14"/>
      <c r="C64" s="14"/>
      <c r="D64" s="14"/>
      <c r="E64" s="33"/>
      <c r="F64" s="124"/>
      <c r="G64" s="64"/>
      <c r="H64" s="1016"/>
    </row>
    <row r="65" spans="1:18" ht="15.6" customHeight="1">
      <c r="A65" s="2288" t="s">
        <v>417</v>
      </c>
      <c r="B65" s="2289"/>
      <c r="C65" s="2289"/>
      <c r="D65" s="237"/>
      <c r="E65" s="238"/>
      <c r="F65" s="239"/>
      <c r="G65" s="240"/>
      <c r="H65" s="1009"/>
    </row>
    <row r="66" spans="1:18" ht="13.95" customHeight="1">
      <c r="A66" s="106"/>
      <c r="B66" s="107"/>
      <c r="C66" s="107"/>
      <c r="D66" s="107"/>
      <c r="E66" s="26"/>
      <c r="F66" s="127"/>
      <c r="G66" s="81"/>
      <c r="H66" s="1006"/>
    </row>
    <row r="67" spans="1:18" ht="15.6" customHeight="1">
      <c r="A67" s="102"/>
      <c r="B67" s="2300" t="s">
        <v>143</v>
      </c>
      <c r="C67" s="2300"/>
      <c r="D67" s="935"/>
      <c r="E67" s="449" t="str">
        <f>"(Note "&amp;A$336&amp;")"</f>
        <v>(Note CC)</v>
      </c>
      <c r="F67" s="124"/>
      <c r="G67" s="81"/>
      <c r="H67" s="1006"/>
    </row>
    <row r="68" spans="1:18" ht="15.6" customHeight="1">
      <c r="A68" s="102">
        <f>+A63+1</f>
        <v>36</v>
      </c>
      <c r="B68" s="107"/>
      <c r="C68" s="8" t="s">
        <v>135</v>
      </c>
      <c r="D68" s="8"/>
      <c r="E68" s="33" t="str">
        <f>"(Note "&amp;A$343&amp;")"</f>
        <v>(Note JJ)</v>
      </c>
      <c r="F68" s="124" t="str">
        <f>+"WP06 ADIT Line "&amp;'WP06 ADIT'!$A$13&amp;" Columns "&amp;'WP06 ADIT'!$G$5&amp;", "&amp;'WP06 ADIT'!$K$5</f>
        <v>WP06 ADIT Line 7 Columns F, J</v>
      </c>
      <c r="G68" s="617">
        <f>+'WP06 ADIT'!G$13</f>
        <v>-22846958.685000002</v>
      </c>
      <c r="H68" s="1026">
        <f>+'WP06 ADIT'!K$13</f>
        <v>-15263537.589671668</v>
      </c>
    </row>
    <row r="69" spans="1:18" ht="15.6" customHeight="1">
      <c r="A69" s="102">
        <f t="shared" ref="A69:A75" si="0">+A68+1</f>
        <v>37</v>
      </c>
      <c r="B69" s="107"/>
      <c r="C69" s="8" t="s">
        <v>157</v>
      </c>
      <c r="D69" s="8"/>
      <c r="E69" s="33" t="str">
        <f>"(Note "&amp;A$343&amp;")"</f>
        <v>(Note JJ)</v>
      </c>
      <c r="F69" s="124" t="str">
        <f>+"WP06 ADIT Line "&amp;'WP06 ADIT'!$A$13&amp;" Columns "&amp;'WP06 ADIT'!$H$5&amp;", "&amp;'WP06 ADIT'!$L$5</f>
        <v>WP06 ADIT Line 7 Columns G, K</v>
      </c>
      <c r="G69" s="617">
        <f>+'WP06 ADIT'!H13</f>
        <v>638761586.37534952</v>
      </c>
      <c r="H69" s="1026">
        <f>+'WP06 ADIT'!L13</f>
        <v>574600185.61415279</v>
      </c>
    </row>
    <row r="70" spans="1:18" ht="15.6" customHeight="1">
      <c r="A70" s="102">
        <f t="shared" si="0"/>
        <v>38</v>
      </c>
      <c r="B70" s="107"/>
      <c r="C70" s="54" t="str">
        <f>+B32</f>
        <v>Gross Plant Allocator</v>
      </c>
      <c r="D70" s="13"/>
      <c r="E70" s="31"/>
      <c r="F70" s="128" t="str">
        <f>"(Line "&amp;A$32&amp;")"</f>
        <v>(Line 16)</v>
      </c>
      <c r="G70" s="88">
        <f>+G$32</f>
        <v>0.16350870149777563</v>
      </c>
      <c r="H70" s="1017">
        <f>+H$32</f>
        <v>0.18582794809097491</v>
      </c>
    </row>
    <row r="71" spans="1:18" ht="15.6" customHeight="1">
      <c r="A71" s="102">
        <f t="shared" si="0"/>
        <v>39</v>
      </c>
      <c r="B71" s="107"/>
      <c r="C71" s="54" t="str">
        <f>+"Total Transmission Allocated "&amp;C69</f>
        <v>Total Transmission Allocated Plant</v>
      </c>
      <c r="D71" s="8"/>
      <c r="E71" s="33"/>
      <c r="F71" s="128" t="str">
        <f>"(Line "&amp;A69&amp;" * Line "&amp;A70&amp;")"</f>
        <v>(Line 37 * Line 38)</v>
      </c>
      <c r="G71" s="603">
        <f>+G69*G70</f>
        <v>104443077.55489264</v>
      </c>
      <c r="H71" s="1018">
        <f>+H69*H70</f>
        <v>106776773.46537134</v>
      </c>
    </row>
    <row r="72" spans="1:18" ht="15.6" customHeight="1">
      <c r="A72" s="102">
        <f t="shared" si="0"/>
        <v>40</v>
      </c>
      <c r="B72" s="107"/>
      <c r="C72" s="8" t="s">
        <v>142</v>
      </c>
      <c r="D72" s="8"/>
      <c r="E72" s="33" t="str">
        <f>"(Note "&amp;A$343&amp;")"</f>
        <v>(Note JJ)</v>
      </c>
      <c r="F72" s="124" t="str">
        <f>+"WP06 ADIT Line "&amp;'WP06 ADIT'!$A$13&amp;" Columns "&amp;'WP06 ADIT'!$I$5&amp;", "&amp;'WP06 ADIT'!$M$5</f>
        <v>WP06 ADIT Line 7 Columns H, L</v>
      </c>
      <c r="G72" s="615">
        <f>+'WP06 ADIT'!I13</f>
        <v>-138218493.60500002</v>
      </c>
      <c r="H72" s="1007">
        <f>+'WP06 ADIT'!M13</f>
        <v>-118602839.84674883</v>
      </c>
    </row>
    <row r="73" spans="1:18" ht="15.6" customHeight="1">
      <c r="A73" s="102">
        <f t="shared" si="0"/>
        <v>41</v>
      </c>
      <c r="B73" s="107"/>
      <c r="C73" s="8" t="s">
        <v>110</v>
      </c>
      <c r="D73" s="8"/>
      <c r="E73" s="48"/>
      <c r="F73" s="124" t="str">
        <f>"(Line "&amp;A$24&amp;")"</f>
        <v>(Line 11)</v>
      </c>
      <c r="G73" s="244">
        <f>+G$24</f>
        <v>7.5696383376743087E-2</v>
      </c>
      <c r="H73" s="1013">
        <f>H$24</f>
        <v>7.5696383376743087E-2</v>
      </c>
    </row>
    <row r="74" spans="1:18" ht="15.6" customHeight="1">
      <c r="A74" s="102">
        <f t="shared" si="0"/>
        <v>42</v>
      </c>
      <c r="B74" s="108"/>
      <c r="C74" s="23" t="str">
        <f>+"Total Transmission Allocated "&amp;C72</f>
        <v>Total Transmission Allocated Labor</v>
      </c>
      <c r="D74" s="62"/>
      <c r="E74" s="70"/>
      <c r="F74" s="129" t="str">
        <f>"(Line "&amp;A72&amp;" * Line "&amp;A73&amp;")"</f>
        <v>(Line 40 * Line 41)</v>
      </c>
      <c r="G74" s="837">
        <f>+G72*G73</f>
        <v>-10462640.081679994</v>
      </c>
      <c r="H74" s="1019">
        <f>+H72*H73</f>
        <v>-8977806.0346099604</v>
      </c>
      <c r="J74" s="254"/>
      <c r="K74" s="254"/>
      <c r="L74" s="254"/>
    </row>
    <row r="75" spans="1:18" s="254" customFormat="1" ht="15.6" customHeight="1">
      <c r="A75" s="102">
        <f t="shared" si="0"/>
        <v>43</v>
      </c>
      <c r="B75" s="2294" t="s">
        <v>953</v>
      </c>
      <c r="C75" s="2294"/>
      <c r="D75" s="2294"/>
      <c r="F75" s="128" t="str">
        <f>"(Line "&amp;A68&amp;" + Line "&amp;A71&amp;" + Line "&amp;A74&amp;")"</f>
        <v>(Line 36 + Line 39 + Line 42)</v>
      </c>
      <c r="G75" s="96">
        <f>+G68+G71+G74</f>
        <v>71133478.788212642</v>
      </c>
      <c r="H75" s="1002">
        <f>+H68+H71+H74</f>
        <v>82535429.841089711</v>
      </c>
    </row>
    <row r="76" spans="1:18" ht="13.95" customHeight="1">
      <c r="A76" s="105"/>
      <c r="B76" s="14"/>
      <c r="C76" s="54"/>
      <c r="D76" s="14"/>
      <c r="E76" s="33"/>
      <c r="F76" s="124"/>
      <c r="G76" s="86"/>
      <c r="H76" s="1020"/>
      <c r="J76" s="254"/>
      <c r="K76" s="254"/>
      <c r="L76" s="254"/>
    </row>
    <row r="77" spans="1:18" ht="15.6" customHeight="1">
      <c r="A77" s="105">
        <f>+A75+1</f>
        <v>44</v>
      </c>
      <c r="B77" s="2294" t="s">
        <v>497</v>
      </c>
      <c r="C77" s="2294"/>
      <c r="D77" s="14"/>
      <c r="E77" s="33" t="str">
        <f>"(Note "&amp;A316&amp;")"</f>
        <v>(Note I)</v>
      </c>
      <c r="F77" s="130" t="s">
        <v>673</v>
      </c>
      <c r="G77" s="201">
        <f>IFERROR(INDEX(#REF!,MATCH($B77,#REF!,0)),0)</f>
        <v>0</v>
      </c>
      <c r="H77" s="1021">
        <f>IFERROR(INDEX(#REF!,MATCH($B77,#REF!,0)),0)</f>
        <v>0</v>
      </c>
      <c r="J77" s="1526" t="s">
        <v>1524</v>
      </c>
      <c r="K77" s="254"/>
      <c r="L77" s="254"/>
      <c r="M77" s="254"/>
      <c r="N77" s="254"/>
      <c r="O77" s="254"/>
      <c r="P77" s="254"/>
      <c r="Q77" s="254"/>
      <c r="R77" s="254"/>
    </row>
    <row r="78" spans="1:18" ht="13.95" customHeight="1">
      <c r="A78" s="105"/>
      <c r="B78" s="14"/>
      <c r="C78" s="54"/>
      <c r="D78" s="14"/>
      <c r="E78" s="33"/>
      <c r="F78" s="124"/>
      <c r="G78" s="86"/>
      <c r="H78" s="1020"/>
      <c r="J78" s="254"/>
      <c r="K78" s="254"/>
      <c r="L78" s="254"/>
    </row>
    <row r="79" spans="1:18" ht="15.6" customHeight="1">
      <c r="A79" s="71"/>
      <c r="B79" s="2317" t="s">
        <v>707</v>
      </c>
      <c r="C79" s="2317"/>
      <c r="D79" s="2317"/>
      <c r="E79" s="2317"/>
      <c r="F79" s="133"/>
      <c r="G79" s="83"/>
      <c r="H79" s="1006"/>
      <c r="J79" s="254"/>
      <c r="K79" s="254"/>
      <c r="L79" s="254"/>
    </row>
    <row r="80" spans="1:18" ht="15.6" customHeight="1">
      <c r="A80" s="71">
        <f>+A77+1</f>
        <v>45</v>
      </c>
      <c r="B80" s="37"/>
      <c r="C80" s="8" t="s">
        <v>135</v>
      </c>
      <c r="D80" s="8"/>
      <c r="E80" s="33" t="str">
        <f>"(Notes "&amp;A$339&amp;" &amp; "&amp;A$344&amp;")"</f>
        <v>(Notes FF &amp; KK)</v>
      </c>
      <c r="F80" s="124" t="str">
        <f>+"WP02 Support Line "&amp;'WP02 Support'!A$92&amp;" Column "&amp;'WP02 Support'!F$47</f>
        <v>WP02 Support Line 27 Column E</v>
      </c>
      <c r="G80" s="615">
        <f>+'WP02 Support'!F92</f>
        <v>0</v>
      </c>
      <c r="H80" s="1007">
        <f>+'WP02 Support'!F92</f>
        <v>0</v>
      </c>
      <c r="J80" s="254"/>
      <c r="K80" s="254"/>
      <c r="L80" s="254"/>
    </row>
    <row r="81" spans="1:12" ht="15.6" customHeight="1">
      <c r="A81" s="71">
        <f>+A80+1</f>
        <v>46</v>
      </c>
      <c r="B81" s="108"/>
      <c r="C81" s="8" t="s">
        <v>157</v>
      </c>
      <c r="D81" s="8"/>
      <c r="E81" s="33" t="str">
        <f>"(Notes "&amp;A$339&amp;" &amp; "&amp;A$344&amp;")"</f>
        <v>(Notes FF &amp; KK)</v>
      </c>
      <c r="F81" s="124" t="str">
        <f>+"WP02 Support Line "&amp;'WP02 Support'!A$92&amp;" Column "&amp;'WP02 Support'!G$47</f>
        <v>WP02 Support Line 27 Column F</v>
      </c>
      <c r="G81" s="615">
        <f>+'WP02 Support'!G92</f>
        <v>0</v>
      </c>
      <c r="H81" s="1007">
        <f>+'WP02 Support'!G92</f>
        <v>0</v>
      </c>
      <c r="J81" s="254"/>
      <c r="K81" s="254"/>
      <c r="L81" s="254"/>
    </row>
    <row r="82" spans="1:12" ht="15.6" customHeight="1">
      <c r="A82" s="71">
        <f t="shared" ref="A82:A87" si="1">+A81+1</f>
        <v>47</v>
      </c>
      <c r="B82" s="31"/>
      <c r="C82" s="54" t="s">
        <v>88</v>
      </c>
      <c r="D82" s="13"/>
      <c r="E82" s="31"/>
      <c r="F82" s="128" t="str">
        <f>"(Line "&amp;A$35&amp;")"</f>
        <v>(Line 18)</v>
      </c>
      <c r="G82" s="88">
        <f>+G$35</f>
        <v>0.19443682157949813</v>
      </c>
      <c r="H82" s="1017">
        <f>+H$35</f>
        <v>0.23399022078740567</v>
      </c>
      <c r="J82" s="254"/>
      <c r="K82" s="254"/>
      <c r="L82" s="254"/>
    </row>
    <row r="83" spans="1:12" ht="15.6" customHeight="1">
      <c r="A83" s="71">
        <f t="shared" si="1"/>
        <v>48</v>
      </c>
      <c r="B83" s="108"/>
      <c r="C83" s="54" t="str">
        <f>+"Total Transmission Allocated "&amp;C81</f>
        <v>Total Transmission Allocated Plant</v>
      </c>
      <c r="D83" s="8"/>
      <c r="E83" s="33"/>
      <c r="F83" s="128" t="str">
        <f>"(Line "&amp;A81&amp;" * Line "&amp;A82&amp;")"</f>
        <v>(Line 46 * Line 47)</v>
      </c>
      <c r="G83" s="603">
        <f>+G81*G82</f>
        <v>0</v>
      </c>
      <c r="H83" s="1018">
        <f>+H81*H82</f>
        <v>0</v>
      </c>
      <c r="J83" s="254"/>
      <c r="K83" s="254"/>
      <c r="L83" s="254"/>
    </row>
    <row r="84" spans="1:12" ht="15.6" customHeight="1">
      <c r="A84" s="71">
        <f t="shared" si="1"/>
        <v>49</v>
      </c>
      <c r="B84" s="108"/>
      <c r="C84" s="8" t="s">
        <v>142</v>
      </c>
      <c r="D84" s="8"/>
      <c r="E84" s="33" t="str">
        <f>"(Notes "&amp;A$339&amp;" &amp; "&amp;A$344&amp;")"</f>
        <v>(Notes FF &amp; KK)</v>
      </c>
      <c r="F84" s="124" t="str">
        <f>+"WP02 Support Line "&amp;'WP02 Support'!A$92&amp;" Column "&amp;'WP02 Support'!H$47</f>
        <v>WP02 Support Line 27 Column G</v>
      </c>
      <c r="G84" s="615">
        <f>+'WP02 Support'!H92</f>
        <v>275342974.17307693</v>
      </c>
      <c r="H84" s="1007">
        <f>+'WP02 Support'!H92</f>
        <v>275342974.17307693</v>
      </c>
      <c r="J84" s="254"/>
      <c r="K84" s="254"/>
      <c r="L84" s="254"/>
    </row>
    <row r="85" spans="1:12" s="254" customFormat="1" ht="15.6" customHeight="1">
      <c r="A85" s="71">
        <f t="shared" si="1"/>
        <v>50</v>
      </c>
      <c r="B85" s="47"/>
      <c r="C85" s="8" t="s">
        <v>110</v>
      </c>
      <c r="D85" s="8"/>
      <c r="E85" s="48"/>
      <c r="F85" s="124" t="str">
        <f>"(Line "&amp;A$24&amp;")"</f>
        <v>(Line 11)</v>
      </c>
      <c r="G85" s="244">
        <f>+G$24</f>
        <v>7.5696383376743087E-2</v>
      </c>
      <c r="H85" s="1013">
        <f>H$24</f>
        <v>7.5696383376743087E-2</v>
      </c>
    </row>
    <row r="86" spans="1:12" ht="15.6" customHeight="1">
      <c r="A86" s="71">
        <f t="shared" si="1"/>
        <v>51</v>
      </c>
      <c r="B86" s="108"/>
      <c r="C86" s="23" t="str">
        <f>+"Total Transmission Allocated "&amp;C84</f>
        <v>Total Transmission Allocated Labor</v>
      </c>
      <c r="D86" s="62"/>
      <c r="E86" s="70"/>
      <c r="F86" s="129" t="str">
        <f>"(Line "&amp;A84&amp;" * Line "&amp;A85&amp;")"</f>
        <v>(Line 49 * Line 50)</v>
      </c>
      <c r="G86" s="837">
        <f>+G84*G85</f>
        <v>20842467.333097901</v>
      </c>
      <c r="H86" s="1019">
        <f>+H84*H85</f>
        <v>20842467.333097901</v>
      </c>
      <c r="J86" s="254"/>
      <c r="K86" s="254"/>
      <c r="L86" s="254"/>
    </row>
    <row r="87" spans="1:12" ht="15.6" customHeight="1">
      <c r="A87" s="105">
        <f t="shared" si="1"/>
        <v>52</v>
      </c>
      <c r="B87" s="2294" t="s">
        <v>306</v>
      </c>
      <c r="C87" s="2294"/>
      <c r="D87" s="14"/>
      <c r="E87" s="33" t="str">
        <f>"(Note "&amp;A$329&amp;")"</f>
        <v>(Note V)</v>
      </c>
      <c r="F87" s="128" t="str">
        <f>"(Line "&amp;A80&amp;" + Line "&amp;A83&amp;" + Line "&amp;A86&amp;")"</f>
        <v>(Line 45 + Line 48 + Line 51)</v>
      </c>
      <c r="G87" s="603">
        <f>+G80+G83+G86</f>
        <v>20842467.333097901</v>
      </c>
      <c r="H87" s="1018">
        <f>+H80+H83+H86</f>
        <v>20842467.333097901</v>
      </c>
      <c r="J87" s="254"/>
      <c r="K87" s="254"/>
      <c r="L87" s="254"/>
    </row>
    <row r="88" spans="1:12" ht="13.95" customHeight="1">
      <c r="A88" s="71"/>
      <c r="B88" s="4"/>
      <c r="C88" s="8"/>
      <c r="D88" s="78"/>
      <c r="E88" s="33"/>
      <c r="F88" s="128"/>
      <c r="G88" s="85"/>
      <c r="H88" s="1022"/>
      <c r="J88" s="254"/>
      <c r="K88" s="254"/>
      <c r="L88" s="254"/>
    </row>
    <row r="89" spans="1:12" ht="15.6" customHeight="1">
      <c r="A89" s="71"/>
      <c r="B89" s="2300" t="s">
        <v>82</v>
      </c>
      <c r="C89" s="2300"/>
      <c r="D89" s="14"/>
      <c r="E89" s="33"/>
      <c r="F89" s="134"/>
      <c r="G89" s="87"/>
      <c r="H89" s="1023"/>
      <c r="J89" s="254"/>
      <c r="K89" s="254"/>
      <c r="L89" s="254"/>
    </row>
    <row r="90" spans="1:12" ht="15.6" customHeight="1">
      <c r="A90" s="71">
        <f>+A87+1</f>
        <v>53</v>
      </c>
      <c r="B90" s="108"/>
      <c r="C90" s="54" t="s">
        <v>73</v>
      </c>
      <c r="D90" s="8"/>
      <c r="E90" s="33" t="str">
        <f>"(Note "&amp;A$344&amp;")"</f>
        <v>(Note KK)</v>
      </c>
      <c r="F90" s="14" t="str">
        <f>+"WP07 M&amp;S Line "&amp;'WP07 M&amp;S'!A9&amp;" Column "&amp;'WP07 M&amp;S'!Q$6</f>
        <v>WP07 M&amp;S Line 2 Column P</v>
      </c>
      <c r="G90" s="616">
        <f>'WP07 M&amp;S'!Q9</f>
        <v>17923343.378461536</v>
      </c>
      <c r="H90" s="1024">
        <f>'WP07 M&amp;S'!Q9</f>
        <v>17923343.378461536</v>
      </c>
      <c r="J90" s="254"/>
      <c r="K90" s="254"/>
      <c r="L90" s="254"/>
    </row>
    <row r="91" spans="1:12" ht="15.6" customHeight="1">
      <c r="A91" s="105">
        <f>+A90+1</f>
        <v>54</v>
      </c>
      <c r="B91" s="14"/>
      <c r="C91" s="14" t="s">
        <v>621</v>
      </c>
      <c r="D91" s="8"/>
      <c r="E91" s="33" t="str">
        <f>"(Notes "&amp;A$308&amp;" &amp; "&amp;A$344&amp;")"</f>
        <v>(Notes A &amp; KK)</v>
      </c>
      <c r="F91" s="14" t="str">
        <f>+"WP07 M&amp;S Line "&amp;'WP07 M&amp;S'!A10&amp;" Column "&amp;'WP07 M&amp;S'!Q$6</f>
        <v>WP07 M&amp;S Line 3 Column P</v>
      </c>
      <c r="G91" s="629">
        <f>'WP07 M&amp;S'!Q10</f>
        <v>28622810.325384613</v>
      </c>
      <c r="H91" s="1025">
        <f>'WP07 M&amp;S'!Q10</f>
        <v>28622810.325384613</v>
      </c>
      <c r="J91" s="254"/>
      <c r="K91" s="254"/>
      <c r="L91" s="254"/>
    </row>
    <row r="92" spans="1:12" s="254" customFormat="1" ht="15.6" customHeight="1">
      <c r="A92" s="105">
        <f>+A91+1</f>
        <v>55</v>
      </c>
      <c r="B92" s="47"/>
      <c r="C92" s="8" t="s">
        <v>110</v>
      </c>
      <c r="D92" s="8"/>
      <c r="E92" s="48"/>
      <c r="F92" s="14" t="str">
        <f>"(Line "&amp;A$24&amp;")"</f>
        <v>(Line 11)</v>
      </c>
      <c r="G92" s="244">
        <f>+G$24</f>
        <v>7.5696383376743087E-2</v>
      </c>
      <c r="H92" s="1013">
        <f>H$24</f>
        <v>7.5696383376743087E-2</v>
      </c>
    </row>
    <row r="93" spans="1:12" ht="15.6" customHeight="1">
      <c r="A93" s="71">
        <f>+A92+1</f>
        <v>56</v>
      </c>
      <c r="B93" s="108"/>
      <c r="C93" s="1555" t="s">
        <v>117</v>
      </c>
      <c r="D93" s="62"/>
      <c r="E93" s="70"/>
      <c r="F93" s="129" t="str">
        <f>"(Line "&amp;A91&amp;" * Line "&amp;A92&amp;")"</f>
        <v>(Line 54 * Line 55)</v>
      </c>
      <c r="G93" s="616">
        <f>+G91*G92</f>
        <v>2166643.2237101141</v>
      </c>
      <c r="H93" s="1024">
        <f>+H91*H92</f>
        <v>2166643.2237101141</v>
      </c>
      <c r="J93" s="254"/>
      <c r="K93" s="254"/>
      <c r="L93" s="254"/>
    </row>
    <row r="94" spans="1:12" ht="15.6" customHeight="1">
      <c r="A94" s="71">
        <f>+A93+1</f>
        <v>57</v>
      </c>
      <c r="B94" s="108"/>
      <c r="C94" s="2306" t="s">
        <v>81</v>
      </c>
      <c r="D94" s="2306"/>
      <c r="E94" s="281"/>
      <c r="F94" s="128" t="str">
        <f>"(Line "&amp;A93&amp;" + Line "&amp;A90&amp;")"</f>
        <v>(Line 56 + Line 53)</v>
      </c>
      <c r="G94" s="617">
        <f>+G90+G93</f>
        <v>20089986.602171652</v>
      </c>
      <c r="H94" s="1026">
        <f>+H90+H93</f>
        <v>20089986.602171652</v>
      </c>
      <c r="J94" s="254"/>
      <c r="K94" s="254"/>
      <c r="L94" s="254"/>
    </row>
    <row r="95" spans="1:12" ht="13.95" customHeight="1">
      <c r="A95" s="71"/>
      <c r="B95" s="108"/>
      <c r="C95" s="8"/>
      <c r="D95" s="8"/>
      <c r="E95" s="33"/>
      <c r="F95" s="133"/>
      <c r="G95" s="83"/>
      <c r="H95" s="1006"/>
      <c r="J95" s="254"/>
      <c r="K95" s="254"/>
      <c r="L95" s="254"/>
    </row>
    <row r="96" spans="1:12" ht="15.6" customHeight="1">
      <c r="A96" s="71"/>
      <c r="B96" s="2300" t="s">
        <v>84</v>
      </c>
      <c r="C96" s="2300"/>
      <c r="D96" s="8"/>
      <c r="E96" s="33"/>
      <c r="F96" s="133"/>
      <c r="G96" s="83"/>
      <c r="H96" s="1006"/>
      <c r="J96" s="254"/>
      <c r="K96" s="254"/>
      <c r="L96" s="254"/>
    </row>
    <row r="97" spans="1:19" ht="15.6" customHeight="1">
      <c r="A97" s="71">
        <f>+A94+1</f>
        <v>58</v>
      </c>
      <c r="B97" s="37"/>
      <c r="C97" s="8" t="s">
        <v>135</v>
      </c>
      <c r="D97" s="8"/>
      <c r="E97" s="33" t="str">
        <f>"(Note "&amp;A$344&amp;")"</f>
        <v>(Note KK)</v>
      </c>
      <c r="F97" s="124" t="str">
        <f>+"WP08 Prepay Line "&amp;'WP08 Prepay'!A$65&amp;" Column "&amp;'WP08 Prepay'!F$5</f>
        <v>WP08 Prepay Line 8 Column E</v>
      </c>
      <c r="G97" s="615">
        <f>+'WP08 Prepay'!F$65</f>
        <v>125066.8746153846</v>
      </c>
      <c r="H97" s="1007">
        <f>+'WP08 Prepay'!F65</f>
        <v>125066.8746153846</v>
      </c>
      <c r="J97" s="254"/>
      <c r="K97" s="254"/>
      <c r="L97" s="254"/>
    </row>
    <row r="98" spans="1:19" ht="15.6" customHeight="1">
      <c r="A98" s="71">
        <f>+A97+1</f>
        <v>59</v>
      </c>
      <c r="B98" s="108"/>
      <c r="C98" s="8" t="s">
        <v>157</v>
      </c>
      <c r="D98" s="8"/>
      <c r="E98" s="33" t="str">
        <f>"(Note "&amp;A$344&amp;")"</f>
        <v>(Note KK)</v>
      </c>
      <c r="F98" s="124" t="str">
        <f>+"WP08 Prepay Line "&amp;'WP08 Prepay'!A65&amp;" Column "&amp;'WP08 Prepay'!G$5</f>
        <v>WP08 Prepay Line 8 Column F</v>
      </c>
      <c r="G98" s="615">
        <f>+'WP08 Prepay'!G65</f>
        <v>8458123.38384616</v>
      </c>
      <c r="H98" s="1007">
        <f>+'WP08 Prepay'!G65</f>
        <v>8458123.38384616</v>
      </c>
      <c r="J98" s="254"/>
      <c r="K98" s="254"/>
      <c r="L98" s="254"/>
    </row>
    <row r="99" spans="1:19" ht="15.6" customHeight="1">
      <c r="A99" s="71">
        <f t="shared" ref="A99:A104" si="2">+A98+1</f>
        <v>60</v>
      </c>
      <c r="B99" s="31"/>
      <c r="C99" s="54" t="s">
        <v>88</v>
      </c>
      <c r="D99" s="13"/>
      <c r="E99" s="31"/>
      <c r="F99" s="128" t="str">
        <f>"(Line "&amp;A$35&amp;")"</f>
        <v>(Line 18)</v>
      </c>
      <c r="G99" s="88">
        <f>+G$35</f>
        <v>0.19443682157949813</v>
      </c>
      <c r="H99" s="1017">
        <f>+H$35</f>
        <v>0.23399022078740567</v>
      </c>
      <c r="J99" s="254"/>
      <c r="K99" s="254"/>
      <c r="L99" s="254"/>
    </row>
    <row r="100" spans="1:19" ht="15.6" customHeight="1">
      <c r="A100" s="71">
        <f t="shared" si="2"/>
        <v>61</v>
      </c>
      <c r="B100" s="108"/>
      <c r="C100" s="54" t="str">
        <f>+"Total Transmission Allocated "&amp;C98</f>
        <v>Total Transmission Allocated Plant</v>
      </c>
      <c r="D100" s="8"/>
      <c r="E100" s="33"/>
      <c r="F100" s="128" t="str">
        <f>"(Line "&amp;A98&amp;" * Line "&amp;A99&amp;")"</f>
        <v>(Line 59 * Line 60)</v>
      </c>
      <c r="G100" s="603">
        <f>+G98*G99</f>
        <v>1644570.6272822767</v>
      </c>
      <c r="H100" s="1018">
        <f>+H98*H99</f>
        <v>1979118.1580332818</v>
      </c>
      <c r="J100" s="254"/>
      <c r="K100" s="254"/>
      <c r="L100" s="254"/>
    </row>
    <row r="101" spans="1:19" ht="15.6" customHeight="1">
      <c r="A101" s="71">
        <f t="shared" si="2"/>
        <v>62</v>
      </c>
      <c r="B101" s="108"/>
      <c r="C101" s="8" t="s">
        <v>142</v>
      </c>
      <c r="D101" s="8"/>
      <c r="E101" s="33" t="str">
        <f>"(Note "&amp;A$344&amp;")"</f>
        <v>(Note KK)</v>
      </c>
      <c r="F101" s="124" t="str">
        <f>+"WP08 Prepay Line "&amp;'WP08 Prepay'!A$65&amp;" Column "&amp;'WP08 Prepay'!H$5</f>
        <v>WP08 Prepay Line 8 Column G</v>
      </c>
      <c r="G101" s="615">
        <f>+'WP08 Prepay'!H65</f>
        <v>1017684.3738461537</v>
      </c>
      <c r="H101" s="1007">
        <f>+'WP08 Prepay'!H65</f>
        <v>1017684.3738461537</v>
      </c>
      <c r="J101" s="254"/>
      <c r="K101" s="254"/>
      <c r="L101" s="254"/>
    </row>
    <row r="102" spans="1:19" s="254" customFormat="1" ht="15.6" customHeight="1">
      <c r="A102" s="105">
        <f t="shared" si="2"/>
        <v>63</v>
      </c>
      <c r="B102" s="47"/>
      <c r="C102" s="8" t="s">
        <v>110</v>
      </c>
      <c r="D102" s="8"/>
      <c r="E102" s="48"/>
      <c r="F102" s="124" t="str">
        <f>"(Line "&amp;A$24&amp;")"</f>
        <v>(Line 11)</v>
      </c>
      <c r="G102" s="244">
        <f>+G$24</f>
        <v>7.5696383376743087E-2</v>
      </c>
      <c r="H102" s="1013">
        <f>H$24</f>
        <v>7.5696383376743087E-2</v>
      </c>
    </row>
    <row r="103" spans="1:19" ht="15.6" customHeight="1">
      <c r="A103" s="71">
        <f t="shared" si="2"/>
        <v>64</v>
      </c>
      <c r="B103" s="108"/>
      <c r="C103" s="23" t="str">
        <f>+"Total Transmission Allocated "&amp;C101</f>
        <v>Total Transmission Allocated Labor</v>
      </c>
      <c r="D103" s="62"/>
      <c r="E103" s="70"/>
      <c r="F103" s="129" t="str">
        <f>"(Line "&amp;A101&amp;" * Line "&amp;A102&amp;")"</f>
        <v>(Line 62 * Line 63)</v>
      </c>
      <c r="G103" s="837">
        <f>+G101*G102</f>
        <v>77035.026519179184</v>
      </c>
      <c r="H103" s="1019">
        <f>+H101*H102</f>
        <v>77035.026519179184</v>
      </c>
      <c r="J103" s="254"/>
      <c r="K103" s="254"/>
      <c r="L103" s="254"/>
    </row>
    <row r="104" spans="1:19" ht="15.6" customHeight="1">
      <c r="A104" s="71">
        <f t="shared" si="2"/>
        <v>65</v>
      </c>
      <c r="B104" s="2286" t="s">
        <v>307</v>
      </c>
      <c r="C104" s="2286"/>
      <c r="D104" s="32"/>
      <c r="E104" s="449" t="str">
        <f>"(Note "&amp;A$308&amp;")"</f>
        <v>(Note A)</v>
      </c>
      <c r="F104" s="128" t="str">
        <f>"(Line "&amp;A97&amp;" + Line "&amp;A100&amp;" + Line "&amp;A103&amp;")"</f>
        <v>(Line 58 + Line 61 + Line 64)</v>
      </c>
      <c r="G104" s="603">
        <f>+G97+G100+G103</f>
        <v>1846672.5284168404</v>
      </c>
      <c r="H104" s="1018">
        <f>+H97+H100+H103</f>
        <v>2181220.0591678456</v>
      </c>
      <c r="J104" s="254"/>
      <c r="K104" s="254"/>
      <c r="L104" s="254"/>
    </row>
    <row r="105" spans="1:19" ht="13.95" customHeight="1">
      <c r="A105" s="71"/>
      <c r="B105" s="108"/>
      <c r="C105" s="14"/>
      <c r="D105" s="8"/>
      <c r="E105" s="31"/>
      <c r="F105" s="128"/>
      <c r="G105" s="86"/>
      <c r="H105" s="1020"/>
      <c r="J105" s="254"/>
      <c r="K105" s="254"/>
      <c r="L105" s="254"/>
    </row>
    <row r="106" spans="1:19" ht="15.6" customHeight="1">
      <c r="A106" s="71">
        <f>+A104+1</f>
        <v>66</v>
      </c>
      <c r="B106" s="2286" t="s">
        <v>308</v>
      </c>
      <c r="C106" s="2286"/>
      <c r="D106" s="78"/>
      <c r="E106" s="33" t="str">
        <f>"(Notes "&amp;A$309&amp;" &amp; "&amp;A$310&amp;")"</f>
        <v>(Notes B &amp; C)</v>
      </c>
      <c r="F106" s="936" t="str">
        <f>+"WP09 PHFU Line "&amp;'WP09 PHFU'!A11&amp;" Columns "&amp;'WP09 PHFU'!P5&amp;", "&amp;'WP09 PHFU'!O5</f>
        <v>WP09 PHFU Line 5 Columns O, N</v>
      </c>
      <c r="G106" s="96">
        <f>+'WP09 PHFU'!P11</f>
        <v>2404681.41</v>
      </c>
      <c r="H106" s="1002">
        <f>+'WP09 PHFU'!O11</f>
        <v>2404681.41</v>
      </c>
      <c r="J106" s="254"/>
      <c r="K106" s="254"/>
      <c r="L106" s="254"/>
    </row>
    <row r="107" spans="1:19" ht="13.95" customHeight="1">
      <c r="A107" s="71"/>
      <c r="B107" s="108"/>
      <c r="C107" s="54"/>
      <c r="D107" s="8"/>
      <c r="E107" s="31"/>
      <c r="F107" s="134"/>
      <c r="G107" s="83"/>
      <c r="H107" s="1006"/>
      <c r="J107" s="254"/>
      <c r="K107" s="254"/>
      <c r="L107" s="254"/>
    </row>
    <row r="108" spans="1:19" ht="15.6" customHeight="1">
      <c r="A108" s="71"/>
      <c r="B108" s="2300" t="s">
        <v>85</v>
      </c>
      <c r="C108" s="2300"/>
      <c r="D108" s="8"/>
      <c r="E108" s="33"/>
      <c r="F108" s="134"/>
      <c r="G108" s="83"/>
      <c r="H108" s="1006"/>
      <c r="J108" s="254"/>
      <c r="K108" s="254"/>
      <c r="L108" s="254"/>
    </row>
    <row r="109" spans="1:19" ht="15.6" customHeight="1">
      <c r="A109" s="71">
        <f>+A106+1</f>
        <v>67</v>
      </c>
      <c r="B109" s="108"/>
      <c r="C109" s="54" t="s">
        <v>116</v>
      </c>
      <c r="D109" s="13"/>
      <c r="E109" s="33"/>
      <c r="F109" s="128" t="str">
        <f>"(Line "&amp;A$156&amp;")"</f>
        <v>(Line 102)</v>
      </c>
      <c r="G109" s="603">
        <f>+G156</f>
        <v>62232200.080583438</v>
      </c>
      <c r="H109" s="1018">
        <f>+H156</f>
        <v>62791495.516680054</v>
      </c>
      <c r="J109" s="254"/>
      <c r="K109" s="254"/>
      <c r="L109" s="254"/>
      <c r="M109" s="254"/>
      <c r="N109" s="254"/>
      <c r="O109" s="254"/>
      <c r="P109" s="254"/>
      <c r="Q109" s="254"/>
      <c r="R109" s="254"/>
      <c r="S109" s="254"/>
    </row>
    <row r="110" spans="1:19" ht="15.6" customHeight="1">
      <c r="A110" s="71">
        <f>+A109+1</f>
        <v>68</v>
      </c>
      <c r="B110" s="108"/>
      <c r="C110" s="13" t="s">
        <v>141</v>
      </c>
      <c r="D110" s="13"/>
      <c r="E110" s="33" t="str">
        <f>"(Note "&amp;A$315&amp;")"</f>
        <v>(Note H)</v>
      </c>
      <c r="F110" s="839"/>
      <c r="G110" s="627">
        <f>IFERROR(INDEX(#REF!,MATCH($B110,#REF!,0)),0)</f>
        <v>0</v>
      </c>
      <c r="H110" s="1038">
        <f>IFERROR(INDEX(#REF!,MATCH($B110,#REF!,0)),0)</f>
        <v>0</v>
      </c>
      <c r="J110" s="1526" t="s">
        <v>1525</v>
      </c>
      <c r="K110" s="254"/>
      <c r="L110" s="254"/>
    </row>
    <row r="111" spans="1:19" s="1" customFormat="1" ht="15.6" customHeight="1">
      <c r="A111" s="71">
        <f>+A110+1</f>
        <v>69</v>
      </c>
      <c r="B111" s="109"/>
      <c r="C111" s="2302" t="s">
        <v>72</v>
      </c>
      <c r="D111" s="2302"/>
      <c r="E111" s="838"/>
      <c r="F111" s="128" t="str">
        <f>"(Line "&amp;A109&amp;" * Line "&amp;A110&amp;")"</f>
        <v>(Line 67 * Line 68)</v>
      </c>
      <c r="G111" s="603">
        <f>+G109*G110</f>
        <v>0</v>
      </c>
      <c r="H111" s="1018">
        <f>+H109*H110</f>
        <v>0</v>
      </c>
      <c r="I111" s="34"/>
      <c r="J111" s="1527"/>
      <c r="K111" s="34"/>
      <c r="L111" s="34"/>
    </row>
    <row r="112" spans="1:19" s="1" customFormat="1" ht="13.95" customHeight="1">
      <c r="A112" s="71"/>
      <c r="B112" s="109"/>
      <c r="C112" s="37"/>
      <c r="D112" s="937"/>
      <c r="E112" s="183"/>
      <c r="F112" s="128"/>
      <c r="G112" s="618"/>
      <c r="H112" s="1028"/>
      <c r="I112" s="34"/>
      <c r="J112" s="1527"/>
      <c r="K112" s="34"/>
      <c r="L112" s="34"/>
    </row>
    <row r="113" spans="1:13" s="1" customFormat="1" ht="15.6" customHeight="1">
      <c r="A113" s="110"/>
      <c r="B113" s="37" t="s">
        <v>147</v>
      </c>
      <c r="C113" s="35"/>
      <c r="D113" s="52"/>
      <c r="E113" s="35"/>
      <c r="F113" s="123"/>
      <c r="G113" s="618"/>
      <c r="H113" s="1028"/>
      <c r="I113" s="34"/>
      <c r="J113" s="1527"/>
      <c r="K113" s="34"/>
      <c r="L113" s="34"/>
    </row>
    <row r="114" spans="1:13" ht="15.6" customHeight="1">
      <c r="A114" s="71">
        <f>+A111+1</f>
        <v>70</v>
      </c>
      <c r="B114" s="9"/>
      <c r="C114" s="14" t="s">
        <v>149</v>
      </c>
      <c r="D114" s="9"/>
      <c r="E114" s="33" t="str">
        <f>"(Notes "&amp;A$309&amp;" &amp; "&amp;A$321&amp;")"</f>
        <v>(Notes B &amp; N)</v>
      </c>
      <c r="F114" s="124"/>
      <c r="G114" s="201">
        <f>IFERROR(INDEX(#REF!,MATCH($B114,#REF!,0)),0)</f>
        <v>0</v>
      </c>
      <c r="H114" s="1021">
        <f>IFERROR(INDEX(#REF!,MATCH($B114,#REF!,0)),0)</f>
        <v>0</v>
      </c>
      <c r="J114" s="1526" t="s">
        <v>1521</v>
      </c>
      <c r="K114" s="34"/>
      <c r="L114" s="34"/>
      <c r="M114" s="1"/>
    </row>
    <row r="115" spans="1:13" ht="15.6" customHeight="1">
      <c r="A115" s="102">
        <f>+A114+1</f>
        <v>71</v>
      </c>
      <c r="B115" s="14"/>
      <c r="C115" s="2304" t="s">
        <v>622</v>
      </c>
      <c r="D115" s="2304"/>
      <c r="E115" s="70" t="str">
        <f>"(Notes "&amp;A$309&amp;" &amp; "&amp;A$321&amp;")"</f>
        <v>(Notes B &amp; N)</v>
      </c>
      <c r="F115" s="252"/>
      <c r="G115" s="675">
        <f>IFERROR(INDEX(#REF!,MATCH($B115,#REF!,0)),0)</f>
        <v>0</v>
      </c>
      <c r="H115" s="1029">
        <f>IFERROR(INDEX(#REF!,MATCH($B115,#REF!,0)),0)</f>
        <v>0</v>
      </c>
      <c r="J115" s="1526" t="s">
        <v>1521</v>
      </c>
      <c r="K115" s="34"/>
      <c r="L115" s="34"/>
      <c r="M115" s="1"/>
    </row>
    <row r="116" spans="1:13" ht="15.6" customHeight="1">
      <c r="A116" s="102">
        <f>+A115+1</f>
        <v>72</v>
      </c>
      <c r="B116" s="9"/>
      <c r="C116" s="9" t="s">
        <v>150</v>
      </c>
      <c r="D116" s="9"/>
      <c r="E116" s="33"/>
      <c r="F116" s="123" t="str">
        <f>"(Line "&amp;A114&amp;" - Line "&amp;A115&amp;")"</f>
        <v>(Line 70 - Line 71)</v>
      </c>
      <c r="G116" s="617">
        <f>+G114-G115</f>
        <v>0</v>
      </c>
      <c r="H116" s="1026">
        <f>+H114-H115</f>
        <v>0</v>
      </c>
      <c r="J116" s="34"/>
      <c r="K116" s="34"/>
      <c r="L116" s="34"/>
      <c r="M116" s="1"/>
    </row>
    <row r="117" spans="1:13" ht="13.95" customHeight="1">
      <c r="A117" s="102"/>
      <c r="B117" s="9"/>
      <c r="C117" s="9"/>
      <c r="D117" s="9"/>
      <c r="E117" s="33"/>
      <c r="F117" s="127"/>
      <c r="G117" s="619"/>
      <c r="H117" s="1030"/>
      <c r="J117" s="34"/>
      <c r="K117" s="34"/>
      <c r="L117" s="34"/>
      <c r="M117" s="1"/>
    </row>
    <row r="118" spans="1:13" ht="15.6" customHeight="1" thickBot="1">
      <c r="A118" s="102">
        <f>+A116+1</f>
        <v>73</v>
      </c>
      <c r="B118" s="2305" t="s">
        <v>111</v>
      </c>
      <c r="C118" s="2305"/>
      <c r="D118" s="3"/>
      <c r="E118" s="154"/>
      <c r="F118" s="942" t="str">
        <f>"(Line "&amp;A75&amp;" + Line "&amp;A77&amp;" + Line "&amp;A87&amp;" + Line "&amp;A94&amp;" + Line "&amp;A104&amp;" + Line "&amp;A106&amp;" + Line "&amp;A111&amp;" - Line "&amp;A116&amp;")"</f>
        <v>(Line 43 + Line 44 + Line 52 + Line 57 + Line 65 + Line 66 + Line 69 - Line 72)</v>
      </c>
      <c r="G118" s="563">
        <f>SUM(G75,G77,G87,G104,G106,G94,G111)-G116</f>
        <v>116317286.66189903</v>
      </c>
      <c r="H118" s="1014">
        <f>SUM(H75,H87,H104,H106,H94,H111)-H116+H77</f>
        <v>128053785.24552712</v>
      </c>
      <c r="J118" s="34"/>
      <c r="K118" s="34"/>
      <c r="L118" s="34"/>
      <c r="M118" s="1"/>
    </row>
    <row r="119" spans="1:13" ht="13.95" customHeight="1" thickTop="1">
      <c r="A119" s="102"/>
      <c r="B119" s="9"/>
      <c r="C119" s="9"/>
      <c r="D119" s="9"/>
      <c r="E119" s="26"/>
      <c r="F119" s="127"/>
      <c r="G119" s="619"/>
      <c r="H119" s="1030"/>
      <c r="J119" s="34"/>
      <c r="K119" s="34"/>
      <c r="L119" s="34"/>
      <c r="M119" s="1"/>
    </row>
    <row r="120" spans="1:13" ht="15.6" customHeight="1" thickBot="1">
      <c r="A120" s="100">
        <f>+A118+1</f>
        <v>74</v>
      </c>
      <c r="B120" s="2305" t="s">
        <v>107</v>
      </c>
      <c r="C120" s="2305"/>
      <c r="D120" s="3"/>
      <c r="E120" s="27"/>
      <c r="F120" s="125" t="str">
        <f>"(Line "&amp;A63&amp;" + Line "&amp;A118&amp;")"</f>
        <v>(Line 35 + Line 73)</v>
      </c>
      <c r="G120" s="620">
        <f>+G63+G118</f>
        <v>2101178983.8971336</v>
      </c>
      <c r="H120" s="1031">
        <f>+H63+H118</f>
        <v>2618077184.2847176</v>
      </c>
      <c r="J120" s="34"/>
      <c r="K120" s="34"/>
      <c r="L120" s="34"/>
      <c r="M120" s="1"/>
    </row>
    <row r="121" spans="1:13" ht="13.95" customHeight="1" thickTop="1">
      <c r="A121" s="111"/>
      <c r="B121" s="9"/>
      <c r="C121" s="9"/>
      <c r="D121" s="9"/>
      <c r="E121" s="26"/>
      <c r="F121" s="127"/>
      <c r="G121" s="619"/>
      <c r="H121" s="1030"/>
      <c r="J121" s="34"/>
      <c r="K121" s="34"/>
      <c r="L121" s="34"/>
      <c r="M121" s="1"/>
    </row>
    <row r="122" spans="1:13" s="254" customFormat="1" ht="15.6" customHeight="1">
      <c r="A122" s="998" t="s">
        <v>126</v>
      </c>
      <c r="B122" s="236"/>
      <c r="C122" s="237"/>
      <c r="D122" s="237"/>
      <c r="E122" s="831"/>
      <c r="F122" s="239"/>
      <c r="G122" s="621"/>
      <c r="H122" s="1032"/>
      <c r="J122" s="34"/>
      <c r="K122" s="34"/>
      <c r="L122" s="34"/>
      <c r="M122" s="1"/>
    </row>
    <row r="123" spans="1:13" s="254" customFormat="1" ht="13.95" customHeight="1">
      <c r="A123" s="112"/>
      <c r="B123" s="8"/>
      <c r="C123" s="8"/>
      <c r="D123" s="8"/>
      <c r="E123" s="48"/>
      <c r="F123" s="124"/>
      <c r="G123" s="622"/>
      <c r="H123" s="1033"/>
      <c r="J123" s="34"/>
      <c r="K123" s="34"/>
      <c r="L123" s="34"/>
      <c r="M123" s="1"/>
    </row>
    <row r="124" spans="1:13" ht="15.6" customHeight="1">
      <c r="A124" s="100"/>
      <c r="B124" s="4" t="s">
        <v>475</v>
      </c>
      <c r="C124" s="5"/>
      <c r="D124" s="45"/>
      <c r="E124" s="51"/>
      <c r="F124" s="127"/>
      <c r="G124" s="623"/>
      <c r="H124" s="1034"/>
      <c r="J124" s="34"/>
      <c r="K124" s="34"/>
      <c r="L124" s="34"/>
      <c r="M124" s="1"/>
    </row>
    <row r="125" spans="1:13" ht="15.6" customHeight="1">
      <c r="A125" s="71">
        <f>+A120+1</f>
        <v>75</v>
      </c>
      <c r="B125" s="31"/>
      <c r="C125" s="56" t="s">
        <v>100</v>
      </c>
      <c r="D125" s="8"/>
      <c r="E125" s="33" t="str">
        <f>"(Note "&amp;A$322&amp;")"</f>
        <v>(Note O)</v>
      </c>
      <c r="F125" s="128" t="s">
        <v>676</v>
      </c>
      <c r="G125" s="201">
        <v>93618866</v>
      </c>
      <c r="H125" s="1021">
        <v>93618866</v>
      </c>
      <c r="J125" s="34"/>
      <c r="K125" s="34"/>
      <c r="L125" s="34"/>
      <c r="M125" s="1"/>
    </row>
    <row r="126" spans="1:13" ht="15.6" customHeight="1">
      <c r="A126" s="71">
        <f>+A125+1</f>
        <v>76</v>
      </c>
      <c r="B126" s="31"/>
      <c r="C126" s="178" t="s">
        <v>486</v>
      </c>
      <c r="D126" s="8"/>
      <c r="E126" s="33" t="str">
        <f>"(Note "&amp;A$338&amp;")"</f>
        <v>(Note EE)</v>
      </c>
      <c r="F126" s="128" t="s">
        <v>950</v>
      </c>
      <c r="G126" s="201">
        <v>25939848</v>
      </c>
      <c r="H126" s="1021">
        <v>25939848</v>
      </c>
      <c r="K126" s="34"/>
      <c r="L126" s="34"/>
      <c r="M126" s="1"/>
    </row>
    <row r="127" spans="1:13" ht="15.6" customHeight="1">
      <c r="A127" s="71">
        <f>+A126+1</f>
        <v>77</v>
      </c>
      <c r="B127" s="31"/>
      <c r="C127" s="2286" t="s">
        <v>623</v>
      </c>
      <c r="D127" s="2286"/>
      <c r="E127" s="840"/>
      <c r="F127" s="56" t="s">
        <v>760</v>
      </c>
      <c r="G127" s="201">
        <v>27014206</v>
      </c>
      <c r="H127" s="1021">
        <v>27014206</v>
      </c>
      <c r="J127" s="34"/>
      <c r="K127" s="34"/>
      <c r="L127" s="34"/>
      <c r="M127" s="1"/>
    </row>
    <row r="128" spans="1:13" ht="15.6" customHeight="1">
      <c r="A128" s="71">
        <f t="shared" ref="A128:A129" si="3">+A127+1</f>
        <v>78</v>
      </c>
      <c r="B128" s="31"/>
      <c r="C128" s="2286" t="s">
        <v>951</v>
      </c>
      <c r="D128" s="2286"/>
      <c r="E128" s="2286"/>
      <c r="F128" s="56" t="s">
        <v>952</v>
      </c>
      <c r="G128" s="201">
        <f>IFERROR(INDEX(#REF!,MATCH($C128,#REF!,0)),0)</f>
        <v>0</v>
      </c>
      <c r="H128" s="1021">
        <f>IFERROR(INDEX(#REF!,MATCH($C128,#REF!,0)),0)</f>
        <v>0</v>
      </c>
      <c r="J128" s="1526" t="s">
        <v>1526</v>
      </c>
      <c r="K128" s="34"/>
      <c r="L128" s="34"/>
      <c r="M128" s="1"/>
    </row>
    <row r="129" spans="1:13" ht="15.6" customHeight="1">
      <c r="A129" s="71">
        <f t="shared" si="3"/>
        <v>79</v>
      </c>
      <c r="B129" s="31"/>
      <c r="C129" s="841" t="s">
        <v>512</v>
      </c>
      <c r="D129" s="8"/>
      <c r="E129" s="33" t="str">
        <f>"(Note "&amp;A$339&amp;")"</f>
        <v>(Note FF)</v>
      </c>
      <c r="F129" s="639" t="str">
        <f>+"WP02 Support Line "&amp;'WP02 Support'!A107&amp;" Column "&amp;'WP02 Support'!D95</f>
        <v>WP02 Support Line 32 Column C</v>
      </c>
      <c r="G129" s="624">
        <f>+'WP02 Support'!D107</f>
        <v>-85748.103697150829</v>
      </c>
      <c r="H129" s="1003">
        <f>+'WP02 Support'!D107</f>
        <v>-85748.103697150829</v>
      </c>
      <c r="J129" s="34"/>
      <c r="K129" s="34"/>
      <c r="L129" s="34"/>
      <c r="M129" s="1"/>
    </row>
    <row r="130" spans="1:13" ht="15.6" customHeight="1">
      <c r="A130" s="71">
        <f>+A129+1</f>
        <v>80</v>
      </c>
      <c r="B130" s="8"/>
      <c r="C130" s="278" t="s">
        <v>100</v>
      </c>
      <c r="D130" s="276"/>
      <c r="E130" s="277"/>
      <c r="F130" s="133" t="str">
        <f>"(Line "&amp;A125&amp;" - Line "&amp;A126&amp;" - Line "&amp;A127&amp;" + Line "&amp;A128&amp;" + "&amp;" Line "&amp;A129&amp;")"</f>
        <v>(Line 75 - Line 76 - Line 77 + Line 78 +  Line 79)</v>
      </c>
      <c r="G130" s="68">
        <f>+G125-G126-G127+G128+G129</f>
        <v>40579063.896302849</v>
      </c>
      <c r="H130" s="68">
        <f>+H125-H126-H127+H128+H129</f>
        <v>40579063.896302849</v>
      </c>
      <c r="J130" s="34"/>
      <c r="K130" s="34"/>
      <c r="L130" s="34"/>
      <c r="M130" s="1"/>
    </row>
    <row r="131" spans="1:13" ht="9.9" customHeight="1">
      <c r="A131" s="71"/>
      <c r="B131" s="31"/>
      <c r="C131" s="4"/>
      <c r="D131" s="8"/>
      <c r="E131" s="101"/>
      <c r="F131" s="135"/>
      <c r="G131" s="68"/>
      <c r="H131" s="1012"/>
      <c r="J131" s="34"/>
      <c r="K131" s="34"/>
      <c r="L131" s="34"/>
      <c r="M131" s="1"/>
    </row>
    <row r="132" spans="1:13" ht="15.6" customHeight="1">
      <c r="A132" s="71"/>
      <c r="B132" s="2300" t="s">
        <v>476</v>
      </c>
      <c r="C132" s="2300"/>
      <c r="D132" s="8"/>
      <c r="E132" s="101"/>
      <c r="F132" s="135"/>
      <c r="G132" s="68"/>
      <c r="H132" s="1012"/>
      <c r="J132" s="34"/>
      <c r="K132" s="34"/>
      <c r="L132" s="34"/>
      <c r="M132" s="1"/>
    </row>
    <row r="133" spans="1:13" ht="15.6" customHeight="1">
      <c r="A133" s="71">
        <f>+A130+1</f>
        <v>81</v>
      </c>
      <c r="B133" s="31"/>
      <c r="C133" s="56" t="s">
        <v>103</v>
      </c>
      <c r="D133" s="8"/>
      <c r="E133" s="33" t="str">
        <f>"(Note "&amp;A$322&amp;")"</f>
        <v>(Note O)</v>
      </c>
      <c r="F133" s="128" t="s">
        <v>677</v>
      </c>
      <c r="G133" s="201">
        <v>285411971</v>
      </c>
      <c r="H133" s="1021">
        <v>285411971</v>
      </c>
      <c r="J133" s="34"/>
      <c r="K133" s="34"/>
      <c r="L133" s="34"/>
      <c r="M133" s="1"/>
    </row>
    <row r="134" spans="1:13" ht="15.6" customHeight="1">
      <c r="A134" s="71">
        <f>+A133+1</f>
        <v>82</v>
      </c>
      <c r="B134" s="31"/>
      <c r="C134" s="2286" t="s">
        <v>734</v>
      </c>
      <c r="D134" s="2286"/>
      <c r="E134" s="33" t="str">
        <f>"(Note "&amp;A$311&amp;")"</f>
        <v>(Note D)</v>
      </c>
      <c r="F134" s="941" t="str">
        <f>+"WP12 PBOP Line "&amp;'WP12 PBOP'!A11&amp;" Column "&amp;'WP12 PBOP'!C6</f>
        <v>WP12 PBOP Line 3 Column B</v>
      </c>
      <c r="G134" s="96">
        <f>+'WP12 PBOP'!$C11</f>
        <v>-3362670</v>
      </c>
      <c r="H134" s="1002">
        <f>+'WP12 PBOP'!$C11</f>
        <v>-3362670</v>
      </c>
      <c r="J134" s="254"/>
      <c r="K134" s="254"/>
      <c r="L134" s="254"/>
    </row>
    <row r="135" spans="1:13" ht="15.6" customHeight="1">
      <c r="A135" s="71">
        <f>+A134+1</f>
        <v>83</v>
      </c>
      <c r="B135" s="31"/>
      <c r="C135" s="178" t="s">
        <v>508</v>
      </c>
      <c r="D135" s="46"/>
      <c r="E135" s="33"/>
      <c r="F135" s="136" t="s">
        <v>678</v>
      </c>
      <c r="G135" s="201">
        <v>18179896</v>
      </c>
      <c r="H135" s="1021">
        <v>18179896</v>
      </c>
      <c r="J135" s="254"/>
      <c r="K135" s="254"/>
      <c r="L135" s="254"/>
    </row>
    <row r="136" spans="1:13" ht="15.6" customHeight="1">
      <c r="A136" s="71">
        <f t="shared" ref="A136:A143" si="4">+A135+1</f>
        <v>84</v>
      </c>
      <c r="B136" s="31"/>
      <c r="C136" s="2286" t="s">
        <v>624</v>
      </c>
      <c r="D136" s="2286"/>
      <c r="E136" s="33" t="str">
        <f>"(Note "&amp;A$312&amp;")"</f>
        <v>(Note E)</v>
      </c>
      <c r="F136" s="136" t="s">
        <v>679</v>
      </c>
      <c r="G136" s="201">
        <v>9421878</v>
      </c>
      <c r="H136" s="1021">
        <v>9421878</v>
      </c>
      <c r="J136" s="254"/>
      <c r="K136" s="254"/>
      <c r="L136" s="254"/>
    </row>
    <row r="137" spans="1:13" ht="15.6" customHeight="1">
      <c r="A137" s="71">
        <f t="shared" si="4"/>
        <v>85</v>
      </c>
      <c r="B137" s="31"/>
      <c r="C137" s="2286" t="s">
        <v>625</v>
      </c>
      <c r="D137" s="2286"/>
      <c r="E137" s="33"/>
      <c r="F137" s="136" t="s">
        <v>680</v>
      </c>
      <c r="G137" s="201">
        <v>883204</v>
      </c>
      <c r="H137" s="1021">
        <v>883204</v>
      </c>
      <c r="J137" s="254"/>
      <c r="K137" s="254"/>
      <c r="L137" s="254"/>
    </row>
    <row r="138" spans="1:13" ht="15.6" customHeight="1">
      <c r="A138" s="71">
        <f>+A137+1</f>
        <v>86</v>
      </c>
      <c r="B138" s="31"/>
      <c r="C138" s="178" t="s">
        <v>509</v>
      </c>
      <c r="D138" s="46"/>
      <c r="E138" s="33" t="str">
        <f>"(Notes "&amp;A$331&amp;" &amp; "&amp;A$339&amp;")"</f>
        <v>(Notes X &amp; FF)</v>
      </c>
      <c r="F138" s="124" t="str">
        <f>+"WP02 Support Line "&amp;'WP02 Support'!A132&amp;" Column "&amp;'WP02 Support'!$D$5</f>
        <v>WP02 Support Line 38 Column C</v>
      </c>
      <c r="G138" s="96">
        <f>'WP02 Support'!D132</f>
        <v>-2749930</v>
      </c>
      <c r="H138" s="1002">
        <f>+G138</f>
        <v>-2749930</v>
      </c>
      <c r="J138" s="254"/>
      <c r="K138" s="254"/>
      <c r="L138" s="254"/>
    </row>
    <row r="139" spans="1:13" ht="15.6" customHeight="1">
      <c r="A139" s="71">
        <f>+A138+1</f>
        <v>87</v>
      </c>
      <c r="B139" s="31"/>
      <c r="C139" s="178" t="s">
        <v>507</v>
      </c>
      <c r="D139" s="14"/>
      <c r="E139" s="33"/>
      <c r="F139" s="128" t="s">
        <v>674</v>
      </c>
      <c r="G139" s="201">
        <v>291984</v>
      </c>
      <c r="H139" s="1021">
        <v>291984</v>
      </c>
      <c r="J139" s="254"/>
      <c r="K139" s="254"/>
      <c r="L139" s="254"/>
    </row>
    <row r="140" spans="1:13" ht="15.6" customHeight="1">
      <c r="A140" s="71">
        <f>+A139+1</f>
        <v>88</v>
      </c>
      <c r="B140" s="31"/>
      <c r="C140" s="178" t="s">
        <v>761</v>
      </c>
      <c r="D140" s="8"/>
      <c r="E140" s="33" t="str">
        <f>"(Note "&amp;A$339&amp;")"</f>
        <v>(Note FF)</v>
      </c>
      <c r="F140" s="639" t="str">
        <f>+"WP02 Support Line "&amp;'WP02 Support'!A119&amp;" Column "&amp;'WP02 Support'!D5</f>
        <v>WP02 Support Line 35 Column C</v>
      </c>
      <c r="G140" s="624">
        <f>+'WP02 Support'!D119</f>
        <v>-13899398.51</v>
      </c>
      <c r="H140" s="1003">
        <f>+'WP02 Support'!D119</f>
        <v>-13899398.51</v>
      </c>
      <c r="J140" s="254"/>
      <c r="K140" s="254"/>
      <c r="L140" s="254"/>
    </row>
    <row r="141" spans="1:13" ht="15.6" customHeight="1">
      <c r="A141" s="71">
        <f>+A140+1</f>
        <v>89</v>
      </c>
      <c r="B141" s="31"/>
      <c r="C141" s="278" t="s">
        <v>477</v>
      </c>
      <c r="D141" s="276"/>
      <c r="E141" s="275"/>
      <c r="F141" s="123" t="str">
        <f>"(Line "&amp;A133&amp;" -  Sum ("&amp;A134&amp;" to "&amp;A139&amp;")"&amp;" + "&amp;A140&amp;")"</f>
        <v>(Line 81 -  Sum (82 to 87) + 88)</v>
      </c>
      <c r="G141" s="96">
        <f>+G133-G134-G135-G136-G137-G138-G139+G140</f>
        <v>248848210.49000001</v>
      </c>
      <c r="H141" s="1002">
        <f>+H133-H134-H135-H136-H137-H138-H139+H140</f>
        <v>248848210.49000001</v>
      </c>
      <c r="J141" s="254"/>
      <c r="K141" s="254"/>
      <c r="L141" s="254"/>
    </row>
    <row r="142" spans="1:13" ht="15.6" customHeight="1">
      <c r="A142" s="71">
        <f t="shared" si="4"/>
        <v>90</v>
      </c>
      <c r="B142" s="31"/>
      <c r="C142" s="56" t="s">
        <v>110</v>
      </c>
      <c r="D142" s="11"/>
      <c r="E142" s="70"/>
      <c r="F142" s="137" t="str">
        <f>"(Line "&amp;A$24&amp;")"</f>
        <v>(Line 11)</v>
      </c>
      <c r="G142" s="640">
        <f>+G24</f>
        <v>7.5696383376743087E-2</v>
      </c>
      <c r="H142" s="1013">
        <f>H$24</f>
        <v>7.5696383376743087E-2</v>
      </c>
      <c r="J142" s="254"/>
      <c r="K142" s="254"/>
      <c r="L142" s="254"/>
    </row>
    <row r="143" spans="1:13" ht="15.6" customHeight="1">
      <c r="A143" s="71">
        <f t="shared" si="4"/>
        <v>91</v>
      </c>
      <c r="B143" s="31"/>
      <c r="C143" s="273" t="str">
        <f>+B132</f>
        <v>Allocated General Expenses (EOY)</v>
      </c>
      <c r="D143" s="8"/>
      <c r="E143" s="8"/>
      <c r="F143" s="128" t="str">
        <f>"(Line "&amp;A141&amp;" * "&amp;A142&amp;")"</f>
        <v>(Line 89 * 90)</v>
      </c>
      <c r="G143" s="68">
        <f>+G142*G141</f>
        <v>18836909.543867502</v>
      </c>
      <c r="H143" s="1012">
        <f>+H142*H141</f>
        <v>18836909.543867502</v>
      </c>
      <c r="J143" s="254"/>
      <c r="K143" s="254"/>
      <c r="L143" s="254"/>
    </row>
    <row r="144" spans="1:13" ht="9.9" customHeight="1">
      <c r="A144" s="71"/>
      <c r="B144" s="31"/>
      <c r="C144" s="4"/>
      <c r="D144" s="8"/>
      <c r="E144" s="101"/>
      <c r="F144" s="135"/>
      <c r="G144" s="96"/>
      <c r="H144" s="1002"/>
      <c r="J144" s="254"/>
      <c r="K144" s="254"/>
      <c r="L144" s="254"/>
    </row>
    <row r="145" spans="1:12" ht="15.6" customHeight="1">
      <c r="A145" s="71"/>
      <c r="B145" s="2300" t="s">
        <v>74</v>
      </c>
      <c r="C145" s="2300"/>
      <c r="D145" s="8"/>
      <c r="E145" s="101"/>
      <c r="F145" s="135"/>
      <c r="G145" s="96"/>
      <c r="H145" s="1002"/>
      <c r="J145" s="254"/>
      <c r="K145" s="254"/>
      <c r="L145" s="254"/>
    </row>
    <row r="146" spans="1:12" ht="15.6" customHeight="1">
      <c r="A146" s="71">
        <f>+A143+1</f>
        <v>92</v>
      </c>
      <c r="B146" s="108"/>
      <c r="C146" s="2286" t="s">
        <v>514</v>
      </c>
      <c r="D146" s="2286"/>
      <c r="E146" s="33" t="str">
        <f>"(Notes "&amp;A$314&amp;" &amp; "&amp;A$339&amp;")"</f>
        <v>(Notes G &amp; FF)</v>
      </c>
      <c r="F146" s="124" t="str">
        <f>+"WP02 Support Line "&amp;'WP02 Support'!A141&amp;" Column "&amp;'WP02 Support'!$D$5</f>
        <v>WP02 Support Line 42 Column C</v>
      </c>
      <c r="G146" s="96">
        <f>+'WP02 Support'!D141</f>
        <v>66839</v>
      </c>
      <c r="H146" s="1002">
        <f>+'WP02 Support'!D141</f>
        <v>66839</v>
      </c>
      <c r="J146" s="254"/>
      <c r="K146" s="254"/>
      <c r="L146" s="254"/>
    </row>
    <row r="147" spans="1:12" ht="15.6" customHeight="1">
      <c r="A147" s="71">
        <f t="shared" ref="A147:A156" si="5">+A146+1</f>
        <v>93</v>
      </c>
      <c r="B147" s="108"/>
      <c r="C147" s="2295" t="s">
        <v>626</v>
      </c>
      <c r="D147" s="2295"/>
      <c r="E147" s="70" t="str">
        <f>"(Notes "&amp;A$318&amp;" &amp; "&amp;A$339&amp;")"</f>
        <v>(Notes K &amp; FF)</v>
      </c>
      <c r="F147" s="639"/>
      <c r="G147" s="201">
        <f>IFERROR(INDEX(#REF!,MATCH($C147,#REF!,0)),0)</f>
        <v>0</v>
      </c>
      <c r="H147" s="1021">
        <f>IFERROR(INDEX(#REF!,MATCH($C147,#REF!,0)),0)</f>
        <v>0</v>
      </c>
      <c r="J147" s="1526" t="s">
        <v>1522</v>
      </c>
      <c r="K147" s="254"/>
      <c r="L147" s="254"/>
    </row>
    <row r="148" spans="1:12" ht="15.6" customHeight="1">
      <c r="A148" s="71">
        <f t="shared" si="5"/>
        <v>94</v>
      </c>
      <c r="B148" s="108"/>
      <c r="C148" s="54" t="s">
        <v>122</v>
      </c>
      <c r="D148" s="113"/>
      <c r="E148" s="33"/>
      <c r="F148" s="128" t="str">
        <f>"(Line "&amp;A146&amp;" + "&amp;A147&amp;")"</f>
        <v>(Line 92 + 93)</v>
      </c>
      <c r="G148" s="618">
        <f>+G147+G146</f>
        <v>66839</v>
      </c>
      <c r="H148" s="1028">
        <f>+H147+H146</f>
        <v>66839</v>
      </c>
      <c r="J148" s="1526"/>
      <c r="K148" s="254"/>
      <c r="L148" s="254"/>
    </row>
    <row r="149" spans="1:12" ht="13.95" customHeight="1">
      <c r="A149" s="71">
        <f t="shared" si="5"/>
        <v>95</v>
      </c>
      <c r="B149" s="108"/>
      <c r="C149" s="54"/>
      <c r="D149" s="113"/>
      <c r="E149" s="33"/>
      <c r="F149" s="138"/>
      <c r="G149" s="625"/>
      <c r="H149" s="1035"/>
      <c r="J149" s="1526"/>
      <c r="K149" s="254"/>
      <c r="L149" s="254"/>
    </row>
    <row r="150" spans="1:12" ht="15.6" customHeight="1">
      <c r="A150" s="71">
        <f t="shared" si="5"/>
        <v>96</v>
      </c>
      <c r="B150" s="108"/>
      <c r="C150" s="2286" t="s">
        <v>746</v>
      </c>
      <c r="D150" s="2286"/>
      <c r="E150" s="33" t="str">
        <f>"(Note "&amp;A$313&amp;")"</f>
        <v>(Note F)</v>
      </c>
      <c r="F150" s="941" t="str">
        <f>+"WP10 Storm Line "&amp;'WP10 Storm'!A65&amp;" Column "&amp;'WP10 Storm'!E6</f>
        <v xml:space="preserve">WP10 Storm Line 28 Column D </v>
      </c>
      <c r="G150" s="603">
        <f>+'WP10 Storm'!$E$65</f>
        <v>14140262.210000001</v>
      </c>
      <c r="H150" s="1018">
        <f>+'WP10 Storm'!$E$65</f>
        <v>14140262.210000001</v>
      </c>
      <c r="J150" s="1526"/>
      <c r="K150" s="254"/>
      <c r="L150" s="254"/>
    </row>
    <row r="151" spans="1:12" ht="15.6" customHeight="1">
      <c r="A151" s="71">
        <f t="shared" si="5"/>
        <v>97</v>
      </c>
      <c r="B151" s="108"/>
      <c r="C151" s="2295" t="s">
        <v>553</v>
      </c>
      <c r="D151" s="2295"/>
      <c r="E151" s="70" t="str">
        <f>"(Notes "&amp;A$342&amp;" &amp; "&amp;A$339&amp;")"</f>
        <v>(Notes II &amp; FF)</v>
      </c>
      <c r="F151" s="1256"/>
      <c r="G151" s="201">
        <f>IFERROR(INDEX(#REF!,MATCH($C151,#REF!,0)),0)</f>
        <v>0</v>
      </c>
      <c r="H151" s="1021">
        <f>IFERROR(INDEX(#REF!,MATCH($C151,#REF!,0)),0)</f>
        <v>0</v>
      </c>
      <c r="J151" s="1526" t="s">
        <v>1522</v>
      </c>
      <c r="K151" s="254"/>
      <c r="L151" s="254"/>
    </row>
    <row r="152" spans="1:12" ht="15.6" customHeight="1">
      <c r="A152" s="71">
        <f t="shared" si="5"/>
        <v>98</v>
      </c>
      <c r="B152" s="108"/>
      <c r="C152" s="602" t="s">
        <v>113</v>
      </c>
      <c r="D152" s="282"/>
      <c r="E152" s="277"/>
      <c r="F152" s="128" t="str">
        <f>"(Line "&amp;A150&amp;" + "&amp;A151&amp;")"</f>
        <v>(Line 96 + 97)</v>
      </c>
      <c r="G152" s="603">
        <f>+G150+G151</f>
        <v>14140262.210000001</v>
      </c>
      <c r="H152" s="1018">
        <f>+H150+H151</f>
        <v>14140262.210000001</v>
      </c>
      <c r="J152" s="254"/>
      <c r="K152" s="254"/>
      <c r="L152" s="254"/>
    </row>
    <row r="153" spans="1:12" ht="15.6" customHeight="1">
      <c r="A153" s="71">
        <f t="shared" si="5"/>
        <v>99</v>
      </c>
      <c r="B153" s="31"/>
      <c r="C153" s="23" t="s">
        <v>88</v>
      </c>
      <c r="D153" s="13"/>
      <c r="E153" s="28"/>
      <c r="F153" s="129" t="str">
        <f>"(Line "&amp;A$35&amp;")"</f>
        <v>(Line 18)</v>
      </c>
      <c r="G153" s="88">
        <f>+G$35</f>
        <v>0.19443682157949813</v>
      </c>
      <c r="H153" s="1017">
        <f>+H$35</f>
        <v>0.23399022078740567</v>
      </c>
      <c r="J153" s="254"/>
      <c r="K153" s="254"/>
      <c r="L153" s="254"/>
    </row>
    <row r="154" spans="1:12" ht="15.6" customHeight="1">
      <c r="A154" s="71">
        <f t="shared" si="5"/>
        <v>100</v>
      </c>
      <c r="B154" s="31"/>
      <c r="C154" s="278" t="s">
        <v>75</v>
      </c>
      <c r="D154" s="276"/>
      <c r="E154" s="33"/>
      <c r="F154" s="128" t="str">
        <f>"(Line "&amp;A152&amp;" * "&amp;A153&amp;")"</f>
        <v>(Line 98 * 99)</v>
      </c>
      <c r="G154" s="618">
        <f>+G153*G152</f>
        <v>2749387.6404130901</v>
      </c>
      <c r="H154" s="1028">
        <f>+H153*H152</f>
        <v>3308683.076509709</v>
      </c>
      <c r="J154" s="254"/>
      <c r="K154" s="254"/>
      <c r="L154" s="254"/>
    </row>
    <row r="155" spans="1:12" ht="13.95" customHeight="1">
      <c r="A155" s="71">
        <f t="shared" si="5"/>
        <v>101</v>
      </c>
      <c r="B155" s="6"/>
      <c r="C155" s="4"/>
      <c r="D155" s="8"/>
      <c r="E155" s="51"/>
      <c r="F155" s="126"/>
      <c r="G155" s="623"/>
      <c r="H155" s="1034"/>
      <c r="J155" s="254"/>
      <c r="K155" s="254"/>
      <c r="L155" s="254"/>
    </row>
    <row r="156" spans="1:12" ht="15.6" customHeight="1" thickBot="1">
      <c r="A156" s="71">
        <f t="shared" si="5"/>
        <v>102</v>
      </c>
      <c r="B156" s="2301" t="s">
        <v>102</v>
      </c>
      <c r="C156" s="2301"/>
      <c r="D156" s="17"/>
      <c r="E156" s="53"/>
      <c r="F156" s="66" t="str">
        <f>"(Line "&amp;A130&amp;" + "&amp;A143&amp;" + "&amp;A148&amp;" + "&amp;A154&amp;")"</f>
        <v>(Line 80 + 91 + 94 + 100)</v>
      </c>
      <c r="G156" s="626">
        <f>+G130+G143+G148+G154</f>
        <v>62232200.080583438</v>
      </c>
      <c r="H156" s="1036">
        <f>+H130+H143+H148+H154</f>
        <v>62791495.516680054</v>
      </c>
      <c r="J156" s="254"/>
      <c r="K156" s="254"/>
      <c r="L156" s="254"/>
    </row>
    <row r="157" spans="1:12" ht="9.9" customHeight="1" thickTop="1">
      <c r="A157" s="103"/>
      <c r="B157" s="6"/>
      <c r="C157" s="4"/>
      <c r="D157" s="8"/>
      <c r="E157" s="51"/>
      <c r="F157" s="126"/>
      <c r="G157" s="67"/>
      <c r="H157" s="1008"/>
      <c r="J157" s="254"/>
      <c r="K157" s="254"/>
      <c r="L157" s="254"/>
    </row>
    <row r="158" spans="1:12" ht="15.6" customHeight="1">
      <c r="A158" s="998" t="s">
        <v>96</v>
      </c>
      <c r="B158" s="236"/>
      <c r="C158" s="237"/>
      <c r="D158" s="237"/>
      <c r="E158" s="238"/>
      <c r="F158" s="239"/>
      <c r="G158" s="240"/>
      <c r="H158" s="1009"/>
      <c r="J158" s="254"/>
      <c r="K158" s="254"/>
      <c r="L158" s="254"/>
    </row>
    <row r="159" spans="1:12" ht="9.9" customHeight="1">
      <c r="A159" s="114"/>
      <c r="B159" s="6"/>
      <c r="C159" s="4"/>
      <c r="D159" s="8"/>
      <c r="E159" s="51"/>
      <c r="F159" s="126"/>
      <c r="G159" s="67"/>
      <c r="H159" s="1008"/>
      <c r="J159" s="254"/>
      <c r="K159" s="254"/>
      <c r="L159" s="254"/>
    </row>
    <row r="160" spans="1:12" ht="15.6" customHeight="1">
      <c r="A160" s="102"/>
      <c r="B160" s="2298" t="s">
        <v>478</v>
      </c>
      <c r="C160" s="2298"/>
      <c r="D160" s="8"/>
      <c r="E160" s="33"/>
      <c r="F160" s="151"/>
      <c r="G160" s="152"/>
      <c r="H160" s="1037"/>
      <c r="J160" s="254"/>
      <c r="K160" s="254"/>
      <c r="L160" s="254"/>
    </row>
    <row r="161" spans="1:12" ht="15.6" customHeight="1">
      <c r="A161" s="100">
        <f>+A156+1</f>
        <v>103</v>
      </c>
      <c r="B161" s="115"/>
      <c r="C161" s="56" t="s">
        <v>62</v>
      </c>
      <c r="D161" s="31"/>
      <c r="E161" s="33" t="str">
        <f>"(Note "&amp;A$323&amp;")"</f>
        <v>(Note P)</v>
      </c>
      <c r="F161" s="1610" t="str">
        <f>+"WP18 Deprec Line "&amp;'WP18 Deprec'!A52&amp;" Column "&amp;'WP18 Deprec'!D$5</f>
        <v>WP18 Deprec Line 6.14 Column C</v>
      </c>
      <c r="G161" s="1611">
        <f>+'WP18 Deprec'!$D52</f>
        <v>51892528.090000004</v>
      </c>
      <c r="H161" s="1612">
        <f>+'WP18 Deprec'!$D52</f>
        <v>51892528.090000004</v>
      </c>
      <c r="J161" s="253" t="s">
        <v>1490</v>
      </c>
      <c r="K161" s="254"/>
      <c r="L161" s="254"/>
    </row>
    <row r="162" spans="1:12" ht="15" customHeight="1">
      <c r="A162" s="1557">
        <f t="shared" ref="A162:A170" si="6">+A161+1</f>
        <v>104</v>
      </c>
      <c r="B162" s="115"/>
      <c r="C162" s="54"/>
      <c r="D162" s="8"/>
      <c r="E162" s="31"/>
      <c r="F162" s="1558"/>
      <c r="G162" s="603"/>
      <c r="H162" s="1018"/>
      <c r="K162" s="254"/>
      <c r="L162" s="254"/>
    </row>
    <row r="163" spans="1:12" ht="15.6" customHeight="1">
      <c r="A163" s="100">
        <f t="shared" si="6"/>
        <v>105</v>
      </c>
      <c r="B163" s="108"/>
      <c r="C163" s="1502" t="s">
        <v>89</v>
      </c>
      <c r="D163" s="8"/>
      <c r="E163" s="33" t="str">
        <f>"(Note "&amp;A$308&amp;")"</f>
        <v>(Note A)</v>
      </c>
      <c r="F163" s="1610" t="str">
        <f>+"WP18 Deprec Line "&amp;'WP18 Deprec'!A36&amp;" Column "&amp;'WP18 Deprec'!D$5</f>
        <v>WP18 Deprec Line 4.11 Column C</v>
      </c>
      <c r="G163" s="1613">
        <f>+'WP18 Deprec'!$D36</f>
        <v>28257890.880000062</v>
      </c>
      <c r="H163" s="1614">
        <f>+'WP18 Deprec'!$D36</f>
        <v>28257890.880000062</v>
      </c>
      <c r="J163" s="253" t="s">
        <v>1490</v>
      </c>
      <c r="K163" s="254"/>
      <c r="L163" s="254"/>
    </row>
    <row r="164" spans="1:12" s="254" customFormat="1" ht="15.6" customHeight="1">
      <c r="A164" s="100">
        <f t="shared" si="6"/>
        <v>106</v>
      </c>
      <c r="B164" s="115"/>
      <c r="C164" s="1502" t="s">
        <v>554</v>
      </c>
      <c r="D164" s="8"/>
      <c r="E164" s="1570" t="str">
        <f>"(Notes "&amp;A$308&amp;" &amp; "&amp;A$323&amp;")"</f>
        <v>(Notes A &amp; P)</v>
      </c>
      <c r="F164" s="1610" t="str">
        <f>+"WP18 Deprec Line "&amp;'WP18 Deprec'!A23&amp;" Column "&amp;'WP18 Deprec'!D$5</f>
        <v>WP18 Deprec Line 2.15 Column C</v>
      </c>
      <c r="G164" s="1613">
        <f>+'WP18 Deprec'!$D23</f>
        <v>16254945.559999999</v>
      </c>
      <c r="H164" s="1614">
        <f>+'WP18 Deprec'!$D23</f>
        <v>16254945.559999999</v>
      </c>
      <c r="J164" s="253" t="s">
        <v>1490</v>
      </c>
    </row>
    <row r="165" spans="1:12" s="254" customFormat="1" ht="15.6" customHeight="1">
      <c r="A165" s="100">
        <f t="shared" si="6"/>
        <v>107</v>
      </c>
      <c r="B165" s="451"/>
      <c r="C165" s="1584" t="s">
        <v>1899</v>
      </c>
      <c r="D165" s="450"/>
      <c r="E165" s="1585" t="str">
        <f>"(Note "&amp;A$339&amp;" &amp; "&amp;A$345&amp;")"</f>
        <v>(Note FF &amp; LL)</v>
      </c>
      <c r="F165" s="252" t="str">
        <f>+"WP02 Support Line "&amp;'WP02 Support'!A158&amp;" Column "&amp;'WP02 Support'!$D$5</f>
        <v>WP02 Support Line 48 Column C</v>
      </c>
      <c r="G165" s="848">
        <f>+'WP02 Support'!D158</f>
        <v>21731748.41</v>
      </c>
      <c r="H165" s="1039">
        <f>+'WP02 Support'!D158</f>
        <v>21731748.41</v>
      </c>
      <c r="J165" s="253" t="s">
        <v>1491</v>
      </c>
    </row>
    <row r="166" spans="1:12" ht="15.6" customHeight="1">
      <c r="A166" s="100">
        <f t="shared" si="6"/>
        <v>108</v>
      </c>
      <c r="B166" s="108"/>
      <c r="C166" s="54" t="s">
        <v>113</v>
      </c>
      <c r="D166" s="8"/>
      <c r="E166" s="31"/>
      <c r="F166" s="944" t="str">
        <f>"(Line "&amp;A163&amp;" + "&amp;A164&amp;" + "&amp;A165&amp;")"</f>
        <v>(Line 105 + 106 + 107)</v>
      </c>
      <c r="G166" s="603">
        <f>+G164+G165+G163</f>
        <v>66244584.850000061</v>
      </c>
      <c r="H166" s="1018">
        <f>+H164+H165+H163</f>
        <v>66244584.850000061</v>
      </c>
      <c r="J166" s="254"/>
      <c r="K166" s="254"/>
      <c r="L166" s="254"/>
    </row>
    <row r="167" spans="1:12" ht="15.6" customHeight="1">
      <c r="A167" s="71">
        <f t="shared" si="6"/>
        <v>109</v>
      </c>
      <c r="B167" s="108"/>
      <c r="C167" s="23" t="s">
        <v>110</v>
      </c>
      <c r="D167" s="11"/>
      <c r="E167" s="70"/>
      <c r="F167" s="137" t="str">
        <f>"(Line "&amp;A$24&amp;")"</f>
        <v>(Line 11)</v>
      </c>
      <c r="G167" s="88">
        <f>+G24</f>
        <v>7.5696383376743087E-2</v>
      </c>
      <c r="H167" s="1013">
        <f>H$24</f>
        <v>7.5696383376743087E-2</v>
      </c>
      <c r="J167" s="254"/>
      <c r="K167" s="254"/>
      <c r="L167" s="254"/>
    </row>
    <row r="168" spans="1:12" ht="15.6" customHeight="1">
      <c r="A168" s="71">
        <f t="shared" si="6"/>
        <v>110</v>
      </c>
      <c r="B168" s="108"/>
      <c r="C168" s="2302" t="s">
        <v>263</v>
      </c>
      <c r="D168" s="2302"/>
      <c r="E168" s="8"/>
      <c r="F168" s="128" t="str">
        <f>"(Line "&amp;A166&amp;" * "&amp;A167&amp;")"</f>
        <v>(Line 108 * 109)</v>
      </c>
      <c r="G168" s="618">
        <f>(+G166*G167)</f>
        <v>5014475.4914387912</v>
      </c>
      <c r="H168" s="1028">
        <f>(+H166*H167)</f>
        <v>5014475.4914387912</v>
      </c>
      <c r="J168" s="254"/>
      <c r="K168" s="254"/>
      <c r="L168" s="254"/>
    </row>
    <row r="169" spans="1:12" ht="13.95" customHeight="1">
      <c r="A169" s="71">
        <f t="shared" si="6"/>
        <v>111</v>
      </c>
      <c r="B169" s="116"/>
      <c r="C169" s="54"/>
      <c r="D169" s="8"/>
      <c r="E169" s="31"/>
      <c r="F169" s="138"/>
      <c r="G169" s="603"/>
      <c r="H169" s="1018"/>
      <c r="J169" s="254"/>
      <c r="K169" s="254"/>
      <c r="L169" s="254"/>
    </row>
    <row r="170" spans="1:12" s="1" customFormat="1" ht="15.6" customHeight="1" thickBot="1">
      <c r="A170" s="71">
        <f t="shared" si="6"/>
        <v>112</v>
      </c>
      <c r="B170" s="2303" t="s">
        <v>97</v>
      </c>
      <c r="C170" s="2303"/>
      <c r="D170" s="2303"/>
      <c r="E170" s="55"/>
      <c r="F170" s="66" t="str">
        <f>"(Line "&amp;A161&amp;" + "&amp;A168&amp;")"</f>
        <v>(Line 103 + 110)</v>
      </c>
      <c r="G170" s="95">
        <f>+G161+G168</f>
        <v>56907003.581438795</v>
      </c>
      <c r="H170" s="1040">
        <f>+H161+H168</f>
        <v>56907003.581438795</v>
      </c>
      <c r="I170" s="34"/>
      <c r="J170" s="34"/>
      <c r="K170" s="34"/>
      <c r="L170" s="34"/>
    </row>
    <row r="171" spans="1:12" ht="13.95" customHeight="1" thickTop="1">
      <c r="A171" s="111"/>
      <c r="B171" s="5"/>
      <c r="C171" s="5"/>
      <c r="D171" s="5"/>
      <c r="E171" s="26"/>
      <c r="F171" s="127"/>
      <c r="G171" s="619"/>
      <c r="H171" s="1030"/>
      <c r="J171" s="254"/>
      <c r="K171" s="254"/>
      <c r="L171" s="254"/>
    </row>
    <row r="172" spans="1:12" ht="15.6" customHeight="1">
      <c r="A172" s="2288" t="s">
        <v>39</v>
      </c>
      <c r="B172" s="2289"/>
      <c r="C172" s="2289"/>
      <c r="D172" s="237"/>
      <c r="E172" s="238"/>
      <c r="F172" s="239"/>
      <c r="G172" s="621"/>
      <c r="H172" s="1041"/>
      <c r="J172" s="254"/>
      <c r="K172" s="254"/>
      <c r="L172" s="254"/>
    </row>
    <row r="173" spans="1:12" ht="13.95" customHeight="1">
      <c r="A173" s="106"/>
      <c r="B173" s="6"/>
      <c r="C173" s="4"/>
      <c r="D173" s="8"/>
      <c r="E173" s="101"/>
      <c r="F173" s="126"/>
      <c r="G173" s="628"/>
      <c r="H173" s="1042"/>
      <c r="J173" s="254"/>
      <c r="K173" s="254"/>
      <c r="L173" s="254"/>
    </row>
    <row r="174" spans="1:12" ht="15.6" customHeight="1">
      <c r="A174" s="71">
        <f>+A170+1</f>
        <v>113</v>
      </c>
      <c r="B174" s="37"/>
      <c r="C174" s="8" t="s">
        <v>548</v>
      </c>
      <c r="D174" s="8"/>
      <c r="E174" s="33"/>
      <c r="F174" s="124" t="str">
        <f>+"WP13 TOTI Line "&amp;'WP13 TOTI'!A40&amp;" Column "&amp;'WP13 TOTI'!E$5</f>
        <v>WP13 TOTI Line 2 Column D</v>
      </c>
      <c r="G174" s="615">
        <f>+'WP13 TOTI'!E40</f>
        <v>0</v>
      </c>
      <c r="H174" s="1007">
        <f>+'WP13 TOTI'!E40</f>
        <v>0</v>
      </c>
      <c r="J174" s="254"/>
      <c r="K174" s="254"/>
      <c r="L174" s="254"/>
    </row>
    <row r="175" spans="1:12" ht="13.95" customHeight="1">
      <c r="A175" s="71">
        <f t="shared" ref="A175:A185" si="7">+A174+1</f>
        <v>114</v>
      </c>
      <c r="B175" s="108"/>
      <c r="C175" s="8"/>
      <c r="D175" s="8"/>
      <c r="E175" s="33"/>
      <c r="F175" s="124"/>
      <c r="G175" s="615"/>
      <c r="H175" s="1007"/>
      <c r="J175" s="254"/>
      <c r="K175" s="254"/>
      <c r="L175" s="254"/>
    </row>
    <row r="176" spans="1:12" ht="15.6" customHeight="1">
      <c r="A176" s="71">
        <f t="shared" si="7"/>
        <v>115</v>
      </c>
      <c r="B176" s="108"/>
      <c r="C176" s="8" t="s">
        <v>555</v>
      </c>
      <c r="D176" s="8"/>
      <c r="E176" s="33"/>
      <c r="F176" s="124" t="str">
        <f>+"WP13 TOTI Line "&amp;'WP13 TOTI'!A$40&amp;" Column "&amp;'WP13 TOTI'!F$5</f>
        <v>WP13 TOTI Line 2 Column E</v>
      </c>
      <c r="G176" s="615">
        <f>+'WP13 TOTI'!F40</f>
        <v>116396826.03</v>
      </c>
      <c r="H176" s="1007">
        <f>+'WP13 TOTI'!F40</f>
        <v>116396826.03</v>
      </c>
      <c r="J176" s="254"/>
      <c r="K176" s="254"/>
      <c r="L176" s="254"/>
    </row>
    <row r="177" spans="1:12" ht="15.6" customHeight="1">
      <c r="A177" s="71">
        <f t="shared" si="7"/>
        <v>116</v>
      </c>
      <c r="B177" s="108"/>
      <c r="C177" s="845" t="s">
        <v>556</v>
      </c>
      <c r="D177" s="8"/>
      <c r="E177" s="33" t="str">
        <f>"(Note "&amp;A$339&amp;")"</f>
        <v>(Note FF)</v>
      </c>
      <c r="F177" s="124" t="str">
        <f>+"WP02 Support Line "&amp;'WP02 Support'!A172&amp;" Column "&amp;'WP02 Support'!$D$5</f>
        <v>WP02 Support Line 53 Column C</v>
      </c>
      <c r="G177" s="448">
        <f>+'WP02 Support'!D172</f>
        <v>-379197.88</v>
      </c>
      <c r="H177" s="1043">
        <f>+'WP02 Support'!D172</f>
        <v>-379197.88</v>
      </c>
      <c r="J177" s="254"/>
      <c r="K177" s="254"/>
      <c r="L177" s="254"/>
    </row>
    <row r="178" spans="1:12" ht="15.6" customHeight="1">
      <c r="A178" s="71">
        <f t="shared" si="7"/>
        <v>117</v>
      </c>
      <c r="B178" s="108"/>
      <c r="C178" s="846" t="s">
        <v>557</v>
      </c>
      <c r="D178" s="8"/>
      <c r="E178" s="33"/>
      <c r="F178" s="128" t="str">
        <f>"(Line "&amp;A176&amp;" + "&amp;A177&amp;")"</f>
        <v>(Line 115 + 116)</v>
      </c>
      <c r="G178" s="615">
        <f>+G176+G177</f>
        <v>116017628.15000001</v>
      </c>
      <c r="H178" s="1007">
        <f>+H176+H177</f>
        <v>116017628.15000001</v>
      </c>
      <c r="J178" s="254"/>
      <c r="K178" s="254"/>
      <c r="L178" s="254"/>
    </row>
    <row r="179" spans="1:12" ht="15.6" customHeight="1">
      <c r="A179" s="71">
        <f t="shared" si="7"/>
        <v>118</v>
      </c>
      <c r="B179" s="31"/>
      <c r="C179" s="54" t="str">
        <f>+B32</f>
        <v>Gross Plant Allocator</v>
      </c>
      <c r="D179" s="13"/>
      <c r="E179" s="31"/>
      <c r="F179" s="128" t="str">
        <f>"(Line "&amp;A$32&amp;")"</f>
        <v>(Line 16)</v>
      </c>
      <c r="G179" s="88">
        <f>+G$32</f>
        <v>0.16350870149777563</v>
      </c>
      <c r="H179" s="1017">
        <f>+H$32</f>
        <v>0.18582794809097491</v>
      </c>
      <c r="J179" s="254"/>
      <c r="K179" s="254"/>
      <c r="L179" s="254"/>
    </row>
    <row r="180" spans="1:12" ht="15.6" customHeight="1">
      <c r="A180" s="71">
        <f t="shared" si="7"/>
        <v>119</v>
      </c>
      <c r="B180" s="108"/>
      <c r="C180" s="2286" t="str">
        <f>+"Total Transmission Allocated "&amp;C178</f>
        <v>Total Transmission Allocated Total Plant Associated</v>
      </c>
      <c r="D180" s="2286"/>
      <c r="E180" s="33"/>
      <c r="F180" s="128" t="str">
        <f>"(Line "&amp;A178&amp;" * "&amp;A179&amp;")"</f>
        <v>(Line 117 * 118)</v>
      </c>
      <c r="G180" s="603">
        <f>+G178*G179</f>
        <v>18969891.729658283</v>
      </c>
      <c r="H180" s="1018">
        <f>+H178*H179</f>
        <v>21559317.781496231</v>
      </c>
      <c r="J180" s="254"/>
      <c r="K180" s="254"/>
      <c r="L180" s="254"/>
    </row>
    <row r="181" spans="1:12" ht="13.95" customHeight="1">
      <c r="A181" s="71">
        <f t="shared" si="7"/>
        <v>120</v>
      </c>
      <c r="B181" s="108"/>
      <c r="C181" s="8"/>
      <c r="D181" s="8"/>
      <c r="E181" s="33"/>
      <c r="F181" s="124"/>
      <c r="G181" s="615"/>
      <c r="H181" s="1007"/>
      <c r="J181" s="254"/>
      <c r="K181" s="254"/>
      <c r="L181" s="254"/>
    </row>
    <row r="182" spans="1:12" ht="15.6" customHeight="1">
      <c r="A182" s="71">
        <f t="shared" si="7"/>
        <v>121</v>
      </c>
      <c r="B182" s="108"/>
      <c r="C182" s="8" t="s">
        <v>142</v>
      </c>
      <c r="D182" s="8"/>
      <c r="E182" s="33"/>
      <c r="F182" s="124" t="str">
        <f>+"WP13 TOTI Line "&amp;'WP13 TOTI'!A$40&amp;" Column "&amp;'WP13 TOTI'!G$5</f>
        <v>WP13 TOTI Line 2 Column F</v>
      </c>
      <c r="G182" s="615">
        <f>+'WP13 TOTI'!G40</f>
        <v>22409906.759999998</v>
      </c>
      <c r="H182" s="1007">
        <f>+'WP13 TOTI'!G40</f>
        <v>22409906.759999998</v>
      </c>
      <c r="J182" s="254"/>
      <c r="K182" s="254"/>
      <c r="L182" s="254"/>
    </row>
    <row r="183" spans="1:12" s="254" customFormat="1" ht="15.6" customHeight="1">
      <c r="A183" s="105">
        <f t="shared" si="7"/>
        <v>122</v>
      </c>
      <c r="B183" s="47"/>
      <c r="C183" s="8" t="s">
        <v>110</v>
      </c>
      <c r="D183" s="8"/>
      <c r="E183" s="48"/>
      <c r="F183" s="124" t="str">
        <f>"(Line "&amp;A$24&amp;")"</f>
        <v>(Line 11)</v>
      </c>
      <c r="G183" s="244">
        <f>+G$24</f>
        <v>7.5696383376743087E-2</v>
      </c>
      <c r="H183" s="1013">
        <f>H$24</f>
        <v>7.5696383376743087E-2</v>
      </c>
    </row>
    <row r="184" spans="1:12" ht="15.6" customHeight="1">
      <c r="A184" s="71">
        <f t="shared" si="7"/>
        <v>123</v>
      </c>
      <c r="B184" s="108"/>
      <c r="C184" s="23" t="str">
        <f>+"Total Transmission Allocated "&amp;C182</f>
        <v>Total Transmission Allocated Labor</v>
      </c>
      <c r="D184" s="62"/>
      <c r="E184" s="70"/>
      <c r="F184" s="129" t="str">
        <f>"(Line "&amp;A182&amp;" * "&amp;A183&amp;")"</f>
        <v>(Line 121 * 122)</v>
      </c>
      <c r="G184" s="837">
        <f>+G182*G183</f>
        <v>1696348.8935420264</v>
      </c>
      <c r="H184" s="1019">
        <f>+H182*H183</f>
        <v>1696348.8935420264</v>
      </c>
      <c r="J184" s="254"/>
      <c r="K184" s="254"/>
      <c r="L184" s="254"/>
    </row>
    <row r="185" spans="1:12" s="1" customFormat="1" ht="15.6" customHeight="1" thickBot="1">
      <c r="A185" s="71">
        <f t="shared" si="7"/>
        <v>124</v>
      </c>
      <c r="B185" s="2301" t="s">
        <v>479</v>
      </c>
      <c r="C185" s="2301"/>
      <c r="D185" s="452"/>
      <c r="E185" s="154"/>
      <c r="F185" s="66" t="str">
        <f>"(Line "&amp;A174&amp;" + "&amp;A180&amp;" + "&amp;A184&amp;")"</f>
        <v>(Line 113 + 119 + 123)</v>
      </c>
      <c r="G185" s="563">
        <f>+G174+G180+G184</f>
        <v>20666240.623200309</v>
      </c>
      <c r="H185" s="1014">
        <f>+H174+H180+H184</f>
        <v>23255666.675038256</v>
      </c>
      <c r="I185" s="34"/>
      <c r="J185" s="34"/>
      <c r="K185" s="34"/>
      <c r="L185" s="34"/>
    </row>
    <row r="186" spans="1:12" ht="13.95" customHeight="1" thickTop="1">
      <c r="A186" s="102"/>
      <c r="B186" s="5"/>
      <c r="C186" s="5"/>
      <c r="D186" s="5"/>
      <c r="E186" s="26"/>
      <c r="F186" s="127"/>
      <c r="G186" s="81"/>
      <c r="H186" s="1027"/>
      <c r="J186" s="254"/>
      <c r="K186" s="254"/>
      <c r="L186" s="254"/>
    </row>
    <row r="187" spans="1:12" ht="15.6" customHeight="1">
      <c r="A187" s="2288" t="s">
        <v>763</v>
      </c>
      <c r="B187" s="2289"/>
      <c r="C187" s="2289"/>
      <c r="D187" s="237"/>
      <c r="E187" s="238"/>
      <c r="F187" s="241"/>
      <c r="G187" s="235"/>
      <c r="H187" s="1044"/>
      <c r="J187" s="254"/>
      <c r="K187" s="254"/>
      <c r="L187" s="254"/>
    </row>
    <row r="188" spans="1:12" ht="15.6">
      <c r="A188" s="106"/>
      <c r="B188" s="6"/>
      <c r="C188" s="4"/>
      <c r="D188" s="8"/>
      <c r="E188" s="51"/>
      <c r="F188" s="126"/>
      <c r="G188" s="67"/>
      <c r="H188" s="1008"/>
      <c r="J188" s="254"/>
      <c r="K188" s="254"/>
      <c r="L188" s="254"/>
    </row>
    <row r="189" spans="1:12" ht="15.6" customHeight="1">
      <c r="A189" s="71">
        <f>+A185+1</f>
        <v>125</v>
      </c>
      <c r="B189" s="31"/>
      <c r="C189" s="2286" t="s">
        <v>764</v>
      </c>
      <c r="D189" s="2286"/>
      <c r="E189" s="150" t="s">
        <v>767</v>
      </c>
      <c r="F189" s="124"/>
      <c r="G189" s="201">
        <f>IFERROR(INDEX(#REF!,MATCH($C189,#REF!,0)),0)</f>
        <v>0</v>
      </c>
      <c r="H189" s="1021">
        <f>IFERROR(INDEX(#REF!,MATCH($C189,#REF!,0)),0)</f>
        <v>0</v>
      </c>
      <c r="J189" s="254"/>
      <c r="K189" s="254"/>
      <c r="L189" s="254"/>
    </row>
    <row r="190" spans="1:12" ht="15.6" customHeight="1">
      <c r="A190" s="71">
        <f>+A189+1</f>
        <v>126</v>
      </c>
      <c r="B190" s="31"/>
      <c r="C190" s="2286" t="s">
        <v>765</v>
      </c>
      <c r="D190" s="2286"/>
      <c r="E190" s="150" t="s">
        <v>767</v>
      </c>
      <c r="F190" s="124"/>
      <c r="G190" s="201">
        <f>IFERROR(INDEX(#REF!,MATCH($C190,#REF!,0)),0)</f>
        <v>0</v>
      </c>
      <c r="H190" s="1021">
        <f>IFERROR(INDEX(#REF!,MATCH($C190,#REF!,0)),0)</f>
        <v>0</v>
      </c>
      <c r="J190" s="254"/>
      <c r="K190" s="254"/>
      <c r="L190" s="254"/>
    </row>
    <row r="191" spans="1:12" ht="15.6" customHeight="1">
      <c r="A191" s="71">
        <f>+A190+1</f>
        <v>127</v>
      </c>
      <c r="B191" s="31"/>
      <c r="C191" s="8" t="s">
        <v>110</v>
      </c>
      <c r="D191" s="8"/>
      <c r="E191" s="48"/>
      <c r="F191" s="124" t="str">
        <f>"(Line "&amp;A$24&amp;")"</f>
        <v>(Line 11)</v>
      </c>
      <c r="G191" s="244">
        <f>+G$24</f>
        <v>7.5696383376743087E-2</v>
      </c>
      <c r="H191" s="1013">
        <f>H$24</f>
        <v>7.5696383376743087E-2</v>
      </c>
      <c r="J191" s="254"/>
      <c r="K191" s="254"/>
      <c r="L191" s="254"/>
    </row>
    <row r="192" spans="1:12" ht="15.6" customHeight="1">
      <c r="A192" s="71">
        <f>+A191+1</f>
        <v>128</v>
      </c>
      <c r="B192" s="31"/>
      <c r="C192" s="2287" t="str">
        <f>+"Total Allocated "&amp;C190</f>
        <v>Total Allocated (Gain) or Loss on Sales of General Plant Assets</v>
      </c>
      <c r="D192" s="2287"/>
      <c r="E192" s="70"/>
      <c r="F192" s="129" t="str">
        <f>"(Line "&amp;A190&amp;" * "&amp;A191&amp;")"</f>
        <v>(Line 126 * 127)</v>
      </c>
      <c r="G192" s="837">
        <f>+G190*G191</f>
        <v>0</v>
      </c>
      <c r="H192" s="1019">
        <f>+H190*H191</f>
        <v>0</v>
      </c>
      <c r="J192" s="254"/>
      <c r="K192" s="254"/>
      <c r="L192" s="254"/>
    </row>
    <row r="193" spans="1:12" ht="15.6" customHeight="1" thickBot="1">
      <c r="A193" s="71">
        <f>+A192+1</f>
        <v>129</v>
      </c>
      <c r="B193" s="1085" t="s">
        <v>766</v>
      </c>
      <c r="C193" s="1085"/>
      <c r="D193" s="452"/>
      <c r="E193" s="832" t="str">
        <f>"(Note "&amp;A$337&amp;")"</f>
        <v>(Note DD)</v>
      </c>
      <c r="F193" s="66" t="str">
        <f>"(Line "&amp;A189&amp;" + "&amp;A192&amp;")"</f>
        <v>(Line 125 + 128)</v>
      </c>
      <c r="G193" s="95">
        <f>+G189+G192</f>
        <v>0</v>
      </c>
      <c r="H193" s="1040">
        <f>+H189+H192</f>
        <v>0</v>
      </c>
      <c r="J193" s="254"/>
      <c r="K193" s="254"/>
      <c r="L193" s="254"/>
    </row>
    <row r="194" spans="1:12" ht="13.95" customHeight="1" thickTop="1">
      <c r="A194" s="102"/>
      <c r="B194" s="5"/>
      <c r="C194" s="5"/>
      <c r="D194" s="5"/>
      <c r="E194" s="26"/>
      <c r="F194" s="127"/>
      <c r="G194" s="619"/>
      <c r="H194" s="1030"/>
      <c r="J194" s="254"/>
      <c r="K194" s="254"/>
      <c r="L194" s="254"/>
    </row>
    <row r="195" spans="1:12" ht="15.6" customHeight="1">
      <c r="A195" s="2288" t="s">
        <v>90</v>
      </c>
      <c r="B195" s="2289"/>
      <c r="C195" s="2289"/>
      <c r="D195" s="237"/>
      <c r="E195" s="238"/>
      <c r="F195" s="239"/>
      <c r="G195" s="621"/>
      <c r="H195" s="1041"/>
      <c r="J195" s="254"/>
      <c r="K195" s="254"/>
      <c r="L195" s="254"/>
    </row>
    <row r="196" spans="1:12" ht="13.95" customHeight="1">
      <c r="A196" s="118"/>
      <c r="B196" s="31"/>
      <c r="C196" s="4"/>
      <c r="D196" s="8"/>
      <c r="E196" s="101"/>
      <c r="F196" s="135"/>
      <c r="G196" s="628"/>
      <c r="H196" s="1042"/>
      <c r="J196" s="254"/>
      <c r="K196" s="254"/>
      <c r="L196" s="254"/>
    </row>
    <row r="197" spans="1:12" ht="15.6" customHeight="1">
      <c r="A197" s="71">
        <f>+A193+1</f>
        <v>130</v>
      </c>
      <c r="B197" s="148" t="s">
        <v>457</v>
      </c>
      <c r="C197" s="148"/>
      <c r="D197" s="254"/>
      <c r="E197" s="33" t="str">
        <f>"(Notes "&amp;A$325&amp;" &amp; "&amp;A$341&amp;")"</f>
        <v>(Notes R &amp; HH)</v>
      </c>
      <c r="F197" s="945" t="str">
        <f>+"WP14 COC Line "&amp;'WP14 COC'!A12&amp;" Column "&amp;'WP14 COC'!Q5&amp;", Column O"</f>
        <v>WP14 COC Line 6 Column P, Column O</v>
      </c>
      <c r="G197" s="615">
        <f>+'WP14 COC'!$Q12</f>
        <v>5749763410.4030771</v>
      </c>
      <c r="H197" s="1007">
        <f>+'WP14 COC'!$P12</f>
        <v>5895247273.5299997</v>
      </c>
      <c r="J197" s="254"/>
      <c r="K197" s="254"/>
      <c r="L197" s="254"/>
    </row>
    <row r="198" spans="1:12" ht="15.6" customHeight="1">
      <c r="A198" s="71">
        <f>+A197+1</f>
        <v>131</v>
      </c>
      <c r="B198" s="148" t="s">
        <v>458</v>
      </c>
      <c r="C198" s="148"/>
      <c r="D198" s="254"/>
      <c r="E198" s="33" t="str">
        <f>"(Notes "&amp;A$325&amp;" &amp; "&amp;A$341&amp;")"</f>
        <v>(Notes R &amp; HH)</v>
      </c>
      <c r="F198" s="945" t="str">
        <f>+"WP14 COC Line "&amp;'WP14 COC'!A20&amp;" Column "&amp;'WP14 COC'!Q5&amp;", Column O"</f>
        <v>WP14 COC Line 14 Column P, Column O</v>
      </c>
      <c r="G198" s="615">
        <f>+'WP14 COC'!Q20</f>
        <v>5660746500.0369234</v>
      </c>
      <c r="H198" s="1007">
        <f>+'WP14 COC'!P20</f>
        <v>5808484429.8899994</v>
      </c>
      <c r="J198" s="254"/>
      <c r="K198" s="254"/>
      <c r="L198" s="254"/>
    </row>
    <row r="199" spans="1:12" ht="15.6" customHeight="1">
      <c r="A199" s="71">
        <f>+A198+1</f>
        <v>132</v>
      </c>
      <c r="B199" s="148" t="s">
        <v>309</v>
      </c>
      <c r="C199" s="148"/>
      <c r="D199" s="254"/>
      <c r="E199" s="33" t="str">
        <f>"(Notes "&amp;A$324&amp;" &amp; "&amp;A$325&amp;")"</f>
        <v>(Notes Q &amp; R)</v>
      </c>
      <c r="F199" s="945" t="str">
        <f>+"WP14 COC Line "&amp;'WP14 COC'!A30&amp;" Column O"</f>
        <v>WP14 COC Line 24 Column O</v>
      </c>
      <c r="G199" s="615">
        <f>'WP14 COC'!$P30</f>
        <v>260600199.91999999</v>
      </c>
      <c r="H199" s="1007">
        <f>'WP14 COC'!$P30</f>
        <v>260600199.91999999</v>
      </c>
      <c r="J199" s="254"/>
      <c r="K199" s="254"/>
      <c r="L199" s="254"/>
    </row>
    <row r="200" spans="1:12" ht="15.6" customHeight="1">
      <c r="A200" s="71">
        <f>+A199+1</f>
        <v>133</v>
      </c>
      <c r="B200" s="148" t="s">
        <v>70</v>
      </c>
      <c r="C200" s="148"/>
      <c r="D200" s="254"/>
      <c r="E200" s="33" t="str">
        <f>"(Note "&amp;A$341&amp;")"</f>
        <v>(Note HH)</v>
      </c>
      <c r="F200" s="945" t="str">
        <f>+"WP14 COC Line "&amp;'WP14 COC'!A39&amp;" Column P, Column O"</f>
        <v>WP14 COC Line 33 Column P, Column O</v>
      </c>
      <c r="G200" s="96">
        <f>+'WP14 COC'!Q39</f>
        <v>0</v>
      </c>
      <c r="H200" s="1007">
        <f>+'WP14 COC'!P39</f>
        <v>0</v>
      </c>
      <c r="J200" s="254"/>
      <c r="K200" s="254"/>
      <c r="L200" s="254"/>
    </row>
    <row r="201" spans="1:12" ht="15.6" customHeight="1">
      <c r="A201" s="71">
        <f>+A200+1</f>
        <v>134</v>
      </c>
      <c r="B201" s="148" t="s">
        <v>43</v>
      </c>
      <c r="C201" s="847"/>
      <c r="D201" s="254"/>
      <c r="E201" s="1086"/>
      <c r="F201" s="945" t="str">
        <f>+"WP14 COC Line "&amp;'WP14 COC'!A41&amp;" Column O"</f>
        <v>WP14 COC Line 35 Column O</v>
      </c>
      <c r="G201" s="96">
        <f>+'WP14 COC'!P41</f>
        <v>0</v>
      </c>
      <c r="H201" s="1007">
        <f>+'WP14 COC'!P41</f>
        <v>0</v>
      </c>
      <c r="J201" s="254"/>
      <c r="K201" s="254"/>
      <c r="L201" s="254"/>
    </row>
    <row r="202" spans="1:12" ht="15.6" customHeight="1">
      <c r="A202" s="71">
        <f>+A201+1</f>
        <v>135</v>
      </c>
      <c r="B202" s="148" t="s">
        <v>310</v>
      </c>
      <c r="C202" s="148"/>
      <c r="D202" s="254"/>
      <c r="E202" s="33" t="str">
        <f>"(Note "&amp;A$341&amp;")"</f>
        <v>(Note HH)</v>
      </c>
      <c r="F202" s="945" t="str">
        <f>+"WP14 COC Line "&amp;'WP14 COC'!A48&amp;" Column P, Column O"</f>
        <v>WP14 COC Line 42 Column P, Column O</v>
      </c>
      <c r="G202" s="96">
        <f>+'WP14 COC'!Q48</f>
        <v>5311410634.3846169</v>
      </c>
      <c r="H202" s="1007">
        <f>+'WP14 COC'!P48</f>
        <v>5387721687.1400003</v>
      </c>
      <c r="J202" s="254"/>
      <c r="K202" s="254"/>
      <c r="L202" s="254"/>
    </row>
    <row r="203" spans="1:12" ht="13.95" customHeight="1">
      <c r="A203" s="71"/>
      <c r="B203" s="148"/>
      <c r="C203" s="148"/>
      <c r="D203" s="148"/>
      <c r="E203" s="148"/>
      <c r="F203" s="147"/>
      <c r="G203" s="149"/>
      <c r="H203" s="1045"/>
      <c r="J203" s="254"/>
      <c r="K203" s="254"/>
      <c r="L203" s="254"/>
    </row>
    <row r="204" spans="1:12" ht="15.6" customHeight="1">
      <c r="A204" s="71">
        <f>+A202+1</f>
        <v>136</v>
      </c>
      <c r="B204" s="14"/>
      <c r="C204" s="54" t="s">
        <v>281</v>
      </c>
      <c r="D204" s="56" t="s">
        <v>57</v>
      </c>
      <c r="E204" s="33"/>
      <c r="F204" s="248" t="str">
        <f>"(1 - (Line "&amp;A205&amp;" + Line "&amp;A206&amp;"))"</f>
        <v>(1 - (Line 137 + Line 138))</v>
      </c>
      <c r="G204" s="89">
        <f>IF((1-G205-G206)=1,0,1-G205-G206)</f>
        <v>0.51981492987288369</v>
      </c>
      <c r="H204" s="1046">
        <f>IF((1-H205-H206)=1,0,1-H205-H206)</f>
        <v>0.52249078182166087</v>
      </c>
      <c r="J204" s="254"/>
      <c r="K204" s="254"/>
      <c r="L204" s="254"/>
    </row>
    <row r="205" spans="1:12" ht="15.6" customHeight="1">
      <c r="A205" s="71">
        <f>+A204+1</f>
        <v>137</v>
      </c>
      <c r="B205" s="14"/>
      <c r="C205" s="54" t="s">
        <v>282</v>
      </c>
      <c r="D205" s="56" t="s">
        <v>70</v>
      </c>
      <c r="E205" s="33"/>
      <c r="F205" s="248" t="str">
        <f>"(Line "&amp;A200&amp;" / (Line "&amp;A$197&amp;" + Line "&amp;A$200&amp;" + Line "&amp;A$202&amp;"))"</f>
        <v>(Line 133 / (Line 130 + Line 133 + Line 135))</v>
      </c>
      <c r="G205" s="265">
        <f>IF((G197+G200+G202)=0,0,G200/(G197+G200+G202))</f>
        <v>0</v>
      </c>
      <c r="H205" s="1047">
        <f>IF((H197+H200+H202)=0,0,H200/(H197+H200+H202))</f>
        <v>0</v>
      </c>
      <c r="J205" s="254"/>
      <c r="K205" s="254"/>
      <c r="L205" s="254"/>
    </row>
    <row r="206" spans="1:12" ht="15.6" customHeight="1">
      <c r="A206" s="71">
        <f>+A205+1</f>
        <v>138</v>
      </c>
      <c r="B206" s="14"/>
      <c r="C206" s="54" t="s">
        <v>283</v>
      </c>
      <c r="D206" s="56" t="s">
        <v>53</v>
      </c>
      <c r="E206" s="33"/>
      <c r="F206" s="248" t="str">
        <f>"(Line "&amp;A202&amp;" / (Line "&amp;A$197&amp;" + Line "&amp;A$200&amp;" + Line "&amp;A$202&amp;"))"</f>
        <v>(Line 135 / (Line 130 + Line 133 + Line 135))</v>
      </c>
      <c r="G206" s="265">
        <f>IF((G197+G200+G202)=0,0,G202/(G197+G200+G202))</f>
        <v>0.48018507012711631</v>
      </c>
      <c r="H206" s="1047">
        <f>IF((H197+H200+H202)=0,0,H202/(H197+H200+H202))</f>
        <v>0.47750921817833919</v>
      </c>
      <c r="J206" s="254"/>
      <c r="K206" s="254"/>
      <c r="L206" s="254"/>
    </row>
    <row r="207" spans="1:12" ht="13.95" customHeight="1">
      <c r="A207" s="71"/>
      <c r="B207" s="14"/>
      <c r="C207" s="150"/>
      <c r="D207" s="8"/>
      <c r="E207" s="33"/>
      <c r="F207" s="128"/>
      <c r="G207" s="512"/>
      <c r="H207" s="1047"/>
      <c r="J207" s="254"/>
      <c r="K207" s="254"/>
      <c r="L207" s="254"/>
    </row>
    <row r="208" spans="1:12" ht="31.95" customHeight="1">
      <c r="A208" s="229">
        <f>+A206+1</f>
        <v>139</v>
      </c>
      <c r="B208" s="230"/>
      <c r="C208" s="231" t="s">
        <v>127</v>
      </c>
      <c r="D208" s="2296" t="s">
        <v>520</v>
      </c>
      <c r="E208" s="2296"/>
      <c r="F208" s="242" t="str">
        <f>"(Line "&amp;A199&amp;" / Line "&amp;A198&amp;")"</f>
        <v>(Line 132 / Line 131)</v>
      </c>
      <c r="G208" s="1411">
        <f>IF(G198=0,0,G199/G198)</f>
        <v>4.6036366390598868E-2</v>
      </c>
      <c r="H208" s="1485">
        <f>IF(H198=0,0,H199/H198)</f>
        <v>4.4865438319671144E-2</v>
      </c>
      <c r="J208" s="254"/>
      <c r="K208" s="254"/>
      <c r="L208" s="254"/>
    </row>
    <row r="209" spans="1:14" ht="31.2" customHeight="1">
      <c r="A209" s="229">
        <f>+A208+1</f>
        <v>140</v>
      </c>
      <c r="B209" s="230"/>
      <c r="C209" s="231" t="s">
        <v>132</v>
      </c>
      <c r="D209" s="2297" t="s">
        <v>519</v>
      </c>
      <c r="E209" s="2297"/>
      <c r="F209" s="242" t="str">
        <f>"(Line "&amp;A201&amp;" / Line "&amp;A200&amp;")"</f>
        <v>(Line 134 / Line 133)</v>
      </c>
      <c r="G209" s="1411">
        <f>IF(G201=0,0,G201/G200)</f>
        <v>0</v>
      </c>
      <c r="H209" s="1464">
        <f>IF(H201=0,0,H201/H200)</f>
        <v>0</v>
      </c>
      <c r="J209" s="254"/>
      <c r="K209" s="254"/>
      <c r="L209" s="254"/>
    </row>
    <row r="210" spans="1:14" ht="15.6" customHeight="1">
      <c r="A210" s="71">
        <f>+A209+1</f>
        <v>141</v>
      </c>
      <c r="B210" s="14"/>
      <c r="C210" s="150" t="s">
        <v>128</v>
      </c>
      <c r="D210" s="56" t="s">
        <v>53</v>
      </c>
      <c r="E210" s="33" t="str">
        <f>"(Note "&amp;A317&amp;")"</f>
        <v>(Note J)</v>
      </c>
      <c r="F210" s="128"/>
      <c r="G210" s="1615">
        <v>0.1082</v>
      </c>
      <c r="H210" s="1616">
        <v>0.1082</v>
      </c>
      <c r="J210" s="1525" t="s">
        <v>1520</v>
      </c>
      <c r="K210" s="254"/>
      <c r="L210" s="254"/>
    </row>
    <row r="211" spans="1:14" ht="13.95" customHeight="1">
      <c r="A211" s="71"/>
      <c r="B211" s="14"/>
      <c r="C211" s="150"/>
      <c r="D211" s="56"/>
      <c r="E211" s="33"/>
      <c r="F211" s="128"/>
      <c r="G211" s="89"/>
      <c r="H211" s="1046"/>
      <c r="J211" s="254"/>
      <c r="K211" s="254"/>
      <c r="L211" s="254"/>
    </row>
    <row r="212" spans="1:14" ht="15.6" customHeight="1">
      <c r="A212" s="71">
        <f>+A210+1</f>
        <v>142</v>
      </c>
      <c r="B212" s="31"/>
      <c r="C212" s="54" t="s">
        <v>129</v>
      </c>
      <c r="D212" s="56"/>
      <c r="E212" s="33"/>
      <c r="F212" s="128" t="str">
        <f>"(Line "&amp;A204&amp;" * "&amp;A208&amp;")"</f>
        <v>(Line 136 * 139)</v>
      </c>
      <c r="G212" s="89">
        <f t="shared" ref="G212:H214" si="8">+G204*G208</f>
        <v>2.3930390566931529E-2</v>
      </c>
      <c r="H212" s="1046">
        <f t="shared" si="8"/>
        <v>2.3441777944416479E-2</v>
      </c>
      <c r="J212" s="254"/>
      <c r="K212" s="254"/>
      <c r="L212" s="254"/>
    </row>
    <row r="213" spans="1:14" ht="15.6" customHeight="1">
      <c r="A213" s="71">
        <f>+A212+1</f>
        <v>143</v>
      </c>
      <c r="B213" s="31"/>
      <c r="C213" s="54" t="s">
        <v>134</v>
      </c>
      <c r="D213" s="56"/>
      <c r="E213" s="33"/>
      <c r="F213" s="128" t="str">
        <f>"(Line "&amp;A205&amp;" * "&amp;A209&amp;")"</f>
        <v>(Line 137 * 140)</v>
      </c>
      <c r="G213" s="89">
        <f t="shared" si="8"/>
        <v>0</v>
      </c>
      <c r="H213" s="1046">
        <f t="shared" si="8"/>
        <v>0</v>
      </c>
      <c r="J213" s="254"/>
      <c r="K213" s="254"/>
      <c r="L213" s="254"/>
    </row>
    <row r="214" spans="1:14" ht="15.6" customHeight="1">
      <c r="A214" s="71">
        <f>+A213+1</f>
        <v>144</v>
      </c>
      <c r="B214" s="25"/>
      <c r="C214" s="12" t="s">
        <v>130</v>
      </c>
      <c r="D214" s="44"/>
      <c r="E214" s="29"/>
      <c r="F214" s="129" t="str">
        <f>"(Line "&amp;A206&amp;" * "&amp;A210&amp;")"</f>
        <v>(Line 138 * 141)</v>
      </c>
      <c r="G214" s="246">
        <f t="shared" si="8"/>
        <v>5.1956024587753988E-2</v>
      </c>
      <c r="H214" s="1048">
        <f t="shared" si="8"/>
        <v>5.16664974068963E-2</v>
      </c>
      <c r="J214" s="254"/>
      <c r="K214" s="254"/>
      <c r="L214" s="254"/>
    </row>
    <row r="215" spans="1:14" s="1" customFormat="1" ht="15.6" customHeight="1">
      <c r="A215" s="100">
        <f>+A214+1</f>
        <v>145</v>
      </c>
      <c r="B215" s="10" t="s">
        <v>58</v>
      </c>
      <c r="C215" s="10"/>
      <c r="D215" s="19"/>
      <c r="E215" s="30"/>
      <c r="F215" s="128" t="str">
        <f>"(Line "&amp;A212&amp;" + Line "&amp;A213&amp;" + Line "&amp;A214&amp;")"</f>
        <v>(Line 142 + Line 143 + Line 144)</v>
      </c>
      <c r="G215" s="247">
        <f>SUM(G212:G214)</f>
        <v>7.5886415154685513E-2</v>
      </c>
      <c r="H215" s="1049">
        <f>SUM(H212:H214)</f>
        <v>7.5108275351312787E-2</v>
      </c>
      <c r="I215" s="34"/>
      <c r="J215" s="34"/>
      <c r="K215" s="34"/>
      <c r="L215" s="34"/>
    </row>
    <row r="216" spans="1:14" s="1" customFormat="1" ht="13.95" customHeight="1">
      <c r="A216" s="117"/>
      <c r="B216" s="60"/>
      <c r="C216" s="10"/>
      <c r="D216" s="19"/>
      <c r="E216" s="30"/>
      <c r="F216" s="139"/>
      <c r="G216" s="90"/>
      <c r="H216" s="1050"/>
      <c r="I216" s="34"/>
      <c r="J216" s="34"/>
      <c r="K216" s="34"/>
      <c r="L216" s="34"/>
    </row>
    <row r="217" spans="1:14" ht="15.6" customHeight="1" thickBot="1">
      <c r="A217" s="100">
        <f>+A215+1</f>
        <v>146</v>
      </c>
      <c r="B217" s="2290" t="s">
        <v>93</v>
      </c>
      <c r="C217" s="2290"/>
      <c r="D217" s="2290"/>
      <c r="E217" s="182"/>
      <c r="F217" s="132" t="str">
        <f>"(Line "&amp;A120&amp;" * Line "&amp;A215&amp;")"</f>
        <v>(Line 74 * Line 145)</v>
      </c>
      <c r="G217" s="132">
        <f>+G120*G215</f>
        <v>159450940.68631816</v>
      </c>
      <c r="H217" s="1051">
        <f>+H120*H215</f>
        <v>196639262.04824623</v>
      </c>
      <c r="J217" s="254"/>
      <c r="K217" s="254"/>
      <c r="L217" s="254"/>
    </row>
    <row r="218" spans="1:14" ht="13.95" customHeight="1" thickTop="1">
      <c r="A218" s="100"/>
      <c r="B218" s="6"/>
      <c r="C218" s="50"/>
      <c r="D218" s="5"/>
      <c r="E218" s="26"/>
      <c r="F218" s="123"/>
      <c r="G218" s="91"/>
      <c r="H218" s="1052"/>
      <c r="J218" s="254"/>
      <c r="K218" s="254"/>
      <c r="L218" s="254"/>
    </row>
    <row r="219" spans="1:14" ht="15.6" customHeight="1">
      <c r="A219" s="2288" t="s">
        <v>21</v>
      </c>
      <c r="B219" s="2289"/>
      <c r="C219" s="2289"/>
      <c r="D219" s="237"/>
      <c r="E219" s="238"/>
      <c r="F219" s="239"/>
      <c r="G219" s="240"/>
      <c r="H219" s="1009"/>
      <c r="J219" s="254"/>
      <c r="K219" s="254"/>
      <c r="L219" s="254"/>
    </row>
    <row r="220" spans="1:14" ht="13.95" customHeight="1">
      <c r="A220" s="118"/>
      <c r="B220" s="6"/>
      <c r="C220" s="4"/>
      <c r="D220" s="8"/>
      <c r="E220" s="51"/>
      <c r="F220" s="126"/>
      <c r="G220" s="67"/>
      <c r="H220" s="1008"/>
      <c r="J220" s="254"/>
      <c r="K220" s="254"/>
      <c r="L220" s="254"/>
      <c r="N220" s="253" t="s">
        <v>2225</v>
      </c>
    </row>
    <row r="221" spans="1:14" ht="15.6" customHeight="1">
      <c r="A221" s="100" t="s">
        <v>65</v>
      </c>
      <c r="B221" s="2285" t="s">
        <v>94</v>
      </c>
      <c r="C221" s="2285"/>
      <c r="D221" s="5"/>
      <c r="E221" s="51"/>
      <c r="F221" s="123"/>
      <c r="G221" s="265"/>
      <c r="H221" s="1047"/>
      <c r="J221" s="254"/>
      <c r="K221" s="254"/>
      <c r="L221" s="254"/>
    </row>
    <row r="222" spans="1:14" ht="15.6" customHeight="1">
      <c r="A222" s="100">
        <f>+A217+1</f>
        <v>147</v>
      </c>
      <c r="B222" s="6"/>
      <c r="C222" s="5" t="s">
        <v>92</v>
      </c>
      <c r="D222" s="8"/>
      <c r="E222" s="33" t="str">
        <f>"(Note "&amp;A$316&amp;")"</f>
        <v>(Note I)</v>
      </c>
      <c r="F222" s="126"/>
      <c r="G222" s="667">
        <v>0.35</v>
      </c>
      <c r="H222" s="1538">
        <v>0.21</v>
      </c>
      <c r="J222" s="254"/>
      <c r="K222" s="254"/>
      <c r="L222" s="254"/>
    </row>
    <row r="223" spans="1:14" ht="15.6" customHeight="1">
      <c r="A223" s="100">
        <f>+A222+1</f>
        <v>148</v>
      </c>
      <c r="B223" s="6"/>
      <c r="C223" s="119" t="s">
        <v>91</v>
      </c>
      <c r="D223" s="266"/>
      <c r="E223" s="33" t="str">
        <f>"(Note "&amp;A$316&amp;")"</f>
        <v>(Note I)</v>
      </c>
      <c r="F223" s="126"/>
      <c r="G223" s="667">
        <v>0.08</v>
      </c>
      <c r="H223" s="1538">
        <v>0.08</v>
      </c>
      <c r="J223" s="254"/>
      <c r="K223" s="254"/>
      <c r="L223" s="254"/>
    </row>
    <row r="224" spans="1:14" ht="15.6" customHeight="1">
      <c r="A224" s="100">
        <f>+A223+1</f>
        <v>149</v>
      </c>
      <c r="B224" s="6"/>
      <c r="C224" s="2286" t="s">
        <v>518</v>
      </c>
      <c r="D224" s="2286"/>
      <c r="E224" s="33" t="str">
        <f>"(Note "&amp;A$316&amp;")"</f>
        <v>(Note I)</v>
      </c>
      <c r="F224" s="126"/>
      <c r="G224" s="667">
        <v>1</v>
      </c>
      <c r="H224" s="1538">
        <v>1</v>
      </c>
      <c r="J224" s="558"/>
      <c r="K224" s="254"/>
      <c r="L224" s="254"/>
    </row>
    <row r="225" spans="1:454" ht="15.6" customHeight="1">
      <c r="A225" s="100">
        <f>+A224+1</f>
        <v>150</v>
      </c>
      <c r="B225" s="6"/>
      <c r="C225" s="119" t="s">
        <v>24</v>
      </c>
      <c r="D225" s="939"/>
      <c r="E225" s="33"/>
      <c r="F225" s="126"/>
      <c r="G225" s="265">
        <f>IF(G222&gt;0,1-(((1-G223)*(1-G222))/(1-G223*G222*G224)),0)</f>
        <v>0.38477366255144019</v>
      </c>
      <c r="H225" s="1047">
        <f>IF(H222&gt;0,1-(((1-H223)*(1-H222))/(1-H223*H222*H224)),0)</f>
        <v>0.26078112286411703</v>
      </c>
      <c r="J225" s="558"/>
      <c r="K225" s="254"/>
      <c r="L225" s="254"/>
    </row>
    <row r="226" spans="1:454" ht="15.6" customHeight="1">
      <c r="A226" s="100">
        <f>+A225+1</f>
        <v>151</v>
      </c>
      <c r="B226" s="6"/>
      <c r="C226" s="119" t="s">
        <v>123</v>
      </c>
      <c r="D226" s="120"/>
      <c r="E226" s="26"/>
      <c r="F226" s="126"/>
      <c r="G226" s="92">
        <f>+G225/(1-G225)</f>
        <v>0.62541806020066848</v>
      </c>
      <c r="H226" s="1053">
        <f>+H225/(1-H225)</f>
        <v>0.35277930654925677</v>
      </c>
      <c r="J226" s="559"/>
      <c r="K226" s="254"/>
      <c r="L226" s="254"/>
    </row>
    <row r="227" spans="1:454" ht="13.95" customHeight="1">
      <c r="A227" s="100"/>
      <c r="B227" s="6"/>
      <c r="C227" s="5"/>
      <c r="D227" s="5"/>
      <c r="E227" s="121"/>
      <c r="F227" s="140"/>
      <c r="G227" s="93"/>
      <c r="H227" s="1054"/>
      <c r="J227" s="254"/>
      <c r="K227" s="254"/>
      <c r="L227" s="254"/>
    </row>
    <row r="228" spans="1:454" ht="15.6" customHeight="1">
      <c r="A228" s="100"/>
      <c r="B228" s="20" t="s">
        <v>473</v>
      </c>
      <c r="C228" s="50"/>
      <c r="E228" s="33" t="str">
        <f>"(Note "&amp;A$316&amp;")"</f>
        <v>(Note I)</v>
      </c>
      <c r="F228" s="123"/>
      <c r="G228" s="94"/>
      <c r="H228" s="1055"/>
      <c r="J228" s="254"/>
      <c r="K228" s="254"/>
      <c r="L228" s="254"/>
    </row>
    <row r="229" spans="1:454" ht="15.6" customHeight="1">
      <c r="A229" s="100">
        <f>+A226+1</f>
        <v>152</v>
      </c>
      <c r="B229" s="6"/>
      <c r="C229" s="56" t="s">
        <v>627</v>
      </c>
      <c r="D229" s="101" t="s">
        <v>498</v>
      </c>
      <c r="E229" s="33" t="str">
        <f>"(Note "&amp;$A$308&amp;")"</f>
        <v>(Note A)</v>
      </c>
      <c r="F229" s="849" t="s">
        <v>257</v>
      </c>
      <c r="G229" s="201">
        <v>-4611079</v>
      </c>
      <c r="H229" s="1021">
        <v>-4611079</v>
      </c>
      <c r="J229" s="254"/>
      <c r="K229" s="254"/>
      <c r="L229" s="254"/>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4"/>
      <c r="AN229" s="254"/>
      <c r="AO229" s="254"/>
      <c r="AP229" s="254"/>
      <c r="AQ229" s="254"/>
      <c r="AR229" s="254"/>
      <c r="AS229" s="254"/>
      <c r="AT229" s="254"/>
      <c r="AU229" s="254"/>
      <c r="AV229" s="254"/>
      <c r="AW229" s="254"/>
      <c r="AX229" s="254"/>
      <c r="AY229" s="254"/>
      <c r="AZ229" s="254"/>
      <c r="BA229" s="254"/>
      <c r="BB229" s="254"/>
      <c r="BC229" s="254"/>
      <c r="BD229" s="254"/>
      <c r="BE229" s="254"/>
      <c r="BF229" s="254"/>
      <c r="BG229" s="254"/>
      <c r="BH229" s="254"/>
      <c r="BI229" s="254"/>
      <c r="BJ229" s="254"/>
      <c r="BK229" s="254"/>
      <c r="BL229" s="254"/>
      <c r="BM229" s="254"/>
      <c r="BN229" s="254"/>
      <c r="BO229" s="254"/>
      <c r="BP229" s="254"/>
      <c r="BQ229" s="254"/>
      <c r="BR229" s="254"/>
      <c r="BS229" s="254"/>
      <c r="BT229" s="254"/>
      <c r="BU229" s="254"/>
      <c r="BV229" s="254"/>
      <c r="BW229" s="254"/>
      <c r="BX229" s="254"/>
      <c r="BY229" s="254"/>
      <c r="BZ229" s="254"/>
      <c r="CA229" s="254"/>
      <c r="CB229" s="254"/>
      <c r="CC229" s="254"/>
      <c r="CD229" s="254"/>
      <c r="CE229" s="254"/>
      <c r="CF229" s="254"/>
      <c r="CG229" s="254"/>
      <c r="CH229" s="254"/>
      <c r="CI229" s="254"/>
      <c r="CJ229" s="254"/>
      <c r="CK229" s="254"/>
      <c r="CL229" s="254"/>
      <c r="CM229" s="254"/>
      <c r="CN229" s="254"/>
      <c r="CO229" s="254"/>
      <c r="CP229" s="254"/>
      <c r="CQ229" s="254"/>
      <c r="CR229" s="254"/>
      <c r="CS229" s="254"/>
      <c r="CT229" s="254"/>
      <c r="CU229" s="254"/>
      <c r="CV229" s="254"/>
      <c r="CW229" s="254"/>
      <c r="CX229" s="254"/>
      <c r="CY229" s="254"/>
      <c r="CZ229" s="254"/>
      <c r="DA229" s="254"/>
      <c r="DB229" s="254"/>
      <c r="DC229" s="254"/>
      <c r="DD229" s="254"/>
      <c r="DE229" s="254"/>
      <c r="DF229" s="254"/>
      <c r="DG229" s="254"/>
      <c r="DH229" s="254"/>
      <c r="DI229" s="254"/>
      <c r="DJ229" s="254"/>
      <c r="DK229" s="254"/>
      <c r="DL229" s="254"/>
      <c r="DM229" s="254"/>
      <c r="DN229" s="254"/>
      <c r="DO229" s="254"/>
      <c r="DP229" s="254"/>
      <c r="DQ229" s="254"/>
      <c r="DR229" s="254"/>
      <c r="DS229" s="254"/>
      <c r="DT229" s="254"/>
      <c r="DU229" s="254"/>
      <c r="DV229" s="254"/>
      <c r="DW229" s="254"/>
      <c r="DX229" s="254"/>
      <c r="DY229" s="254"/>
      <c r="DZ229" s="254"/>
      <c r="EA229" s="254"/>
      <c r="EB229" s="254"/>
      <c r="EC229" s="254"/>
      <c r="ED229" s="254"/>
      <c r="EE229" s="254"/>
      <c r="EF229" s="254"/>
      <c r="EG229" s="254"/>
      <c r="EH229" s="254"/>
      <c r="EI229" s="254"/>
      <c r="EJ229" s="254"/>
      <c r="EK229" s="254"/>
      <c r="EL229" s="254"/>
      <c r="EM229" s="254"/>
      <c r="EN229" s="254"/>
      <c r="EO229" s="254"/>
      <c r="EP229" s="254"/>
      <c r="EQ229" s="254"/>
      <c r="ER229" s="254"/>
      <c r="ES229" s="254"/>
      <c r="ET229" s="254"/>
      <c r="EU229" s="254"/>
      <c r="EV229" s="254"/>
      <c r="EW229" s="254"/>
      <c r="EX229" s="254"/>
      <c r="EY229" s="254"/>
      <c r="EZ229" s="254"/>
      <c r="FA229" s="254"/>
      <c r="FB229" s="254"/>
      <c r="FC229" s="254"/>
      <c r="FD229" s="254"/>
      <c r="FE229" s="254"/>
      <c r="FF229" s="254"/>
      <c r="FG229" s="254"/>
      <c r="FH229" s="254"/>
      <c r="FI229" s="254"/>
      <c r="FJ229" s="254"/>
      <c r="FK229" s="254"/>
      <c r="FL229" s="254"/>
      <c r="FM229" s="254"/>
      <c r="FN229" s="254"/>
      <c r="FO229" s="254"/>
      <c r="FP229" s="254"/>
      <c r="FQ229" s="254"/>
      <c r="FR229" s="254"/>
      <c r="FS229" s="254"/>
      <c r="FT229" s="254"/>
      <c r="FU229" s="254"/>
      <c r="FV229" s="254"/>
      <c r="FW229" s="254"/>
      <c r="FX229" s="254"/>
      <c r="FY229" s="254"/>
      <c r="FZ229" s="25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254"/>
      <c r="GV229" s="254"/>
      <c r="GW229" s="254"/>
      <c r="GX229" s="254"/>
      <c r="GY229" s="254"/>
      <c r="GZ229" s="254"/>
      <c r="HA229" s="254"/>
      <c r="HB229" s="254"/>
      <c r="HC229" s="254"/>
      <c r="HD229" s="254"/>
      <c r="HE229" s="254"/>
      <c r="HF229" s="254"/>
      <c r="HG229" s="254"/>
      <c r="HH229" s="254"/>
      <c r="HI229" s="254"/>
      <c r="HJ229" s="254"/>
      <c r="HK229" s="254"/>
      <c r="HL229" s="254"/>
      <c r="HM229" s="254"/>
      <c r="HN229" s="254"/>
      <c r="HO229" s="254"/>
      <c r="HP229" s="254"/>
      <c r="HQ229" s="254"/>
      <c r="HR229" s="254"/>
      <c r="HS229" s="254"/>
      <c r="HT229" s="254"/>
      <c r="HU229" s="254"/>
      <c r="HV229" s="254"/>
      <c r="HW229" s="254"/>
      <c r="HX229" s="254"/>
      <c r="HY229" s="254"/>
      <c r="HZ229" s="254"/>
      <c r="IA229" s="254"/>
      <c r="IB229" s="254"/>
      <c r="IC229" s="254"/>
      <c r="ID229" s="254"/>
      <c r="IE229" s="254"/>
      <c r="IF229" s="254"/>
      <c r="IG229" s="254"/>
      <c r="IH229" s="254"/>
      <c r="II229" s="254"/>
      <c r="IJ229" s="254"/>
      <c r="IK229" s="254"/>
      <c r="IL229" s="254"/>
      <c r="IM229" s="254"/>
      <c r="IN229" s="254"/>
      <c r="IO229" s="254"/>
      <c r="IP229" s="254"/>
      <c r="IQ229" s="254"/>
      <c r="IR229" s="254"/>
      <c r="IS229" s="254"/>
      <c r="IT229" s="254"/>
      <c r="IU229" s="254"/>
      <c r="IV229" s="254"/>
      <c r="IW229" s="254"/>
      <c r="IX229" s="254"/>
      <c r="IY229" s="254"/>
      <c r="IZ229" s="254"/>
      <c r="JA229" s="254"/>
      <c r="JB229" s="254"/>
      <c r="JC229" s="254"/>
      <c r="JD229" s="254"/>
      <c r="JE229" s="254"/>
      <c r="JF229" s="254"/>
      <c r="JG229" s="254"/>
      <c r="JH229" s="254"/>
      <c r="JI229" s="254"/>
      <c r="JJ229" s="254"/>
      <c r="JK229" s="254"/>
      <c r="JL229" s="254"/>
      <c r="JM229" s="254"/>
      <c r="JN229" s="254"/>
      <c r="JO229" s="254"/>
      <c r="JP229" s="254"/>
      <c r="JQ229" s="254"/>
      <c r="JR229" s="254"/>
      <c r="JS229" s="254"/>
      <c r="JT229" s="254"/>
      <c r="JU229" s="254"/>
      <c r="JV229" s="254"/>
      <c r="JW229" s="254"/>
      <c r="JX229" s="254"/>
      <c r="JY229" s="254"/>
      <c r="JZ229" s="254"/>
      <c r="KA229" s="254"/>
      <c r="KB229" s="254"/>
      <c r="KC229" s="254"/>
      <c r="KD229" s="254"/>
      <c r="KE229" s="254"/>
      <c r="KF229" s="254"/>
      <c r="KG229" s="254"/>
      <c r="KH229" s="254"/>
      <c r="KI229" s="254"/>
      <c r="KJ229" s="254"/>
      <c r="KK229" s="254"/>
      <c r="KL229" s="254"/>
      <c r="KM229" s="254"/>
      <c r="KN229" s="254"/>
      <c r="KO229" s="254"/>
      <c r="KP229" s="254"/>
      <c r="KQ229" s="254"/>
      <c r="KR229" s="254"/>
      <c r="KS229" s="254"/>
      <c r="KT229" s="254"/>
      <c r="KU229" s="254"/>
      <c r="KV229" s="254"/>
      <c r="KW229" s="254"/>
      <c r="KX229" s="254"/>
      <c r="KY229" s="254"/>
      <c r="KZ229" s="254"/>
      <c r="LA229" s="254"/>
      <c r="LB229" s="254"/>
      <c r="LC229" s="254"/>
      <c r="LD229" s="254"/>
      <c r="LE229" s="254"/>
      <c r="LF229" s="254"/>
      <c r="LG229" s="254"/>
      <c r="LH229" s="254"/>
      <c r="LI229" s="254"/>
      <c r="LJ229" s="254"/>
      <c r="LK229" s="254"/>
      <c r="LL229" s="254"/>
      <c r="LM229" s="254"/>
      <c r="LN229" s="254"/>
      <c r="LO229" s="254"/>
      <c r="LP229" s="254"/>
      <c r="LQ229" s="254"/>
      <c r="LR229" s="254"/>
      <c r="LS229" s="254"/>
      <c r="LT229" s="254"/>
      <c r="LU229" s="254"/>
      <c r="LV229" s="254"/>
      <c r="LW229" s="254"/>
      <c r="LX229" s="254"/>
      <c r="LY229" s="254"/>
      <c r="LZ229" s="254"/>
      <c r="MA229" s="254"/>
      <c r="MB229" s="254"/>
      <c r="MC229" s="254"/>
      <c r="MD229" s="254"/>
      <c r="ME229" s="254"/>
      <c r="MF229" s="254"/>
      <c r="MG229" s="254"/>
      <c r="MH229" s="254"/>
      <c r="MI229" s="254"/>
      <c r="MJ229" s="254"/>
      <c r="MK229" s="254"/>
      <c r="ML229" s="254"/>
      <c r="MM229" s="254"/>
      <c r="MN229" s="254"/>
      <c r="MO229" s="254"/>
      <c r="MP229" s="254"/>
      <c r="MQ229" s="254"/>
      <c r="MR229" s="254"/>
      <c r="MS229" s="254"/>
      <c r="MT229" s="254"/>
      <c r="MU229" s="254"/>
      <c r="MV229" s="254"/>
      <c r="MW229" s="254"/>
      <c r="MX229" s="254"/>
      <c r="MY229" s="254"/>
      <c r="MZ229" s="254"/>
      <c r="NA229" s="254"/>
      <c r="NB229" s="254"/>
      <c r="NC229" s="254"/>
      <c r="ND229" s="254"/>
      <c r="NE229" s="254"/>
      <c r="NF229" s="254"/>
      <c r="NG229" s="254"/>
      <c r="NH229" s="254"/>
      <c r="NI229" s="254"/>
      <c r="NJ229" s="254"/>
      <c r="NK229" s="254"/>
      <c r="NL229" s="254"/>
      <c r="NM229" s="254"/>
      <c r="NN229" s="254"/>
      <c r="NO229" s="254"/>
      <c r="NP229" s="254"/>
      <c r="NQ229" s="254"/>
      <c r="NR229" s="254"/>
      <c r="NS229" s="254"/>
      <c r="NT229" s="254"/>
      <c r="NU229" s="254"/>
      <c r="NV229" s="254"/>
      <c r="NW229" s="254"/>
      <c r="NX229" s="254"/>
      <c r="NY229" s="254"/>
      <c r="NZ229" s="254"/>
      <c r="OA229" s="254"/>
      <c r="OB229" s="254"/>
      <c r="OC229" s="254"/>
      <c r="OD229" s="254"/>
      <c r="OE229" s="254"/>
      <c r="OF229" s="254"/>
      <c r="OG229" s="254"/>
      <c r="OH229" s="254"/>
      <c r="OI229" s="254"/>
      <c r="OJ229" s="254"/>
      <c r="OK229" s="254"/>
      <c r="OL229" s="254"/>
      <c r="OM229" s="254"/>
      <c r="ON229" s="254"/>
      <c r="OO229" s="254"/>
      <c r="OP229" s="254"/>
      <c r="OQ229" s="254"/>
      <c r="OR229" s="254"/>
      <c r="OS229" s="254"/>
      <c r="OT229" s="254"/>
      <c r="OU229" s="254"/>
      <c r="OV229" s="254"/>
      <c r="OW229" s="254"/>
      <c r="OX229" s="254"/>
      <c r="OY229" s="254"/>
      <c r="OZ229" s="254"/>
      <c r="PA229" s="254"/>
      <c r="PB229" s="254"/>
      <c r="PC229" s="254"/>
      <c r="PD229" s="254"/>
      <c r="PE229" s="254"/>
      <c r="PF229" s="254"/>
      <c r="PG229" s="254"/>
      <c r="PH229" s="254"/>
      <c r="PI229" s="254"/>
      <c r="PJ229" s="254"/>
      <c r="PK229" s="254"/>
      <c r="PL229" s="254"/>
      <c r="PM229" s="254"/>
      <c r="PN229" s="254"/>
      <c r="PO229" s="254"/>
      <c r="PP229" s="254"/>
      <c r="PQ229" s="254"/>
      <c r="PR229" s="254"/>
      <c r="PS229" s="254"/>
      <c r="PT229" s="254"/>
      <c r="PU229" s="254"/>
      <c r="PV229" s="254"/>
      <c r="PW229" s="254"/>
      <c r="PX229" s="254"/>
      <c r="PY229" s="254"/>
      <c r="PZ229" s="254"/>
      <c r="QA229" s="254"/>
      <c r="QB229" s="254"/>
      <c r="QC229" s="254"/>
      <c r="QD229" s="254"/>
      <c r="QE229" s="254"/>
      <c r="QF229" s="254"/>
      <c r="QG229" s="254"/>
      <c r="QH229" s="254"/>
      <c r="QI229" s="254"/>
      <c r="QJ229" s="254"/>
      <c r="QK229" s="254"/>
      <c r="QL229" s="254"/>
    </row>
    <row r="230" spans="1:454" s="1869" customFormat="1" ht="31.2" customHeight="1">
      <c r="A230" s="1902" t="s">
        <v>1922</v>
      </c>
      <c r="B230" s="1903"/>
      <c r="C230" s="1904" t="s">
        <v>1936</v>
      </c>
      <c r="D230" s="1905"/>
      <c r="E230" s="1906"/>
      <c r="F230" s="1907" t="s">
        <v>1998</v>
      </c>
      <c r="G230" s="1908">
        <f>'WP22 IT Adj'!$E27</f>
        <v>0</v>
      </c>
      <c r="H230" s="1909">
        <f>'WP22 IT Adj'!$E28</f>
        <v>29930819.735255174</v>
      </c>
      <c r="I230" s="1819"/>
      <c r="J230" s="1867" t="s">
        <v>1937</v>
      </c>
      <c r="K230" s="1868"/>
      <c r="L230" s="1868"/>
      <c r="M230" s="1868"/>
    </row>
    <row r="231" spans="1:454" ht="30.6" customHeight="1">
      <c r="A231" s="1910" t="s">
        <v>1916</v>
      </c>
      <c r="B231" s="1870"/>
      <c r="C231" s="1871" t="s">
        <v>88</v>
      </c>
      <c r="D231" s="1872"/>
      <c r="E231" s="1873"/>
      <c r="F231" s="1800" t="str">
        <f>"(Line "&amp;A$35&amp;")"</f>
        <v>(Line 18)</v>
      </c>
      <c r="G231" s="1863">
        <f>+G35</f>
        <v>0.19443682157949813</v>
      </c>
      <c r="H231" s="1864">
        <f>+H35</f>
        <v>0.23399022078740567</v>
      </c>
      <c r="I231" s="1793"/>
      <c r="J231" s="1867" t="s">
        <v>1979</v>
      </c>
      <c r="K231" s="254"/>
      <c r="L231" s="254"/>
      <c r="M231" s="254"/>
      <c r="N231" s="254"/>
    </row>
    <row r="232" spans="1:454" s="664" customFormat="1" ht="31.95" customHeight="1">
      <c r="A232" s="1910" t="s">
        <v>1918</v>
      </c>
      <c r="B232" s="155"/>
      <c r="C232" s="1874" t="s">
        <v>1917</v>
      </c>
      <c r="D232" s="1801"/>
      <c r="E232" s="1802"/>
      <c r="F232" s="1861" t="s">
        <v>2000</v>
      </c>
      <c r="G232" s="1908">
        <f>'WP22 IT Adj'!$C27</f>
        <v>107722.438448</v>
      </c>
      <c r="H232" s="1909">
        <f>'WP22 IT Adj'!$C28</f>
        <v>-6636225.4454321563</v>
      </c>
      <c r="I232" s="1795"/>
      <c r="J232" s="1867" t="s">
        <v>1980</v>
      </c>
      <c r="K232" s="1868"/>
      <c r="L232" s="1868"/>
      <c r="M232" s="1820"/>
      <c r="N232" s="1465"/>
    </row>
    <row r="233" spans="1:454" ht="38.4" customHeight="1">
      <c r="A233" s="1910" t="s">
        <v>1920</v>
      </c>
      <c r="B233" s="155"/>
      <c r="C233" s="1874" t="s">
        <v>1919</v>
      </c>
      <c r="D233" s="1817"/>
      <c r="E233" s="155"/>
      <c r="F233" s="1861" t="s">
        <v>2001</v>
      </c>
      <c r="G233" s="1911">
        <f>'WP22 IT Adj'!D27</f>
        <v>599367.61656800006</v>
      </c>
      <c r="H233" s="1912">
        <f>'WP22 IT Adj'!D28</f>
        <v>-49868067.459254995</v>
      </c>
      <c r="I233" s="1796"/>
      <c r="J233" s="1867" t="s">
        <v>1980</v>
      </c>
      <c r="K233" s="1868"/>
      <c r="L233" s="1868"/>
      <c r="M233" s="1820"/>
      <c r="N233" s="254"/>
    </row>
    <row r="234" spans="1:454" ht="30.6" customHeight="1">
      <c r="A234" s="1910" t="s">
        <v>1999</v>
      </c>
      <c r="B234" s="155"/>
      <c r="C234" s="230" t="s">
        <v>110</v>
      </c>
      <c r="D234" s="1817"/>
      <c r="E234" s="155"/>
      <c r="F234" s="1800" t="str">
        <f>"(Line "&amp;A$24&amp;")"</f>
        <v>(Line 11)</v>
      </c>
      <c r="G234" s="1865">
        <f>+G$24</f>
        <v>7.5696383376743087E-2</v>
      </c>
      <c r="H234" s="1866">
        <f>H$24</f>
        <v>7.5696383376743087E-2</v>
      </c>
      <c r="I234" s="1796"/>
      <c r="J234" s="1867" t="s">
        <v>1979</v>
      </c>
      <c r="K234" s="254"/>
      <c r="L234" s="254"/>
      <c r="M234" s="254"/>
      <c r="N234" s="254"/>
    </row>
    <row r="235" spans="1:454" ht="30">
      <c r="A235" s="1910" t="s">
        <v>1935</v>
      </c>
      <c r="B235" s="155"/>
      <c r="C235" s="1803" t="s">
        <v>1921</v>
      </c>
      <c r="D235" s="1872"/>
      <c r="E235" s="1873"/>
      <c r="F235" s="1913" t="s">
        <v>2002</v>
      </c>
      <c r="G235" s="1893">
        <f>((G229+G230)*G231)+G232+(G233*G234)</f>
        <v>-743471.14547663461</v>
      </c>
      <c r="H235" s="1804">
        <f>((H229+H230)*H231)+H232+(H233*H234)</f>
        <v>-4486486.0731629813</v>
      </c>
      <c r="I235" s="1794"/>
      <c r="J235" s="1867" t="s">
        <v>1981</v>
      </c>
      <c r="K235" s="1868"/>
      <c r="L235" s="1868"/>
      <c r="M235" s="1820"/>
      <c r="N235" s="1820"/>
    </row>
    <row r="236" spans="1:454">
      <c r="A236" s="1875">
        <f>+A229+1</f>
        <v>153</v>
      </c>
      <c r="B236" s="1870"/>
      <c r="C236" s="1803" t="s">
        <v>160</v>
      </c>
      <c r="D236" s="230"/>
      <c r="E236" s="1870"/>
      <c r="F236" s="242" t="str">
        <f>"(1 / (1 - Line "&amp;A225&amp;"))"</f>
        <v>(1 / (1 - Line 150))</v>
      </c>
      <c r="G236" s="1876">
        <f>IF(G225=0,0,1/(1-G225))</f>
        <v>1.6254180602006685</v>
      </c>
      <c r="H236" s="1877">
        <f>IF(H225=0,0,1/(1-H225))</f>
        <v>1.3527793065492568</v>
      </c>
      <c r="I236" s="1862"/>
      <c r="J236" s="1867"/>
      <c r="K236" s="254"/>
      <c r="L236" s="254"/>
    </row>
    <row r="237" spans="1:454">
      <c r="A237" s="1875">
        <f>+A236+1</f>
        <v>154</v>
      </c>
      <c r="B237" s="1870"/>
      <c r="C237" s="1878" t="s">
        <v>1926</v>
      </c>
      <c r="D237" s="1879"/>
      <c r="E237" s="1880"/>
      <c r="F237" s="1881"/>
      <c r="G237" s="1882"/>
      <c r="H237" s="1883"/>
      <c r="I237" s="1884"/>
      <c r="J237" s="1867" t="s">
        <v>1982</v>
      </c>
      <c r="K237" s="254"/>
      <c r="L237" s="254"/>
    </row>
    <row r="238" spans="1:454" ht="15.6" customHeight="1">
      <c r="A238" s="1875">
        <f>+A237+1</f>
        <v>155</v>
      </c>
      <c r="B238" s="1870"/>
      <c r="C238" s="1888" t="s">
        <v>1510</v>
      </c>
      <c r="D238" s="1889"/>
      <c r="E238" s="1873"/>
      <c r="F238" s="1914" t="s">
        <v>2003</v>
      </c>
      <c r="G238" s="1885">
        <f>G235*G236</f>
        <v>-1208451.4270958004</v>
      </c>
      <c r="H238" s="1886">
        <f>H235*H236</f>
        <v>-6069225.5188963162</v>
      </c>
      <c r="I238" s="1887"/>
      <c r="J238" s="1867" t="s">
        <v>1983</v>
      </c>
      <c r="K238" s="1868"/>
      <c r="L238" s="1868"/>
      <c r="M238" s="1868"/>
      <c r="N238" s="1820"/>
    </row>
    <row r="239" spans="1:454" ht="15.6" customHeight="1">
      <c r="A239" s="100">
        <f>+A237+1</f>
        <v>155</v>
      </c>
      <c r="B239" s="63" t="s">
        <v>108</v>
      </c>
      <c r="C239" s="9"/>
      <c r="D239" s="2313" t="s">
        <v>1898</v>
      </c>
      <c r="E239" s="2313"/>
      <c r="F239" s="2315" t="str">
        <f>"[Line "&amp;A226&amp;" * Line "&amp;A217&amp;" * 
(1 - (Line "&amp;A212&amp;" / Line "&amp;A215&amp;"))]"</f>
        <v>[Line 151 * Line 146 * 
(1 - (Line 142 / Line 145))]</v>
      </c>
      <c r="G239" s="68">
        <f>IF(G215=0,0,+G226*(1-G212/G215)*G217)</f>
        <v>68276206.019291177</v>
      </c>
      <c r="H239" s="1012">
        <f>IF(H215=0,0,+H226*(1-H212/H215)*H217)</f>
        <v>47719355.438585199</v>
      </c>
      <c r="J239" s="254"/>
      <c r="K239" s="254"/>
      <c r="L239" s="254"/>
    </row>
    <row r="240" spans="1:454">
      <c r="A240" s="100"/>
      <c r="B240" s="6"/>
      <c r="C240" s="7"/>
      <c r="D240" s="2314"/>
      <c r="E240" s="2314"/>
      <c r="F240" s="2316"/>
      <c r="G240" s="630"/>
      <c r="H240" s="1056"/>
      <c r="J240" s="254"/>
      <c r="K240" s="254"/>
      <c r="L240" s="254"/>
    </row>
    <row r="241" spans="1:12" ht="15.6" customHeight="1" thickBot="1">
      <c r="A241" s="100">
        <f>+A239+1</f>
        <v>156</v>
      </c>
      <c r="B241" s="16" t="s">
        <v>50</v>
      </c>
      <c r="C241" s="16"/>
      <c r="D241" s="15"/>
      <c r="E241" s="27"/>
      <c r="F241" s="132" t="str">
        <f>"(Line "&amp;A237&amp;" + Line "&amp;A239&amp;")"</f>
        <v>(Line 154 + Line 155)</v>
      </c>
      <c r="G241" s="95">
        <f>+G239+G238</f>
        <v>67067754.592195377</v>
      </c>
      <c r="H241" s="95">
        <f>+H239+H238</f>
        <v>41650129.91968888</v>
      </c>
      <c r="J241" s="254"/>
      <c r="K241" s="254"/>
      <c r="L241" s="254"/>
    </row>
    <row r="242" spans="1:12" ht="13.95" customHeight="1" thickTop="1">
      <c r="A242" s="100"/>
      <c r="B242" s="6"/>
      <c r="C242" s="57"/>
      <c r="D242" s="5"/>
      <c r="E242" s="26"/>
      <c r="F242" s="133"/>
      <c r="G242" s="603"/>
      <c r="H242" s="1018"/>
      <c r="J242" s="254"/>
      <c r="K242" s="254"/>
      <c r="L242" s="254"/>
    </row>
    <row r="243" spans="1:12" s="249" customFormat="1" ht="15.6" customHeight="1">
      <c r="A243" s="998" t="s">
        <v>492</v>
      </c>
      <c r="B243" s="236"/>
      <c r="C243" s="237"/>
      <c r="D243" s="237"/>
      <c r="E243" s="238"/>
      <c r="F243" s="239"/>
      <c r="G243" s="621"/>
      <c r="H243" s="1041"/>
      <c r="I243" s="250"/>
      <c r="J243" s="250"/>
      <c r="K243" s="250"/>
      <c r="L243" s="250"/>
    </row>
    <row r="244" spans="1:12" ht="13.95" customHeight="1">
      <c r="A244" s="102"/>
      <c r="B244" s="9"/>
      <c r="C244" s="9"/>
      <c r="D244" s="9"/>
      <c r="E244" s="26"/>
      <c r="F244" s="127"/>
      <c r="G244" s="619"/>
      <c r="H244" s="1030"/>
      <c r="J244" s="254"/>
      <c r="K244" s="254"/>
      <c r="L244" s="254"/>
    </row>
    <row r="245" spans="1:12" ht="15.6" customHeight="1">
      <c r="A245" s="102"/>
      <c r="B245" s="63" t="s">
        <v>51</v>
      </c>
      <c r="C245" s="9"/>
      <c r="D245" s="9"/>
      <c r="E245" s="26"/>
      <c r="F245" s="127"/>
      <c r="G245" s="619"/>
      <c r="H245" s="1030"/>
      <c r="J245" s="254"/>
      <c r="K245" s="254"/>
      <c r="L245" s="254"/>
    </row>
    <row r="246" spans="1:12" ht="15.6" customHeight="1">
      <c r="A246" s="105">
        <f>+A241+1</f>
        <v>157</v>
      </c>
      <c r="B246" s="14"/>
      <c r="C246" s="2294" t="str">
        <f>+B63</f>
        <v>TOTAL Net Property, Plant &amp; Equipment - Transmission</v>
      </c>
      <c r="D246" s="2294"/>
      <c r="E246" s="33"/>
      <c r="F246" s="123" t="str">
        <f>"(Line "&amp;A63&amp;")"</f>
        <v>(Line 35)</v>
      </c>
      <c r="G246" s="619">
        <f>+G63</f>
        <v>1984861697.2352345</v>
      </c>
      <c r="H246" s="1030">
        <f>+H63</f>
        <v>2490023399.0391903</v>
      </c>
      <c r="J246" s="254"/>
      <c r="K246" s="254"/>
      <c r="L246" s="254"/>
    </row>
    <row r="247" spans="1:12" ht="15.6" customHeight="1">
      <c r="A247" s="71">
        <f>+A246+1</f>
        <v>158</v>
      </c>
      <c r="B247" s="14"/>
      <c r="C247" s="14" t="s">
        <v>104</v>
      </c>
      <c r="D247" s="14"/>
      <c r="E247" s="33"/>
      <c r="F247" s="131" t="str">
        <f>"(Line "&amp;A118&amp;")"</f>
        <v>(Line 73)</v>
      </c>
      <c r="G247" s="619">
        <f>+G118</f>
        <v>116317286.66189903</v>
      </c>
      <c r="H247" s="1030">
        <f>+H118</f>
        <v>128053785.24552712</v>
      </c>
      <c r="J247" s="254"/>
      <c r="K247" s="254"/>
      <c r="L247" s="254"/>
    </row>
    <row r="248" spans="1:12" ht="15.6" customHeight="1">
      <c r="A248" s="71">
        <f>+A247+1</f>
        <v>159</v>
      </c>
      <c r="B248" s="31"/>
      <c r="C248" s="279" t="s">
        <v>107</v>
      </c>
      <c r="D248" s="280"/>
      <c r="E248" s="453"/>
      <c r="F248" s="123" t="str">
        <f>"(Line "&amp;A120&amp;")"</f>
        <v>(Line 74)</v>
      </c>
      <c r="G248" s="631">
        <f>+G120</f>
        <v>2101178983.8971336</v>
      </c>
      <c r="H248" s="1057">
        <f>+H120</f>
        <v>2618077184.2847176</v>
      </c>
      <c r="J248" s="254"/>
      <c r="K248" s="254"/>
      <c r="L248" s="254"/>
    </row>
    <row r="249" spans="1:12" ht="13.95" customHeight="1">
      <c r="A249" s="71"/>
      <c r="B249" s="31"/>
      <c r="C249" s="56"/>
      <c r="D249" s="8"/>
      <c r="E249" s="101"/>
      <c r="F249" s="126"/>
      <c r="G249" s="619"/>
      <c r="H249" s="1030"/>
      <c r="J249" s="254"/>
      <c r="K249" s="254"/>
      <c r="L249" s="254"/>
    </row>
    <row r="250" spans="1:12" ht="15.6" customHeight="1">
      <c r="A250" s="71">
        <f>+A248+1</f>
        <v>160</v>
      </c>
      <c r="B250" s="8"/>
      <c r="C250" s="56" t="s">
        <v>126</v>
      </c>
      <c r="D250" s="8"/>
      <c r="E250" s="33"/>
      <c r="F250" s="123" t="str">
        <f>"(Line "&amp;A156&amp;")"</f>
        <v>(Line 102)</v>
      </c>
      <c r="G250" s="619">
        <f>+G156</f>
        <v>62232200.080583438</v>
      </c>
      <c r="H250" s="1030">
        <f>+H156</f>
        <v>62791495.516680054</v>
      </c>
      <c r="J250" s="254"/>
      <c r="K250" s="254"/>
      <c r="L250" s="254"/>
    </row>
    <row r="251" spans="1:12" ht="15.6" customHeight="1">
      <c r="A251" s="71">
        <f t="shared" ref="A251:A257" si="9">+A250+1</f>
        <v>161</v>
      </c>
      <c r="B251" s="8"/>
      <c r="C251" s="54" t="s">
        <v>95</v>
      </c>
      <c r="D251" s="8"/>
      <c r="E251" s="33"/>
      <c r="F251" s="123" t="str">
        <f>"(Line "&amp;A170&amp;")"</f>
        <v>(Line 112)</v>
      </c>
      <c r="G251" s="619">
        <f>+G170</f>
        <v>56907003.581438795</v>
      </c>
      <c r="H251" s="1030">
        <f>+H170</f>
        <v>56907003.581438795</v>
      </c>
      <c r="J251" s="254"/>
      <c r="K251" s="254"/>
      <c r="L251" s="254"/>
    </row>
    <row r="252" spans="1:12" ht="15.6" customHeight="1">
      <c r="A252" s="71">
        <f t="shared" si="9"/>
        <v>162</v>
      </c>
      <c r="B252" s="31"/>
      <c r="C252" s="56" t="s">
        <v>52</v>
      </c>
      <c r="D252" s="8"/>
      <c r="E252" s="101"/>
      <c r="F252" s="128" t="str">
        <f>"(Line "&amp;A185&amp;")"</f>
        <v>(Line 124)</v>
      </c>
      <c r="G252" s="619">
        <f>+G185</f>
        <v>20666240.623200309</v>
      </c>
      <c r="H252" s="1030">
        <f>+H185</f>
        <v>23255666.675038256</v>
      </c>
      <c r="J252" s="254"/>
      <c r="K252" s="254"/>
      <c r="L252" s="254"/>
    </row>
    <row r="253" spans="1:12" ht="15.6" customHeight="1">
      <c r="A253" s="71">
        <f t="shared" si="9"/>
        <v>163</v>
      </c>
      <c r="B253" s="31"/>
      <c r="C253" s="56" t="s">
        <v>763</v>
      </c>
      <c r="D253" s="8"/>
      <c r="E253" s="101"/>
      <c r="F253" s="128" t="str">
        <f>"(Line "&amp;A193&amp;")"</f>
        <v>(Line 129)</v>
      </c>
      <c r="G253" s="615">
        <f>G193</f>
        <v>0</v>
      </c>
      <c r="H253" s="1007">
        <f>H193</f>
        <v>0</v>
      </c>
      <c r="I253" s="1798"/>
      <c r="J253" s="254"/>
      <c r="K253" s="254"/>
      <c r="L253" s="254"/>
    </row>
    <row r="254" spans="1:12" ht="15.6" customHeight="1">
      <c r="A254" s="71">
        <f t="shared" si="9"/>
        <v>164</v>
      </c>
      <c r="B254" s="31"/>
      <c r="C254" s="245" t="s">
        <v>118</v>
      </c>
      <c r="D254" s="8"/>
      <c r="E254" s="101"/>
      <c r="F254" s="128" t="str">
        <f>"(Line "&amp;A217&amp;")"</f>
        <v>(Line 146)</v>
      </c>
      <c r="G254" s="619">
        <f>+G217</f>
        <v>159450940.68631816</v>
      </c>
      <c r="H254" s="1030">
        <f>+H217</f>
        <v>196639262.04824623</v>
      </c>
      <c r="J254" s="254"/>
      <c r="K254" s="254"/>
      <c r="L254" s="254"/>
    </row>
    <row r="255" spans="1:12" ht="15.6" customHeight="1">
      <c r="A255" s="71">
        <f t="shared" si="9"/>
        <v>165</v>
      </c>
      <c r="B255" s="31"/>
      <c r="C255" s="245" t="s">
        <v>119</v>
      </c>
      <c r="D255" s="8"/>
      <c r="E255" s="101"/>
      <c r="F255" s="128" t="str">
        <f>"(Line "&amp;A241&amp;")"</f>
        <v>(Line 156)</v>
      </c>
      <c r="G255" s="619">
        <f>+G241</f>
        <v>67067754.592195377</v>
      </c>
      <c r="H255" s="1030">
        <f>+H241</f>
        <v>41650129.91968888</v>
      </c>
      <c r="J255" s="254"/>
      <c r="K255" s="254"/>
      <c r="L255" s="254"/>
    </row>
    <row r="256" spans="1:12" ht="15.6" customHeight="1">
      <c r="A256" s="71">
        <f t="shared" si="9"/>
        <v>166</v>
      </c>
      <c r="B256" s="31"/>
      <c r="C256" s="245" t="s">
        <v>291</v>
      </c>
      <c r="D256" s="8"/>
      <c r="E256" s="33" t="str">
        <f>"(Note "&amp;A$327&amp;")"</f>
        <v>(Note T)</v>
      </c>
      <c r="F256" s="128"/>
      <c r="G256" s="201">
        <f>IFERROR(INDEX(#REF!,MATCH($B256,#REF!,0)),0)</f>
        <v>0</v>
      </c>
      <c r="H256" s="1021">
        <f>IFERROR(INDEX(#REF!,MATCH($B256,#REF!,0)),0)</f>
        <v>0</v>
      </c>
      <c r="J256" s="1526" t="s">
        <v>1521</v>
      </c>
      <c r="K256" s="254"/>
      <c r="L256" s="254"/>
    </row>
    <row r="257" spans="1:12" ht="15.6" customHeight="1">
      <c r="A257" s="71">
        <f t="shared" si="9"/>
        <v>167</v>
      </c>
      <c r="B257" s="31"/>
      <c r="C257" s="245" t="s">
        <v>292</v>
      </c>
      <c r="D257" s="8"/>
      <c r="E257" s="33" t="str">
        <f>"(Note "&amp;A$328&amp;")"</f>
        <v>(Note U)</v>
      </c>
      <c r="F257" s="128"/>
      <c r="G257" s="201">
        <f>IFERROR(INDEX(#REF!,MATCH($B257,#REF!,0)),0)</f>
        <v>0</v>
      </c>
      <c r="H257" s="1021">
        <f>IFERROR(INDEX(#REF!,MATCH($B257,#REF!,0)),0)</f>
        <v>0</v>
      </c>
      <c r="J257" s="1526" t="s">
        <v>1521</v>
      </c>
      <c r="K257" s="254"/>
      <c r="L257" s="254"/>
    </row>
    <row r="258" spans="1:12" ht="13.95" customHeight="1" thickBot="1">
      <c r="A258" s="71"/>
      <c r="B258" s="31"/>
      <c r="C258" s="245"/>
      <c r="D258" s="8"/>
      <c r="E258" s="101"/>
      <c r="F258" s="135"/>
      <c r="G258" s="619"/>
      <c r="H258" s="1030"/>
      <c r="J258" s="254"/>
      <c r="K258" s="254"/>
      <c r="L258" s="254"/>
    </row>
    <row r="259" spans="1:12" ht="15.6" customHeight="1" thickBot="1">
      <c r="A259" s="548">
        <f>+A257+1</f>
        <v>168</v>
      </c>
      <c r="B259" s="549"/>
      <c r="C259" s="550" t="s">
        <v>121</v>
      </c>
      <c r="D259" s="551"/>
      <c r="E259" s="1087"/>
      <c r="F259" s="940" t="str">
        <f>"Sum of (Line "&amp;A250&amp;" to Line "&amp;A255&amp;") - Line "&amp;A256&amp;" - Line "&amp;A257</f>
        <v>Sum of (Line 160 to Line 165) - Line 166 - Line 167</v>
      </c>
      <c r="G259" s="633">
        <f>SUM(G250:G255)-G256-G257</f>
        <v>366324139.56373608</v>
      </c>
      <c r="H259" s="1058">
        <f>SUM(H250:H255)-H256-H257</f>
        <v>381243557.74109221</v>
      </c>
      <c r="I259" s="912"/>
      <c r="J259" s="254"/>
      <c r="K259" s="254"/>
      <c r="L259" s="254"/>
    </row>
    <row r="260" spans="1:12" ht="13.95" customHeight="1">
      <c r="A260" s="117"/>
      <c r="B260" s="6"/>
      <c r="C260" s="4"/>
      <c r="D260" s="47"/>
      <c r="E260" s="553"/>
      <c r="F260" s="1088"/>
      <c r="G260" s="632"/>
      <c r="H260" s="1059"/>
      <c r="J260" s="254"/>
      <c r="K260" s="254"/>
      <c r="L260" s="254"/>
    </row>
    <row r="261" spans="1:12" ht="15.6" customHeight="1">
      <c r="A261" s="117"/>
      <c r="B261" s="2298" t="s">
        <v>76</v>
      </c>
      <c r="C261" s="2298"/>
      <c r="D261" s="2298"/>
      <c r="E261" s="2298"/>
      <c r="F261" s="2299"/>
      <c r="G261" s="632"/>
      <c r="H261" s="1059"/>
      <c r="J261" s="254"/>
      <c r="K261" s="254"/>
      <c r="L261" s="254"/>
    </row>
    <row r="262" spans="1:12" ht="15.6" customHeight="1">
      <c r="A262" s="71">
        <f>+A259+1</f>
        <v>169</v>
      </c>
      <c r="B262" s="31"/>
      <c r="C262" s="56" t="str">
        <f>+C42</f>
        <v>Total Transmission Plant In Service</v>
      </c>
      <c r="D262" s="47"/>
      <c r="E262" s="553"/>
      <c r="F262" s="128" t="str">
        <f>"(Line "&amp;A42&amp;")"</f>
        <v>(Line 21)</v>
      </c>
      <c r="G262" s="615">
        <f>+G42</f>
        <v>3023228750.2992315</v>
      </c>
      <c r="H262" s="1007">
        <f>+H42</f>
        <v>3544665890.2015481</v>
      </c>
      <c r="J262" s="254"/>
      <c r="K262" s="254"/>
      <c r="L262" s="254"/>
    </row>
    <row r="263" spans="1:12" ht="15.6" customHeight="1">
      <c r="A263" s="71">
        <f>+A262+1</f>
        <v>170</v>
      </c>
      <c r="B263" s="31"/>
      <c r="C263" s="58" t="s">
        <v>77</v>
      </c>
      <c r="D263" s="552"/>
      <c r="E263" s="70" t="str">
        <f>"(Notes "&amp;A$309&amp;", "&amp;A$320&amp;", "&amp;A$326&amp;")"</f>
        <v>(Notes B, M, S)</v>
      </c>
      <c r="F263" s="129" t="str">
        <f>+"WP02 Support Line "&amp;'WP02 Support'!A181&amp;" Columns "&amp;'WP02 Support'!$D$5&amp;" &amp; "&amp;'WP02 Support'!F5</f>
        <v>WP02 Support Line 58 Columns C &amp; E</v>
      </c>
      <c r="G263" s="448">
        <f>'WP02 Support'!D181</f>
        <v>357633675.50346148</v>
      </c>
      <c r="H263" s="1043">
        <f>'WP02 Support'!F181</f>
        <v>404093503.13999999</v>
      </c>
      <c r="J263" s="254"/>
      <c r="K263" s="254"/>
      <c r="L263" s="254"/>
    </row>
    <row r="264" spans="1:12" ht="15.6" customHeight="1">
      <c r="A264" s="71">
        <f>+A263+1</f>
        <v>171</v>
      </c>
      <c r="B264" s="31"/>
      <c r="C264" s="56" t="s">
        <v>78</v>
      </c>
      <c r="D264" s="47"/>
      <c r="E264" s="553"/>
      <c r="F264" s="128" t="str">
        <f>"(Line "&amp;A262&amp;" - Line "&amp;A263&amp;")"</f>
        <v>(Line 169 - Line 170)</v>
      </c>
      <c r="G264" s="615">
        <f>+G262-G263</f>
        <v>2665595074.7957702</v>
      </c>
      <c r="H264" s="1007">
        <f>+H262-H263</f>
        <v>3140572387.0615482</v>
      </c>
      <c r="J264" s="254"/>
      <c r="K264" s="254"/>
      <c r="L264" s="254"/>
    </row>
    <row r="265" spans="1:12" s="254" customFormat="1" ht="15.6" customHeight="1">
      <c r="A265" s="71">
        <f>+A264+1</f>
        <v>172</v>
      </c>
      <c r="B265" s="31"/>
      <c r="C265" s="56" t="s">
        <v>79</v>
      </c>
      <c r="D265" s="47"/>
      <c r="E265" s="553"/>
      <c r="F265" s="128" t="str">
        <f>"(Line "&amp;A264&amp;" / Line "&amp;A262&amp;")"</f>
        <v>(Line 171 / Line 169)</v>
      </c>
      <c r="G265" s="1257">
        <f>IF(G262 =0, 0,+G264/G262)</f>
        <v>0.88170472529805632</v>
      </c>
      <c r="H265" s="1540">
        <f>IF(H262 =0, 0,+H264/H262)</f>
        <v>0.88599955097121341</v>
      </c>
    </row>
    <row r="266" spans="1:12" ht="15.6" customHeight="1">
      <c r="A266" s="71">
        <f>+A265+1</f>
        <v>173</v>
      </c>
      <c r="B266" s="31"/>
      <c r="C266" s="58" t="s">
        <v>121</v>
      </c>
      <c r="D266" s="552"/>
      <c r="E266" s="1089"/>
      <c r="F266" s="129" t="str">
        <f>"(Line "&amp;A259&amp;")"</f>
        <v>(Line 168)</v>
      </c>
      <c r="G266" s="448">
        <f>+G259</f>
        <v>366324139.56373608</v>
      </c>
      <c r="H266" s="1043">
        <f>+H259</f>
        <v>381243557.74109221</v>
      </c>
      <c r="J266" s="254"/>
      <c r="K266" s="254"/>
      <c r="L266" s="254"/>
    </row>
    <row r="267" spans="1:12" ht="15.6" customHeight="1">
      <c r="A267" s="71">
        <f>+A266+1</f>
        <v>174</v>
      </c>
      <c r="B267" s="31"/>
      <c r="C267" s="4" t="s">
        <v>80</v>
      </c>
      <c r="D267" s="47"/>
      <c r="E267" s="553"/>
      <c r="F267" s="128" t="str">
        <f>"(Line "&amp;A265&amp;" * Line "&amp;A266&amp;")"</f>
        <v>(Line 172 * Line 173)</v>
      </c>
      <c r="G267" s="617">
        <f>+G266*G265</f>
        <v>322989724.84409076</v>
      </c>
      <c r="H267" s="1026">
        <f>+H266*H265</f>
        <v>337781620.96927559</v>
      </c>
      <c r="J267" s="254"/>
      <c r="K267" s="254"/>
      <c r="L267" s="254"/>
    </row>
    <row r="268" spans="1:12" ht="13.95" customHeight="1">
      <c r="A268" s="106"/>
      <c r="B268" s="6"/>
      <c r="C268" s="56"/>
      <c r="D268" s="8"/>
      <c r="E268" s="51"/>
      <c r="F268" s="126"/>
      <c r="G268" s="628"/>
      <c r="H268" s="1042"/>
      <c r="J268" s="254"/>
      <c r="K268" s="254"/>
      <c r="L268" s="254"/>
    </row>
    <row r="269" spans="1:12" ht="15.6" customHeight="1">
      <c r="A269" s="999"/>
      <c r="B269" s="2300" t="s">
        <v>152</v>
      </c>
      <c r="C269" s="2300"/>
      <c r="D269" s="2300"/>
      <c r="E269" s="51"/>
      <c r="F269" s="126"/>
      <c r="G269" s="623"/>
      <c r="H269" s="1034"/>
      <c r="J269" s="254"/>
      <c r="K269" s="254"/>
      <c r="L269" s="254"/>
    </row>
    <row r="270" spans="1:12" ht="15.6" customHeight="1">
      <c r="A270" s="999"/>
      <c r="B270" s="37"/>
      <c r="C270" s="4" t="s">
        <v>769</v>
      </c>
      <c r="D270" s="8"/>
      <c r="E270" s="51"/>
      <c r="F270" s="126"/>
      <c r="G270" s="623"/>
      <c r="H270" s="1034"/>
      <c r="J270" s="254"/>
      <c r="K270" s="254"/>
      <c r="L270" s="254"/>
    </row>
    <row r="271" spans="1:12" ht="15.6" customHeight="1">
      <c r="A271" s="105">
        <f>+A267+1</f>
        <v>175</v>
      </c>
      <c r="B271" s="37"/>
      <c r="C271" s="845" t="s">
        <v>135</v>
      </c>
      <c r="D271" s="8"/>
      <c r="E271" s="51"/>
      <c r="F271" s="124" t="str">
        <f>+"WP17 Rev Line "&amp;'WP17 Rev'!A$10&amp;" Column "&amp;'WP17 Rev'!D5</f>
        <v>WP17 Rev Line 2 Column C</v>
      </c>
      <c r="G271" s="615">
        <f>+'WP17 Rev'!D10</f>
        <v>1008200.46</v>
      </c>
      <c r="H271" s="1007">
        <f>+'WP17 Rev'!D10</f>
        <v>1008200.46</v>
      </c>
      <c r="J271" s="254"/>
      <c r="K271" s="254"/>
      <c r="L271" s="254"/>
    </row>
    <row r="272" spans="1:12" ht="15.6" customHeight="1">
      <c r="A272" s="105">
        <f>+A271+1</f>
        <v>176</v>
      </c>
      <c r="B272" s="37"/>
      <c r="C272" s="845" t="s">
        <v>169</v>
      </c>
      <c r="D272" s="8"/>
      <c r="E272" s="51"/>
      <c r="F272" s="124" t="str">
        <f>+"WP17 Rev Line "&amp;'WP17 Rev'!A$10&amp;" Column "&amp;'WP17 Rev'!F5</f>
        <v>WP17 Rev Line 2 Column E</v>
      </c>
      <c r="G272" s="615">
        <f>+'WP17 Rev'!F10</f>
        <v>184203.50000000003</v>
      </c>
      <c r="H272" s="1007">
        <f>+'WP17 Rev'!F10</f>
        <v>184203.50000000003</v>
      </c>
      <c r="J272" s="254"/>
      <c r="K272" s="254"/>
      <c r="L272" s="254"/>
    </row>
    <row r="273" spans="1:12" ht="15.6" customHeight="1">
      <c r="A273" s="105">
        <f t="shared" ref="A273:A275" si="10">+A272+1</f>
        <v>177</v>
      </c>
      <c r="B273" s="37"/>
      <c r="C273" s="845" t="str">
        <f>+B$24</f>
        <v>Wages &amp; Salary Allocator</v>
      </c>
      <c r="D273" s="8"/>
      <c r="E273" s="51"/>
      <c r="F273" s="124" t="str">
        <f>"(Line "&amp;A$24&amp;")"</f>
        <v>(Line 11)</v>
      </c>
      <c r="G273" s="244">
        <f>+G$24</f>
        <v>7.5696383376743087E-2</v>
      </c>
      <c r="H273" s="1013">
        <f>H$24</f>
        <v>7.5696383376743087E-2</v>
      </c>
      <c r="J273" s="254"/>
      <c r="K273" s="254"/>
      <c r="L273" s="254"/>
    </row>
    <row r="274" spans="1:12" ht="15.6" customHeight="1">
      <c r="A274" s="105">
        <f t="shared" si="10"/>
        <v>178</v>
      </c>
      <c r="B274" s="37"/>
      <c r="C274" s="844" t="str">
        <f>+"Total Transmission Allocated "&amp;C272</f>
        <v>Total Transmission Allocated General Plant</v>
      </c>
      <c r="D274" s="8"/>
      <c r="E274" s="51"/>
      <c r="F274" s="129" t="str">
        <f>"(Line "&amp;A272&amp;" * Line "&amp;A273&amp;")"</f>
        <v>(Line 176 * Line 177)</v>
      </c>
      <c r="G274" s="837">
        <f>+G272*G273</f>
        <v>13943.538755337897</v>
      </c>
      <c r="H274" s="1019">
        <f>+H272*H273</f>
        <v>13943.538755337897</v>
      </c>
      <c r="J274" s="254"/>
      <c r="K274" s="254"/>
      <c r="L274" s="254"/>
    </row>
    <row r="275" spans="1:12" ht="15.6" customHeight="1">
      <c r="A275" s="105">
        <f t="shared" si="10"/>
        <v>179</v>
      </c>
      <c r="B275" s="37"/>
      <c r="C275" s="2286" t="s">
        <v>770</v>
      </c>
      <c r="D275" s="2286"/>
      <c r="E275" s="51"/>
      <c r="F275" s="128" t="str">
        <f>"(Line "&amp;A271&amp;" + Line "&amp;A274&amp;")"</f>
        <v>(Line 175 + Line 178)</v>
      </c>
      <c r="G275" s="96">
        <f>+G271+G274</f>
        <v>1022143.9987553379</v>
      </c>
      <c r="H275" s="1002">
        <f>+H271+H274</f>
        <v>1022143.9987553379</v>
      </c>
      <c r="J275" s="254"/>
      <c r="K275" s="254"/>
      <c r="L275" s="254"/>
    </row>
    <row r="276" spans="1:12" ht="13.95" customHeight="1">
      <c r="A276" s="111"/>
      <c r="B276" s="6"/>
      <c r="C276" s="56"/>
      <c r="D276" s="8"/>
      <c r="F276" s="126"/>
      <c r="G276" s="623"/>
      <c r="H276" s="1034"/>
      <c r="J276" s="254"/>
      <c r="K276" s="254"/>
      <c r="L276" s="254"/>
    </row>
    <row r="277" spans="1:12" ht="15.6" customHeight="1">
      <c r="A277" s="106"/>
      <c r="B277" s="24"/>
      <c r="C277" s="4" t="s">
        <v>771</v>
      </c>
      <c r="D277" s="8"/>
      <c r="E277" s="51"/>
      <c r="F277" s="135"/>
      <c r="G277" s="68"/>
      <c r="H277" s="1042"/>
      <c r="J277" s="254"/>
      <c r="K277" s="254"/>
      <c r="L277" s="254"/>
    </row>
    <row r="278" spans="1:12" ht="15.6" customHeight="1">
      <c r="A278" s="105">
        <f>+A275+1</f>
        <v>180</v>
      </c>
      <c r="B278" s="54"/>
      <c r="C278" s="2286" t="s">
        <v>801</v>
      </c>
      <c r="D278" s="2286"/>
      <c r="E278" s="101"/>
      <c r="F278" s="124" t="str">
        <f>+"WP17 Rev Line "&amp;'WP17 Rev'!A$64&amp;" Column "&amp;'WP17 Rev'!D5</f>
        <v>WP17 Rev Line 7 Column C</v>
      </c>
      <c r="G278" s="96">
        <f>+'WP17 Rev'!$D64</f>
        <v>380623.41182684031</v>
      </c>
      <c r="H278" s="1002">
        <f>+'WP17 Rev'!$D64</f>
        <v>380623.41182684031</v>
      </c>
      <c r="J278" s="254"/>
      <c r="K278" s="254"/>
      <c r="L278" s="254"/>
    </row>
    <row r="279" spans="1:12" ht="15.6" customHeight="1">
      <c r="A279" s="71">
        <f t="shared" ref="A279:A287" si="11">+A278+1</f>
        <v>181</v>
      </c>
      <c r="B279" s="54"/>
      <c r="C279" s="2286" t="s">
        <v>803</v>
      </c>
      <c r="D279" s="2286"/>
      <c r="E279" s="101"/>
      <c r="F279" s="124" t="str">
        <f>+"WP17 Rev Line "&amp;'WP17 Rev'!A$64&amp;" Column "&amp;'WP17 Rev'!E5</f>
        <v>WP17 Rev Line 7 Column D</v>
      </c>
      <c r="G279" s="624">
        <f>+'WP17 Rev'!$E64</f>
        <v>72688016.698173165</v>
      </c>
      <c r="H279" s="1003">
        <f>+'WP17 Rev'!$E64</f>
        <v>72688016.698173165</v>
      </c>
      <c r="J279" s="254"/>
      <c r="K279" s="254"/>
      <c r="L279" s="254"/>
    </row>
    <row r="280" spans="1:12" ht="15.6" customHeight="1">
      <c r="A280" s="71">
        <f t="shared" si="11"/>
        <v>182</v>
      </c>
      <c r="B280" s="37"/>
      <c r="C280" s="845" t="s">
        <v>802</v>
      </c>
      <c r="D280" s="8"/>
      <c r="E280" s="33"/>
      <c r="F280" s="128" t="str">
        <f>"(Line "&amp;A278&amp;" + Line "&amp;A279&amp;")"</f>
        <v>(Line 180 + Line 181)</v>
      </c>
      <c r="G280" s="615">
        <f>SUM(G278:G279)</f>
        <v>73068640.109999999</v>
      </c>
      <c r="H280" s="1007">
        <f>SUM(H278:H279)</f>
        <v>73068640.109999999</v>
      </c>
      <c r="J280" s="254"/>
      <c r="K280" s="254"/>
      <c r="L280" s="254"/>
    </row>
    <row r="281" spans="1:12" ht="15.6" customHeight="1">
      <c r="A281" s="71">
        <f t="shared" si="11"/>
        <v>183</v>
      </c>
      <c r="B281" s="108"/>
      <c r="C281" s="845" t="s">
        <v>169</v>
      </c>
      <c r="D281" s="8"/>
      <c r="E281" s="33"/>
      <c r="F281" s="124" t="str">
        <f>+"WP17 Rev Line "&amp;'WP17 Rev'!A$64&amp;" Column "&amp;'WP17 Rev'!F5</f>
        <v>WP17 Rev Line 7 Column E</v>
      </c>
      <c r="G281" s="615">
        <f>+'WP17 Rev'!F64</f>
        <v>0</v>
      </c>
      <c r="H281" s="1007">
        <f>+'WP17 Rev'!F64</f>
        <v>0</v>
      </c>
      <c r="J281" s="254"/>
      <c r="K281" s="254"/>
      <c r="L281" s="254"/>
    </row>
    <row r="282" spans="1:12" s="254" customFormat="1" ht="15.6" customHeight="1">
      <c r="A282" s="105">
        <f t="shared" si="11"/>
        <v>184</v>
      </c>
      <c r="B282" s="47"/>
      <c r="C282" s="845" t="str">
        <f>+B$24</f>
        <v>Wages &amp; Salary Allocator</v>
      </c>
      <c r="D282" s="8"/>
      <c r="E282" s="48"/>
      <c r="F282" s="124" t="str">
        <f>"(Line "&amp;A$24&amp;")"</f>
        <v>(Line 11)</v>
      </c>
      <c r="G282" s="244">
        <f>+G$24</f>
        <v>7.5696383376743087E-2</v>
      </c>
      <c r="H282" s="1013">
        <f>H$24</f>
        <v>7.5696383376743087E-2</v>
      </c>
    </row>
    <row r="283" spans="1:12" ht="15.6" customHeight="1">
      <c r="A283" s="71">
        <f t="shared" si="11"/>
        <v>185</v>
      </c>
      <c r="B283" s="108"/>
      <c r="C283" s="2295" t="str">
        <f>+"Total Transmission Allocated "&amp;C281</f>
        <v>Total Transmission Allocated General Plant</v>
      </c>
      <c r="D283" s="2295"/>
      <c r="E283" s="70"/>
      <c r="F283" s="129" t="str">
        <f>"(Line "&amp;A281&amp;" * "&amp;A282&amp;")"</f>
        <v>(Line 183 * 184)</v>
      </c>
      <c r="G283" s="837">
        <f>+G281*G282</f>
        <v>0</v>
      </c>
      <c r="H283" s="1019">
        <f>+H281*H282</f>
        <v>0</v>
      </c>
      <c r="J283" s="254"/>
      <c r="K283" s="254"/>
      <c r="L283" s="254"/>
    </row>
    <row r="284" spans="1:12" ht="15.6" customHeight="1">
      <c r="A284" s="71">
        <f t="shared" si="11"/>
        <v>186</v>
      </c>
      <c r="B284" s="14"/>
      <c r="C284" s="54" t="s">
        <v>451</v>
      </c>
      <c r="D284" s="8"/>
      <c r="E284" s="33"/>
      <c r="F284" s="128" t="str">
        <f>"(Line "&amp;A280&amp;" + "&amp;A283&amp;")"</f>
        <v>(Line 182 + 185)</v>
      </c>
      <c r="G284" s="96">
        <f>+G280+G283</f>
        <v>73068640.109999999</v>
      </c>
      <c r="H284" s="1002">
        <f>+H280+H283</f>
        <v>73068640.109999999</v>
      </c>
      <c r="J284" s="254"/>
      <c r="K284" s="254"/>
      <c r="L284" s="254"/>
    </row>
    <row r="285" spans="1:12" ht="15.6" customHeight="1">
      <c r="A285" s="71">
        <f t="shared" si="11"/>
        <v>187</v>
      </c>
      <c r="B285" s="14"/>
      <c r="C285" s="2291" t="str">
        <f>+"Less "&amp;C279</f>
        <v>Less Transmission Network &amp; LTF Service Revenues</v>
      </c>
      <c r="D285" s="2291"/>
      <c r="E285" s="33"/>
      <c r="F285" s="124" t="str">
        <f>"(Line "&amp;A$279&amp;")"</f>
        <v>(Line 181)</v>
      </c>
      <c r="G285" s="1090">
        <f>+G279</f>
        <v>72688016.698173165</v>
      </c>
      <c r="H285" s="1091">
        <f>+H279</f>
        <v>72688016.698173165</v>
      </c>
      <c r="J285" s="254"/>
      <c r="K285" s="254"/>
      <c r="L285" s="254"/>
    </row>
    <row r="286" spans="1:12" ht="15.6" customHeight="1">
      <c r="A286" s="71">
        <f t="shared" si="11"/>
        <v>188</v>
      </c>
      <c r="B286" s="14"/>
      <c r="C286" s="2291" t="s">
        <v>692</v>
      </c>
      <c r="D286" s="2291"/>
      <c r="E286" s="33" t="str">
        <f>"(Note "&amp;A$333&amp;")"</f>
        <v>(Note Z)</v>
      </c>
      <c r="F286" s="124" t="str">
        <f>+"WP17 Rev Line "&amp;'WP17 Rev'!A$52&amp;" Column "&amp;'WP17 Rev'!D5</f>
        <v>WP17 Rev Line 6.38 Column C</v>
      </c>
      <c r="G286" s="1090">
        <f>+'WP17 Rev'!$D52</f>
        <v>0</v>
      </c>
      <c r="H286" s="1091">
        <f>+'WP17 Rev'!$D52</f>
        <v>0</v>
      </c>
      <c r="I286" s="895"/>
      <c r="J286" s="254"/>
      <c r="K286" s="254"/>
      <c r="L286" s="254"/>
    </row>
    <row r="287" spans="1:12" ht="15.6" customHeight="1">
      <c r="A287" s="71">
        <f t="shared" si="11"/>
        <v>189</v>
      </c>
      <c r="B287" s="14"/>
      <c r="C287" s="2292" t="s">
        <v>691</v>
      </c>
      <c r="D287" s="2292"/>
      <c r="E287" s="70" t="str">
        <f>"(Note "&amp;A$334&amp;")"</f>
        <v>(Note AA)</v>
      </c>
      <c r="F287" s="252" t="str">
        <f>+"WP17 Rev Line "&amp;'WP17 Rev'!A$53&amp;" Column "&amp;'WP17 Rev'!D5</f>
        <v>WP17 Rev Line 6.39 Column C</v>
      </c>
      <c r="G287" s="687">
        <f>+'WP17 Rev'!D$53</f>
        <v>0</v>
      </c>
      <c r="H287" s="1092">
        <f>+'WP17 Rev'!E$53</f>
        <v>0</v>
      </c>
      <c r="I287" s="895"/>
      <c r="J287" s="254"/>
      <c r="K287" s="254"/>
      <c r="L287" s="254"/>
    </row>
    <row r="288" spans="1:12" ht="15.6" customHeight="1">
      <c r="A288" s="71">
        <f>+A287+1</f>
        <v>190</v>
      </c>
      <c r="B288" s="14"/>
      <c r="C288" s="2293" t="str">
        <f>+"Revenue Credits - "&amp;C278</f>
        <v>Revenue Credits - Transmission Service Other Revenue Credits</v>
      </c>
      <c r="D288" s="2293"/>
      <c r="E288" s="33"/>
      <c r="F288" s="135" t="str">
        <f>"(Line "&amp;A284&amp;" - Line "&amp;A285&amp;" - Line "&amp;A286&amp;" - Line "&amp;A287&amp;")"</f>
        <v>(Line 186 - Line 187 - Line 188 - Line 189)</v>
      </c>
      <c r="G288" s="96">
        <f>+G284-G285-G286-G287</f>
        <v>380623.41182683408</v>
      </c>
      <c r="H288" s="1002">
        <f>+H284-H285-H286-H287</f>
        <v>380623.41182683408</v>
      </c>
      <c r="J288" s="254"/>
      <c r="K288" s="254"/>
      <c r="L288" s="254"/>
    </row>
    <row r="289" spans="1:180" ht="15.6" customHeight="1">
      <c r="A289" s="71">
        <f>+A288+1</f>
        <v>191</v>
      </c>
      <c r="B289" s="9"/>
      <c r="C289" s="54" t="s">
        <v>151</v>
      </c>
      <c r="D289" s="8"/>
      <c r="E289" s="33" t="str">
        <f>"(Note "&amp;A$321&amp;")"</f>
        <v>(Note N)</v>
      </c>
      <c r="F289" s="135"/>
      <c r="G289" s="201">
        <f>IFERROR(INDEX(#REF!,MATCH($B289,#REF!,0)),0)</f>
        <v>0</v>
      </c>
      <c r="H289" s="1021">
        <f>IFERROR(INDEX(#REF!,MATCH($B289,#REF!,0)),0)</f>
        <v>0</v>
      </c>
      <c r="J289" s="1526" t="s">
        <v>1522</v>
      </c>
      <c r="K289" s="254"/>
      <c r="L289" s="254"/>
    </row>
    <row r="290" spans="1:180" ht="13.95" customHeight="1" thickBot="1">
      <c r="A290" s="100"/>
      <c r="B290" s="6"/>
      <c r="C290" s="14"/>
      <c r="D290" s="14"/>
      <c r="E290" s="33"/>
      <c r="F290" s="135"/>
      <c r="G290" s="67"/>
      <c r="H290" s="1008"/>
      <c r="J290" s="254"/>
      <c r="K290" s="254"/>
      <c r="L290" s="254"/>
    </row>
    <row r="291" spans="1:180" s="1" customFormat="1" ht="15.6" customHeight="1" thickBot="1">
      <c r="A291" s="548">
        <f>+A289+1</f>
        <v>192</v>
      </c>
      <c r="B291" s="141"/>
      <c r="C291" s="933" t="s">
        <v>125</v>
      </c>
      <c r="D291" s="555"/>
      <c r="E291" s="934"/>
      <c r="F291" s="1412" t="str">
        <f>"(Line "&amp;A267&amp;" - Line "&amp;A275&amp;" - Line "&amp;A288&amp;" + Line "&amp;A289&amp;")"</f>
        <v>(Line 174 - Line 179 - Line 190 + Line 191)</v>
      </c>
      <c r="G291" s="633">
        <f>+G267-G275-G288+G289</f>
        <v>321586957.43350857</v>
      </c>
      <c r="H291" s="1058">
        <f>+H267-H275-H288+H289</f>
        <v>336378853.55869341</v>
      </c>
      <c r="I291" s="34"/>
      <c r="J291" s="254"/>
      <c r="K291" s="254"/>
      <c r="L291" s="34"/>
    </row>
    <row r="292" spans="1:180" ht="13.95" customHeight="1">
      <c r="A292" s="106"/>
      <c r="B292" s="6"/>
      <c r="C292" s="14"/>
      <c r="D292" s="14"/>
      <c r="E292" s="33"/>
      <c r="F292" s="135"/>
      <c r="G292" s="634"/>
      <c r="H292" s="1042"/>
      <c r="I292" s="34"/>
      <c r="J292" s="254"/>
      <c r="K292" s="254"/>
      <c r="L292" s="254"/>
    </row>
    <row r="293" spans="1:180" ht="15.6" customHeight="1">
      <c r="A293" s="71">
        <f>+A291+1</f>
        <v>193</v>
      </c>
      <c r="B293" s="31"/>
      <c r="C293" s="14" t="s">
        <v>1108</v>
      </c>
      <c r="D293" s="14" t="s">
        <v>835</v>
      </c>
      <c r="E293" s="1093"/>
      <c r="F293" s="130" t="str">
        <f>+"WP01 True-up Line "&amp;'WP01 True-Up'!A68&amp;" (EOY) Column "&amp;'WP01 True-Up'!F6</f>
        <v>WP01 True-up Line 29 (EOY) Column E</v>
      </c>
      <c r="G293" s="615"/>
      <c r="H293" s="1002">
        <f>+'WP01 True-Up'!F68</f>
        <v>-20639587.29298424</v>
      </c>
      <c r="I293" s="34"/>
      <c r="J293" s="34"/>
      <c r="K293" s="34"/>
      <c r="L293" s="254"/>
    </row>
    <row r="294" spans="1:180" ht="13.95" customHeight="1" thickBot="1">
      <c r="A294" s="71"/>
      <c r="B294" s="31"/>
      <c r="C294" s="14"/>
      <c r="D294" s="14"/>
      <c r="E294" s="101"/>
      <c r="F294" s="130"/>
      <c r="G294" s="635"/>
      <c r="H294" s="1060"/>
      <c r="I294" s="34"/>
      <c r="J294" s="34"/>
      <c r="K294" s="34"/>
      <c r="L294" s="254"/>
    </row>
    <row r="295" spans="1:180" ht="15.6" customHeight="1" thickBot="1">
      <c r="A295" s="548">
        <f>+A293+1</f>
        <v>194</v>
      </c>
      <c r="B295" s="141"/>
      <c r="C295" s="554" t="s">
        <v>23</v>
      </c>
      <c r="D295" s="555"/>
      <c r="E295" s="556"/>
      <c r="F295" s="283" t="str">
        <f>"(Line "&amp;A291&amp;" + Line "&amp;A293&amp;")"</f>
        <v>(Line 192 + Line 193)</v>
      </c>
      <c r="G295" s="633"/>
      <c r="H295" s="1058">
        <f>+H291+H293</f>
        <v>315739266.26570916</v>
      </c>
      <c r="I295" s="34"/>
      <c r="J295" s="851"/>
      <c r="K295" s="34"/>
      <c r="L295" s="254"/>
    </row>
    <row r="296" spans="1:180" s="9" customFormat="1" ht="13.95" customHeight="1">
      <c r="A296" s="71"/>
      <c r="B296" s="6"/>
      <c r="C296" s="14"/>
      <c r="D296" s="14"/>
      <c r="E296" s="26"/>
      <c r="F296" s="126"/>
      <c r="G296" s="636"/>
      <c r="H296" s="1012"/>
      <c r="I296" s="254"/>
      <c r="J296" s="842"/>
      <c r="K296" s="254"/>
      <c r="L296" s="254"/>
      <c r="M296" s="253"/>
      <c r="N296" s="253"/>
      <c r="O296" s="253"/>
      <c r="P296" s="253"/>
      <c r="Q296" s="253"/>
      <c r="R296" s="253"/>
      <c r="S296" s="253"/>
      <c r="T296" s="253"/>
      <c r="U296" s="253"/>
      <c r="V296" s="253"/>
      <c r="W296" s="253"/>
      <c r="X296" s="253"/>
      <c r="Y296" s="253"/>
      <c r="Z296" s="253"/>
      <c r="AA296" s="253"/>
      <c r="AB296" s="253"/>
      <c r="AC296" s="253"/>
      <c r="AD296" s="253"/>
      <c r="AE296" s="253"/>
      <c r="AF296" s="253"/>
      <c r="AG296" s="253"/>
      <c r="AH296" s="253"/>
      <c r="AI296" s="253"/>
      <c r="AJ296" s="253"/>
      <c r="AK296" s="253"/>
      <c r="AL296" s="253"/>
      <c r="AM296" s="253"/>
      <c r="AN296" s="253"/>
      <c r="AO296" s="253"/>
      <c r="AP296" s="253"/>
      <c r="AQ296" s="253"/>
      <c r="AR296" s="253"/>
      <c r="AS296" s="253"/>
      <c r="AT296" s="253"/>
      <c r="AU296" s="253"/>
      <c r="AV296" s="253"/>
      <c r="AW296" s="253"/>
      <c r="AX296" s="253"/>
      <c r="AY296" s="253"/>
      <c r="AZ296" s="253"/>
      <c r="BA296" s="253"/>
      <c r="BB296" s="253"/>
      <c r="BC296" s="253"/>
      <c r="BD296" s="253"/>
      <c r="BE296" s="253"/>
      <c r="BF296" s="253"/>
      <c r="BG296" s="253"/>
      <c r="BH296" s="253"/>
      <c r="BI296" s="253"/>
      <c r="BJ296" s="253"/>
      <c r="BK296" s="253"/>
      <c r="BL296" s="253"/>
      <c r="BM296" s="253"/>
      <c r="BN296" s="253"/>
      <c r="BO296" s="253"/>
      <c r="BP296" s="253"/>
      <c r="BQ296" s="253"/>
      <c r="BR296" s="253"/>
      <c r="BS296" s="253"/>
      <c r="BT296" s="253"/>
      <c r="BU296" s="253"/>
      <c r="BV296" s="253"/>
      <c r="BW296" s="253"/>
      <c r="BX296" s="253"/>
      <c r="BY296" s="253"/>
      <c r="BZ296" s="253"/>
      <c r="CA296" s="253"/>
      <c r="CB296" s="253"/>
      <c r="CC296" s="253"/>
      <c r="CD296" s="253"/>
      <c r="CE296" s="253"/>
      <c r="CF296" s="253"/>
      <c r="CG296" s="253"/>
      <c r="CH296" s="253"/>
      <c r="CI296" s="253"/>
      <c r="CJ296" s="253"/>
      <c r="CK296" s="253"/>
      <c r="CL296" s="253"/>
      <c r="CM296" s="253"/>
      <c r="CN296" s="253"/>
      <c r="CO296" s="253"/>
      <c r="CP296" s="253"/>
      <c r="CQ296" s="253"/>
      <c r="CR296" s="253"/>
      <c r="CS296" s="253"/>
      <c r="CT296" s="253"/>
      <c r="CU296" s="253"/>
      <c r="CV296" s="253"/>
      <c r="CW296" s="253"/>
      <c r="CX296" s="253"/>
      <c r="CY296" s="253"/>
      <c r="CZ296" s="253"/>
      <c r="DA296" s="253"/>
      <c r="DB296" s="253"/>
      <c r="DC296" s="253"/>
      <c r="DD296" s="253"/>
      <c r="DE296" s="253"/>
      <c r="DF296" s="253"/>
      <c r="DG296" s="253"/>
      <c r="DH296" s="253"/>
      <c r="DI296" s="253"/>
      <c r="DJ296" s="253"/>
      <c r="DK296" s="253"/>
      <c r="DL296" s="253"/>
      <c r="DM296" s="253"/>
      <c r="DN296" s="253"/>
      <c r="DO296" s="253"/>
      <c r="DP296" s="253"/>
      <c r="DQ296" s="253"/>
      <c r="DR296" s="253"/>
      <c r="DS296" s="253"/>
      <c r="DT296" s="253"/>
      <c r="DU296" s="253"/>
      <c r="DV296" s="253"/>
      <c r="DW296" s="253"/>
      <c r="DX296" s="253"/>
      <c r="DY296" s="253"/>
      <c r="DZ296" s="253"/>
      <c r="EA296" s="253"/>
      <c r="EB296" s="253"/>
      <c r="EC296" s="253"/>
      <c r="ED296" s="253"/>
      <c r="EE296" s="253"/>
      <c r="EF296" s="253"/>
      <c r="EG296" s="253"/>
      <c r="EH296" s="253"/>
      <c r="EI296" s="253"/>
      <c r="EJ296" s="253"/>
      <c r="EK296" s="253"/>
      <c r="EL296" s="253"/>
      <c r="EM296" s="253"/>
      <c r="EN296" s="253"/>
      <c r="EO296" s="253"/>
      <c r="EP296" s="253"/>
      <c r="EQ296" s="253"/>
      <c r="ER296" s="253"/>
      <c r="ES296" s="253"/>
      <c r="ET296" s="253"/>
      <c r="EU296" s="253"/>
      <c r="EV296" s="253"/>
      <c r="EW296" s="253"/>
      <c r="EX296" s="253"/>
      <c r="EY296" s="253"/>
      <c r="EZ296" s="253"/>
      <c r="FA296" s="253"/>
      <c r="FB296" s="253"/>
      <c r="FC296" s="253"/>
      <c r="FD296" s="253"/>
      <c r="FE296" s="253"/>
      <c r="FF296" s="253"/>
      <c r="FG296" s="253"/>
      <c r="FH296" s="253"/>
      <c r="FI296" s="253"/>
      <c r="FJ296" s="253"/>
      <c r="FK296" s="253"/>
      <c r="FL296" s="253"/>
      <c r="FM296" s="253"/>
      <c r="FN296" s="253"/>
      <c r="FO296" s="253"/>
      <c r="FP296" s="253"/>
      <c r="FQ296" s="253"/>
      <c r="FR296" s="253"/>
      <c r="FS296" s="253"/>
      <c r="FT296" s="253"/>
      <c r="FU296" s="253"/>
      <c r="FV296" s="253"/>
      <c r="FW296" s="253"/>
      <c r="FX296" s="253"/>
    </row>
    <row r="297" spans="1:180" s="9" customFormat="1" ht="15.6" customHeight="1">
      <c r="A297" s="71">
        <f>+A295+1</f>
        <v>195</v>
      </c>
      <c r="B297" s="14"/>
      <c r="C297" s="2294" t="s">
        <v>814</v>
      </c>
      <c r="D297" s="2294"/>
      <c r="E297" s="33"/>
      <c r="F297" s="135"/>
      <c r="G297" s="1094"/>
      <c r="H297" s="1012"/>
      <c r="I297" s="254"/>
      <c r="J297" s="842"/>
      <c r="K297" s="254"/>
      <c r="L297" s="254"/>
      <c r="M297" s="253"/>
      <c r="N297" s="253"/>
      <c r="O297" s="253"/>
      <c r="P297" s="253"/>
      <c r="Q297" s="253"/>
      <c r="R297" s="253"/>
      <c r="S297" s="253"/>
      <c r="T297" s="253"/>
      <c r="U297" s="253"/>
      <c r="V297" s="253"/>
      <c r="W297" s="253"/>
      <c r="X297" s="253"/>
      <c r="Y297" s="253"/>
      <c r="Z297" s="253"/>
      <c r="AA297" s="253"/>
      <c r="AB297" s="253"/>
      <c r="AC297" s="253"/>
      <c r="AD297" s="253"/>
      <c r="AE297" s="253"/>
      <c r="AF297" s="253"/>
      <c r="AG297" s="253"/>
      <c r="AH297" s="253"/>
      <c r="AI297" s="253"/>
      <c r="AJ297" s="253"/>
      <c r="AK297" s="253"/>
      <c r="AL297" s="253"/>
      <c r="AM297" s="253"/>
      <c r="AN297" s="253"/>
      <c r="AO297" s="253"/>
      <c r="AP297" s="253"/>
      <c r="AQ297" s="253"/>
      <c r="AR297" s="253"/>
      <c r="AS297" s="253"/>
      <c r="AT297" s="253"/>
      <c r="AU297" s="253"/>
      <c r="AV297" s="253"/>
      <c r="AW297" s="253"/>
      <c r="AX297" s="253"/>
      <c r="AY297" s="253"/>
      <c r="AZ297" s="253"/>
      <c r="BA297" s="253"/>
      <c r="BB297" s="253"/>
      <c r="BC297" s="253"/>
      <c r="BD297" s="253"/>
      <c r="BE297" s="253"/>
      <c r="BF297" s="253"/>
      <c r="BG297" s="253"/>
      <c r="BH297" s="253"/>
      <c r="BI297" s="253"/>
      <c r="BJ297" s="253"/>
      <c r="BK297" s="253"/>
      <c r="BL297" s="253"/>
      <c r="BM297" s="253"/>
      <c r="BN297" s="253"/>
      <c r="BO297" s="253"/>
      <c r="BP297" s="253"/>
      <c r="BQ297" s="253"/>
      <c r="BR297" s="253"/>
      <c r="BS297" s="253"/>
      <c r="BT297" s="253"/>
      <c r="BU297" s="253"/>
      <c r="BV297" s="253"/>
      <c r="BW297" s="253"/>
      <c r="BX297" s="253"/>
      <c r="BY297" s="253"/>
      <c r="BZ297" s="253"/>
      <c r="CA297" s="253"/>
      <c r="CB297" s="253"/>
      <c r="CC297" s="253"/>
      <c r="CD297" s="253"/>
      <c r="CE297" s="253"/>
      <c r="CF297" s="253"/>
      <c r="CG297" s="253"/>
      <c r="CH297" s="253"/>
      <c r="CI297" s="253"/>
      <c r="CJ297" s="253"/>
      <c r="CK297" s="253"/>
      <c r="CL297" s="253"/>
      <c r="CM297" s="253"/>
      <c r="CN297" s="253"/>
      <c r="CO297" s="253"/>
      <c r="CP297" s="253"/>
      <c r="CQ297" s="253"/>
      <c r="CR297" s="253"/>
      <c r="CS297" s="253"/>
      <c r="CT297" s="253"/>
      <c r="CU297" s="253"/>
      <c r="CV297" s="253"/>
      <c r="CW297" s="253"/>
      <c r="CX297" s="253"/>
      <c r="CY297" s="253"/>
      <c r="CZ297" s="253"/>
      <c r="DA297" s="253"/>
      <c r="DB297" s="253"/>
      <c r="DC297" s="253"/>
      <c r="DD297" s="253"/>
      <c r="DE297" s="253"/>
      <c r="DF297" s="253"/>
      <c r="DG297" s="253"/>
      <c r="DH297" s="253"/>
      <c r="DI297" s="253"/>
      <c r="DJ297" s="253"/>
      <c r="DK297" s="253"/>
      <c r="DL297" s="253"/>
      <c r="DM297" s="253"/>
      <c r="DN297" s="253"/>
      <c r="DO297" s="253"/>
      <c r="DP297" s="253"/>
      <c r="DQ297" s="253"/>
      <c r="DR297" s="253"/>
      <c r="DS297" s="253"/>
      <c r="DT297" s="253"/>
      <c r="DU297" s="253"/>
      <c r="DV297" s="253"/>
      <c r="DW297" s="253"/>
      <c r="DX297" s="253"/>
      <c r="DY297" s="253"/>
      <c r="DZ297" s="253"/>
      <c r="EA297" s="253"/>
      <c r="EB297" s="253"/>
      <c r="EC297" s="253"/>
      <c r="ED297" s="253"/>
      <c r="EE297" s="253"/>
      <c r="EF297" s="253"/>
      <c r="EG297" s="253"/>
      <c r="EH297" s="253"/>
      <c r="EI297" s="253"/>
      <c r="EJ297" s="253"/>
      <c r="EK297" s="253"/>
      <c r="EL297" s="253"/>
      <c r="EM297" s="253"/>
      <c r="EN297" s="253"/>
      <c r="EO297" s="253"/>
      <c r="EP297" s="253"/>
      <c r="EQ297" s="253"/>
      <c r="ER297" s="253"/>
      <c r="ES297" s="253"/>
      <c r="ET297" s="253"/>
      <c r="EU297" s="253"/>
      <c r="EV297" s="253"/>
      <c r="EW297" s="253"/>
      <c r="EX297" s="253"/>
      <c r="EY297" s="253"/>
      <c r="EZ297" s="253"/>
      <c r="FA297" s="253"/>
      <c r="FB297" s="253"/>
      <c r="FC297" s="253"/>
      <c r="FD297" s="253"/>
      <c r="FE297" s="253"/>
      <c r="FF297" s="253"/>
      <c r="FG297" s="253"/>
      <c r="FH297" s="253"/>
      <c r="FI297" s="253"/>
      <c r="FJ297" s="253"/>
      <c r="FK297" s="253"/>
      <c r="FL297" s="253"/>
      <c r="FM297" s="253"/>
      <c r="FN297" s="253"/>
      <c r="FO297" s="253"/>
      <c r="FP297" s="253"/>
      <c r="FQ297" s="253"/>
      <c r="FR297" s="253"/>
      <c r="FS297" s="253"/>
      <c r="FT297" s="253"/>
      <c r="FU297" s="253"/>
      <c r="FV297" s="253"/>
      <c r="FW297" s="253"/>
      <c r="FX297" s="253"/>
    </row>
    <row r="298" spans="1:180" s="9" customFormat="1" ht="15.6" customHeight="1">
      <c r="A298" s="1258">
        <f>+A297+1</f>
        <v>196</v>
      </c>
      <c r="B298" s="31"/>
      <c r="C298" s="845" t="s">
        <v>675</v>
      </c>
      <c r="D298" s="14"/>
      <c r="E298" s="33" t="str">
        <f>"(Note "&amp;A$340&amp;")"</f>
        <v>(Note GG)</v>
      </c>
      <c r="F298" s="135"/>
      <c r="G298" s="96"/>
      <c r="H298" s="1021">
        <f>IFERROR(INDEX(#REF!,MATCH($B298,#REF!,0)),0)</f>
        <v>0</v>
      </c>
      <c r="I298" s="254"/>
      <c r="J298" s="1526" t="s">
        <v>1523</v>
      </c>
      <c r="K298" s="254"/>
      <c r="L298" s="254"/>
      <c r="M298" s="253"/>
      <c r="N298" s="253"/>
      <c r="O298" s="253"/>
      <c r="P298" s="253"/>
      <c r="Q298" s="253"/>
      <c r="R298" s="253"/>
      <c r="S298" s="253"/>
      <c r="T298" s="253"/>
      <c r="U298" s="253"/>
      <c r="V298" s="253"/>
      <c r="W298" s="253"/>
      <c r="X298" s="253"/>
      <c r="Y298" s="253"/>
      <c r="Z298" s="253"/>
      <c r="AA298" s="253"/>
      <c r="AB298" s="253"/>
      <c r="AC298" s="253"/>
      <c r="AD298" s="253"/>
      <c r="AE298" s="253"/>
      <c r="AF298" s="253"/>
      <c r="AG298" s="253"/>
      <c r="AH298" s="253"/>
      <c r="AI298" s="253"/>
      <c r="AJ298" s="253"/>
      <c r="AK298" s="253"/>
      <c r="AL298" s="253"/>
      <c r="AM298" s="253"/>
      <c r="AN298" s="253"/>
      <c r="AO298" s="253"/>
      <c r="AP298" s="253"/>
      <c r="AQ298" s="253"/>
      <c r="AR298" s="253"/>
      <c r="AS298" s="253"/>
      <c r="AT298" s="253"/>
      <c r="AU298" s="253"/>
      <c r="AV298" s="253"/>
      <c r="AW298" s="253"/>
      <c r="AX298" s="253"/>
      <c r="AY298" s="253"/>
      <c r="AZ298" s="253"/>
      <c r="BA298" s="253"/>
      <c r="BB298" s="253"/>
      <c r="BC298" s="253"/>
      <c r="BD298" s="253"/>
      <c r="BE298" s="253"/>
      <c r="BF298" s="253"/>
      <c r="BG298" s="253"/>
      <c r="BH298" s="253"/>
      <c r="BI298" s="253"/>
      <c r="BJ298" s="253"/>
      <c r="BK298" s="253"/>
      <c r="BL298" s="253"/>
      <c r="BM298" s="253"/>
      <c r="BN298" s="253"/>
      <c r="BO298" s="253"/>
      <c r="BP298" s="253"/>
      <c r="BQ298" s="253"/>
      <c r="BR298" s="253"/>
      <c r="BS298" s="253"/>
      <c r="BT298" s="253"/>
      <c r="BU298" s="253"/>
      <c r="BV298" s="253"/>
      <c r="BW298" s="253"/>
      <c r="BX298" s="253"/>
      <c r="BY298" s="253"/>
      <c r="BZ298" s="253"/>
      <c r="CA298" s="253"/>
      <c r="CB298" s="253"/>
      <c r="CC298" s="253"/>
      <c r="CD298" s="253"/>
      <c r="CE298" s="253"/>
      <c r="CF298" s="253"/>
      <c r="CG298" s="253"/>
      <c r="CH298" s="253"/>
      <c r="CI298" s="253"/>
      <c r="CJ298" s="253"/>
      <c r="CK298" s="253"/>
      <c r="CL298" s="253"/>
      <c r="CM298" s="253"/>
      <c r="CN298" s="253"/>
      <c r="CO298" s="253"/>
      <c r="CP298" s="253"/>
      <c r="CQ298" s="253"/>
      <c r="CR298" s="253"/>
      <c r="CS298" s="253"/>
      <c r="CT298" s="253"/>
      <c r="CU298" s="253"/>
      <c r="CV298" s="253"/>
      <c r="CW298" s="253"/>
      <c r="CX298" s="253"/>
      <c r="CY298" s="253"/>
      <c r="CZ298" s="253"/>
      <c r="DA298" s="253"/>
      <c r="DB298" s="253"/>
      <c r="DC298" s="253"/>
      <c r="DD298" s="253"/>
      <c r="DE298" s="253"/>
      <c r="DF298" s="253"/>
      <c r="DG298" s="253"/>
      <c r="DH298" s="253"/>
      <c r="DI298" s="253"/>
      <c r="DJ298" s="253"/>
      <c r="DK298" s="253"/>
      <c r="DL298" s="253"/>
      <c r="DM298" s="253"/>
      <c r="DN298" s="253"/>
      <c r="DO298" s="253"/>
      <c r="DP298" s="253"/>
      <c r="DQ298" s="253"/>
      <c r="DR298" s="253"/>
      <c r="DS298" s="253"/>
      <c r="DT298" s="253"/>
      <c r="DU298" s="253"/>
      <c r="DV298" s="253"/>
      <c r="DW298" s="253"/>
      <c r="DX298" s="253"/>
      <c r="DY298" s="253"/>
      <c r="DZ298" s="253"/>
      <c r="EA298" s="253"/>
      <c r="EB298" s="253"/>
      <c r="EC298" s="253"/>
      <c r="ED298" s="253"/>
      <c r="EE298" s="253"/>
      <c r="EF298" s="253"/>
      <c r="EG298" s="253"/>
      <c r="EH298" s="253"/>
      <c r="EI298" s="253"/>
      <c r="EJ298" s="253"/>
      <c r="EK298" s="253"/>
      <c r="EL298" s="253"/>
      <c r="EM298" s="253"/>
      <c r="EN298" s="253"/>
      <c r="EO298" s="253"/>
      <c r="EP298" s="253"/>
      <c r="EQ298" s="253"/>
      <c r="ER298" s="253"/>
      <c r="ES298" s="253"/>
      <c r="ET298" s="253"/>
      <c r="EU298" s="253"/>
      <c r="EV298" s="253"/>
      <c r="EW298" s="253"/>
      <c r="EX298" s="253"/>
      <c r="EY298" s="253"/>
      <c r="EZ298" s="253"/>
      <c r="FA298" s="253"/>
      <c r="FB298" s="253"/>
      <c r="FC298" s="253"/>
      <c r="FD298" s="253"/>
      <c r="FE298" s="253"/>
      <c r="FF298" s="253"/>
      <c r="FG298" s="253"/>
      <c r="FH298" s="253"/>
      <c r="FI298" s="253"/>
      <c r="FJ298" s="253"/>
      <c r="FK298" s="253"/>
      <c r="FL298" s="253"/>
      <c r="FM298" s="253"/>
      <c r="FN298" s="253"/>
      <c r="FO298" s="253"/>
      <c r="FP298" s="253"/>
      <c r="FQ298" s="253"/>
      <c r="FR298" s="253"/>
      <c r="FS298" s="253"/>
      <c r="FT298" s="253"/>
      <c r="FU298" s="253"/>
      <c r="FV298" s="253"/>
      <c r="FW298" s="253"/>
      <c r="FX298" s="253"/>
    </row>
    <row r="299" spans="1:180" s="9" customFormat="1" ht="15.6" customHeight="1">
      <c r="A299" s="1258">
        <f t="shared" ref="A299:A300" si="12">+A298+1</f>
        <v>197</v>
      </c>
      <c r="B299" s="31"/>
      <c r="C299" s="1095" t="s">
        <v>820</v>
      </c>
      <c r="D299" s="450"/>
      <c r="E299" s="70" t="str">
        <f>"(Note "&amp;A$340&amp;")"</f>
        <v>(Note GG)</v>
      </c>
      <c r="F299" s="137"/>
      <c r="G299" s="624"/>
      <c r="H299" s="1029">
        <f>IFERROR(INDEX(#REF!,MATCH($B299,#REF!,0)),0)</f>
        <v>0</v>
      </c>
      <c r="I299" s="254"/>
      <c r="J299" s="1526" t="s">
        <v>1523</v>
      </c>
      <c r="K299" s="254"/>
      <c r="L299" s="254"/>
      <c r="M299" s="253"/>
      <c r="N299" s="253"/>
      <c r="O299" s="253"/>
      <c r="P299" s="253"/>
      <c r="Q299" s="253"/>
      <c r="R299" s="253"/>
      <c r="S299" s="253"/>
      <c r="T299" s="253"/>
      <c r="U299" s="253"/>
      <c r="V299" s="253"/>
      <c r="W299" s="253"/>
      <c r="X299" s="253"/>
      <c r="Y299" s="253"/>
      <c r="Z299" s="253"/>
      <c r="AA299" s="253"/>
      <c r="AB299" s="253"/>
      <c r="AC299" s="253"/>
      <c r="AD299" s="253"/>
      <c r="AE299" s="253"/>
      <c r="AF299" s="253"/>
      <c r="AG299" s="253"/>
      <c r="AH299" s="253"/>
      <c r="AI299" s="253"/>
      <c r="AJ299" s="253"/>
      <c r="AK299" s="253"/>
      <c r="AL299" s="253"/>
      <c r="AM299" s="253"/>
      <c r="AN299" s="253"/>
      <c r="AO299" s="253"/>
      <c r="AP299" s="253"/>
      <c r="AQ299" s="253"/>
      <c r="AR299" s="253"/>
      <c r="AS299" s="253"/>
      <c r="AT299" s="253"/>
      <c r="AU299" s="253"/>
      <c r="AV299" s="253"/>
      <c r="AW299" s="253"/>
      <c r="AX299" s="253"/>
      <c r="AY299" s="253"/>
      <c r="AZ299" s="253"/>
      <c r="BA299" s="253"/>
      <c r="BB299" s="253"/>
      <c r="BC299" s="253"/>
      <c r="BD299" s="253"/>
      <c r="BE299" s="253"/>
      <c r="BF299" s="253"/>
      <c r="BG299" s="253"/>
      <c r="BH299" s="253"/>
      <c r="BI299" s="253"/>
      <c r="BJ299" s="253"/>
      <c r="BK299" s="253"/>
      <c r="BL299" s="253"/>
      <c r="BM299" s="253"/>
      <c r="BN299" s="253"/>
      <c r="BO299" s="253"/>
      <c r="BP299" s="253"/>
      <c r="BQ299" s="253"/>
      <c r="BR299" s="253"/>
      <c r="BS299" s="253"/>
      <c r="BT299" s="253"/>
      <c r="BU299" s="253"/>
      <c r="BV299" s="253"/>
      <c r="BW299" s="253"/>
      <c r="BX299" s="253"/>
      <c r="BY299" s="253"/>
      <c r="BZ299" s="253"/>
      <c r="CA299" s="253"/>
      <c r="CB299" s="253"/>
      <c r="CC299" s="253"/>
      <c r="CD299" s="253"/>
      <c r="CE299" s="253"/>
      <c r="CF299" s="253"/>
      <c r="CG299" s="253"/>
      <c r="CH299" s="253"/>
      <c r="CI299" s="253"/>
      <c r="CJ299" s="253"/>
      <c r="CK299" s="253"/>
      <c r="CL299" s="253"/>
      <c r="CM299" s="253"/>
      <c r="CN299" s="253"/>
      <c r="CO299" s="253"/>
      <c r="CP299" s="253"/>
      <c r="CQ299" s="253"/>
      <c r="CR299" s="253"/>
      <c r="CS299" s="253"/>
      <c r="CT299" s="253"/>
      <c r="CU299" s="253"/>
      <c r="CV299" s="253"/>
      <c r="CW299" s="253"/>
      <c r="CX299" s="253"/>
      <c r="CY299" s="253"/>
      <c r="CZ299" s="253"/>
      <c r="DA299" s="253"/>
      <c r="DB299" s="253"/>
      <c r="DC299" s="253"/>
      <c r="DD299" s="253"/>
      <c r="DE299" s="253"/>
      <c r="DF299" s="253"/>
      <c r="DG299" s="253"/>
      <c r="DH299" s="253"/>
      <c r="DI299" s="253"/>
      <c r="DJ299" s="253"/>
      <c r="DK299" s="253"/>
      <c r="DL299" s="253"/>
      <c r="DM299" s="253"/>
      <c r="DN299" s="253"/>
      <c r="DO299" s="253"/>
      <c r="DP299" s="253"/>
      <c r="DQ299" s="253"/>
      <c r="DR299" s="253"/>
      <c r="DS299" s="253"/>
      <c r="DT299" s="253"/>
      <c r="DU299" s="253"/>
      <c r="DV299" s="253"/>
      <c r="DW299" s="253"/>
      <c r="DX299" s="253"/>
      <c r="DY299" s="253"/>
      <c r="DZ299" s="253"/>
      <c r="EA299" s="253"/>
      <c r="EB299" s="253"/>
      <c r="EC299" s="253"/>
      <c r="ED299" s="253"/>
      <c r="EE299" s="253"/>
      <c r="EF299" s="253"/>
      <c r="EG299" s="253"/>
      <c r="EH299" s="253"/>
      <c r="EI299" s="253"/>
      <c r="EJ299" s="253"/>
      <c r="EK299" s="253"/>
      <c r="EL299" s="253"/>
      <c r="EM299" s="253"/>
      <c r="EN299" s="253"/>
      <c r="EO299" s="253"/>
      <c r="EP299" s="253"/>
      <c r="EQ299" s="253"/>
      <c r="ER299" s="253"/>
      <c r="ES299" s="253"/>
      <c r="ET299" s="253"/>
      <c r="EU299" s="253"/>
      <c r="EV299" s="253"/>
      <c r="EW299" s="253"/>
      <c r="EX299" s="253"/>
      <c r="EY299" s="253"/>
      <c r="EZ299" s="253"/>
      <c r="FA299" s="253"/>
      <c r="FB299" s="253"/>
      <c r="FC299" s="253"/>
      <c r="FD299" s="253"/>
      <c r="FE299" s="253"/>
      <c r="FF299" s="253"/>
      <c r="FG299" s="253"/>
      <c r="FH299" s="253"/>
      <c r="FI299" s="253"/>
      <c r="FJ299" s="253"/>
      <c r="FK299" s="253"/>
      <c r="FL299" s="253"/>
      <c r="FM299" s="253"/>
      <c r="FN299" s="253"/>
      <c r="FO299" s="253"/>
      <c r="FP299" s="253"/>
      <c r="FQ299" s="253"/>
      <c r="FR299" s="253"/>
      <c r="FS299" s="253"/>
      <c r="FT299" s="253"/>
      <c r="FU299" s="253"/>
      <c r="FV299" s="253"/>
      <c r="FW299" s="253"/>
      <c r="FX299" s="253"/>
    </row>
    <row r="300" spans="1:180" s="9" customFormat="1" ht="15.6" customHeight="1">
      <c r="A300" s="1258">
        <f t="shared" si="12"/>
        <v>198</v>
      </c>
      <c r="B300" s="31"/>
      <c r="C300" s="14" t="s">
        <v>773</v>
      </c>
      <c r="D300" s="14"/>
      <c r="E300" s="33"/>
      <c r="F300" s="135" t="str">
        <f>"(Line "&amp;A295&amp;" + Line "&amp;A298&amp;" + Line "&amp;A299&amp;")"</f>
        <v>(Line 194 + Line 196 + Line 197)</v>
      </c>
      <c r="G300" s="1094"/>
      <c r="H300" s="1012">
        <f>+H295+H298+H299</f>
        <v>315739266.26570916</v>
      </c>
      <c r="I300" s="254"/>
      <c r="J300" s="842"/>
      <c r="K300" s="254"/>
      <c r="L300" s="254"/>
      <c r="M300" s="253"/>
      <c r="N300" s="253"/>
      <c r="O300" s="253"/>
      <c r="P300" s="253"/>
      <c r="Q300" s="253"/>
      <c r="R300" s="253"/>
      <c r="S300" s="253"/>
      <c r="T300" s="253"/>
      <c r="U300" s="253"/>
      <c r="V300" s="253"/>
      <c r="W300" s="253"/>
      <c r="X300" s="253"/>
      <c r="Y300" s="253"/>
      <c r="Z300" s="253"/>
      <c r="AA300" s="253"/>
      <c r="AB300" s="253"/>
      <c r="AC300" s="253"/>
      <c r="AD300" s="253"/>
      <c r="AE300" s="253"/>
      <c r="AF300" s="253"/>
      <c r="AG300" s="253"/>
      <c r="AH300" s="253"/>
      <c r="AI300" s="253"/>
      <c r="AJ300" s="253"/>
      <c r="AK300" s="253"/>
      <c r="AL300" s="253"/>
      <c r="AM300" s="253"/>
      <c r="AN300" s="253"/>
      <c r="AO300" s="253"/>
      <c r="AP300" s="253"/>
      <c r="AQ300" s="253"/>
      <c r="AR300" s="253"/>
      <c r="AS300" s="253"/>
      <c r="AT300" s="253"/>
      <c r="AU300" s="253"/>
      <c r="AV300" s="253"/>
      <c r="AW300" s="253"/>
      <c r="AX300" s="253"/>
      <c r="AY300" s="253"/>
      <c r="AZ300" s="253"/>
      <c r="BA300" s="253"/>
      <c r="BB300" s="253"/>
      <c r="BC300" s="253"/>
      <c r="BD300" s="253"/>
      <c r="BE300" s="253"/>
      <c r="BF300" s="253"/>
      <c r="BG300" s="253"/>
      <c r="BH300" s="253"/>
      <c r="BI300" s="253"/>
      <c r="BJ300" s="253"/>
      <c r="BK300" s="253"/>
      <c r="BL300" s="253"/>
      <c r="BM300" s="253"/>
      <c r="BN300" s="253"/>
      <c r="BO300" s="253"/>
      <c r="BP300" s="253"/>
      <c r="BQ300" s="253"/>
      <c r="BR300" s="253"/>
      <c r="BS300" s="253"/>
      <c r="BT300" s="253"/>
      <c r="BU300" s="253"/>
      <c r="BV300" s="253"/>
      <c r="BW300" s="253"/>
      <c r="BX300" s="253"/>
      <c r="BY300" s="253"/>
      <c r="BZ300" s="253"/>
      <c r="CA300" s="253"/>
      <c r="CB300" s="253"/>
      <c r="CC300" s="253"/>
      <c r="CD300" s="253"/>
      <c r="CE300" s="253"/>
      <c r="CF300" s="253"/>
      <c r="CG300" s="253"/>
      <c r="CH300" s="253"/>
      <c r="CI300" s="253"/>
      <c r="CJ300" s="253"/>
      <c r="CK300" s="253"/>
      <c r="CL300" s="253"/>
      <c r="CM300" s="253"/>
      <c r="CN300" s="253"/>
      <c r="CO300" s="253"/>
      <c r="CP300" s="253"/>
      <c r="CQ300" s="253"/>
      <c r="CR300" s="253"/>
      <c r="CS300" s="253"/>
      <c r="CT300" s="253"/>
      <c r="CU300" s="253"/>
      <c r="CV300" s="253"/>
      <c r="CW300" s="253"/>
      <c r="CX300" s="253"/>
      <c r="CY300" s="253"/>
      <c r="CZ300" s="253"/>
      <c r="DA300" s="253"/>
      <c r="DB300" s="253"/>
      <c r="DC300" s="253"/>
      <c r="DD300" s="253"/>
      <c r="DE300" s="253"/>
      <c r="DF300" s="253"/>
      <c r="DG300" s="253"/>
      <c r="DH300" s="253"/>
      <c r="DI300" s="253"/>
      <c r="DJ300" s="253"/>
      <c r="DK300" s="253"/>
      <c r="DL300" s="253"/>
      <c r="DM300" s="253"/>
      <c r="DN300" s="253"/>
      <c r="DO300" s="253"/>
      <c r="DP300" s="253"/>
      <c r="DQ300" s="253"/>
      <c r="DR300" s="253"/>
      <c r="DS300" s="253"/>
      <c r="DT300" s="253"/>
      <c r="DU300" s="253"/>
      <c r="DV300" s="253"/>
      <c r="DW300" s="253"/>
      <c r="DX300" s="253"/>
      <c r="DY300" s="253"/>
      <c r="DZ300" s="253"/>
      <c r="EA300" s="253"/>
      <c r="EB300" s="253"/>
      <c r="EC300" s="253"/>
      <c r="ED300" s="253"/>
      <c r="EE300" s="253"/>
      <c r="EF300" s="253"/>
      <c r="EG300" s="253"/>
      <c r="EH300" s="253"/>
      <c r="EI300" s="253"/>
      <c r="EJ300" s="253"/>
      <c r="EK300" s="253"/>
      <c r="EL300" s="253"/>
      <c r="EM300" s="253"/>
      <c r="EN300" s="253"/>
      <c r="EO300" s="253"/>
      <c r="EP300" s="253"/>
      <c r="EQ300" s="253"/>
      <c r="ER300" s="253"/>
      <c r="ES300" s="253"/>
      <c r="ET300" s="253"/>
      <c r="EU300" s="253"/>
      <c r="EV300" s="253"/>
      <c r="EW300" s="253"/>
      <c r="EX300" s="253"/>
      <c r="EY300" s="253"/>
      <c r="EZ300" s="253"/>
      <c r="FA300" s="253"/>
      <c r="FB300" s="253"/>
      <c r="FC300" s="253"/>
      <c r="FD300" s="253"/>
      <c r="FE300" s="253"/>
      <c r="FF300" s="253"/>
      <c r="FG300" s="253"/>
      <c r="FH300" s="253"/>
      <c r="FI300" s="253"/>
      <c r="FJ300" s="253"/>
      <c r="FK300" s="253"/>
      <c r="FL300" s="253"/>
      <c r="FM300" s="253"/>
      <c r="FN300" s="253"/>
      <c r="FO300" s="253"/>
      <c r="FP300" s="253"/>
      <c r="FQ300" s="253"/>
      <c r="FR300" s="253"/>
      <c r="FS300" s="253"/>
      <c r="FT300" s="253"/>
      <c r="FU300" s="253"/>
      <c r="FV300" s="253"/>
      <c r="FW300" s="253"/>
      <c r="FX300" s="253"/>
    </row>
    <row r="301" spans="1:180" s="9" customFormat="1" ht="13.95" customHeight="1">
      <c r="A301" s="71"/>
      <c r="B301" s="6"/>
      <c r="C301" s="14"/>
      <c r="D301" s="14"/>
      <c r="E301" s="26"/>
      <c r="F301" s="126"/>
      <c r="G301" s="636"/>
      <c r="H301" s="1012"/>
      <c r="I301" s="254"/>
      <c r="J301" s="842"/>
      <c r="K301" s="254"/>
      <c r="L301" s="254"/>
      <c r="M301" s="253"/>
      <c r="N301" s="253"/>
      <c r="O301" s="253"/>
      <c r="P301" s="253"/>
      <c r="Q301" s="253"/>
      <c r="R301" s="253"/>
      <c r="S301" s="253"/>
      <c r="T301" s="253"/>
      <c r="U301" s="253"/>
      <c r="V301" s="253"/>
      <c r="W301" s="253"/>
      <c r="X301" s="253"/>
      <c r="Y301" s="253"/>
      <c r="Z301" s="253"/>
      <c r="AA301" s="253"/>
      <c r="AB301" s="253"/>
      <c r="AC301" s="253"/>
      <c r="AD301" s="253"/>
      <c r="AE301" s="253"/>
      <c r="AF301" s="253"/>
      <c r="AG301" s="253"/>
      <c r="AH301" s="253"/>
      <c r="AI301" s="253"/>
      <c r="AJ301" s="253"/>
      <c r="AK301" s="253"/>
      <c r="AL301" s="253"/>
      <c r="AM301" s="253"/>
      <c r="AN301" s="253"/>
      <c r="AO301" s="253"/>
      <c r="AP301" s="253"/>
      <c r="AQ301" s="253"/>
      <c r="AR301" s="253"/>
      <c r="AS301" s="253"/>
      <c r="AT301" s="253"/>
      <c r="AU301" s="253"/>
      <c r="AV301" s="253"/>
      <c r="AW301" s="253"/>
      <c r="AX301" s="253"/>
      <c r="AY301" s="253"/>
      <c r="AZ301" s="253"/>
      <c r="BA301" s="253"/>
      <c r="BB301" s="253"/>
      <c r="BC301" s="253"/>
      <c r="BD301" s="253"/>
      <c r="BE301" s="253"/>
      <c r="BF301" s="253"/>
      <c r="BG301" s="253"/>
      <c r="BH301" s="253"/>
      <c r="BI301" s="253"/>
      <c r="BJ301" s="253"/>
      <c r="BK301" s="253"/>
      <c r="BL301" s="253"/>
      <c r="BM301" s="253"/>
      <c r="BN301" s="253"/>
      <c r="BO301" s="253"/>
      <c r="BP301" s="253"/>
      <c r="BQ301" s="253"/>
      <c r="BR301" s="253"/>
      <c r="BS301" s="253"/>
      <c r="BT301" s="253"/>
      <c r="BU301" s="253"/>
      <c r="BV301" s="253"/>
      <c r="BW301" s="253"/>
      <c r="BX301" s="253"/>
      <c r="BY301" s="253"/>
      <c r="BZ301" s="253"/>
      <c r="CA301" s="253"/>
      <c r="CB301" s="253"/>
      <c r="CC301" s="253"/>
      <c r="CD301" s="253"/>
      <c r="CE301" s="253"/>
      <c r="CF301" s="253"/>
      <c r="CG301" s="253"/>
      <c r="CH301" s="253"/>
      <c r="CI301" s="253"/>
      <c r="CJ301" s="253"/>
      <c r="CK301" s="253"/>
      <c r="CL301" s="253"/>
      <c r="CM301" s="253"/>
      <c r="CN301" s="253"/>
      <c r="CO301" s="253"/>
      <c r="CP301" s="253"/>
      <c r="CQ301" s="253"/>
      <c r="CR301" s="253"/>
      <c r="CS301" s="253"/>
      <c r="CT301" s="253"/>
      <c r="CU301" s="253"/>
      <c r="CV301" s="253"/>
      <c r="CW301" s="253"/>
      <c r="CX301" s="253"/>
      <c r="CY301" s="253"/>
      <c r="CZ301" s="253"/>
      <c r="DA301" s="253"/>
      <c r="DB301" s="253"/>
      <c r="DC301" s="253"/>
      <c r="DD301" s="253"/>
      <c r="DE301" s="253"/>
      <c r="DF301" s="253"/>
      <c r="DG301" s="253"/>
      <c r="DH301" s="253"/>
      <c r="DI301" s="253"/>
      <c r="DJ301" s="253"/>
      <c r="DK301" s="253"/>
      <c r="DL301" s="253"/>
      <c r="DM301" s="253"/>
      <c r="DN301" s="253"/>
      <c r="DO301" s="253"/>
      <c r="DP301" s="253"/>
      <c r="DQ301" s="253"/>
      <c r="DR301" s="253"/>
      <c r="DS301" s="253"/>
      <c r="DT301" s="253"/>
      <c r="DU301" s="253"/>
      <c r="DV301" s="253"/>
      <c r="DW301" s="253"/>
      <c r="DX301" s="253"/>
      <c r="DY301" s="253"/>
      <c r="DZ301" s="253"/>
      <c r="EA301" s="253"/>
      <c r="EB301" s="253"/>
      <c r="EC301" s="253"/>
      <c r="ED301" s="253"/>
      <c r="EE301" s="253"/>
      <c r="EF301" s="253"/>
      <c r="EG301" s="253"/>
      <c r="EH301" s="253"/>
      <c r="EI301" s="253"/>
      <c r="EJ301" s="253"/>
      <c r="EK301" s="253"/>
      <c r="EL301" s="253"/>
      <c r="EM301" s="253"/>
      <c r="EN301" s="253"/>
      <c r="EO301" s="253"/>
      <c r="EP301" s="253"/>
      <c r="EQ301" s="253"/>
      <c r="ER301" s="253"/>
      <c r="ES301" s="253"/>
      <c r="ET301" s="253"/>
      <c r="EU301" s="253"/>
      <c r="EV301" s="253"/>
      <c r="EW301" s="253"/>
      <c r="EX301" s="253"/>
      <c r="EY301" s="253"/>
      <c r="EZ301" s="253"/>
      <c r="FA301" s="253"/>
      <c r="FB301" s="253"/>
      <c r="FC301" s="253"/>
      <c r="FD301" s="253"/>
      <c r="FE301" s="253"/>
      <c r="FF301" s="253"/>
      <c r="FG301" s="253"/>
      <c r="FH301" s="253"/>
      <c r="FI301" s="253"/>
      <c r="FJ301" s="253"/>
      <c r="FK301" s="253"/>
      <c r="FL301" s="253"/>
      <c r="FM301" s="253"/>
      <c r="FN301" s="253"/>
      <c r="FO301" s="253"/>
      <c r="FP301" s="253"/>
      <c r="FQ301" s="253"/>
      <c r="FR301" s="253"/>
      <c r="FS301" s="253"/>
      <c r="FT301" s="253"/>
      <c r="FU301" s="253"/>
      <c r="FV301" s="253"/>
      <c r="FW301" s="253"/>
      <c r="FX301" s="253"/>
    </row>
    <row r="302" spans="1:180" ht="15.6" customHeight="1">
      <c r="A302" s="71"/>
      <c r="B302" s="37" t="s">
        <v>22</v>
      </c>
      <c r="C302" s="14"/>
      <c r="D302" s="14"/>
      <c r="E302" s="26"/>
      <c r="F302" s="126"/>
      <c r="G302" s="636"/>
      <c r="H302" s="1012"/>
      <c r="J302" s="254"/>
      <c r="K302" s="254"/>
      <c r="L302" s="254"/>
    </row>
    <row r="303" spans="1:180" ht="15.6" customHeight="1">
      <c r="A303" s="71">
        <f>+A300+1</f>
        <v>199</v>
      </c>
      <c r="B303" s="31"/>
      <c r="C303" s="54" t="s">
        <v>290</v>
      </c>
      <c r="D303" s="72" t="s">
        <v>65</v>
      </c>
      <c r="E303" s="33" t="str">
        <f>"(Note "&amp;A$319&amp;")"</f>
        <v>(Note L)</v>
      </c>
      <c r="F303" s="124" t="str">
        <f>+"WP19 Load Line "&amp;'WP19 Load'!A58&amp;" Column "&amp;'WP19 Load'!O5</f>
        <v xml:space="preserve">WP19 Load Line 24 Column N </v>
      </c>
      <c r="G303" s="636"/>
      <c r="H303" s="1028">
        <f>+'WP19 Load'!O58*1000</f>
        <v>11491000</v>
      </c>
      <c r="J303" s="254"/>
      <c r="K303" s="254"/>
      <c r="L303" s="254"/>
    </row>
    <row r="304" spans="1:180" ht="15.6" customHeight="1">
      <c r="A304" s="105">
        <f>+A303+1</f>
        <v>200</v>
      </c>
      <c r="B304" s="8"/>
      <c r="C304" s="7" t="s">
        <v>22</v>
      </c>
      <c r="D304" s="557"/>
      <c r="E304" s="183"/>
      <c r="F304" s="123" t="str">
        <f>"(Line "&amp;A300&amp;" / Line "&amp;A303&amp;")"</f>
        <v>(Line 198 / Line 199)</v>
      </c>
      <c r="G304" s="462"/>
      <c r="H304" s="1678">
        <f>IF(H303=0,0,H300/H303)</f>
        <v>27.47709218220426</v>
      </c>
      <c r="J304" s="254"/>
      <c r="K304" s="254"/>
      <c r="L304" s="254"/>
    </row>
    <row r="305" spans="1:12" ht="15.6" customHeight="1" thickBot="1">
      <c r="A305" s="142">
        <f>+A304+1</f>
        <v>201</v>
      </c>
      <c r="B305" s="143"/>
      <c r="C305" s="144" t="s">
        <v>165</v>
      </c>
      <c r="D305" s="145"/>
      <c r="E305" s="184"/>
      <c r="F305" s="461" t="str">
        <f>"(Line "&amp;A304&amp;" / 12)"</f>
        <v>(Line 200 / 12)</v>
      </c>
      <c r="G305" s="463"/>
      <c r="H305" s="1061">
        <f>H304/12</f>
        <v>2.2897576818503551</v>
      </c>
      <c r="J305" s="254"/>
      <c r="K305" s="254"/>
      <c r="L305" s="254"/>
    </row>
    <row r="306" spans="1:12" ht="13.95" customHeight="1">
      <c r="A306" s="33"/>
      <c r="B306" s="31"/>
      <c r="C306" s="7"/>
      <c r="D306" s="5"/>
      <c r="E306" s="30"/>
      <c r="F306" s="45"/>
      <c r="G306" s="456"/>
      <c r="H306" s="456"/>
      <c r="J306" s="254"/>
      <c r="K306" s="254"/>
      <c r="L306" s="254"/>
    </row>
    <row r="307" spans="1:12" ht="15.75" customHeight="1">
      <c r="A307" s="2312" t="s">
        <v>124</v>
      </c>
      <c r="B307" s="2312"/>
      <c r="C307" s="5"/>
      <c r="D307" s="5"/>
      <c r="E307" s="30"/>
      <c r="F307" s="59"/>
      <c r="H307" s="43"/>
      <c r="J307" s="254"/>
      <c r="K307" s="254"/>
      <c r="L307" s="254"/>
    </row>
    <row r="308" spans="1:12" ht="15.75" customHeight="1">
      <c r="A308" s="155" t="s">
        <v>67</v>
      </c>
      <c r="B308" s="253"/>
      <c r="C308" s="2325" t="s">
        <v>1311</v>
      </c>
      <c r="D308" s="2325"/>
      <c r="E308" s="2325"/>
      <c r="F308" s="2325"/>
      <c r="G308" s="2325"/>
      <c r="H308" s="2325"/>
      <c r="J308" s="254"/>
      <c r="K308" s="254"/>
      <c r="L308" s="254"/>
    </row>
    <row r="309" spans="1:12" ht="61.95" customHeight="1">
      <c r="A309" s="155" t="s">
        <v>114</v>
      </c>
      <c r="B309" s="253"/>
      <c r="C309" s="2311" t="s">
        <v>1089</v>
      </c>
      <c r="D309" s="2311"/>
      <c r="E309" s="2311"/>
      <c r="F309" s="2311"/>
      <c r="G309" s="2311"/>
      <c r="H309" s="2311"/>
      <c r="K309" s="254"/>
      <c r="L309" s="254"/>
    </row>
    <row r="310" spans="1:12">
      <c r="A310" s="155" t="s">
        <v>55</v>
      </c>
      <c r="B310" s="895"/>
      <c r="C310" s="2311" t="s">
        <v>733</v>
      </c>
      <c r="D310" s="2311"/>
      <c r="E310" s="2311"/>
      <c r="F310" s="2311"/>
      <c r="G310" s="2311"/>
      <c r="H310" s="2311"/>
      <c r="J310" s="254"/>
      <c r="K310" s="254"/>
      <c r="L310" s="254"/>
    </row>
    <row r="311" spans="1:12" ht="31.2" customHeight="1">
      <c r="A311" s="155" t="s">
        <v>68</v>
      </c>
      <c r="B311" s="253"/>
      <c r="C311" s="2283" t="s">
        <v>819</v>
      </c>
      <c r="D311" s="2283"/>
      <c r="E311" s="2283"/>
      <c r="F311" s="2283"/>
      <c r="G311" s="2283"/>
      <c r="H311" s="2283"/>
      <c r="K311" s="254"/>
      <c r="L311" s="254"/>
    </row>
    <row r="312" spans="1:12">
      <c r="A312" s="155" t="s">
        <v>66</v>
      </c>
      <c r="B312" s="253"/>
      <c r="C312" s="2284" t="s">
        <v>1310</v>
      </c>
      <c r="D312" s="2284"/>
      <c r="E312" s="2284"/>
      <c r="F312" s="2284"/>
      <c r="G312" s="2284"/>
      <c r="H312" s="2284"/>
      <c r="J312" s="254"/>
      <c r="K312" s="254"/>
      <c r="L312" s="254"/>
    </row>
    <row r="313" spans="1:12" ht="31.95" customHeight="1">
      <c r="A313" s="155" t="s">
        <v>154</v>
      </c>
      <c r="B313" s="253"/>
      <c r="C313" s="2283" t="s">
        <v>1090</v>
      </c>
      <c r="D313" s="2283"/>
      <c r="E313" s="2283"/>
      <c r="F313" s="2283"/>
      <c r="G313" s="2283"/>
      <c r="H313" s="2283"/>
      <c r="J313" s="254"/>
      <c r="K313" s="254"/>
      <c r="L313" s="254"/>
    </row>
    <row r="314" spans="1:12" ht="32.4" customHeight="1">
      <c r="A314" s="155" t="s">
        <v>69</v>
      </c>
      <c r="B314" s="253"/>
      <c r="C314" s="2308" t="s">
        <v>558</v>
      </c>
      <c r="D314" s="2308"/>
      <c r="E314" s="2308"/>
      <c r="F314" s="2308"/>
      <c r="G314" s="2308"/>
      <c r="H314" s="2308"/>
      <c r="K314" s="254"/>
      <c r="L314" s="254"/>
    </row>
    <row r="315" spans="1:12" ht="16.2" customHeight="1">
      <c r="A315" s="155" t="s">
        <v>166</v>
      </c>
      <c r="B315" s="253"/>
      <c r="C315" s="1407" t="s">
        <v>1312</v>
      </c>
      <c r="D315" s="1408"/>
      <c r="E315" s="1409"/>
      <c r="F315" s="1409"/>
      <c r="G315" s="1409"/>
      <c r="H315" s="1409"/>
      <c r="J315" s="254"/>
      <c r="K315" s="254"/>
      <c r="L315" s="254"/>
    </row>
    <row r="316" spans="1:12" ht="139.94999999999999" customHeight="1">
      <c r="A316" s="155" t="s">
        <v>59</v>
      </c>
      <c r="B316" s="253"/>
      <c r="C316" s="2308" t="s">
        <v>1924</v>
      </c>
      <c r="D316" s="2308"/>
      <c r="E316" s="2308"/>
      <c r="F316" s="2308"/>
      <c r="G316" s="2308"/>
      <c r="H316" s="2308"/>
      <c r="I316" s="1790"/>
      <c r="J316" s="1526" t="s">
        <v>1923</v>
      </c>
      <c r="L316" s="254"/>
    </row>
    <row r="317" spans="1:12" ht="63.6" customHeight="1">
      <c r="A317" s="155" t="s">
        <v>60</v>
      </c>
      <c r="B317" s="253"/>
      <c r="C317" s="2308" t="s">
        <v>1457</v>
      </c>
      <c r="D317" s="2308"/>
      <c r="E317" s="2308"/>
      <c r="F317" s="2308"/>
      <c r="G317" s="2308"/>
      <c r="H317" s="2308"/>
      <c r="J317" s="1484" t="s">
        <v>1489</v>
      </c>
      <c r="K317" s="254"/>
      <c r="L317" s="254"/>
    </row>
    <row r="318" spans="1:12" ht="31.2" customHeight="1">
      <c r="A318" s="155" t="s">
        <v>71</v>
      </c>
      <c r="B318" s="253"/>
      <c r="C318" s="2283" t="s">
        <v>805</v>
      </c>
      <c r="D318" s="2283"/>
      <c r="E318" s="2283"/>
      <c r="F318" s="2283"/>
      <c r="G318" s="2283"/>
      <c r="H318" s="2283"/>
      <c r="I318" s="1799"/>
      <c r="J318" s="254"/>
      <c r="K318" s="254"/>
      <c r="L318" s="254"/>
    </row>
    <row r="319" spans="1:12" ht="32.4" customHeight="1">
      <c r="A319" s="155" t="s">
        <v>98</v>
      </c>
      <c r="B319" s="253"/>
      <c r="C319" s="2283" t="s">
        <v>818</v>
      </c>
      <c r="D319" s="2283"/>
      <c r="E319" s="2283"/>
      <c r="F319" s="2283"/>
      <c r="G319" s="2283"/>
      <c r="H319" s="2283"/>
      <c r="J319" s="254"/>
      <c r="K319" s="254"/>
      <c r="L319" s="254"/>
    </row>
    <row r="320" spans="1:12" ht="125.1" customHeight="1">
      <c r="A320" s="232" t="s">
        <v>99</v>
      </c>
      <c r="B320" s="253"/>
      <c r="C320" s="2311" t="s">
        <v>1091</v>
      </c>
      <c r="D320" s="2311"/>
      <c r="E320" s="2311"/>
      <c r="F320" s="2311"/>
      <c r="G320" s="2311"/>
      <c r="H320" s="2311"/>
      <c r="J320" s="254"/>
      <c r="K320" s="254"/>
      <c r="L320" s="254"/>
    </row>
    <row r="321" spans="1:14" ht="47.4" customHeight="1">
      <c r="A321" s="155" t="s">
        <v>155</v>
      </c>
      <c r="B321" s="253"/>
      <c r="C321" s="2323" t="s">
        <v>868</v>
      </c>
      <c r="D321" s="2323"/>
      <c r="E321" s="2323"/>
      <c r="F321" s="2323"/>
      <c r="G321" s="2323"/>
      <c r="H321" s="2323"/>
      <c r="J321" s="254"/>
      <c r="K321" s="254"/>
      <c r="L321" s="254"/>
    </row>
    <row r="322" spans="1:14">
      <c r="A322" s="155" t="s">
        <v>221</v>
      </c>
      <c r="B322" s="253"/>
      <c r="C322" s="2283" t="s">
        <v>749</v>
      </c>
      <c r="D322" s="2283"/>
      <c r="E322" s="2283"/>
      <c r="F322" s="2283"/>
      <c r="G322" s="2283"/>
      <c r="H322" s="2283"/>
      <c r="K322" s="254"/>
      <c r="L322" s="254"/>
    </row>
    <row r="323" spans="1:14" ht="78.599999999999994" customHeight="1">
      <c r="A323" s="155" t="s">
        <v>222</v>
      </c>
      <c r="B323" s="253"/>
      <c r="C323" s="2323" t="s">
        <v>1900</v>
      </c>
      <c r="D323" s="2323"/>
      <c r="E323" s="2323"/>
      <c r="F323" s="2323"/>
      <c r="G323" s="2323"/>
      <c r="H323" s="2323"/>
      <c r="J323" s="2284" t="s">
        <v>1550</v>
      </c>
      <c r="K323" s="2284"/>
      <c r="L323" s="254"/>
      <c r="M323" s="254"/>
      <c r="N323" s="254"/>
    </row>
    <row r="324" spans="1:14" ht="31.2" customHeight="1">
      <c r="A324" s="155" t="s">
        <v>223</v>
      </c>
      <c r="B324" s="253"/>
      <c r="C324" s="2283" t="s">
        <v>869</v>
      </c>
      <c r="D324" s="2283"/>
      <c r="E324" s="2283"/>
      <c r="F324" s="2283"/>
      <c r="G324" s="2283"/>
      <c r="H324" s="2283"/>
      <c r="K324" s="254"/>
      <c r="L324" s="254"/>
    </row>
    <row r="325" spans="1:14" ht="15" customHeight="1">
      <c r="A325" s="232" t="s">
        <v>224</v>
      </c>
      <c r="B325" s="253"/>
      <c r="C325" s="2322" t="s">
        <v>870</v>
      </c>
      <c r="D325" s="2322"/>
      <c r="E325" s="2322"/>
      <c r="F325" s="2322"/>
      <c r="G325" s="2322"/>
      <c r="H325" s="2322"/>
      <c r="J325" s="254"/>
      <c r="K325" s="254"/>
      <c r="L325" s="254"/>
    </row>
    <row r="326" spans="1:14" ht="33" customHeight="1">
      <c r="A326" s="232" t="s">
        <v>225</v>
      </c>
      <c r="B326" s="253"/>
      <c r="C326" s="2283" t="s">
        <v>537</v>
      </c>
      <c r="D326" s="2283"/>
      <c r="E326" s="2283"/>
      <c r="F326" s="2283"/>
      <c r="G326" s="2283"/>
      <c r="H326" s="2283"/>
      <c r="K326" s="254"/>
      <c r="L326" s="254"/>
    </row>
    <row r="327" spans="1:14" ht="31.2" customHeight="1">
      <c r="A327" s="232" t="s">
        <v>226</v>
      </c>
      <c r="B327" s="253"/>
      <c r="C327" s="2283" t="s">
        <v>1068</v>
      </c>
      <c r="D327" s="2283"/>
      <c r="E327" s="2283"/>
      <c r="F327" s="2283"/>
      <c r="G327" s="2283"/>
      <c r="H327" s="2283"/>
      <c r="J327" s="254"/>
      <c r="K327" s="254"/>
      <c r="L327" s="254"/>
    </row>
    <row r="328" spans="1:14" ht="31.95" customHeight="1">
      <c r="A328" s="232" t="s">
        <v>227</v>
      </c>
      <c r="B328" s="253"/>
      <c r="C328" s="2283" t="s">
        <v>1069</v>
      </c>
      <c r="D328" s="2283"/>
      <c r="E328" s="2283"/>
      <c r="F328" s="2283"/>
      <c r="G328" s="2283"/>
      <c r="H328" s="2283"/>
      <c r="J328" s="254"/>
      <c r="K328" s="254"/>
      <c r="L328" s="254"/>
    </row>
    <row r="329" spans="1:14" ht="31.2" customHeight="1">
      <c r="A329" s="232" t="s">
        <v>228</v>
      </c>
      <c r="B329" s="253"/>
      <c r="C329" s="2283" t="s">
        <v>1113</v>
      </c>
      <c r="D329" s="2283"/>
      <c r="E329" s="2283"/>
      <c r="F329" s="2283"/>
      <c r="G329" s="2283"/>
      <c r="H329" s="2283"/>
      <c r="J329" s="254"/>
      <c r="K329" s="254"/>
      <c r="L329" s="254"/>
    </row>
    <row r="330" spans="1:14">
      <c r="A330" s="232" t="s">
        <v>289</v>
      </c>
      <c r="B330" s="253"/>
      <c r="C330" s="2283" t="s">
        <v>657</v>
      </c>
      <c r="D330" s="2283"/>
      <c r="E330" s="2283"/>
      <c r="F330" s="2283"/>
      <c r="G330" s="2283"/>
      <c r="H330" s="2283"/>
    </row>
    <row r="331" spans="1:14" ht="48" customHeight="1">
      <c r="A331" s="232" t="s">
        <v>285</v>
      </c>
      <c r="B331" s="254"/>
      <c r="C331" s="2283" t="s">
        <v>1553</v>
      </c>
      <c r="D331" s="2283"/>
      <c r="E331" s="2283"/>
      <c r="F331" s="2283"/>
      <c r="G331" s="2283"/>
      <c r="H331" s="2283"/>
    </row>
    <row r="332" spans="1:14">
      <c r="A332" s="232" t="s">
        <v>286</v>
      </c>
      <c r="B332" s="254"/>
      <c r="C332" s="2283" t="s">
        <v>748</v>
      </c>
      <c r="D332" s="2283"/>
      <c r="E332" s="2283"/>
      <c r="F332" s="2283"/>
      <c r="G332" s="2283"/>
      <c r="H332" s="2283"/>
    </row>
    <row r="333" spans="1:14">
      <c r="A333" s="232" t="s">
        <v>287</v>
      </c>
      <c r="B333" s="254"/>
      <c r="C333" s="2283" t="s">
        <v>806</v>
      </c>
      <c r="D333" s="2283"/>
      <c r="E333" s="2283"/>
      <c r="F333" s="2283"/>
      <c r="G333" s="2283"/>
      <c r="H333" s="2283"/>
    </row>
    <row r="334" spans="1:14">
      <c r="A334" s="232" t="s">
        <v>288</v>
      </c>
      <c r="B334" s="254"/>
      <c r="C334" s="2283" t="s">
        <v>807</v>
      </c>
      <c r="D334" s="2283"/>
      <c r="E334" s="2283"/>
      <c r="F334" s="2283"/>
      <c r="G334" s="2283"/>
      <c r="H334" s="2283"/>
    </row>
    <row r="335" spans="1:14" ht="15" customHeight="1">
      <c r="A335" s="232" t="s">
        <v>311</v>
      </c>
      <c r="B335" s="254"/>
      <c r="C335" s="2283" t="s">
        <v>657</v>
      </c>
      <c r="D335" s="2283"/>
      <c r="E335" s="2283"/>
      <c r="F335" s="2283"/>
      <c r="G335" s="2283"/>
      <c r="H335" s="2283"/>
    </row>
    <row r="336" spans="1:14" ht="47.4" customHeight="1">
      <c r="A336" s="232" t="s">
        <v>312</v>
      </c>
      <c r="B336" s="254"/>
      <c r="C336" s="2283" t="s">
        <v>762</v>
      </c>
      <c r="D336" s="2283"/>
      <c r="E336" s="2283"/>
      <c r="F336" s="2283"/>
      <c r="G336" s="2283"/>
      <c r="H336" s="2283"/>
    </row>
    <row r="337" spans="1:10" ht="16.2" customHeight="1">
      <c r="A337" s="232" t="s">
        <v>313</v>
      </c>
      <c r="B337" s="254"/>
      <c r="C337" s="2283" t="s">
        <v>314</v>
      </c>
      <c r="D337" s="2283"/>
      <c r="E337" s="2283"/>
      <c r="F337" s="2283"/>
      <c r="G337" s="2283"/>
      <c r="H337" s="2283"/>
    </row>
    <row r="338" spans="1:10">
      <c r="A338" s="232" t="s">
        <v>538</v>
      </c>
      <c r="B338" s="253"/>
      <c r="C338" s="2283" t="s">
        <v>808</v>
      </c>
      <c r="D338" s="2283"/>
      <c r="E338" s="2283"/>
      <c r="F338" s="2283"/>
      <c r="G338" s="2283"/>
      <c r="H338" s="2283"/>
    </row>
    <row r="339" spans="1:10" ht="46.95" customHeight="1">
      <c r="A339" s="232" t="s">
        <v>542</v>
      </c>
      <c r="B339" s="254"/>
      <c r="C339" s="2283" t="s">
        <v>1112</v>
      </c>
      <c r="D339" s="2283"/>
      <c r="E339" s="2283"/>
      <c r="F339" s="2283"/>
      <c r="G339" s="2283"/>
      <c r="H339" s="2283"/>
      <c r="I339" s="1465"/>
    </row>
    <row r="340" spans="1:10">
      <c r="A340" s="232" t="s">
        <v>543</v>
      </c>
      <c r="B340" s="254"/>
      <c r="C340" s="2283" t="s">
        <v>871</v>
      </c>
      <c r="D340" s="2283"/>
      <c r="E340" s="2283"/>
      <c r="F340" s="2283"/>
      <c r="G340" s="2283"/>
      <c r="H340" s="2283"/>
    </row>
    <row r="341" spans="1:10" ht="31.95" customHeight="1">
      <c r="A341" s="232" t="s">
        <v>544</v>
      </c>
      <c r="B341" s="253"/>
      <c r="C341" s="2311" t="s">
        <v>1070</v>
      </c>
      <c r="D341" s="2311"/>
      <c r="E341" s="2311"/>
      <c r="F341" s="2311"/>
      <c r="G341" s="2311"/>
      <c r="H341" s="2311"/>
    </row>
    <row r="342" spans="1:10" ht="31.2" customHeight="1">
      <c r="A342" s="232" t="s">
        <v>545</v>
      </c>
      <c r="B342" s="253"/>
      <c r="C342" s="2311" t="s">
        <v>1110</v>
      </c>
      <c r="D342" s="2311"/>
      <c r="E342" s="2311"/>
      <c r="F342" s="2311"/>
      <c r="G342" s="2311"/>
      <c r="H342" s="2311"/>
    </row>
    <row r="343" spans="1:10">
      <c r="A343" s="232" t="s">
        <v>546</v>
      </c>
      <c r="B343" s="254"/>
      <c r="C343" s="2283" t="s">
        <v>1071</v>
      </c>
      <c r="D343" s="2283"/>
      <c r="E343" s="2283"/>
      <c r="F343" s="2283"/>
      <c r="G343" s="2283"/>
      <c r="H343" s="2283"/>
    </row>
    <row r="344" spans="1:10">
      <c r="A344" s="232" t="s">
        <v>547</v>
      </c>
      <c r="B344" s="254"/>
      <c r="C344" s="2283" t="s">
        <v>1072</v>
      </c>
      <c r="D344" s="2283"/>
      <c r="E344" s="2283"/>
      <c r="F344" s="2283"/>
      <c r="G344" s="2283"/>
      <c r="H344" s="2283"/>
    </row>
    <row r="345" spans="1:10" s="254" customFormat="1" ht="70.2" customHeight="1">
      <c r="A345" s="232" t="s">
        <v>1455</v>
      </c>
      <c r="B345" s="1554"/>
      <c r="C345" s="2283" t="s">
        <v>1456</v>
      </c>
      <c r="D345" s="2324"/>
      <c r="E345" s="2324"/>
      <c r="F345" s="2324"/>
      <c r="G345" s="2324"/>
      <c r="H345" s="2324"/>
      <c r="I345" s="1554"/>
      <c r="J345" s="1465" t="s">
        <v>1469</v>
      </c>
    </row>
    <row r="346" spans="1:10">
      <c r="A346" s="232"/>
      <c r="B346" s="254"/>
      <c r="C346" s="2283"/>
      <c r="D346" s="2283"/>
      <c r="E346" s="2283"/>
      <c r="F346" s="2283"/>
      <c r="G346" s="2283"/>
      <c r="H346" s="2283"/>
    </row>
    <row r="347" spans="1:10" ht="15.6">
      <c r="A347" s="22" t="s">
        <v>54</v>
      </c>
      <c r="B347" s="21"/>
      <c r="C347" s="2326"/>
      <c r="D347" s="2326"/>
      <c r="E347" s="2326"/>
      <c r="F347" s="2326"/>
      <c r="G347" s="2326"/>
      <c r="H347" s="2326"/>
    </row>
  </sheetData>
  <mergeCells count="121">
    <mergeCell ref="J323:K323"/>
    <mergeCell ref="C345:H345"/>
    <mergeCell ref="C308:H308"/>
    <mergeCell ref="C310:H310"/>
    <mergeCell ref="C346:H346"/>
    <mergeCell ref="C347:H347"/>
    <mergeCell ref="C342:H342"/>
    <mergeCell ref="C344:H344"/>
    <mergeCell ref="C343:H343"/>
    <mergeCell ref="C339:H339"/>
    <mergeCell ref="C340:H340"/>
    <mergeCell ref="C341:H341"/>
    <mergeCell ref="C335:H335"/>
    <mergeCell ref="C336:H336"/>
    <mergeCell ref="C337:H337"/>
    <mergeCell ref="C318:H318"/>
    <mergeCell ref="C316:H316"/>
    <mergeCell ref="C314:H314"/>
    <mergeCell ref="C319:H319"/>
    <mergeCell ref="C320:H320"/>
    <mergeCell ref="C338:H338"/>
    <mergeCell ref="C330:H330"/>
    <mergeCell ref="C331:H331"/>
    <mergeCell ref="C332:H332"/>
    <mergeCell ref="C333:H333"/>
    <mergeCell ref="C334:H334"/>
    <mergeCell ref="C324:H324"/>
    <mergeCell ref="C325:H325"/>
    <mergeCell ref="C326:H326"/>
    <mergeCell ref="C327:H327"/>
    <mergeCell ref="C328:H328"/>
    <mergeCell ref="C329:H329"/>
    <mergeCell ref="C321:H321"/>
    <mergeCell ref="C322:H322"/>
    <mergeCell ref="C323:H323"/>
    <mergeCell ref="C317:H317"/>
    <mergeCell ref="A1:H1"/>
    <mergeCell ref="A3:H3"/>
    <mergeCell ref="C309:H309"/>
    <mergeCell ref="A307:B307"/>
    <mergeCell ref="D239:E240"/>
    <mergeCell ref="F239:F240"/>
    <mergeCell ref="C12:D12"/>
    <mergeCell ref="C28:D28"/>
    <mergeCell ref="C34:D34"/>
    <mergeCell ref="C41:D41"/>
    <mergeCell ref="C48:D48"/>
    <mergeCell ref="C53:D53"/>
    <mergeCell ref="C59:D59"/>
    <mergeCell ref="B61:D61"/>
    <mergeCell ref="B63:D63"/>
    <mergeCell ref="B52:C52"/>
    <mergeCell ref="B67:C67"/>
    <mergeCell ref="B75:D75"/>
    <mergeCell ref="B77:C77"/>
    <mergeCell ref="B79:E79"/>
    <mergeCell ref="B87:C87"/>
    <mergeCell ref="A8:C8"/>
    <mergeCell ref="A5:C5"/>
    <mergeCell ref="B50:C50"/>
    <mergeCell ref="C57:D57"/>
    <mergeCell ref="A65:C65"/>
    <mergeCell ref="B39:C39"/>
    <mergeCell ref="B35:C35"/>
    <mergeCell ref="B32:C32"/>
    <mergeCell ref="B26:C26"/>
    <mergeCell ref="B10:C10"/>
    <mergeCell ref="B108:C108"/>
    <mergeCell ref="C111:D111"/>
    <mergeCell ref="C115:D115"/>
    <mergeCell ref="B118:C118"/>
    <mergeCell ref="B120:C120"/>
    <mergeCell ref="B89:C89"/>
    <mergeCell ref="C94:D94"/>
    <mergeCell ref="B96:C96"/>
    <mergeCell ref="B104:C104"/>
    <mergeCell ref="B106:C106"/>
    <mergeCell ref="A172:C172"/>
    <mergeCell ref="C180:D180"/>
    <mergeCell ref="B185:C185"/>
    <mergeCell ref="A187:C187"/>
    <mergeCell ref="C189:D189"/>
    <mergeCell ref="C151:D151"/>
    <mergeCell ref="B156:C156"/>
    <mergeCell ref="B160:C160"/>
    <mergeCell ref="C168:D168"/>
    <mergeCell ref="B170:D170"/>
    <mergeCell ref="C137:D137"/>
    <mergeCell ref="B145:C145"/>
    <mergeCell ref="C146:D146"/>
    <mergeCell ref="C147:D147"/>
    <mergeCell ref="C150:D150"/>
    <mergeCell ref="C127:D127"/>
    <mergeCell ref="C128:E128"/>
    <mergeCell ref="B132:C132"/>
    <mergeCell ref="C134:D134"/>
    <mergeCell ref="C136:D136"/>
    <mergeCell ref="C311:H311"/>
    <mergeCell ref="C312:H312"/>
    <mergeCell ref="C313:H313"/>
    <mergeCell ref="B221:C221"/>
    <mergeCell ref="C224:D224"/>
    <mergeCell ref="C190:D190"/>
    <mergeCell ref="C192:D192"/>
    <mergeCell ref="A195:C195"/>
    <mergeCell ref="B217:D217"/>
    <mergeCell ref="A219:C219"/>
    <mergeCell ref="C286:D286"/>
    <mergeCell ref="C287:D287"/>
    <mergeCell ref="C288:D288"/>
    <mergeCell ref="C297:D297"/>
    <mergeCell ref="C275:D275"/>
    <mergeCell ref="C278:D278"/>
    <mergeCell ref="C279:D279"/>
    <mergeCell ref="C283:D283"/>
    <mergeCell ref="C285:D285"/>
    <mergeCell ref="D208:E208"/>
    <mergeCell ref="D209:E209"/>
    <mergeCell ref="C246:D246"/>
    <mergeCell ref="B261:F261"/>
    <mergeCell ref="B269:D269"/>
  </mergeCells>
  <printOptions horizontalCentered="1"/>
  <pageMargins left="0.5" right="0.5" top="0.5" bottom="0.7" header="0.3" footer="0.5"/>
  <pageSetup scale="54" fitToHeight="6" orientation="portrait" r:id="rId1"/>
  <headerFooter>
    <oddFooter>&amp;R&amp;12&amp;A</oddFooter>
  </headerFooter>
  <rowBreaks count="3" manualBreakCount="3">
    <brk id="88" max="7" man="1"/>
    <brk id="170" max="7" man="1"/>
    <brk id="241"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U218"/>
  <sheetViews>
    <sheetView zoomScaleNormal="100" workbookViewId="0">
      <selection activeCell="L6" sqref="L6"/>
    </sheetView>
  </sheetViews>
  <sheetFormatPr defaultColWidth="9.109375" defaultRowHeight="13.2"/>
  <cols>
    <col min="1" max="1" width="7" style="759" bestFit="1" customWidth="1"/>
    <col min="2" max="2" width="28.6640625" style="496" customWidth="1"/>
    <col min="3" max="5" width="12.44140625" style="496" customWidth="1"/>
    <col min="6" max="6" width="11.33203125" style="496" customWidth="1"/>
    <col min="7" max="15" width="12.44140625" style="496" customWidth="1"/>
    <col min="16" max="16" width="18.6640625" style="757" customWidth="1"/>
    <col min="17" max="17" width="9.33203125" style="496" bestFit="1" customWidth="1"/>
    <col min="18" max="18" width="13" style="496" bestFit="1" customWidth="1"/>
    <col min="19" max="16384" width="9.109375" style="496"/>
  </cols>
  <sheetData>
    <row r="1" spans="1:18">
      <c r="A1" s="2442" t="str">
        <f>+'MISO Cover'!C6</f>
        <v>Entergy Louisiana, LLC</v>
      </c>
      <c r="B1" s="2442"/>
      <c r="C1" s="2442"/>
      <c r="D1" s="2442"/>
      <c r="E1" s="2442"/>
      <c r="F1" s="2442"/>
      <c r="G1" s="2442"/>
      <c r="H1" s="2442"/>
      <c r="I1" s="2442"/>
      <c r="J1" s="2442"/>
      <c r="K1" s="2442"/>
      <c r="L1" s="2442"/>
      <c r="M1" s="2442"/>
      <c r="N1" s="2442"/>
      <c r="O1" s="2442"/>
      <c r="P1" s="1426"/>
    </row>
    <row r="2" spans="1:18">
      <c r="A2" s="2369" t="s">
        <v>887</v>
      </c>
      <c r="B2" s="2369"/>
      <c r="C2" s="2369"/>
      <c r="D2" s="2369"/>
      <c r="E2" s="2369"/>
      <c r="F2" s="2369"/>
      <c r="G2" s="2369"/>
      <c r="H2" s="2369"/>
      <c r="I2" s="2369"/>
      <c r="J2" s="2369"/>
      <c r="K2" s="2369"/>
      <c r="L2" s="2369"/>
      <c r="M2" s="2369"/>
      <c r="N2" s="2369"/>
      <c r="O2" s="2369"/>
      <c r="P2" s="1427"/>
    </row>
    <row r="3" spans="1:18">
      <c r="A3" s="2370" t="str">
        <f>+'MISO Cover'!K4</f>
        <v>For  the 12 Months Ended 12/31/2017</v>
      </c>
      <c r="B3" s="2370"/>
      <c r="C3" s="2370"/>
      <c r="D3" s="2370"/>
      <c r="E3" s="2370"/>
      <c r="F3" s="2370"/>
      <c r="G3" s="2370"/>
      <c r="H3" s="2370"/>
      <c r="I3" s="2370"/>
      <c r="J3" s="2370"/>
      <c r="K3" s="2370"/>
      <c r="L3" s="2370"/>
      <c r="M3" s="2370"/>
      <c r="N3" s="2370"/>
      <c r="O3" s="2370"/>
      <c r="P3" s="889"/>
      <c r="Q3" s="170"/>
      <c r="R3" s="170"/>
    </row>
    <row r="4" spans="1:18">
      <c r="B4" s="1595"/>
      <c r="C4" s="1595"/>
      <c r="D4" s="1595"/>
      <c r="E4" s="1595"/>
      <c r="F4" s="717"/>
      <c r="G4" s="717"/>
      <c r="H4" s="717"/>
      <c r="I4" s="717"/>
      <c r="J4" s="717"/>
      <c r="K4" s="717"/>
      <c r="L4" s="717"/>
      <c r="M4" s="717"/>
      <c r="N4" s="717"/>
      <c r="O4" s="717"/>
      <c r="P4" s="758"/>
      <c r="Q4" s="170"/>
      <c r="R4" s="170"/>
    </row>
    <row r="5" spans="1:18">
      <c r="A5" s="759" t="s">
        <v>280</v>
      </c>
      <c r="B5" s="1595" t="s">
        <v>67</v>
      </c>
      <c r="C5" s="1595" t="s">
        <v>114</v>
      </c>
      <c r="D5" s="1595" t="s">
        <v>55</v>
      </c>
      <c r="E5" s="1595" t="s">
        <v>68</v>
      </c>
      <c r="F5" s="1111" t="s">
        <v>66</v>
      </c>
      <c r="G5" s="1111" t="s">
        <v>154</v>
      </c>
      <c r="H5" s="1111" t="s">
        <v>69</v>
      </c>
      <c r="I5" s="1111" t="s">
        <v>166</v>
      </c>
      <c r="J5" s="1111" t="s">
        <v>445</v>
      </c>
      <c r="K5" s="1111" t="s">
        <v>446</v>
      </c>
      <c r="L5" s="1111" t="s">
        <v>447</v>
      </c>
      <c r="M5" s="1111" t="s">
        <v>448</v>
      </c>
      <c r="N5" s="1111" t="s">
        <v>449</v>
      </c>
      <c r="O5" s="1111" t="s">
        <v>450</v>
      </c>
      <c r="P5" s="170"/>
      <c r="Q5" s="170"/>
    </row>
    <row r="6" spans="1:18">
      <c r="A6" s="915"/>
      <c r="P6" s="170"/>
      <c r="Q6" s="170"/>
    </row>
    <row r="7" spans="1:18" ht="13.2" customHeight="1">
      <c r="A7" s="915">
        <v>1</v>
      </c>
      <c r="B7" s="40" t="s">
        <v>25</v>
      </c>
      <c r="C7" s="1779">
        <v>2017</v>
      </c>
      <c r="D7" s="40"/>
      <c r="E7" s="40"/>
      <c r="F7" s="40"/>
      <c r="G7" s="40"/>
      <c r="H7" s="40"/>
      <c r="I7" s="40"/>
      <c r="J7" s="40"/>
      <c r="K7" s="40"/>
      <c r="L7" s="40"/>
      <c r="M7" s="40"/>
      <c r="N7" s="40"/>
      <c r="O7" s="40"/>
      <c r="P7" s="170"/>
    </row>
    <row r="8" spans="1:18" ht="13.2" customHeight="1">
      <c r="A8" s="915">
        <f>+A7+1</f>
        <v>2</v>
      </c>
      <c r="B8" s="40" t="s">
        <v>438</v>
      </c>
      <c r="C8" s="1309" t="s">
        <v>966</v>
      </c>
      <c r="D8" s="39"/>
      <c r="E8" s="39"/>
      <c r="F8" s="39"/>
      <c r="G8" s="39"/>
      <c r="H8" s="39"/>
      <c r="I8" s="39"/>
      <c r="J8" s="39"/>
      <c r="K8" s="39"/>
      <c r="L8" s="39"/>
      <c r="M8" s="39"/>
      <c r="N8" s="39"/>
      <c r="O8" s="39"/>
      <c r="P8" s="170"/>
    </row>
    <row r="9" spans="1:18">
      <c r="A9" s="915">
        <f t="shared" ref="A9:A58" si="0">+A8+1</f>
        <v>3</v>
      </c>
      <c r="B9" s="40"/>
      <c r="C9" s="2440"/>
      <c r="D9" s="2440"/>
      <c r="E9" s="2440"/>
      <c r="F9" s="2441"/>
      <c r="G9" s="2441"/>
      <c r="H9" s="2441"/>
      <c r="I9" s="2441"/>
      <c r="J9" s="2441"/>
      <c r="K9" s="2441"/>
      <c r="L9" s="2441"/>
      <c r="M9" s="2441"/>
      <c r="N9" s="2441"/>
      <c r="O9" s="40"/>
      <c r="P9" s="170"/>
    </row>
    <row r="10" spans="1:18">
      <c r="A10" s="915">
        <f t="shared" si="0"/>
        <v>4</v>
      </c>
      <c r="B10" s="73"/>
      <c r="C10" s="1727" t="s">
        <v>27</v>
      </c>
      <c r="D10" s="1727" t="s">
        <v>28</v>
      </c>
      <c r="E10" s="1727" t="s">
        <v>29</v>
      </c>
      <c r="F10" s="1117" t="s">
        <v>30</v>
      </c>
      <c r="G10" s="1117" t="s">
        <v>26</v>
      </c>
      <c r="H10" s="1117" t="s">
        <v>31</v>
      </c>
      <c r="I10" s="1117" t="s">
        <v>32</v>
      </c>
      <c r="J10" s="1117" t="s">
        <v>33</v>
      </c>
      <c r="K10" s="1117" t="s">
        <v>34</v>
      </c>
      <c r="L10" s="1117" t="s">
        <v>35</v>
      </c>
      <c r="M10" s="1117" t="s">
        <v>36</v>
      </c>
      <c r="N10" s="1117" t="s">
        <v>37</v>
      </c>
      <c r="O10" s="1117" t="s">
        <v>439</v>
      </c>
      <c r="P10" s="496"/>
    </row>
    <row r="11" spans="1:18">
      <c r="A11" s="915">
        <f t="shared" si="0"/>
        <v>5</v>
      </c>
      <c r="B11" s="73" t="s">
        <v>440</v>
      </c>
      <c r="C11" s="1780">
        <v>7</v>
      </c>
      <c r="D11" s="1780">
        <v>16</v>
      </c>
      <c r="E11" s="1780">
        <v>28</v>
      </c>
      <c r="F11" s="1780">
        <v>28</v>
      </c>
      <c r="G11" s="1780">
        <v>27</v>
      </c>
      <c r="H11" s="1780">
        <v>19</v>
      </c>
      <c r="I11" s="1780">
        <v>27</v>
      </c>
      <c r="J11" s="1780">
        <v>18</v>
      </c>
      <c r="K11" s="1780">
        <v>18</v>
      </c>
      <c r="L11" s="1780">
        <v>13</v>
      </c>
      <c r="M11" s="1780">
        <v>3</v>
      </c>
      <c r="N11" s="1780">
        <v>8</v>
      </c>
      <c r="O11" s="531"/>
      <c r="P11" s="496"/>
    </row>
    <row r="12" spans="1:18">
      <c r="A12" s="915">
        <f t="shared" si="0"/>
        <v>6</v>
      </c>
      <c r="B12" s="73" t="s">
        <v>441</v>
      </c>
      <c r="C12" s="1780">
        <v>1000</v>
      </c>
      <c r="D12" s="1780">
        <v>800</v>
      </c>
      <c r="E12" s="1780">
        <v>1700</v>
      </c>
      <c r="F12" s="1780">
        <v>1600</v>
      </c>
      <c r="G12" s="1780">
        <v>1700</v>
      </c>
      <c r="H12" s="1780">
        <v>1700</v>
      </c>
      <c r="I12" s="1780">
        <v>1700</v>
      </c>
      <c r="J12" s="1780">
        <v>1700</v>
      </c>
      <c r="K12" s="1780">
        <v>1700</v>
      </c>
      <c r="L12" s="1780">
        <v>1700</v>
      </c>
      <c r="M12" s="1780">
        <v>1600</v>
      </c>
      <c r="N12" s="1780">
        <v>2000</v>
      </c>
      <c r="O12" s="531"/>
      <c r="P12" s="496"/>
    </row>
    <row r="13" spans="1:18">
      <c r="A13" s="915">
        <f t="shared" si="0"/>
        <v>7</v>
      </c>
      <c r="B13" s="73"/>
      <c r="C13" s="531"/>
      <c r="D13" s="531"/>
      <c r="E13" s="531"/>
      <c r="F13" s="531"/>
      <c r="G13" s="531"/>
      <c r="H13" s="531"/>
      <c r="I13" s="531"/>
      <c r="J13" s="531"/>
      <c r="K13" s="531"/>
      <c r="L13" s="531"/>
      <c r="M13" s="531"/>
      <c r="N13" s="531"/>
      <c r="O13" s="531"/>
      <c r="P13" s="496"/>
    </row>
    <row r="14" spans="1:18">
      <c r="A14" s="915">
        <f t="shared" si="0"/>
        <v>8</v>
      </c>
      <c r="B14" s="73" t="s">
        <v>442</v>
      </c>
      <c r="C14" s="531"/>
      <c r="D14" s="531"/>
      <c r="E14" s="531"/>
      <c r="F14" s="531"/>
      <c r="G14" s="531"/>
      <c r="H14" s="531"/>
      <c r="I14" s="531"/>
      <c r="J14" s="531"/>
      <c r="K14" s="531"/>
      <c r="L14" s="531"/>
      <c r="M14" s="531"/>
      <c r="N14" s="531"/>
      <c r="O14" s="531"/>
      <c r="P14" s="170"/>
    </row>
    <row r="15" spans="1:18">
      <c r="A15" s="969">
        <f>+A14+0.01</f>
        <v>8.01</v>
      </c>
      <c r="B15" s="531" t="s">
        <v>1313</v>
      </c>
      <c r="C15" s="1781">
        <v>5.1040000000000001</v>
      </c>
      <c r="D15" s="1781">
        <v>3.0630000000000002</v>
      </c>
      <c r="E15" s="1781">
        <v>2.0419999999999998</v>
      </c>
      <c r="F15" s="1781">
        <v>2.0419999999999998</v>
      </c>
      <c r="G15" s="1781">
        <v>3.0630000000000002</v>
      </c>
      <c r="H15" s="1781">
        <v>2.0419999999999998</v>
      </c>
      <c r="I15" s="1781">
        <v>3.0630000000000002</v>
      </c>
      <c r="J15" s="1781">
        <v>3.0630000000000002</v>
      </c>
      <c r="K15" s="1781">
        <v>3.0630000000000002</v>
      </c>
      <c r="L15" s="1781">
        <v>2.0419999999999998</v>
      </c>
      <c r="M15" s="1781">
        <v>2.0419999999999998</v>
      </c>
      <c r="N15" s="1781">
        <v>3.0630000000000002</v>
      </c>
      <c r="O15" s="923">
        <f>+SUM(C15:N15)/12</f>
        <v>2.8076666666666665</v>
      </c>
      <c r="P15" s="170"/>
    </row>
    <row r="16" spans="1:18">
      <c r="A16" s="969">
        <f t="shared" ref="A16:A34" si="1">+A15+0.01</f>
        <v>8.02</v>
      </c>
      <c r="B16" s="531" t="s">
        <v>1314</v>
      </c>
      <c r="C16" s="1781">
        <v>20.416</v>
      </c>
      <c r="D16" s="1781">
        <v>15.311999999999999</v>
      </c>
      <c r="E16" s="1781">
        <v>20.416</v>
      </c>
      <c r="F16" s="1781">
        <v>21.437000000000001</v>
      </c>
      <c r="G16" s="1781">
        <v>24.498999999999999</v>
      </c>
      <c r="H16" s="1781">
        <v>28.582000000000001</v>
      </c>
      <c r="I16" s="1781">
        <v>35.728000000000002</v>
      </c>
      <c r="J16" s="1781">
        <v>33.686</v>
      </c>
      <c r="K16" s="1781">
        <v>30.623999999999999</v>
      </c>
      <c r="L16" s="1781">
        <v>27.562000000000001</v>
      </c>
      <c r="M16" s="1781">
        <v>22.457999999999998</v>
      </c>
      <c r="N16" s="1781">
        <v>18.373999999999999</v>
      </c>
      <c r="O16" s="923">
        <f t="shared" ref="O16:O36" si="2">+SUM(C16:N16)/12</f>
        <v>24.924500000000005</v>
      </c>
      <c r="P16" s="170"/>
    </row>
    <row r="17" spans="1:16">
      <c r="A17" s="969">
        <f t="shared" si="1"/>
        <v>8.0299999999999994</v>
      </c>
      <c r="B17" s="531" t="s">
        <v>1315</v>
      </c>
      <c r="C17" s="1781">
        <v>491.97500000000002</v>
      </c>
      <c r="D17" s="1781">
        <v>322.74799999999999</v>
      </c>
      <c r="E17" s="1781">
        <v>378.226</v>
      </c>
      <c r="F17" s="1781">
        <v>373.96499999999997</v>
      </c>
      <c r="G17" s="1781">
        <v>456.274</v>
      </c>
      <c r="H17" s="1781">
        <v>494.43700000000001</v>
      </c>
      <c r="I17" s="1781">
        <v>529.10799999999995</v>
      </c>
      <c r="J17" s="1781">
        <v>544.16999999999996</v>
      </c>
      <c r="K17" s="1781">
        <v>487.01400000000001</v>
      </c>
      <c r="L17" s="1781">
        <v>435.99700000000001</v>
      </c>
      <c r="M17" s="1781">
        <v>342.76299999999998</v>
      </c>
      <c r="N17" s="1781">
        <v>465.46800000000002</v>
      </c>
      <c r="O17" s="923">
        <f t="shared" si="2"/>
        <v>443.51208333333335</v>
      </c>
      <c r="P17" s="170"/>
    </row>
    <row r="18" spans="1:16">
      <c r="A18" s="969">
        <f t="shared" si="1"/>
        <v>8.0399999999999991</v>
      </c>
      <c r="B18" s="531" t="s">
        <v>1316</v>
      </c>
      <c r="C18" s="1781">
        <f>+IFERROR(INDEX(#REF!,MATCH($P18,#REF!,0)),0)</f>
        <v>0</v>
      </c>
      <c r="D18" s="1781">
        <f>+IFERROR(INDEX(#REF!,MATCH($P18,#REF!,0)),0)</f>
        <v>0</v>
      </c>
      <c r="E18" s="1781">
        <f>+IFERROR(INDEX(#REF!,MATCH($P18,#REF!,0)),0)</f>
        <v>0</v>
      </c>
      <c r="F18" s="1781">
        <f>+IFERROR(INDEX(#REF!,MATCH($P18,#REF!,0)),0)</f>
        <v>0</v>
      </c>
      <c r="G18" s="1781">
        <f>+IFERROR(INDEX(#REF!,MATCH($P18,#REF!,0)),0)</f>
        <v>0</v>
      </c>
      <c r="H18" s="1781">
        <f>+IFERROR(INDEX(#REF!,MATCH($P18,#REF!,0)),0)</f>
        <v>0</v>
      </c>
      <c r="I18" s="1781">
        <f>+IFERROR(INDEX(#REF!,MATCH($P18,#REF!,0)),0)</f>
        <v>0</v>
      </c>
      <c r="J18" s="1781">
        <f>+IFERROR(INDEX(#REF!,MATCH($P18,#REF!,0)),0)</f>
        <v>0</v>
      </c>
      <c r="K18" s="1781">
        <f>+IFERROR(INDEX(#REF!,MATCH($P18,#REF!,0)),0)</f>
        <v>0</v>
      </c>
      <c r="L18" s="1781">
        <f>+IFERROR(INDEX(#REF!,MATCH($P18,#REF!,0)),0)</f>
        <v>0</v>
      </c>
      <c r="M18" s="1781">
        <f>+IFERROR(INDEX(#REF!,MATCH($P18,#REF!,0)),0)</f>
        <v>0</v>
      </c>
      <c r="N18" s="1781">
        <f>+IFERROR(INDEX(#REF!,MATCH($P18,#REF!,0)),0)</f>
        <v>0</v>
      </c>
      <c r="O18" s="923">
        <f t="shared" si="2"/>
        <v>0</v>
      </c>
      <c r="P18" s="170"/>
    </row>
    <row r="19" spans="1:16">
      <c r="A19" s="969">
        <f t="shared" si="1"/>
        <v>8.0499999999999989</v>
      </c>
      <c r="B19" s="531" t="s">
        <v>1317</v>
      </c>
      <c r="C19" s="1781">
        <v>7.5350000000000001</v>
      </c>
      <c r="D19" s="1781">
        <v>4.9340000000000002</v>
      </c>
      <c r="E19" s="1781">
        <v>5.3789999999999996</v>
      </c>
      <c r="F19" s="1781">
        <v>5.7610000000000001</v>
      </c>
      <c r="G19" s="1781">
        <v>6.7229999999999999</v>
      </c>
      <c r="H19" s="1781">
        <v>7.3559999999999999</v>
      </c>
      <c r="I19" s="1781">
        <v>8.1620000000000008</v>
      </c>
      <c r="J19" s="1781">
        <v>8.6479999999999997</v>
      </c>
      <c r="K19" s="1781">
        <v>7.1289999999999996</v>
      </c>
      <c r="L19" s="1781">
        <v>7.27</v>
      </c>
      <c r="M19" s="1781">
        <v>5.9589999999999996</v>
      </c>
      <c r="N19" s="1781">
        <v>6.4669999999999996</v>
      </c>
      <c r="O19" s="923">
        <f t="shared" si="2"/>
        <v>6.7769166666666658</v>
      </c>
      <c r="P19" s="170"/>
    </row>
    <row r="20" spans="1:16">
      <c r="A20" s="969">
        <f t="shared" si="1"/>
        <v>8.0599999999999987</v>
      </c>
      <c r="B20" s="531" t="s">
        <v>1318</v>
      </c>
      <c r="C20" s="1781">
        <v>1471.471</v>
      </c>
      <c r="D20" s="1781">
        <v>936.31600000000003</v>
      </c>
      <c r="E20" s="1781">
        <v>806.96500000000003</v>
      </c>
      <c r="F20" s="1781">
        <v>851.779</v>
      </c>
      <c r="G20" s="1781">
        <v>998.16700000000003</v>
      </c>
      <c r="H20" s="1781">
        <v>1085.0139999999999</v>
      </c>
      <c r="I20" s="1781">
        <v>1173.826</v>
      </c>
      <c r="J20" s="1781">
        <v>1189.835</v>
      </c>
      <c r="K20" s="1781">
        <v>1059.7339999999999</v>
      </c>
      <c r="L20" s="1781">
        <v>1025.777</v>
      </c>
      <c r="M20" s="1781">
        <v>802.17200000000003</v>
      </c>
      <c r="N20" s="1781">
        <v>1177.615</v>
      </c>
      <c r="O20" s="923">
        <f t="shared" si="2"/>
        <v>1048.2225833333334</v>
      </c>
      <c r="P20" s="170"/>
    </row>
    <row r="21" spans="1:16">
      <c r="A21" s="969">
        <f t="shared" si="1"/>
        <v>8.0699999999999985</v>
      </c>
      <c r="B21" s="531" t="s">
        <v>1319</v>
      </c>
      <c r="C21" s="1781">
        <v>557.35400000000004</v>
      </c>
      <c r="D21" s="1781">
        <v>356.25599999999997</v>
      </c>
      <c r="E21" s="1781">
        <v>330.738</v>
      </c>
      <c r="F21" s="1781">
        <v>361.36099999999999</v>
      </c>
      <c r="G21" s="1781">
        <v>428.73399999999998</v>
      </c>
      <c r="H21" s="1781">
        <v>455.279</v>
      </c>
      <c r="I21" s="1781">
        <v>504.27699999999999</v>
      </c>
      <c r="J21" s="1781">
        <v>503.255</v>
      </c>
      <c r="K21" s="1781">
        <v>458.34</v>
      </c>
      <c r="L21" s="1781">
        <v>413.42599999999999</v>
      </c>
      <c r="M21" s="1781">
        <v>313.38600000000002</v>
      </c>
      <c r="N21" s="1781">
        <v>462.42399999999998</v>
      </c>
      <c r="O21" s="923">
        <f t="shared" si="2"/>
        <v>428.7358333333334</v>
      </c>
      <c r="P21" s="170"/>
    </row>
    <row r="22" spans="1:16">
      <c r="A22" s="969">
        <f t="shared" si="1"/>
        <v>8.0799999999999983</v>
      </c>
      <c r="B22" s="531" t="s">
        <v>1320</v>
      </c>
      <c r="C22" s="1781">
        <v>141.88900000000001</v>
      </c>
      <c r="D22" s="1781">
        <v>91.870999999999995</v>
      </c>
      <c r="E22" s="1781">
        <v>65.33</v>
      </c>
      <c r="F22" s="1781">
        <v>101.059</v>
      </c>
      <c r="G22" s="1781">
        <v>139.84899999999999</v>
      </c>
      <c r="H22" s="1781">
        <v>153.12</v>
      </c>
      <c r="I22" s="1781">
        <v>137.80799999999999</v>
      </c>
      <c r="J22" s="1781">
        <v>153.119</v>
      </c>
      <c r="K22" s="1781">
        <v>136.78700000000001</v>
      </c>
      <c r="L22" s="1781">
        <v>130.66200000000001</v>
      </c>
      <c r="M22" s="1781">
        <v>108.205</v>
      </c>
      <c r="N22" s="1781">
        <v>125.55800000000001</v>
      </c>
      <c r="O22" s="923">
        <f t="shared" si="2"/>
        <v>123.77141666666667</v>
      </c>
      <c r="P22" s="170"/>
    </row>
    <row r="23" spans="1:16" ht="13.5" customHeight="1">
      <c r="A23" s="969">
        <f t="shared" si="1"/>
        <v>8.0899999999999981</v>
      </c>
      <c r="B23" s="531" t="s">
        <v>1321</v>
      </c>
      <c r="C23" s="1781">
        <v>39.837000000000003</v>
      </c>
      <c r="D23" s="1781">
        <v>29.832999999999998</v>
      </c>
      <c r="E23" s="1781">
        <v>49.34</v>
      </c>
      <c r="F23" s="1781">
        <v>46.052999999999997</v>
      </c>
      <c r="G23" s="1781">
        <v>46.304000000000002</v>
      </c>
      <c r="H23" s="1781">
        <v>55.593000000000004</v>
      </c>
      <c r="I23" s="1781">
        <v>65.311000000000007</v>
      </c>
      <c r="J23" s="1781">
        <v>61.631</v>
      </c>
      <c r="K23" s="1781">
        <v>57.201000000000001</v>
      </c>
      <c r="L23" s="1781">
        <v>48.335000000000001</v>
      </c>
      <c r="M23" s="1781">
        <v>41.658999999999999</v>
      </c>
      <c r="N23" s="1781">
        <v>35.799999999999997</v>
      </c>
      <c r="O23" s="923">
        <f t="shared" si="2"/>
        <v>48.074749999999995</v>
      </c>
      <c r="P23" s="170"/>
    </row>
    <row r="24" spans="1:16">
      <c r="A24" s="969">
        <f t="shared" si="1"/>
        <v>8.0999999999999979</v>
      </c>
      <c r="B24" s="531" t="s">
        <v>1322</v>
      </c>
      <c r="C24" s="1781">
        <v>25.52</v>
      </c>
      <c r="D24" s="1781">
        <v>17.353999999999999</v>
      </c>
      <c r="E24" s="1781">
        <v>19.395</v>
      </c>
      <c r="F24" s="1781">
        <v>21.437000000000001</v>
      </c>
      <c r="G24" s="1781">
        <v>23.478000000000002</v>
      </c>
      <c r="H24" s="1781">
        <v>26.541</v>
      </c>
      <c r="I24" s="1781">
        <v>28.582999999999998</v>
      </c>
      <c r="J24" s="1781">
        <v>29.603999999999999</v>
      </c>
      <c r="K24" s="1781">
        <v>26.541</v>
      </c>
      <c r="L24" s="1781">
        <v>24.498999999999999</v>
      </c>
      <c r="M24" s="1781">
        <v>21.437000000000001</v>
      </c>
      <c r="N24" s="1781">
        <v>22.457000000000001</v>
      </c>
      <c r="O24" s="923">
        <f t="shared" si="2"/>
        <v>23.903833333333328</v>
      </c>
      <c r="P24" s="170"/>
    </row>
    <row r="25" spans="1:16">
      <c r="A25" s="969">
        <f t="shared" si="1"/>
        <v>8.1099999999999977</v>
      </c>
      <c r="B25" s="531" t="s">
        <v>1323</v>
      </c>
      <c r="C25" s="1781">
        <v>19.396000000000001</v>
      </c>
      <c r="D25" s="1781">
        <v>12.249000000000001</v>
      </c>
      <c r="E25" s="1781">
        <v>14.291</v>
      </c>
      <c r="F25" s="1781">
        <v>15.311999999999999</v>
      </c>
      <c r="G25" s="1781">
        <v>16.332999999999998</v>
      </c>
      <c r="H25" s="1781">
        <v>18.375</v>
      </c>
      <c r="I25" s="1781">
        <v>20.416</v>
      </c>
      <c r="J25" s="1781">
        <v>20.416</v>
      </c>
      <c r="K25" s="1781">
        <v>19.396000000000001</v>
      </c>
      <c r="L25" s="1781">
        <v>18.375</v>
      </c>
      <c r="M25" s="1781">
        <v>14.291</v>
      </c>
      <c r="N25" s="1781">
        <v>16.332999999999998</v>
      </c>
      <c r="O25" s="923">
        <f t="shared" si="2"/>
        <v>17.098583333333334</v>
      </c>
      <c r="P25" s="170"/>
    </row>
    <row r="26" spans="1:16">
      <c r="A26" s="969">
        <f t="shared" si="1"/>
        <v>8.1199999999999974</v>
      </c>
      <c r="B26" s="531" t="s">
        <v>1324</v>
      </c>
      <c r="C26" s="1781">
        <f>+IFERROR(INDEX(#REF!,MATCH($P26,#REF!,0)),0)</f>
        <v>0</v>
      </c>
      <c r="D26" s="1781">
        <f>+IFERROR(INDEX(#REF!,MATCH($P26,#REF!,0)),0)</f>
        <v>0</v>
      </c>
      <c r="E26" s="1781">
        <f>+IFERROR(INDEX(#REF!,MATCH($P26,#REF!,0)),0)</f>
        <v>0</v>
      </c>
      <c r="F26" s="1781">
        <f>+IFERROR(INDEX(#REF!,MATCH($P26,#REF!,0)),0)</f>
        <v>0</v>
      </c>
      <c r="G26" s="1781">
        <f>+IFERROR(INDEX(#REF!,MATCH($P26,#REF!,0)),0)</f>
        <v>0</v>
      </c>
      <c r="H26" s="1781">
        <f>+IFERROR(INDEX(#REF!,MATCH($P26,#REF!,0)),0)</f>
        <v>0</v>
      </c>
      <c r="I26" s="1781">
        <f>+IFERROR(INDEX(#REF!,MATCH($P26,#REF!,0)),0)</f>
        <v>0</v>
      </c>
      <c r="J26" s="1781">
        <f>+IFERROR(INDEX(#REF!,MATCH($P26,#REF!,0)),0)</f>
        <v>0</v>
      </c>
      <c r="K26" s="1781">
        <f>+IFERROR(INDEX(#REF!,MATCH($P26,#REF!,0)),0)</f>
        <v>0</v>
      </c>
      <c r="L26" s="1781">
        <f>+IFERROR(INDEX(#REF!,MATCH($P26,#REF!,0)),0)</f>
        <v>0</v>
      </c>
      <c r="M26" s="1781">
        <f>+IFERROR(INDEX(#REF!,MATCH($P26,#REF!,0)),0)</f>
        <v>0</v>
      </c>
      <c r="N26" s="1781">
        <f>+IFERROR(INDEX(#REF!,MATCH($P26,#REF!,0)),0)</f>
        <v>0</v>
      </c>
      <c r="O26" s="923">
        <f t="shared" si="2"/>
        <v>0</v>
      </c>
      <c r="P26" s="170"/>
    </row>
    <row r="27" spans="1:16">
      <c r="A27" s="969">
        <f t="shared" si="1"/>
        <v>8.1299999999999972</v>
      </c>
      <c r="B27" s="531" t="s">
        <v>1325</v>
      </c>
      <c r="C27" s="1781">
        <f>+IFERROR(INDEX(#REF!,MATCH($P27,#REF!,0)),0)</f>
        <v>0</v>
      </c>
      <c r="D27" s="1781">
        <f>+IFERROR(INDEX(#REF!,MATCH($P27,#REF!,0)),0)</f>
        <v>0</v>
      </c>
      <c r="E27" s="1781">
        <f>+IFERROR(INDEX(#REF!,MATCH($P27,#REF!,0)),0)</f>
        <v>0</v>
      </c>
      <c r="F27" s="1781">
        <f>+IFERROR(INDEX(#REF!,MATCH($P27,#REF!,0)),0)</f>
        <v>0</v>
      </c>
      <c r="G27" s="1781">
        <f>+IFERROR(INDEX(#REF!,MATCH($P27,#REF!,0)),0)</f>
        <v>0</v>
      </c>
      <c r="H27" s="1781">
        <f>+IFERROR(INDEX(#REF!,MATCH($P27,#REF!,0)),0)</f>
        <v>0</v>
      </c>
      <c r="I27" s="1781">
        <f>+IFERROR(INDEX(#REF!,MATCH($P27,#REF!,0)),0)</f>
        <v>0</v>
      </c>
      <c r="J27" s="1781">
        <f>+IFERROR(INDEX(#REF!,MATCH($P27,#REF!,0)),0)</f>
        <v>0</v>
      </c>
      <c r="K27" s="1781">
        <f>+IFERROR(INDEX(#REF!,MATCH($P27,#REF!,0)),0)</f>
        <v>0</v>
      </c>
      <c r="L27" s="1781">
        <f>+IFERROR(INDEX(#REF!,MATCH($P27,#REF!,0)),0)</f>
        <v>0</v>
      </c>
      <c r="M27" s="1781">
        <f>+IFERROR(INDEX(#REF!,MATCH($P27,#REF!,0)),0)</f>
        <v>0</v>
      </c>
      <c r="N27" s="1781">
        <f>+IFERROR(INDEX(#REF!,MATCH($P27,#REF!,0)),0)</f>
        <v>0</v>
      </c>
      <c r="O27" s="923">
        <f t="shared" si="2"/>
        <v>0</v>
      </c>
      <c r="P27" s="170"/>
    </row>
    <row r="28" spans="1:16">
      <c r="A28" s="969">
        <f t="shared" si="1"/>
        <v>8.139999999999997</v>
      </c>
      <c r="B28" s="531" t="s">
        <v>1326</v>
      </c>
      <c r="C28" s="1781">
        <f>+IFERROR(INDEX(#REF!,MATCH($P28,#REF!,0)),0)</f>
        <v>0</v>
      </c>
      <c r="D28" s="1781">
        <f>+IFERROR(INDEX(#REF!,MATCH($P28,#REF!,0)),0)</f>
        <v>0</v>
      </c>
      <c r="E28" s="1781">
        <f>+IFERROR(INDEX(#REF!,MATCH($P28,#REF!,0)),0)</f>
        <v>0</v>
      </c>
      <c r="F28" s="1781">
        <f>+IFERROR(INDEX(#REF!,MATCH($P28,#REF!,0)),0)</f>
        <v>0</v>
      </c>
      <c r="G28" s="1781">
        <f>+IFERROR(INDEX(#REF!,MATCH($P28,#REF!,0)),0)</f>
        <v>0</v>
      </c>
      <c r="H28" s="1781">
        <f>+IFERROR(INDEX(#REF!,MATCH($P28,#REF!,0)),0)</f>
        <v>0</v>
      </c>
      <c r="I28" s="1781">
        <f>+IFERROR(INDEX(#REF!,MATCH($P28,#REF!,0)),0)</f>
        <v>0</v>
      </c>
      <c r="J28" s="1781">
        <f>+IFERROR(INDEX(#REF!,MATCH($P28,#REF!,0)),0)</f>
        <v>0</v>
      </c>
      <c r="K28" s="1781">
        <f>+IFERROR(INDEX(#REF!,MATCH($P28,#REF!,0)),0)</f>
        <v>0</v>
      </c>
      <c r="L28" s="1781">
        <f>+IFERROR(INDEX(#REF!,MATCH($P28,#REF!,0)),0)</f>
        <v>0</v>
      </c>
      <c r="M28" s="1781">
        <f>+IFERROR(INDEX(#REF!,MATCH($P28,#REF!,0)),0)</f>
        <v>0</v>
      </c>
      <c r="N28" s="1781">
        <f>+IFERROR(INDEX(#REF!,MATCH($P28,#REF!,0)),0)</f>
        <v>0</v>
      </c>
      <c r="O28" s="923">
        <f t="shared" si="2"/>
        <v>0</v>
      </c>
      <c r="P28" s="170"/>
    </row>
    <row r="29" spans="1:16" s="1341" customFormat="1" ht="13.5" customHeight="1">
      <c r="A29" s="1782">
        <f t="shared" si="1"/>
        <v>8.1499999999999968</v>
      </c>
      <c r="B29" s="1780" t="s">
        <v>2165</v>
      </c>
      <c r="C29" s="1781">
        <v>48.999000000000002</v>
      </c>
      <c r="D29" s="1781">
        <v>31.645</v>
      </c>
      <c r="E29" s="1781">
        <v>30.623999999999999</v>
      </c>
      <c r="F29" s="1781">
        <v>31.646000000000001</v>
      </c>
      <c r="G29" s="1781">
        <v>32.664999999999999</v>
      </c>
      <c r="H29" s="1781">
        <v>35.726999999999997</v>
      </c>
      <c r="I29" s="1781">
        <v>42.872999999999998</v>
      </c>
      <c r="J29" s="1781">
        <v>43.893999999999998</v>
      </c>
      <c r="K29" s="1781">
        <v>39.811</v>
      </c>
      <c r="L29" s="1781">
        <v>36.747999999999998</v>
      </c>
      <c r="M29" s="1781">
        <v>30.625</v>
      </c>
      <c r="N29" s="1781">
        <v>39.811</v>
      </c>
      <c r="O29" s="923">
        <f t="shared" ref="O29" si="3">+SUM(C29:N29)/12</f>
        <v>37.088999999999992</v>
      </c>
      <c r="P29" s="170"/>
    </row>
    <row r="30" spans="1:16" s="1341" customFormat="1" ht="13.5" customHeight="1">
      <c r="A30" s="1782">
        <f t="shared" si="1"/>
        <v>8.1599999999999966</v>
      </c>
      <c r="B30" s="1780" t="s">
        <v>2164</v>
      </c>
      <c r="C30" s="1781">
        <v>3.0619999999999998</v>
      </c>
      <c r="D30" s="1781">
        <v>2.0419999999999998</v>
      </c>
      <c r="E30" s="1781">
        <v>2.0419999999999998</v>
      </c>
      <c r="F30" s="1781">
        <v>2.0419999999999998</v>
      </c>
      <c r="G30" s="1781">
        <v>3.0619999999999998</v>
      </c>
      <c r="H30" s="1781">
        <v>3.0619999999999998</v>
      </c>
      <c r="I30" s="1781">
        <v>3.0619999999999998</v>
      </c>
      <c r="J30" s="1781">
        <v>3.0619999999999998</v>
      </c>
      <c r="K30" s="1781">
        <v>3.0619999999999998</v>
      </c>
      <c r="L30" s="1781">
        <v>3.0619999999999998</v>
      </c>
      <c r="M30" s="1781">
        <v>3.0619999999999998</v>
      </c>
      <c r="N30" s="1781">
        <v>3.0619999999999998</v>
      </c>
      <c r="O30" s="923">
        <f t="shared" ref="O30" si="4">+SUM(C30:N30)/12</f>
        <v>2.8070000000000004</v>
      </c>
      <c r="P30" s="170"/>
    </row>
    <row r="31" spans="1:16" s="1341" customFormat="1" ht="13.5" customHeight="1">
      <c r="A31" s="1782">
        <f t="shared" si="1"/>
        <v>8.1699999999999964</v>
      </c>
      <c r="B31" s="1780" t="s">
        <v>2166</v>
      </c>
      <c r="C31" s="1781">
        <v>4.0830000000000002</v>
      </c>
      <c r="D31" s="1781">
        <v>2.0419999999999998</v>
      </c>
      <c r="E31" s="1781">
        <v>2.0419999999999998</v>
      </c>
      <c r="F31" s="1781">
        <v>3.0619999999999998</v>
      </c>
      <c r="G31" s="1781">
        <v>3.0619999999999998</v>
      </c>
      <c r="H31" s="1781">
        <v>4.0830000000000002</v>
      </c>
      <c r="I31" s="1781">
        <v>4.0830000000000002</v>
      </c>
      <c r="J31" s="1781">
        <v>4.0830000000000002</v>
      </c>
      <c r="K31" s="1781">
        <v>4.0830000000000002</v>
      </c>
      <c r="L31" s="1781">
        <v>4.0830000000000002</v>
      </c>
      <c r="M31" s="1781">
        <v>3.0619999999999998</v>
      </c>
      <c r="N31" s="1781">
        <v>3.0619999999999998</v>
      </c>
      <c r="O31" s="923">
        <f t="shared" ref="O31" si="5">+SUM(C31:N31)/12</f>
        <v>3.4024999999999994</v>
      </c>
      <c r="P31" s="170"/>
    </row>
    <row r="32" spans="1:16" s="1341" customFormat="1" ht="13.5" customHeight="1">
      <c r="A32" s="1782">
        <f t="shared" si="1"/>
        <v>8.1799999999999962</v>
      </c>
      <c r="B32" s="1780" t="s">
        <v>2167</v>
      </c>
      <c r="C32" s="1781">
        <v>9.3379999999999992</v>
      </c>
      <c r="D32" s="1781">
        <v>6.141</v>
      </c>
      <c r="E32" s="1781">
        <v>7.6349999999999998</v>
      </c>
      <c r="F32" s="1781">
        <v>8.4120000000000008</v>
      </c>
      <c r="G32" s="1781">
        <v>9.0649999999999995</v>
      </c>
      <c r="H32" s="1781">
        <v>9.843</v>
      </c>
      <c r="I32" s="1781">
        <v>11.061999999999999</v>
      </c>
      <c r="J32" s="1781">
        <v>11.084</v>
      </c>
      <c r="K32" s="1781">
        <v>10.452999999999999</v>
      </c>
      <c r="L32" s="1781">
        <v>8.98</v>
      </c>
      <c r="M32" s="1781">
        <v>7.1289999999999996</v>
      </c>
      <c r="N32" s="1781">
        <v>8.5809999999999995</v>
      </c>
      <c r="O32" s="923">
        <f t="shared" ref="O32" si="6">+SUM(C32:N32)/12</f>
        <v>8.9769166666666678</v>
      </c>
      <c r="P32" s="170"/>
    </row>
    <row r="33" spans="1:21" s="1341" customFormat="1" ht="13.5" customHeight="1">
      <c r="A33" s="1782">
        <f t="shared" si="1"/>
        <v>8.1899999999999959</v>
      </c>
      <c r="B33" s="1780" t="s">
        <v>2168</v>
      </c>
      <c r="C33" s="1781">
        <v>31.85</v>
      </c>
      <c r="D33" s="1781">
        <v>26.062999999999999</v>
      </c>
      <c r="E33" s="1781">
        <v>31.135999999999999</v>
      </c>
      <c r="F33" s="1781">
        <v>36.488999999999997</v>
      </c>
      <c r="G33" s="1781">
        <v>40.402000000000001</v>
      </c>
      <c r="H33" s="1781">
        <v>42.008000000000003</v>
      </c>
      <c r="I33" s="1781">
        <v>44.052999999999997</v>
      </c>
      <c r="J33" s="1781">
        <v>45.198999999999998</v>
      </c>
      <c r="K33" s="1781">
        <v>41.207000000000001</v>
      </c>
      <c r="L33" s="1781">
        <v>40.124000000000002</v>
      </c>
      <c r="M33" s="1781">
        <v>32.56</v>
      </c>
      <c r="N33" s="1781">
        <v>16.053999999999998</v>
      </c>
      <c r="O33" s="923">
        <f t="shared" ref="O33" si="7">+SUM(C33:N33)/12</f>
        <v>35.595416666666665</v>
      </c>
      <c r="P33" s="170"/>
    </row>
    <row r="34" spans="1:21" s="1341" customFormat="1" ht="13.5" customHeight="1">
      <c r="A34" s="1782">
        <f t="shared" si="1"/>
        <v>8.1999999999999957</v>
      </c>
      <c r="B34" s="1780" t="s">
        <v>934</v>
      </c>
      <c r="C34" s="1781">
        <f>+IFERROR(INDEX(#REF!,MATCH($P34,#REF!,0)),0)</f>
        <v>0</v>
      </c>
      <c r="D34" s="1781">
        <f>+IFERROR(INDEX(#REF!,MATCH($P34,#REF!,0)),0)</f>
        <v>0</v>
      </c>
      <c r="E34" s="1781">
        <f>+IFERROR(INDEX(#REF!,MATCH($P34,#REF!,0)),0)</f>
        <v>0</v>
      </c>
      <c r="F34" s="1781">
        <f>+IFERROR(INDEX(#REF!,MATCH($P34,#REF!,0)),0)</f>
        <v>0</v>
      </c>
      <c r="G34" s="1781">
        <f>+IFERROR(INDEX(#REF!,MATCH($P34,#REF!,0)),0)</f>
        <v>0</v>
      </c>
      <c r="H34" s="1781">
        <f>+IFERROR(INDEX(#REF!,MATCH($P34,#REF!,0)),0)</f>
        <v>0</v>
      </c>
      <c r="I34" s="1781">
        <f>+IFERROR(INDEX(#REF!,MATCH($P34,#REF!,0)),0)</f>
        <v>0</v>
      </c>
      <c r="J34" s="1781">
        <f>+IFERROR(INDEX(#REF!,MATCH($P34,#REF!,0)),0)</f>
        <v>0</v>
      </c>
      <c r="K34" s="1781">
        <f>+IFERROR(INDEX(#REF!,MATCH($P34,#REF!,0)),0)</f>
        <v>0</v>
      </c>
      <c r="L34" s="1781">
        <f>+IFERROR(INDEX(#REF!,MATCH($P34,#REF!,0)),0)</f>
        <v>0</v>
      </c>
      <c r="M34" s="1781">
        <f>+IFERROR(INDEX(#REF!,MATCH($P34,#REF!,0)),0)</f>
        <v>0</v>
      </c>
      <c r="N34" s="1781">
        <f>+IFERROR(INDEX(#REF!,MATCH($P34,#REF!,0)),0)</f>
        <v>0</v>
      </c>
      <c r="O34" s="923">
        <f t="shared" ref="O34" si="8">+SUM(C34:N34)/12</f>
        <v>0</v>
      </c>
      <c r="P34" s="170"/>
    </row>
    <row r="35" spans="1:21" s="1341" customFormat="1" ht="13.5" customHeight="1">
      <c r="A35" s="1782" t="s">
        <v>925</v>
      </c>
      <c r="B35" s="1780" t="s">
        <v>934</v>
      </c>
      <c r="C35" s="1781">
        <f>+IFERROR(INDEX(#REF!,MATCH($P35,#REF!,0)),0)</f>
        <v>0</v>
      </c>
      <c r="D35" s="1781">
        <f>+IFERROR(INDEX(#REF!,MATCH($P35,#REF!,0)),0)</f>
        <v>0</v>
      </c>
      <c r="E35" s="1781">
        <f>+IFERROR(INDEX(#REF!,MATCH($P35,#REF!,0)),0)</f>
        <v>0</v>
      </c>
      <c r="F35" s="1781">
        <f>+IFERROR(INDEX(#REF!,MATCH($P35,#REF!,0)),0)</f>
        <v>0</v>
      </c>
      <c r="G35" s="1781">
        <f>+IFERROR(INDEX(#REF!,MATCH($P35,#REF!,0)),0)</f>
        <v>0</v>
      </c>
      <c r="H35" s="1781">
        <f>+IFERROR(INDEX(#REF!,MATCH($P35,#REF!,0)),0)</f>
        <v>0</v>
      </c>
      <c r="I35" s="1781">
        <f>+IFERROR(INDEX(#REF!,MATCH($P35,#REF!,0)),0)</f>
        <v>0</v>
      </c>
      <c r="J35" s="1781">
        <f>+IFERROR(INDEX(#REF!,MATCH($P35,#REF!,0)),0)</f>
        <v>0</v>
      </c>
      <c r="K35" s="1781">
        <f>+IFERROR(INDEX(#REF!,MATCH($P35,#REF!,0)),0)</f>
        <v>0</v>
      </c>
      <c r="L35" s="1781">
        <f>+IFERROR(INDEX(#REF!,MATCH($P35,#REF!,0)),0)</f>
        <v>0</v>
      </c>
      <c r="M35" s="1781">
        <f>+IFERROR(INDEX(#REF!,MATCH($P35,#REF!,0)),0)</f>
        <v>0</v>
      </c>
      <c r="N35" s="1781">
        <f>+IFERROR(INDEX(#REF!,MATCH($P35,#REF!,0)),0)</f>
        <v>0</v>
      </c>
      <c r="O35" s="923">
        <f t="shared" si="2"/>
        <v>0</v>
      </c>
      <c r="P35" s="170"/>
    </row>
    <row r="36" spans="1:21" ht="13.8" thickBot="1">
      <c r="A36" s="1782" t="s">
        <v>931</v>
      </c>
      <c r="B36" s="1783" t="s">
        <v>934</v>
      </c>
      <c r="C36" s="1785">
        <f>+IFERROR(INDEX(#REF!,MATCH($P36,#REF!,0)),0)</f>
        <v>0</v>
      </c>
      <c r="D36" s="1785">
        <f>+IFERROR(INDEX(#REF!,MATCH($P36,#REF!,0)),0)</f>
        <v>0</v>
      </c>
      <c r="E36" s="1785">
        <f>+IFERROR(INDEX(#REF!,MATCH($P36,#REF!,0)),0)</f>
        <v>0</v>
      </c>
      <c r="F36" s="1785">
        <f>+IFERROR(INDEX(#REF!,MATCH($P36,#REF!,0)),0)</f>
        <v>0</v>
      </c>
      <c r="G36" s="1785">
        <f>+IFERROR(INDEX(#REF!,MATCH($P36,#REF!,0)),0)</f>
        <v>0</v>
      </c>
      <c r="H36" s="1785">
        <f>+IFERROR(INDEX(#REF!,MATCH($P36,#REF!,0)),0)</f>
        <v>0</v>
      </c>
      <c r="I36" s="1785">
        <f>+IFERROR(INDEX(#REF!,MATCH($P36,#REF!,0)),0)</f>
        <v>0</v>
      </c>
      <c r="J36" s="1785">
        <f>+IFERROR(INDEX(#REF!,MATCH($P36,#REF!,0)),0)</f>
        <v>0</v>
      </c>
      <c r="K36" s="1785">
        <f>+IFERROR(INDEX(#REF!,MATCH($P36,#REF!,0)),0)</f>
        <v>0</v>
      </c>
      <c r="L36" s="1785">
        <f>+IFERROR(INDEX(#REF!,MATCH($P36,#REF!,0)),0)</f>
        <v>0</v>
      </c>
      <c r="M36" s="1785">
        <f>+IFERROR(INDEX(#REF!,MATCH($P36,#REF!,0)),0)</f>
        <v>0</v>
      </c>
      <c r="N36" s="1785">
        <f>+IFERROR(INDEX(#REF!,MATCH($P36,#REF!,0)),0)</f>
        <v>0</v>
      </c>
      <c r="O36" s="1265">
        <f t="shared" si="2"/>
        <v>0</v>
      </c>
      <c r="P36" s="170"/>
    </row>
    <row r="37" spans="1:21" ht="13.8" thickTop="1">
      <c r="A37" s="915">
        <f>+A14+1</f>
        <v>9</v>
      </c>
      <c r="B37" s="761" t="str">
        <f>+"Total "&amp;B14&amp;"  "&amp;A62</f>
        <v>Total Network Customers  (1)</v>
      </c>
      <c r="C37" s="1119">
        <f t="shared" ref="C37:O37" si="9">SUM(C15:C36)</f>
        <v>2877.8290000000002</v>
      </c>
      <c r="D37" s="1119">
        <f t="shared" si="9"/>
        <v>1857.8690000000001</v>
      </c>
      <c r="E37" s="1119">
        <f t="shared" si="9"/>
        <v>1765.6009999999997</v>
      </c>
      <c r="F37" s="1119">
        <f t="shared" si="9"/>
        <v>1881.8569999999995</v>
      </c>
      <c r="G37" s="1119">
        <f t="shared" si="9"/>
        <v>2231.6800000000003</v>
      </c>
      <c r="H37" s="1119">
        <f t="shared" si="9"/>
        <v>2421.0619999999994</v>
      </c>
      <c r="I37" s="1119">
        <f t="shared" si="9"/>
        <v>2611.4150000000004</v>
      </c>
      <c r="J37" s="1119">
        <f t="shared" si="9"/>
        <v>2654.7489999999998</v>
      </c>
      <c r="K37" s="1119">
        <f t="shared" si="9"/>
        <v>2384.4450000000002</v>
      </c>
      <c r="L37" s="1119">
        <f t="shared" si="9"/>
        <v>2226.9419999999996</v>
      </c>
      <c r="M37" s="1119">
        <f t="shared" si="9"/>
        <v>1750.8099999999995</v>
      </c>
      <c r="N37" s="1119">
        <f t="shared" si="9"/>
        <v>2404.1290000000004</v>
      </c>
      <c r="O37" s="1119">
        <f t="shared" si="9"/>
        <v>2255.6989999999996</v>
      </c>
      <c r="P37" s="496"/>
    </row>
    <row r="38" spans="1:21">
      <c r="A38" s="915">
        <f t="shared" si="0"/>
        <v>10</v>
      </c>
      <c r="B38" s="760"/>
      <c r="C38" s="1119"/>
      <c r="D38" s="1119"/>
      <c r="E38" s="1119"/>
      <c r="F38" s="1119"/>
      <c r="G38" s="1119"/>
      <c r="H38" s="1119"/>
      <c r="I38" s="1119"/>
      <c r="J38" s="1119"/>
      <c r="K38" s="1119"/>
      <c r="L38" s="1119"/>
      <c r="M38" s="1119"/>
      <c r="N38" s="1119"/>
      <c r="O38" s="1119"/>
      <c r="P38" s="496"/>
    </row>
    <row r="39" spans="1:21">
      <c r="A39" s="915">
        <f t="shared" si="0"/>
        <v>11</v>
      </c>
      <c r="B39" s="1120" t="str">
        <f>+"Grandfathered Contracts "&amp;A63</f>
        <v>Grandfathered Contracts (2)</v>
      </c>
      <c r="C39" s="924"/>
      <c r="D39" s="923"/>
      <c r="E39" s="923"/>
      <c r="F39" s="923"/>
      <c r="G39" s="923"/>
      <c r="H39" s="923"/>
      <c r="I39" s="923"/>
      <c r="J39" s="923"/>
      <c r="K39" s="924"/>
      <c r="L39" s="923"/>
      <c r="M39" s="923"/>
      <c r="N39" s="923"/>
      <c r="O39" s="923"/>
      <c r="P39" s="170"/>
      <c r="R39" s="170"/>
      <c r="S39" s="170"/>
      <c r="T39" s="170"/>
      <c r="U39" s="170"/>
    </row>
    <row r="40" spans="1:21">
      <c r="A40" s="1782">
        <f>A39+0.01</f>
        <v>11.01</v>
      </c>
      <c r="B40" s="1780" t="s">
        <v>934</v>
      </c>
      <c r="C40" s="1781"/>
      <c r="D40" s="1784"/>
      <c r="E40" s="1784"/>
      <c r="F40" s="1784"/>
      <c r="G40" s="1784"/>
      <c r="H40" s="1784"/>
      <c r="I40" s="1784"/>
      <c r="J40" s="1784"/>
      <c r="K40" s="1781"/>
      <c r="L40" s="1784"/>
      <c r="M40" s="1784"/>
      <c r="N40" s="1784"/>
      <c r="O40" s="923">
        <f t="shared" ref="O40:O42" si="10">+SUM(C40:N40)/12</f>
        <v>0</v>
      </c>
      <c r="P40" s="170"/>
      <c r="R40" s="170"/>
      <c r="S40" s="170"/>
      <c r="T40" s="170"/>
      <c r="U40" s="170"/>
    </row>
    <row r="41" spans="1:21">
      <c r="A41" s="1782" t="s">
        <v>924</v>
      </c>
      <c r="B41" s="1780" t="s">
        <v>934</v>
      </c>
      <c r="C41" s="1781"/>
      <c r="D41" s="1784"/>
      <c r="E41" s="1784"/>
      <c r="F41" s="1784"/>
      <c r="G41" s="1784"/>
      <c r="H41" s="1784"/>
      <c r="I41" s="1784"/>
      <c r="J41" s="1784"/>
      <c r="K41" s="1781"/>
      <c r="L41" s="1784"/>
      <c r="M41" s="1784"/>
      <c r="N41" s="1784"/>
      <c r="O41" s="923">
        <f t="shared" si="10"/>
        <v>0</v>
      </c>
      <c r="P41" s="170"/>
      <c r="R41" s="170"/>
      <c r="S41" s="170"/>
      <c r="T41" s="170"/>
      <c r="U41" s="170"/>
    </row>
    <row r="42" spans="1:21" ht="13.8" thickBot="1">
      <c r="A42" s="1782" t="s">
        <v>932</v>
      </c>
      <c r="B42" s="1783" t="s">
        <v>934</v>
      </c>
      <c r="C42" s="1785"/>
      <c r="D42" s="1786"/>
      <c r="E42" s="1786"/>
      <c r="F42" s="1786"/>
      <c r="G42" s="1786"/>
      <c r="H42" s="1786"/>
      <c r="I42" s="1786"/>
      <c r="J42" s="1786"/>
      <c r="K42" s="1785"/>
      <c r="L42" s="1786"/>
      <c r="M42" s="1786"/>
      <c r="N42" s="1786"/>
      <c r="O42" s="1265">
        <f t="shared" si="10"/>
        <v>0</v>
      </c>
      <c r="P42" s="170"/>
      <c r="R42" s="170"/>
      <c r="S42" s="170"/>
      <c r="T42" s="170"/>
      <c r="U42" s="170"/>
    </row>
    <row r="43" spans="1:21" ht="13.8" thickTop="1">
      <c r="A43" s="915">
        <f>+A39+1</f>
        <v>12</v>
      </c>
      <c r="B43" s="761" t="str">
        <f>+"Total Grandfathered Contracts"&amp;"  "&amp;A64</f>
        <v>Total Grandfathered Contracts  (3)</v>
      </c>
      <c r="C43" s="1119">
        <f t="shared" ref="C43:O43" si="11">SUM(C40:C42)</f>
        <v>0</v>
      </c>
      <c r="D43" s="1119">
        <f t="shared" si="11"/>
        <v>0</v>
      </c>
      <c r="E43" s="1119">
        <f t="shared" si="11"/>
        <v>0</v>
      </c>
      <c r="F43" s="1119">
        <f t="shared" si="11"/>
        <v>0</v>
      </c>
      <c r="G43" s="1119">
        <f t="shared" si="11"/>
        <v>0</v>
      </c>
      <c r="H43" s="1119">
        <f t="shared" si="11"/>
        <v>0</v>
      </c>
      <c r="I43" s="1119">
        <f t="shared" si="11"/>
        <v>0</v>
      </c>
      <c r="J43" s="1119">
        <f t="shared" si="11"/>
        <v>0</v>
      </c>
      <c r="K43" s="1119">
        <f t="shared" si="11"/>
        <v>0</v>
      </c>
      <c r="L43" s="1119">
        <f t="shared" si="11"/>
        <v>0</v>
      </c>
      <c r="M43" s="1119">
        <f t="shared" si="11"/>
        <v>0</v>
      </c>
      <c r="N43" s="1119">
        <f t="shared" si="11"/>
        <v>0</v>
      </c>
      <c r="O43" s="1119">
        <f t="shared" si="11"/>
        <v>0</v>
      </c>
      <c r="P43" s="170"/>
      <c r="R43" s="170"/>
      <c r="S43" s="170"/>
      <c r="T43" s="170"/>
      <c r="U43" s="170"/>
    </row>
    <row r="44" spans="1:21">
      <c r="A44" s="915">
        <f t="shared" si="0"/>
        <v>13</v>
      </c>
      <c r="B44" s="760"/>
      <c r="C44" s="1119"/>
      <c r="D44" s="1119"/>
      <c r="E44" s="1119"/>
      <c r="F44" s="1119"/>
      <c r="G44" s="1119"/>
      <c r="H44" s="1119"/>
      <c r="I44" s="1119"/>
      <c r="J44" s="1119"/>
      <c r="K44" s="1119"/>
      <c r="L44" s="1119"/>
      <c r="M44" s="1119"/>
      <c r="N44" s="1119"/>
      <c r="O44" s="1119"/>
      <c r="P44" s="496"/>
    </row>
    <row r="45" spans="1:21">
      <c r="A45" s="915">
        <f t="shared" si="0"/>
        <v>14</v>
      </c>
      <c r="B45" s="1118" t="s">
        <v>443</v>
      </c>
      <c r="C45" s="924"/>
      <c r="D45" s="923"/>
      <c r="E45" s="923"/>
      <c r="F45" s="923"/>
      <c r="G45" s="923"/>
      <c r="H45" s="923"/>
      <c r="I45" s="923"/>
      <c r="J45" s="923"/>
      <c r="K45" s="924"/>
      <c r="L45" s="923"/>
      <c r="M45" s="923"/>
      <c r="N45" s="923"/>
      <c r="O45" s="923"/>
      <c r="P45" s="496"/>
    </row>
    <row r="46" spans="1:21">
      <c r="A46" s="1787">
        <f>+A45+0.01</f>
        <v>14.01</v>
      </c>
      <c r="B46" s="1780" t="s">
        <v>934</v>
      </c>
      <c r="C46" s="1781"/>
      <c r="D46" s="1784"/>
      <c r="E46" s="1784"/>
      <c r="F46" s="1784"/>
      <c r="G46" s="1784"/>
      <c r="H46" s="1784"/>
      <c r="I46" s="1784"/>
      <c r="J46" s="1784"/>
      <c r="K46" s="1781"/>
      <c r="L46" s="1784"/>
      <c r="M46" s="1784"/>
      <c r="N46" s="1784"/>
      <c r="O46" s="923">
        <f t="shared" ref="O46:O48" si="12">+SUM(C46:N46)/12</f>
        <v>0</v>
      </c>
      <c r="P46" s="496"/>
    </row>
    <row r="47" spans="1:21">
      <c r="A47" s="1787" t="s">
        <v>924</v>
      </c>
      <c r="B47" s="1780" t="s">
        <v>934</v>
      </c>
      <c r="C47" s="1781"/>
      <c r="D47" s="1784"/>
      <c r="E47" s="1784"/>
      <c r="F47" s="1784"/>
      <c r="G47" s="1784"/>
      <c r="H47" s="1784"/>
      <c r="I47" s="1784"/>
      <c r="J47" s="1784"/>
      <c r="K47" s="1781"/>
      <c r="L47" s="1784"/>
      <c r="M47" s="1784"/>
      <c r="N47" s="1784"/>
      <c r="O47" s="923">
        <f t="shared" si="12"/>
        <v>0</v>
      </c>
      <c r="P47" s="496"/>
    </row>
    <row r="48" spans="1:21" ht="13.8" thickBot="1">
      <c r="A48" s="1787" t="s">
        <v>933</v>
      </c>
      <c r="B48" s="1783" t="s">
        <v>934</v>
      </c>
      <c r="C48" s="1785"/>
      <c r="D48" s="1786"/>
      <c r="E48" s="1786"/>
      <c r="F48" s="1786"/>
      <c r="G48" s="1786"/>
      <c r="H48" s="1786"/>
      <c r="I48" s="1786"/>
      <c r="J48" s="1786"/>
      <c r="K48" s="1785"/>
      <c r="L48" s="1786"/>
      <c r="M48" s="1786"/>
      <c r="N48" s="1786"/>
      <c r="O48" s="1265">
        <f t="shared" si="12"/>
        <v>0</v>
      </c>
      <c r="P48" s="496"/>
    </row>
    <row r="49" spans="1:17" ht="13.8" thickTop="1">
      <c r="A49" s="915">
        <f>+A45+1</f>
        <v>15</v>
      </c>
      <c r="B49" s="761" t="str">
        <f>+"Total "&amp;B45&amp;"  "&amp;A65</f>
        <v>Total Long Term Firm PTP  (4)</v>
      </c>
      <c r="C49" s="1121">
        <f t="shared" ref="C49:O49" si="13">SUM(C46:C48)</f>
        <v>0</v>
      </c>
      <c r="D49" s="1121">
        <f t="shared" si="13"/>
        <v>0</v>
      </c>
      <c r="E49" s="1121">
        <f t="shared" si="13"/>
        <v>0</v>
      </c>
      <c r="F49" s="1121">
        <f t="shared" si="13"/>
        <v>0</v>
      </c>
      <c r="G49" s="1121">
        <f t="shared" si="13"/>
        <v>0</v>
      </c>
      <c r="H49" s="1121">
        <f t="shared" si="13"/>
        <v>0</v>
      </c>
      <c r="I49" s="1121">
        <f t="shared" si="13"/>
        <v>0</v>
      </c>
      <c r="J49" s="1121">
        <f t="shared" si="13"/>
        <v>0</v>
      </c>
      <c r="K49" s="1121">
        <f t="shared" si="13"/>
        <v>0</v>
      </c>
      <c r="L49" s="1121">
        <f t="shared" si="13"/>
        <v>0</v>
      </c>
      <c r="M49" s="1121">
        <f t="shared" si="13"/>
        <v>0</v>
      </c>
      <c r="N49" s="1121">
        <f t="shared" si="13"/>
        <v>0</v>
      </c>
      <c r="O49" s="1121">
        <f t="shared" si="13"/>
        <v>0</v>
      </c>
      <c r="P49" s="496"/>
    </row>
    <row r="50" spans="1:17">
      <c r="A50" s="915">
        <f t="shared" si="0"/>
        <v>16</v>
      </c>
      <c r="B50" s="760"/>
      <c r="C50" s="925"/>
      <c r="D50" s="925"/>
      <c r="E50" s="925"/>
      <c r="F50" s="925"/>
      <c r="G50" s="925"/>
      <c r="H50" s="925"/>
      <c r="I50" s="926"/>
      <c r="J50" s="926"/>
      <c r="K50" s="925"/>
      <c r="L50" s="926"/>
      <c r="M50" s="926"/>
      <c r="N50" s="926"/>
      <c r="O50" s="926"/>
      <c r="P50" s="496"/>
    </row>
    <row r="51" spans="1:17">
      <c r="A51" s="915">
        <f t="shared" si="0"/>
        <v>17</v>
      </c>
      <c r="B51" s="1118" t="s">
        <v>444</v>
      </c>
      <c r="C51" s="924"/>
      <c r="D51" s="923"/>
      <c r="E51" s="923"/>
      <c r="F51" s="923"/>
      <c r="G51" s="923"/>
      <c r="H51" s="923"/>
      <c r="I51" s="923"/>
      <c r="J51" s="923"/>
      <c r="K51" s="924"/>
      <c r="L51" s="923"/>
      <c r="M51" s="923"/>
      <c r="N51" s="923"/>
      <c r="O51" s="923"/>
      <c r="P51" s="496"/>
    </row>
    <row r="52" spans="1:17">
      <c r="A52" s="915">
        <f t="shared" si="0"/>
        <v>18</v>
      </c>
      <c r="B52" s="1342" t="s">
        <v>967</v>
      </c>
      <c r="C52" s="1781">
        <v>8707.1710000000021</v>
      </c>
      <c r="D52" s="1781">
        <v>7421.1310000000021</v>
      </c>
      <c r="E52" s="1781">
        <v>8766.3990000000013</v>
      </c>
      <c r="F52" s="1781">
        <v>9013.143</v>
      </c>
      <c r="G52" s="1781">
        <v>9059.32</v>
      </c>
      <c r="H52" s="1781">
        <v>9819.9379999999983</v>
      </c>
      <c r="I52" s="1781">
        <v>10492.585000000001</v>
      </c>
      <c r="J52" s="1781">
        <v>10708.251000000002</v>
      </c>
      <c r="K52" s="1781">
        <v>9929.5550000000003</v>
      </c>
      <c r="L52" s="1781">
        <v>9533.0580000000027</v>
      </c>
      <c r="M52" s="1781">
        <v>8516.1899999999987</v>
      </c>
      <c r="N52" s="1781">
        <v>8856.8709999999992</v>
      </c>
      <c r="O52" s="923">
        <f t="shared" ref="O52" si="14">+SUM(C52:N52)/12</f>
        <v>9235.3009999999995</v>
      </c>
      <c r="P52" s="657" t="s">
        <v>1543</v>
      </c>
    </row>
    <row r="53" spans="1:17" ht="14.4" customHeight="1">
      <c r="A53" s="915">
        <f>+A52+1</f>
        <v>19</v>
      </c>
      <c r="B53" s="1118"/>
      <c r="C53" s="927"/>
      <c r="D53" s="927"/>
      <c r="E53" s="927"/>
      <c r="F53" s="927"/>
      <c r="G53" s="927"/>
      <c r="H53" s="927"/>
      <c r="I53" s="927"/>
      <c r="J53" s="927"/>
      <c r="K53" s="927"/>
      <c r="L53" s="927"/>
      <c r="M53" s="927"/>
      <c r="N53" s="927"/>
      <c r="O53" s="924"/>
      <c r="P53" s="496"/>
    </row>
    <row r="54" spans="1:17">
      <c r="A54" s="915">
        <f t="shared" si="0"/>
        <v>20</v>
      </c>
      <c r="B54" s="1120" t="str">
        <f>+"ELTO  "&amp;A66</f>
        <v>ELTO  (5)</v>
      </c>
      <c r="C54" s="924">
        <f t="shared" ref="C54:N54" si="15">C37+C43+C49+C52</f>
        <v>11585.000000000002</v>
      </c>
      <c r="D54" s="924">
        <f t="shared" si="15"/>
        <v>9279.0000000000018</v>
      </c>
      <c r="E54" s="924">
        <f t="shared" si="15"/>
        <v>10532</v>
      </c>
      <c r="F54" s="924">
        <f t="shared" si="15"/>
        <v>10895</v>
      </c>
      <c r="G54" s="924">
        <f t="shared" si="15"/>
        <v>11291</v>
      </c>
      <c r="H54" s="924">
        <f t="shared" si="15"/>
        <v>12240.999999999998</v>
      </c>
      <c r="I54" s="924">
        <f t="shared" si="15"/>
        <v>13104.000000000002</v>
      </c>
      <c r="J54" s="924">
        <f t="shared" si="15"/>
        <v>13363.000000000002</v>
      </c>
      <c r="K54" s="924">
        <f t="shared" si="15"/>
        <v>12314</v>
      </c>
      <c r="L54" s="924">
        <f t="shared" si="15"/>
        <v>11760.000000000002</v>
      </c>
      <c r="M54" s="924">
        <f t="shared" si="15"/>
        <v>10266.999999999998</v>
      </c>
      <c r="N54" s="924">
        <f t="shared" si="15"/>
        <v>11261</v>
      </c>
      <c r="O54" s="1122">
        <f t="shared" ref="O54" si="16">+SUM(C54:N54)/12</f>
        <v>11491</v>
      </c>
      <c r="P54" s="496"/>
    </row>
    <row r="55" spans="1:17">
      <c r="A55" s="915">
        <f t="shared" si="0"/>
        <v>21</v>
      </c>
      <c r="B55" s="760" t="str">
        <f>+"Reference  "&amp;A67</f>
        <v>Reference  (6)</v>
      </c>
      <c r="C55" s="925" t="s">
        <v>587</v>
      </c>
      <c r="D55" s="925" t="s">
        <v>588</v>
      </c>
      <c r="E55" s="925" t="s">
        <v>589</v>
      </c>
      <c r="F55" s="925" t="s">
        <v>590</v>
      </c>
      <c r="G55" s="925" t="s">
        <v>591</v>
      </c>
      <c r="H55" s="925" t="s">
        <v>592</v>
      </c>
      <c r="I55" s="926" t="s">
        <v>593</v>
      </c>
      <c r="J55" s="926" t="s">
        <v>594</v>
      </c>
      <c r="K55" s="925" t="s">
        <v>595</v>
      </c>
      <c r="L55" s="926" t="s">
        <v>596</v>
      </c>
      <c r="M55" s="926" t="s">
        <v>597</v>
      </c>
      <c r="N55" s="926" t="s">
        <v>598</v>
      </c>
      <c r="O55" s="926"/>
      <c r="P55" s="496"/>
    </row>
    <row r="56" spans="1:17">
      <c r="A56" s="915">
        <f t="shared" si="0"/>
        <v>22</v>
      </c>
      <c r="B56" s="761" t="s">
        <v>941</v>
      </c>
      <c r="C56" s="1788">
        <v>0</v>
      </c>
      <c r="D56" s="1788">
        <v>0</v>
      </c>
      <c r="E56" s="1788">
        <v>0</v>
      </c>
      <c r="F56" s="1788">
        <v>0</v>
      </c>
      <c r="G56" s="1788">
        <v>0</v>
      </c>
      <c r="H56" s="1788">
        <v>0</v>
      </c>
      <c r="I56" s="1788">
        <v>0</v>
      </c>
      <c r="J56" s="1788">
        <v>0</v>
      </c>
      <c r="K56" s="1788">
        <v>0</v>
      </c>
      <c r="L56" s="1788">
        <v>0</v>
      </c>
      <c r="M56" s="1788">
        <v>0</v>
      </c>
      <c r="N56" s="1788">
        <v>0</v>
      </c>
      <c r="O56" s="923">
        <f t="shared" ref="O56" si="17">+SUM(C56:N56)/12</f>
        <v>0</v>
      </c>
      <c r="P56" s="170"/>
      <c r="Q56" s="170"/>
    </row>
    <row r="57" spans="1:17">
      <c r="A57" s="915">
        <f t="shared" si="0"/>
        <v>23</v>
      </c>
      <c r="B57" s="760"/>
      <c r="C57" s="925"/>
      <c r="D57" s="925"/>
      <c r="E57" s="925"/>
      <c r="F57" s="925"/>
      <c r="G57" s="925"/>
      <c r="H57" s="925"/>
      <c r="I57" s="926"/>
      <c r="J57" s="926"/>
      <c r="K57" s="925"/>
      <c r="L57" s="926"/>
      <c r="M57" s="926"/>
      <c r="N57" s="926"/>
      <c r="O57" s="926"/>
      <c r="P57" s="170"/>
      <c r="Q57" s="170"/>
    </row>
    <row r="58" spans="1:17">
      <c r="A58" s="915">
        <f t="shared" si="0"/>
        <v>24</v>
      </c>
      <c r="B58" s="1406" t="s">
        <v>1099</v>
      </c>
      <c r="C58" s="1122">
        <f>+C54+C56</f>
        <v>11585.000000000002</v>
      </c>
      <c r="D58" s="1122">
        <f t="shared" ref="D58:M58" si="18">+D54+D56</f>
        <v>9279.0000000000018</v>
      </c>
      <c r="E58" s="1122">
        <f t="shared" si="18"/>
        <v>10532</v>
      </c>
      <c r="F58" s="1122">
        <f t="shared" si="18"/>
        <v>10895</v>
      </c>
      <c r="G58" s="1122">
        <f t="shared" si="18"/>
        <v>11291</v>
      </c>
      <c r="H58" s="1122">
        <f t="shared" si="18"/>
        <v>12240.999999999998</v>
      </c>
      <c r="I58" s="1122">
        <f t="shared" si="18"/>
        <v>13104.000000000002</v>
      </c>
      <c r="J58" s="1122">
        <f t="shared" si="18"/>
        <v>13363.000000000002</v>
      </c>
      <c r="K58" s="1122">
        <f t="shared" si="18"/>
        <v>12314</v>
      </c>
      <c r="L58" s="1122">
        <f t="shared" si="18"/>
        <v>11760.000000000002</v>
      </c>
      <c r="M58" s="1122">
        <f t="shared" si="18"/>
        <v>10266.999999999998</v>
      </c>
      <c r="N58" s="1122">
        <f>+N54+N56</f>
        <v>11261</v>
      </c>
      <c r="O58" s="1122">
        <f>+SUM(C58:N58)/12</f>
        <v>11491</v>
      </c>
      <c r="P58" s="496"/>
    </row>
    <row r="59" spans="1:17">
      <c r="A59" s="915"/>
      <c r="B59" s="39"/>
      <c r="C59" s="39"/>
      <c r="D59" s="39"/>
      <c r="E59" s="39"/>
      <c r="F59" s="39"/>
      <c r="G59" s="39"/>
      <c r="H59" s="39"/>
      <c r="I59" s="39"/>
      <c r="J59" s="39"/>
      <c r="K59" s="39"/>
      <c r="L59" s="39"/>
      <c r="M59" s="39"/>
      <c r="N59" s="39"/>
      <c r="O59" s="39"/>
      <c r="P59" s="496"/>
    </row>
    <row r="60" spans="1:17">
      <c r="A60" s="915"/>
      <c r="B60" s="39"/>
      <c r="C60" s="39"/>
      <c r="D60" s="39"/>
      <c r="E60" s="39"/>
      <c r="F60" s="39"/>
      <c r="G60" s="39"/>
      <c r="H60" s="39"/>
      <c r="I60" s="39"/>
      <c r="J60" s="39"/>
      <c r="K60" s="39"/>
      <c r="L60" s="39"/>
      <c r="M60" s="39"/>
      <c r="N60" s="39"/>
      <c r="O60" s="39"/>
      <c r="P60" s="496"/>
    </row>
    <row r="61" spans="1:17">
      <c r="A61" s="1112" t="s">
        <v>299</v>
      </c>
      <c r="B61" s="170"/>
      <c r="C61" s="39"/>
      <c r="D61" s="39"/>
      <c r="E61" s="39"/>
      <c r="F61" s="39"/>
      <c r="G61" s="39"/>
      <c r="H61" s="39"/>
      <c r="I61" s="39"/>
      <c r="J61" s="39"/>
      <c r="K61" s="39"/>
      <c r="L61" s="39"/>
      <c r="M61" s="39"/>
      <c r="N61" s="39"/>
      <c r="O61" s="39"/>
      <c r="P61" s="496"/>
    </row>
    <row r="62" spans="1:17">
      <c r="A62" s="916" t="s">
        <v>167</v>
      </c>
      <c r="B62" s="1236" t="str">
        <f>+"Sum (Ln "&amp;A14&amp;" Subparts)"</f>
        <v>Sum (Ln 8 Subparts)</v>
      </c>
      <c r="C62" s="39"/>
      <c r="D62" s="39"/>
      <c r="E62" s="39"/>
      <c r="F62" s="39"/>
      <c r="G62" s="39"/>
      <c r="H62" s="39"/>
      <c r="I62" s="39"/>
      <c r="J62" s="39"/>
      <c r="K62" s="39"/>
      <c r="L62" s="39"/>
      <c r="M62" s="39"/>
      <c r="N62" s="39"/>
      <c r="O62" s="39"/>
      <c r="P62" s="496"/>
    </row>
    <row r="63" spans="1:17" ht="12.75" customHeight="1">
      <c r="A63" s="916" t="s">
        <v>320</v>
      </c>
      <c r="B63" s="2324" t="s">
        <v>879</v>
      </c>
      <c r="C63" s="2324"/>
      <c r="D63" s="2324"/>
      <c r="E63" s="2324"/>
      <c r="F63" s="2324"/>
      <c r="G63" s="2324"/>
      <c r="H63" s="2324"/>
      <c r="I63" s="2324"/>
      <c r="J63" s="2324"/>
      <c r="K63" s="2324"/>
      <c r="L63" s="2324"/>
      <c r="M63" s="2324"/>
      <c r="N63" s="2324"/>
      <c r="O63" s="2324"/>
      <c r="P63" s="496"/>
    </row>
    <row r="64" spans="1:17">
      <c r="A64" s="916" t="s">
        <v>321</v>
      </c>
      <c r="B64" s="1236" t="str">
        <f>+"Sum (Ln "&amp;A39&amp;" Subparts)"</f>
        <v>Sum (Ln 11 Subparts)</v>
      </c>
      <c r="C64" s="39"/>
      <c r="D64" s="39"/>
      <c r="E64" s="39"/>
      <c r="F64" s="39"/>
      <c r="G64" s="39"/>
      <c r="H64" s="39"/>
      <c r="I64" s="39"/>
      <c r="J64" s="39"/>
      <c r="K64" s="39"/>
      <c r="L64" s="39"/>
      <c r="M64" s="39"/>
      <c r="N64" s="39"/>
      <c r="O64" s="39"/>
      <c r="P64" s="496"/>
    </row>
    <row r="65" spans="1:16">
      <c r="A65" s="916" t="s">
        <v>322</v>
      </c>
      <c r="B65" s="1236" t="str">
        <f>+"Sum (Ln "&amp;A45&amp;" Subparts)"</f>
        <v>Sum (Ln 14 Subparts)</v>
      </c>
      <c r="C65" s="39"/>
      <c r="D65" s="39"/>
      <c r="E65" s="39"/>
      <c r="F65" s="39"/>
      <c r="G65" s="39"/>
      <c r="H65" s="39"/>
      <c r="I65" s="39"/>
      <c r="J65" s="39"/>
      <c r="K65" s="39"/>
      <c r="L65" s="39"/>
      <c r="M65" s="39"/>
      <c r="N65" s="39"/>
      <c r="O65" s="39"/>
      <c r="P65" s="496"/>
    </row>
    <row r="66" spans="1:16">
      <c r="A66" s="916" t="s">
        <v>323</v>
      </c>
      <c r="B66" s="758" t="str">
        <f>+"Sum (Ln "&amp;A37&amp;" + "&amp;A43&amp;" + "&amp;A49&amp;" + "&amp;A52&amp;")"</f>
        <v>Sum (Ln 9 + 12 + 15 + 18)</v>
      </c>
      <c r="C66" s="39"/>
      <c r="D66" s="39"/>
      <c r="E66" s="39"/>
      <c r="F66" s="39"/>
      <c r="G66" s="39"/>
      <c r="H66" s="39"/>
      <c r="I66" s="39"/>
      <c r="J66" s="39"/>
      <c r="K66" s="39"/>
      <c r="L66" s="39"/>
      <c r="M66" s="39"/>
      <c r="N66" s="39"/>
      <c r="O66" s="39"/>
      <c r="P66" s="1405" t="s">
        <v>1307</v>
      </c>
    </row>
    <row r="67" spans="1:16">
      <c r="A67" s="916" t="s">
        <v>716</v>
      </c>
      <c r="B67" s="39" t="s">
        <v>1098</v>
      </c>
      <c r="C67" s="39"/>
      <c r="D67" s="39"/>
      <c r="E67" s="39"/>
      <c r="F67" s="39"/>
      <c r="G67" s="39"/>
      <c r="H67" s="39"/>
      <c r="I67" s="39"/>
      <c r="J67" s="39"/>
      <c r="K67" s="39"/>
      <c r="L67" s="39"/>
      <c r="M67" s="39"/>
      <c r="N67" s="39"/>
      <c r="O67" s="39"/>
      <c r="P67" s="496"/>
    </row>
    <row r="68" spans="1:16">
      <c r="A68" s="916" t="s">
        <v>718</v>
      </c>
      <c r="B68" s="39" t="s">
        <v>1063</v>
      </c>
      <c r="C68" s="39"/>
      <c r="D68" s="39"/>
      <c r="E68" s="39"/>
      <c r="F68" s="39"/>
      <c r="G68" s="39"/>
      <c r="H68" s="39"/>
      <c r="I68" s="39"/>
      <c r="J68" s="39"/>
      <c r="K68" s="39"/>
      <c r="L68" s="39"/>
      <c r="M68" s="39"/>
      <c r="N68" s="39"/>
      <c r="O68" s="39"/>
      <c r="P68" s="496"/>
    </row>
    <row r="69" spans="1:16">
      <c r="A69" s="916" t="s">
        <v>1087</v>
      </c>
      <c r="B69" s="758" t="str">
        <f>+"Sum (Ln "&amp;A54&amp;" + "&amp;A56&amp;")"</f>
        <v>Sum (Ln 20 + 22)</v>
      </c>
      <c r="P69" s="496"/>
    </row>
    <row r="218" spans="7:7">
      <c r="G218" s="170"/>
    </row>
  </sheetData>
  <mergeCells count="5">
    <mergeCell ref="B63:O63"/>
    <mergeCell ref="C9:N9"/>
    <mergeCell ref="A1:O1"/>
    <mergeCell ref="A2:O2"/>
    <mergeCell ref="A3:O3"/>
  </mergeCells>
  <printOptions horizontalCentered="1"/>
  <pageMargins left="0.5" right="0.5" top="0.5" bottom="0.5" header="0.3" footer="0.5"/>
  <pageSetup scale="62" orientation="landscape" r:id="rId1"/>
  <headerFooter>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213"/>
  <sheetViews>
    <sheetView zoomScale="90" zoomScaleNormal="90" workbookViewId="0">
      <pane xSplit="3" ySplit="7" topLeftCell="D8" activePane="bottomRight" state="frozen"/>
      <selection activeCell="L6" sqref="L6"/>
      <selection pane="topRight" activeCell="L6" sqref="L6"/>
      <selection pane="bottomLeft" activeCell="L6" sqref="L6"/>
      <selection pane="bottomRight" activeCell="L6" sqref="L6"/>
    </sheetView>
  </sheetViews>
  <sheetFormatPr defaultColWidth="9.109375" defaultRowHeight="13.2"/>
  <cols>
    <col min="1" max="1" width="6.88671875" style="769" bestFit="1" customWidth="1"/>
    <col min="2" max="2" width="8.109375" style="763" customWidth="1"/>
    <col min="3" max="3" width="28.6640625" style="763" customWidth="1"/>
    <col min="4" max="17" width="14" style="763" bestFit="1" customWidth="1"/>
    <col min="18" max="19" width="6.88671875" style="763" customWidth="1"/>
    <col min="20" max="20" width="23.33203125" style="763" bestFit="1" customWidth="1"/>
    <col min="21" max="21" width="27.44140625" style="763" bestFit="1" customWidth="1"/>
    <col min="22" max="22" width="23.33203125" style="763" bestFit="1" customWidth="1"/>
    <col min="23" max="23" width="27.44140625" style="763" bestFit="1" customWidth="1"/>
    <col min="24" max="24" width="23.33203125" style="763" bestFit="1" customWidth="1"/>
    <col min="25" max="25" width="27.44140625" style="763" bestFit="1" customWidth="1"/>
    <col min="26" max="26" width="23.33203125" style="763" bestFit="1" customWidth="1"/>
    <col min="27" max="27" width="32.6640625" style="763" bestFit="1" customWidth="1"/>
    <col min="28" max="28" width="28.5546875" style="763" bestFit="1" customWidth="1"/>
    <col min="29" max="29" width="32.6640625" style="763" bestFit="1" customWidth="1"/>
    <col min="30" max="30" width="28.5546875" style="763" bestFit="1" customWidth="1"/>
    <col min="31" max="16384" width="9.109375" style="763"/>
  </cols>
  <sheetData>
    <row r="1" spans="1:18" s="40" customFormat="1">
      <c r="A1" s="179" t="str">
        <f>+'MISO Cover'!C6</f>
        <v>Entergy Louisiana, LLC</v>
      </c>
      <c r="B1" s="179"/>
      <c r="C1" s="179"/>
      <c r="D1" s="179"/>
      <c r="E1" s="179"/>
      <c r="F1" s="179"/>
      <c r="G1" s="179"/>
      <c r="H1" s="179"/>
      <c r="I1" s="179"/>
      <c r="J1" s="179"/>
      <c r="K1" s="179"/>
      <c r="L1" s="179"/>
      <c r="M1" s="179"/>
      <c r="N1" s="179"/>
      <c r="O1" s="179"/>
      <c r="P1" s="179"/>
      <c r="Q1" s="179"/>
    </row>
    <row r="2" spans="1:18" s="40" customFormat="1">
      <c r="A2" s="171" t="s">
        <v>863</v>
      </c>
      <c r="B2" s="171"/>
      <c r="C2" s="171"/>
      <c r="D2" s="171"/>
      <c r="E2" s="171"/>
      <c r="F2" s="171"/>
      <c r="G2" s="171"/>
      <c r="H2" s="171"/>
      <c r="I2" s="171"/>
      <c r="J2" s="171"/>
      <c r="K2" s="171"/>
      <c r="L2" s="171"/>
      <c r="M2" s="171"/>
      <c r="N2" s="171"/>
      <c r="O2" s="171"/>
      <c r="P2" s="171"/>
      <c r="Q2" s="171"/>
    </row>
    <row r="3" spans="1:18" s="40" customFormat="1">
      <c r="A3" s="179" t="str">
        <f>+'MISO Cover'!K4</f>
        <v>For  the 12 Months Ended 12/31/2017</v>
      </c>
      <c r="B3" s="179"/>
      <c r="C3" s="179"/>
      <c r="D3" s="179"/>
      <c r="E3" s="179"/>
      <c r="F3" s="179"/>
      <c r="G3" s="179"/>
      <c r="H3" s="179"/>
      <c r="I3" s="179"/>
      <c r="J3" s="179"/>
      <c r="K3" s="179"/>
      <c r="L3" s="179"/>
      <c r="M3" s="179"/>
      <c r="N3" s="179"/>
      <c r="O3" s="179"/>
      <c r="P3" s="179"/>
      <c r="Q3" s="179"/>
    </row>
    <row r="4" spans="1:18" s="40" customFormat="1">
      <c r="A4" s="1591"/>
      <c r="B4" s="1591"/>
      <c r="C4" s="1591"/>
      <c r="D4" s="1591"/>
      <c r="E4" s="1591"/>
      <c r="F4" s="716"/>
      <c r="G4" s="716"/>
      <c r="H4" s="716"/>
      <c r="I4" s="716"/>
      <c r="J4" s="716"/>
      <c r="K4" s="716"/>
      <c r="L4" s="716"/>
      <c r="M4" s="716"/>
      <c r="N4" s="716"/>
      <c r="O4" s="716"/>
      <c r="P4" s="716"/>
      <c r="Q4" s="716"/>
    </row>
    <row r="5" spans="1:18" s="716" customFormat="1">
      <c r="A5" s="1591" t="s">
        <v>280</v>
      </c>
      <c r="B5" s="1591" t="s">
        <v>67</v>
      </c>
      <c r="C5" s="1591" t="s">
        <v>114</v>
      </c>
      <c r="D5" s="1591" t="s">
        <v>55</v>
      </c>
      <c r="E5" s="1591" t="s">
        <v>68</v>
      </c>
      <c r="F5" s="716" t="s">
        <v>66</v>
      </c>
      <c r="G5" s="716" t="s">
        <v>154</v>
      </c>
      <c r="H5" s="716" t="s">
        <v>69</v>
      </c>
      <c r="I5" s="716" t="s">
        <v>166</v>
      </c>
      <c r="J5" s="716" t="s">
        <v>59</v>
      </c>
      <c r="K5" s="716" t="s">
        <v>446</v>
      </c>
      <c r="L5" s="716" t="s">
        <v>71</v>
      </c>
      <c r="M5" s="716" t="s">
        <v>98</v>
      </c>
      <c r="N5" s="716" t="s">
        <v>99</v>
      </c>
      <c r="O5" s="716" t="s">
        <v>155</v>
      </c>
      <c r="P5" s="716" t="s">
        <v>221</v>
      </c>
      <c r="Q5" s="716" t="s">
        <v>222</v>
      </c>
    </row>
    <row r="6" spans="1:18" s="40" customFormat="1">
      <c r="A6" s="827">
        <v>1</v>
      </c>
      <c r="B6" s="179"/>
      <c r="C6" s="179"/>
      <c r="D6" s="179"/>
      <c r="E6" s="179"/>
      <c r="F6" s="179"/>
      <c r="G6" s="179"/>
      <c r="H6" s="179"/>
      <c r="I6" s="179"/>
      <c r="J6" s="179"/>
      <c r="K6" s="179"/>
      <c r="L6" s="179"/>
      <c r="M6" s="179"/>
      <c r="N6" s="179"/>
      <c r="O6" s="179"/>
      <c r="P6" s="179"/>
      <c r="Q6" s="2443" t="s">
        <v>619</v>
      </c>
    </row>
    <row r="7" spans="1:18">
      <c r="A7" s="1719">
        <f>1+A6</f>
        <v>2</v>
      </c>
      <c r="B7" s="1720" t="s">
        <v>171</v>
      </c>
      <c r="C7" s="1720" t="s">
        <v>269</v>
      </c>
      <c r="D7" s="1360" t="s">
        <v>37</v>
      </c>
      <c r="E7" s="1360" t="s">
        <v>27</v>
      </c>
      <c r="F7" s="1361" t="s">
        <v>28</v>
      </c>
      <c r="G7" s="1361" t="s">
        <v>29</v>
      </c>
      <c r="H7" s="1361" t="s">
        <v>30</v>
      </c>
      <c r="I7" s="1361" t="s">
        <v>26</v>
      </c>
      <c r="J7" s="1361" t="s">
        <v>31</v>
      </c>
      <c r="K7" s="1361" t="s">
        <v>32</v>
      </c>
      <c r="L7" s="1361" t="s">
        <v>33</v>
      </c>
      <c r="M7" s="1361" t="s">
        <v>34</v>
      </c>
      <c r="N7" s="1361" t="s">
        <v>35</v>
      </c>
      <c r="O7" s="1361" t="s">
        <v>36</v>
      </c>
      <c r="P7" s="1361" t="s">
        <v>37</v>
      </c>
      <c r="Q7" s="2444"/>
    </row>
    <row r="8" spans="1:18">
      <c r="A8" s="1415">
        <f>+A7+0.01</f>
        <v>2.0099999999999998</v>
      </c>
      <c r="B8" s="171" t="s">
        <v>1379</v>
      </c>
      <c r="C8" s="171"/>
      <c r="D8" s="1563">
        <v>5.7159056154887367E-8</v>
      </c>
      <c r="E8" s="1563">
        <v>213269.21000002942</v>
      </c>
      <c r="F8" s="1563">
        <v>818460.91999998782</v>
      </c>
      <c r="G8" s="1563">
        <v>1441983.3699999915</v>
      </c>
      <c r="H8" s="1563">
        <v>2441612.7099999781</v>
      </c>
      <c r="I8" s="1563">
        <v>3829387.6399999745</v>
      </c>
      <c r="J8" s="1563">
        <v>4771254.1599999806</v>
      </c>
      <c r="K8" s="1563">
        <v>5626396.8800000027</v>
      </c>
      <c r="L8" s="1563">
        <v>6001792.1699999999</v>
      </c>
      <c r="M8" s="1563">
        <v>7197706.1700000456</v>
      </c>
      <c r="N8" s="1563">
        <v>8192053.6300000595</v>
      </c>
      <c r="O8" s="1563">
        <v>11407092.95999996</v>
      </c>
      <c r="P8" s="1563">
        <v>12459467.809999965</v>
      </c>
      <c r="Q8" s="764">
        <f t="shared" ref="Q8:Q24" si="0">SUM(D8:P8)/13</f>
        <v>4953882.8946153875</v>
      </c>
      <c r="R8" s="765"/>
    </row>
    <row r="9" spans="1:18">
      <c r="A9" s="1415">
        <f>+A8+0.01</f>
        <v>2.0199999999999996</v>
      </c>
      <c r="B9" s="1721" t="s">
        <v>1377</v>
      </c>
      <c r="C9" s="171"/>
      <c r="D9" s="1563">
        <v>0</v>
      </c>
      <c r="E9" s="1563">
        <v>0</v>
      </c>
      <c r="F9" s="1563">
        <v>0</v>
      </c>
      <c r="G9" s="1563">
        <v>0</v>
      </c>
      <c r="H9" s="1563">
        <v>0</v>
      </c>
      <c r="I9" s="1563">
        <v>0</v>
      </c>
      <c r="J9" s="1563">
        <v>0</v>
      </c>
      <c r="K9" s="1563">
        <v>0</v>
      </c>
      <c r="L9" s="1563">
        <v>0</v>
      </c>
      <c r="M9" s="1563">
        <v>0</v>
      </c>
      <c r="N9" s="1563">
        <v>0</v>
      </c>
      <c r="O9" s="1563">
        <v>0</v>
      </c>
      <c r="P9" s="1563">
        <v>0</v>
      </c>
      <c r="Q9" s="764">
        <f t="shared" si="0"/>
        <v>0</v>
      </c>
      <c r="R9" s="765"/>
    </row>
    <row r="10" spans="1:18">
      <c r="A10" s="1415">
        <f>+A9+0.01</f>
        <v>2.0299999999999994</v>
      </c>
      <c r="B10" s="171" t="s">
        <v>1380</v>
      </c>
      <c r="C10" s="171"/>
      <c r="D10" s="1563">
        <v>0</v>
      </c>
      <c r="E10" s="1563">
        <v>0</v>
      </c>
      <c r="F10" s="1563">
        <v>0</v>
      </c>
      <c r="G10" s="1563">
        <v>0</v>
      </c>
      <c r="H10" s="1563">
        <v>0</v>
      </c>
      <c r="I10" s="1563">
        <v>0</v>
      </c>
      <c r="J10" s="1563">
        <v>0</v>
      </c>
      <c r="K10" s="1563">
        <v>0</v>
      </c>
      <c r="L10" s="1563">
        <v>0</v>
      </c>
      <c r="M10" s="1563">
        <v>0</v>
      </c>
      <c r="N10" s="1563">
        <v>0</v>
      </c>
      <c r="O10" s="1563">
        <v>0</v>
      </c>
      <c r="P10" s="1563">
        <v>0</v>
      </c>
      <c r="Q10" s="764">
        <f t="shared" si="0"/>
        <v>0</v>
      </c>
      <c r="R10" s="765"/>
    </row>
    <row r="11" spans="1:18">
      <c r="A11" s="1415">
        <f t="shared" ref="A11:A22" si="1">+A10+0.01</f>
        <v>2.0399999999999991</v>
      </c>
      <c r="B11" s="1721" t="s">
        <v>1378</v>
      </c>
      <c r="C11" s="171"/>
      <c r="D11" s="1563">
        <v>0</v>
      </c>
      <c r="E11" s="1563">
        <v>0</v>
      </c>
      <c r="F11" s="1563">
        <v>0</v>
      </c>
      <c r="G11" s="1563">
        <v>0</v>
      </c>
      <c r="H11" s="1563">
        <v>0</v>
      </c>
      <c r="I11" s="1563">
        <v>0</v>
      </c>
      <c r="J11" s="1563">
        <v>0</v>
      </c>
      <c r="K11" s="1563">
        <v>0</v>
      </c>
      <c r="L11" s="1563">
        <v>0</v>
      </c>
      <c r="M11" s="1563">
        <v>0</v>
      </c>
      <c r="N11" s="1563">
        <v>0</v>
      </c>
      <c r="O11" s="1563">
        <v>0</v>
      </c>
      <c r="P11" s="1563">
        <v>0</v>
      </c>
      <c r="Q11" s="764">
        <f t="shared" si="0"/>
        <v>0</v>
      </c>
      <c r="R11" s="765"/>
    </row>
    <row r="12" spans="1:18">
      <c r="A12" s="1415">
        <f t="shared" si="1"/>
        <v>2.0499999999999989</v>
      </c>
      <c r="B12" s="171" t="s">
        <v>1381</v>
      </c>
      <c r="C12" s="171"/>
      <c r="D12" s="1563">
        <v>0</v>
      </c>
      <c r="E12" s="1563">
        <v>-213269.21</v>
      </c>
      <c r="F12" s="1563">
        <v>-818460.92</v>
      </c>
      <c r="G12" s="1563">
        <v>-1441983.37</v>
      </c>
      <c r="H12" s="1563">
        <v>-2441612.71</v>
      </c>
      <c r="I12" s="1563">
        <v>-3829387.64</v>
      </c>
      <c r="J12" s="1563">
        <v>-4771254.16</v>
      </c>
      <c r="K12" s="1563">
        <v>-5626396.8799999999</v>
      </c>
      <c r="L12" s="1563">
        <v>-6001792.1699999999</v>
      </c>
      <c r="M12" s="1563">
        <v>-7197706.1699999999</v>
      </c>
      <c r="N12" s="1563">
        <v>-8192053.6299999999</v>
      </c>
      <c r="O12" s="1563">
        <v>-11407092.960000001</v>
      </c>
      <c r="P12" s="1563">
        <v>-12459467.810000001</v>
      </c>
      <c r="Q12" s="764">
        <f t="shared" si="0"/>
        <v>-4953882.8946153857</v>
      </c>
      <c r="R12" s="765"/>
    </row>
    <row r="13" spans="1:18">
      <c r="A13" s="1415">
        <f t="shared" si="1"/>
        <v>2.0599999999999987</v>
      </c>
      <c r="B13" s="171" t="s">
        <v>1382</v>
      </c>
      <c r="C13" s="171"/>
      <c r="D13" s="1563">
        <v>-291485344.79000002</v>
      </c>
      <c r="E13" s="1563">
        <v>-291584988.98000002</v>
      </c>
      <c r="F13" s="1563">
        <v>-282869794.85000002</v>
      </c>
      <c r="G13" s="1563">
        <v>-282981886.41000003</v>
      </c>
      <c r="H13" s="1563">
        <v>-283121332.68000001</v>
      </c>
      <c r="I13" s="1563">
        <v>-283280127.5</v>
      </c>
      <c r="J13" s="1563">
        <v>-283450915.79000002</v>
      </c>
      <c r="K13" s="1563">
        <v>-283634997.31</v>
      </c>
      <c r="L13" s="1563">
        <v>-283845690.75</v>
      </c>
      <c r="M13" s="1563">
        <v>-284070756.13</v>
      </c>
      <c r="N13" s="1563">
        <v>-284291860.98000002</v>
      </c>
      <c r="O13" s="1563">
        <v>-284525363.87</v>
      </c>
      <c r="P13" s="1563">
        <v>-284759391.26000005</v>
      </c>
      <c r="Q13" s="764">
        <f t="shared" si="0"/>
        <v>-284915573.1769231</v>
      </c>
      <c r="R13" s="765"/>
    </row>
    <row r="14" spans="1:18">
      <c r="A14" s="1415">
        <f t="shared" si="1"/>
        <v>2.0699999999999985</v>
      </c>
      <c r="B14" s="171" t="s">
        <v>1383</v>
      </c>
      <c r="C14" s="171"/>
      <c r="D14" s="1563">
        <v>-9773354.1600000076</v>
      </c>
      <c r="E14" s="1563">
        <v>-9811439.3200000096</v>
      </c>
      <c r="F14" s="1563">
        <v>-9845029.8900000062</v>
      </c>
      <c r="G14" s="1563">
        <v>-10974141.430000011</v>
      </c>
      <c r="H14" s="1563">
        <v>-10952501.950000007</v>
      </c>
      <c r="I14" s="1563">
        <v>-10216137.420000009</v>
      </c>
      <c r="J14" s="1563">
        <v>-11636486.610000007</v>
      </c>
      <c r="K14" s="1563">
        <v>-10071212.840000005</v>
      </c>
      <c r="L14" s="1563">
        <v>-9948227.4300000053</v>
      </c>
      <c r="M14" s="1563">
        <v>-10441439.330000002</v>
      </c>
      <c r="N14" s="1563">
        <v>-10154346.860000007</v>
      </c>
      <c r="O14" s="1563">
        <v>-9626622.9700000063</v>
      </c>
      <c r="P14" s="1563">
        <v>-9903736.9600000083</v>
      </c>
      <c r="Q14" s="764">
        <f t="shared" si="0"/>
        <v>-10258052.090000005</v>
      </c>
      <c r="R14" s="765"/>
    </row>
    <row r="15" spans="1:18">
      <c r="A15" s="1415">
        <f t="shared" si="1"/>
        <v>2.0799999999999983</v>
      </c>
      <c r="B15" s="171" t="s">
        <v>1384</v>
      </c>
      <c r="C15" s="171"/>
      <c r="D15" s="1563">
        <v>-5480425.830000014</v>
      </c>
      <c r="E15" s="1563">
        <v>-5426614.340000012</v>
      </c>
      <c r="F15" s="1563">
        <v>-4681614.3300000038</v>
      </c>
      <c r="G15" s="1563">
        <v>-9407614.3300000001</v>
      </c>
      <c r="H15" s="1563">
        <v>-6957614.7600000054</v>
      </c>
      <c r="I15" s="1563">
        <v>-6912614.75</v>
      </c>
      <c r="J15" s="1563">
        <v>-6562614.7500000037</v>
      </c>
      <c r="K15" s="1563">
        <v>-6062614.7500000075</v>
      </c>
      <c r="L15" s="1563">
        <v>-6343723.0500000026</v>
      </c>
      <c r="M15" s="1563">
        <v>-7448723.0500000063</v>
      </c>
      <c r="N15" s="1563">
        <v>-7349723.0500000082</v>
      </c>
      <c r="O15" s="1563">
        <v>-4778923.110000005</v>
      </c>
      <c r="P15" s="1563">
        <v>-4103923.1900000065</v>
      </c>
      <c r="Q15" s="764">
        <f t="shared" si="0"/>
        <v>-6270518.7146153897</v>
      </c>
      <c r="R15" s="765"/>
    </row>
    <row r="16" spans="1:18">
      <c r="A16" s="1415">
        <f t="shared" si="1"/>
        <v>2.0899999999999981</v>
      </c>
      <c r="B16" s="171" t="s">
        <v>1385</v>
      </c>
      <c r="C16" s="171"/>
      <c r="D16" s="1563">
        <v>-13910695.43</v>
      </c>
      <c r="E16" s="1563">
        <v>-13910695.43</v>
      </c>
      <c r="F16" s="1563">
        <v>-13910695.43</v>
      </c>
      <c r="G16" s="1563">
        <v>-13910695.43</v>
      </c>
      <c r="H16" s="1563">
        <v>-13910695.43</v>
      </c>
      <c r="I16" s="1563">
        <v>-13910695.43</v>
      </c>
      <c r="J16" s="1563">
        <v>-13910695.43</v>
      </c>
      <c r="K16" s="1563">
        <v>-13910695.43</v>
      </c>
      <c r="L16" s="1563">
        <v>-13910695.43</v>
      </c>
      <c r="M16" s="1563">
        <v>-13910695.43</v>
      </c>
      <c r="N16" s="1563">
        <v>-13910695.43</v>
      </c>
      <c r="O16" s="1563">
        <v>-13910695.43</v>
      </c>
      <c r="P16" s="1563">
        <v>-14172328.43</v>
      </c>
      <c r="Q16" s="764">
        <f t="shared" si="0"/>
        <v>-13930821.045384619</v>
      </c>
      <c r="R16" s="765"/>
    </row>
    <row r="17" spans="1:18">
      <c r="A17" s="1415">
        <f t="shared" si="1"/>
        <v>2.0999999999999979</v>
      </c>
      <c r="B17" s="171" t="s">
        <v>1386</v>
      </c>
      <c r="C17" s="171"/>
      <c r="D17" s="1563">
        <v>-323291000.18000001</v>
      </c>
      <c r="E17" s="1563">
        <v>-324740506.40000004</v>
      </c>
      <c r="F17" s="1563">
        <v>-325090033.27000004</v>
      </c>
      <c r="G17" s="1563">
        <v>-325024968.81</v>
      </c>
      <c r="H17" s="1563">
        <v>-325129066.09000003</v>
      </c>
      <c r="I17" s="1563">
        <v>-325154161.49000001</v>
      </c>
      <c r="J17" s="1563">
        <v>-325049677.66000003</v>
      </c>
      <c r="K17" s="1563">
        <v>-325414542.97000003</v>
      </c>
      <c r="L17" s="1563">
        <v>-325255750.42000002</v>
      </c>
      <c r="M17" s="1563">
        <v>-324408437.48000002</v>
      </c>
      <c r="N17" s="1563">
        <v>-327062824.19</v>
      </c>
      <c r="O17" s="1563">
        <v>-326528453.25</v>
      </c>
      <c r="P17" s="1563">
        <v>-326595000.14999998</v>
      </c>
      <c r="Q17" s="764">
        <f t="shared" si="0"/>
        <v>-325288032.48923075</v>
      </c>
      <c r="R17" s="765"/>
    </row>
    <row r="18" spans="1:18">
      <c r="A18" s="1415">
        <f t="shared" si="1"/>
        <v>2.1099999999999977</v>
      </c>
      <c r="B18" s="171" t="s">
        <v>1387</v>
      </c>
      <c r="C18" s="171"/>
      <c r="D18" s="1563">
        <v>-2353998.4700000063</v>
      </c>
      <c r="E18" s="1563">
        <v>-2417197.0199999986</v>
      </c>
      <c r="F18" s="1563">
        <v>-2599376.2500000144</v>
      </c>
      <c r="G18" s="1563">
        <v>-2344000.2500000224</v>
      </c>
      <c r="H18" s="1563">
        <v>-2531481.9300000155</v>
      </c>
      <c r="I18" s="1563">
        <v>-2535987.2700000177</v>
      </c>
      <c r="J18" s="1563">
        <v>-2339351.6900000195</v>
      </c>
      <c r="K18" s="1563">
        <v>-2144550.280000004</v>
      </c>
      <c r="L18" s="1563">
        <v>-1719013.1000000148</v>
      </c>
      <c r="M18" s="1563">
        <v>-2327002.6900000204</v>
      </c>
      <c r="N18" s="1563">
        <v>-2285796.7400000175</v>
      </c>
      <c r="O18" s="1563">
        <v>-2174785.4900000077</v>
      </c>
      <c r="P18" s="1563">
        <v>-2327005.0100000137</v>
      </c>
      <c r="Q18" s="764">
        <f t="shared" si="0"/>
        <v>-2315349.7069230904</v>
      </c>
      <c r="R18" s="765"/>
    </row>
    <row r="19" spans="1:18">
      <c r="A19" s="1415">
        <f t="shared" si="1"/>
        <v>2.1199999999999974</v>
      </c>
      <c r="B19" s="171" t="s">
        <v>1388</v>
      </c>
      <c r="C19" s="171"/>
      <c r="D19" s="1563">
        <v>-483016.47000000067</v>
      </c>
      <c r="E19" s="1563">
        <v>-1321489.4100000001</v>
      </c>
      <c r="F19" s="1563">
        <v>-1125992.9500000011</v>
      </c>
      <c r="G19" s="1563">
        <v>164311.1400000006</v>
      </c>
      <c r="H19" s="1563">
        <v>191349.8900000006</v>
      </c>
      <c r="I19" s="1563">
        <v>573269.5700000003</v>
      </c>
      <c r="J19" s="1563">
        <v>490526.15000000037</v>
      </c>
      <c r="K19" s="1563">
        <v>874186.96000000089</v>
      </c>
      <c r="L19" s="1563">
        <v>979583.25</v>
      </c>
      <c r="M19" s="1563">
        <v>1006669.4999999981</v>
      </c>
      <c r="N19" s="1563">
        <v>1037097.7399999984</v>
      </c>
      <c r="O19" s="1563">
        <v>1337553.9099999983</v>
      </c>
      <c r="P19" s="1563">
        <v>0</v>
      </c>
      <c r="Q19" s="764">
        <f t="shared" si="0"/>
        <v>286465.3292307689</v>
      </c>
      <c r="R19" s="765"/>
    </row>
    <row r="20" spans="1:18">
      <c r="A20" s="1415">
        <f t="shared" si="1"/>
        <v>2.1299999999999972</v>
      </c>
      <c r="B20" s="171" t="s">
        <v>1389</v>
      </c>
      <c r="C20" s="171"/>
      <c r="D20" s="1563">
        <v>0</v>
      </c>
      <c r="E20" s="1563">
        <v>0</v>
      </c>
      <c r="F20" s="1563">
        <v>0</v>
      </c>
      <c r="G20" s="1563">
        <v>0</v>
      </c>
      <c r="H20" s="1563">
        <v>0</v>
      </c>
      <c r="I20" s="1563">
        <v>0</v>
      </c>
      <c r="J20" s="1563">
        <v>0</v>
      </c>
      <c r="K20" s="1563">
        <v>0</v>
      </c>
      <c r="L20" s="1563">
        <v>0</v>
      </c>
      <c r="M20" s="1563">
        <v>0</v>
      </c>
      <c r="N20" s="1563">
        <v>0</v>
      </c>
      <c r="O20" s="1563">
        <v>0</v>
      </c>
      <c r="P20" s="1563">
        <v>0</v>
      </c>
      <c r="Q20" s="764">
        <f t="shared" si="0"/>
        <v>0</v>
      </c>
      <c r="R20" s="765"/>
    </row>
    <row r="21" spans="1:18">
      <c r="A21" s="1415">
        <f t="shared" si="1"/>
        <v>2.139999999999997</v>
      </c>
      <c r="B21" s="171" t="s">
        <v>1390</v>
      </c>
      <c r="C21" s="171"/>
      <c r="D21" s="1563">
        <v>0</v>
      </c>
      <c r="E21" s="1563">
        <v>0</v>
      </c>
      <c r="F21" s="1563">
        <v>0</v>
      </c>
      <c r="G21" s="1563">
        <v>0</v>
      </c>
      <c r="H21" s="1563">
        <v>0</v>
      </c>
      <c r="I21" s="1563">
        <v>0</v>
      </c>
      <c r="J21" s="1563">
        <v>0</v>
      </c>
      <c r="K21" s="1563">
        <v>0</v>
      </c>
      <c r="L21" s="1563">
        <v>0</v>
      </c>
      <c r="M21" s="1563">
        <v>0</v>
      </c>
      <c r="N21" s="1563">
        <v>0</v>
      </c>
      <c r="O21" s="1563">
        <v>0</v>
      </c>
      <c r="P21" s="1563">
        <v>-200000</v>
      </c>
      <c r="Q21" s="764">
        <f t="shared" si="0"/>
        <v>-15384.615384615385</v>
      </c>
      <c r="R21" s="765"/>
    </row>
    <row r="22" spans="1:18">
      <c r="A22" s="1560">
        <f t="shared" si="1"/>
        <v>2.1499999999999968</v>
      </c>
      <c r="B22" s="1774" t="s">
        <v>934</v>
      </c>
      <c r="C22" s="1775"/>
      <c r="D22" s="1563">
        <f>IFERROR(INDEX(#REF!,+MATCH($B22,#REF!,0)),0)</f>
        <v>0</v>
      </c>
      <c r="E22" s="1563">
        <f>IFERROR(INDEX(#REF!,+MATCH($B22,#REF!,0)),0)</f>
        <v>0</v>
      </c>
      <c r="F22" s="1776">
        <f>IFERROR(INDEX(#REF!,+MATCH($B22,#REF!,0)),0)</f>
        <v>0</v>
      </c>
      <c r="G22" s="1776">
        <f>IFERROR(INDEX(#REF!,+MATCH($B22,#REF!,0)),0)</f>
        <v>0</v>
      </c>
      <c r="H22" s="1776">
        <f>IFERROR(INDEX(#REF!,+MATCH($B22,#REF!,0)),0)</f>
        <v>0</v>
      </c>
      <c r="I22" s="1776">
        <f>IFERROR(INDEX(#REF!,+MATCH($B22,#REF!,0)),0)</f>
        <v>0</v>
      </c>
      <c r="J22" s="1776">
        <f>IFERROR(INDEX(#REF!,+MATCH($B22,#REF!,0)),0)</f>
        <v>0</v>
      </c>
      <c r="K22" s="1776">
        <f>IFERROR(INDEX(#REF!,+MATCH($B22,#REF!,0)),0)</f>
        <v>0</v>
      </c>
      <c r="L22" s="1776">
        <f>IFERROR(INDEX(#REF!,+MATCH($B22,#REF!,0)),0)</f>
        <v>0</v>
      </c>
      <c r="M22" s="1776">
        <f>IFERROR(INDEX(#REF!,+MATCH($B22,#REF!,0)),0)</f>
        <v>0</v>
      </c>
      <c r="N22" s="1776">
        <f>IFERROR(INDEX(#REF!,+MATCH($B22,#REF!,0)),0)</f>
        <v>0</v>
      </c>
      <c r="O22" s="1776">
        <f>IFERROR(INDEX(#REF!,+MATCH($B22,#REF!,0)),0)</f>
        <v>0</v>
      </c>
      <c r="P22" s="1776">
        <f>IFERROR(INDEX(#REF!,+MATCH($B22,#REF!,0)),0)</f>
        <v>0</v>
      </c>
      <c r="Q22" s="764">
        <f t="shared" si="0"/>
        <v>0</v>
      </c>
      <c r="R22" s="765"/>
    </row>
    <row r="23" spans="1:18">
      <c r="A23" s="1560" t="s">
        <v>924</v>
      </c>
      <c r="B23" s="1774" t="s">
        <v>934</v>
      </c>
      <c r="C23" s="1775"/>
      <c r="D23" s="1563">
        <f>IFERROR(INDEX(#REF!,+MATCH($B23,#REF!,0)),0)</f>
        <v>0</v>
      </c>
      <c r="E23" s="1563">
        <f>IFERROR(INDEX(#REF!,+MATCH($B23,#REF!,0)),0)</f>
        <v>0</v>
      </c>
      <c r="F23" s="1776">
        <f>IFERROR(INDEX(#REF!,+MATCH($B23,#REF!,0)),0)</f>
        <v>0</v>
      </c>
      <c r="G23" s="1776">
        <f>IFERROR(INDEX(#REF!,+MATCH($B23,#REF!,0)),0)</f>
        <v>0</v>
      </c>
      <c r="H23" s="1776">
        <f>IFERROR(INDEX(#REF!,+MATCH($B23,#REF!,0)),0)</f>
        <v>0</v>
      </c>
      <c r="I23" s="1776">
        <f>IFERROR(INDEX(#REF!,+MATCH($B23,#REF!,0)),0)</f>
        <v>0</v>
      </c>
      <c r="J23" s="1776">
        <f>IFERROR(INDEX(#REF!,+MATCH($B23,#REF!,0)),0)</f>
        <v>0</v>
      </c>
      <c r="K23" s="1776">
        <f>IFERROR(INDEX(#REF!,+MATCH($B23,#REF!,0)),0)</f>
        <v>0</v>
      </c>
      <c r="L23" s="1776">
        <f>IFERROR(INDEX(#REF!,+MATCH($B23,#REF!,0)),0)</f>
        <v>0</v>
      </c>
      <c r="M23" s="1776">
        <f>IFERROR(INDEX(#REF!,+MATCH($B23,#REF!,0)),0)</f>
        <v>0</v>
      </c>
      <c r="N23" s="1776">
        <f>IFERROR(INDEX(#REF!,+MATCH($B23,#REF!,0)),0)</f>
        <v>0</v>
      </c>
      <c r="O23" s="1776">
        <f>IFERROR(INDEX(#REF!,+MATCH($B23,#REF!,0)),0)</f>
        <v>0</v>
      </c>
      <c r="P23" s="1776">
        <f>IFERROR(INDEX(#REF!,+MATCH($B23,#REF!,0)),0)</f>
        <v>0</v>
      </c>
      <c r="Q23" s="764">
        <f t="shared" si="0"/>
        <v>0</v>
      </c>
      <c r="R23" s="765"/>
    </row>
    <row r="24" spans="1:18">
      <c r="A24" s="1560" t="s">
        <v>927</v>
      </c>
      <c r="B24" s="1774" t="s">
        <v>934</v>
      </c>
      <c r="C24" s="1775"/>
      <c r="D24" s="1777">
        <f>IFERROR(INDEX(#REF!,+MATCH($B24,#REF!,0)),0)</f>
        <v>0</v>
      </c>
      <c r="E24" s="1777">
        <f>IFERROR(INDEX(#REF!,+MATCH($B24,#REF!,0)),0)</f>
        <v>0</v>
      </c>
      <c r="F24" s="1778">
        <f>IFERROR(INDEX(#REF!,+MATCH($B24,#REF!,0)),0)</f>
        <v>0</v>
      </c>
      <c r="G24" s="1778">
        <f>IFERROR(INDEX(#REF!,+MATCH($B24,#REF!,0)),0)</f>
        <v>0</v>
      </c>
      <c r="H24" s="1778">
        <f>IFERROR(INDEX(#REF!,+MATCH($B24,#REF!,0)),0)</f>
        <v>0</v>
      </c>
      <c r="I24" s="1778">
        <f>IFERROR(INDEX(#REF!,+MATCH($B24,#REF!,0)),0)</f>
        <v>0</v>
      </c>
      <c r="J24" s="1778">
        <f>IFERROR(INDEX(#REF!,+MATCH($B24,#REF!,0)),0)</f>
        <v>0</v>
      </c>
      <c r="K24" s="1778">
        <f>IFERROR(INDEX(#REF!,+MATCH($B24,#REF!,0)),0)</f>
        <v>0</v>
      </c>
      <c r="L24" s="1778">
        <f>IFERROR(INDEX(#REF!,+MATCH($B24,#REF!,0)),0)</f>
        <v>0</v>
      </c>
      <c r="M24" s="1778">
        <f>IFERROR(INDEX(#REF!,+MATCH($B24,#REF!,0)),0)</f>
        <v>0</v>
      </c>
      <c r="N24" s="1778">
        <f>IFERROR(INDEX(#REF!,+MATCH($B24,#REF!,0)),0)</f>
        <v>0</v>
      </c>
      <c r="O24" s="1778">
        <f>IFERROR(INDEX(#REF!,+MATCH($B24,#REF!,0)),0)</f>
        <v>0</v>
      </c>
      <c r="P24" s="1778">
        <f>IFERROR(INDEX(#REF!,+MATCH($B24,#REF!,0)),0)</f>
        <v>0</v>
      </c>
      <c r="Q24" s="1180">
        <f t="shared" si="0"/>
        <v>0</v>
      </c>
      <c r="R24" s="765"/>
    </row>
    <row r="25" spans="1:18" s="768" customFormat="1">
      <c r="A25" s="1719">
        <f>+A7+1</f>
        <v>3</v>
      </c>
      <c r="B25" s="1722"/>
      <c r="C25" s="1722" t="str">
        <f>+"Total   Sum (Ln "&amp;A7&amp;" Subparts)"</f>
        <v>Total   Sum (Ln 2 Subparts)</v>
      </c>
      <c r="D25" s="1417">
        <f>SUM(D8:D24)</f>
        <v>-646777835.33000016</v>
      </c>
      <c r="E25" s="1417">
        <f t="shared" ref="E25:P25" si="2">SUM(E8:E24)</f>
        <v>-649212930.89999998</v>
      </c>
      <c r="F25" s="766">
        <f t="shared" si="2"/>
        <v>-640122536.97000003</v>
      </c>
      <c r="G25" s="766">
        <f t="shared" si="2"/>
        <v>-644478995.5200001</v>
      </c>
      <c r="H25" s="766">
        <f t="shared" si="2"/>
        <v>-642411342.95000017</v>
      </c>
      <c r="I25" s="766">
        <f t="shared" si="2"/>
        <v>-641436454.28999996</v>
      </c>
      <c r="J25" s="766">
        <f t="shared" si="2"/>
        <v>-642459215.78000009</v>
      </c>
      <c r="K25" s="766">
        <f t="shared" si="2"/>
        <v>-640364426.62</v>
      </c>
      <c r="L25" s="766">
        <f t="shared" si="2"/>
        <v>-640043516.93000007</v>
      </c>
      <c r="M25" s="766">
        <f t="shared" si="2"/>
        <v>-641600384.61000001</v>
      </c>
      <c r="N25" s="766">
        <f t="shared" si="2"/>
        <v>-644018149.50999999</v>
      </c>
      <c r="O25" s="766">
        <f t="shared" si="2"/>
        <v>-640207290.21000016</v>
      </c>
      <c r="P25" s="766">
        <f t="shared" si="2"/>
        <v>-642061385.00000012</v>
      </c>
      <c r="Q25" s="766">
        <f>SUM(Q8:Q24)</f>
        <v>-642707266.50923085</v>
      </c>
      <c r="R25" s="767"/>
    </row>
    <row r="26" spans="1:18" s="768" customFormat="1">
      <c r="A26" s="1723"/>
      <c r="B26" s="1416"/>
      <c r="C26" s="1416"/>
      <c r="D26" s="1724" t="s">
        <v>320</v>
      </c>
      <c r="E26" s="1416"/>
      <c r="P26" s="968" t="s">
        <v>320</v>
      </c>
    </row>
    <row r="27" spans="1:18">
      <c r="A27" s="1725" t="s">
        <v>299</v>
      </c>
      <c r="B27" s="1720"/>
      <c r="C27" s="1720"/>
      <c r="D27" s="1720"/>
      <c r="E27" s="1720"/>
    </row>
    <row r="28" spans="1:18" ht="13.2" customHeight="1">
      <c r="A28" s="1726" t="s">
        <v>167</v>
      </c>
      <c r="B28" s="2324" t="s">
        <v>948</v>
      </c>
      <c r="C28" s="2324"/>
      <c r="D28" s="2253"/>
      <c r="E28" s="2253"/>
      <c r="F28" s="2253"/>
      <c r="G28" s="2253"/>
      <c r="H28" s="2253"/>
      <c r="I28" s="2253"/>
      <c r="J28" s="2253"/>
      <c r="K28" s="2253"/>
      <c r="L28" s="2253"/>
      <c r="M28" s="2253"/>
      <c r="N28" s="2253"/>
      <c r="O28" s="2253"/>
      <c r="P28" s="2253"/>
      <c r="Q28" s="2253"/>
    </row>
    <row r="29" spans="1:18">
      <c r="A29" s="1724" t="s">
        <v>320</v>
      </c>
      <c r="B29" s="1416" t="s">
        <v>672</v>
      </c>
      <c r="C29" s="1416"/>
      <c r="D29" s="1720"/>
      <c r="E29" s="1720"/>
    </row>
    <row r="30" spans="1:18" s="2258" customFormat="1" ht="29.4" customHeight="1">
      <c r="A30" s="2257" t="s">
        <v>321</v>
      </c>
      <c r="B30" s="2345" t="s">
        <v>862</v>
      </c>
      <c r="C30" s="2345"/>
      <c r="D30" s="1075"/>
      <c r="E30" s="1075"/>
      <c r="F30" s="1075"/>
      <c r="G30" s="1075"/>
      <c r="H30" s="1075"/>
      <c r="I30" s="1075"/>
      <c r="J30" s="1075"/>
      <c r="K30" s="1075"/>
      <c r="L30" s="1075"/>
      <c r="M30" s="1075"/>
      <c r="N30" s="1075"/>
      <c r="O30" s="1075"/>
      <c r="P30" s="1075"/>
      <c r="Q30" s="1075"/>
    </row>
    <row r="213" spans="7:7">
      <c r="G213" s="768"/>
    </row>
  </sheetData>
  <mergeCells count="3">
    <mergeCell ref="Q6:Q7"/>
    <mergeCell ref="B30:C30"/>
    <mergeCell ref="B28:C28"/>
  </mergeCells>
  <printOptions horizontalCentered="1"/>
  <pageMargins left="0.5" right="0.5" top="0.7" bottom="0.7" header="0.3" footer="0.5"/>
  <pageSetup scale="90" fitToWidth="2" orientation="landscape" r:id="rId1"/>
  <headerFooter>
    <oddFooter>&amp;R&amp;A</oddFooter>
  </headerFooter>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3"/>
  <sheetViews>
    <sheetView workbookViewId="0">
      <selection activeCell="L6" sqref="L6"/>
    </sheetView>
  </sheetViews>
  <sheetFormatPr defaultColWidth="8.88671875" defaultRowHeight="13.2"/>
  <cols>
    <col min="1" max="1" width="3.44140625" style="496" customWidth="1"/>
    <col min="2" max="2" width="7.33203125" style="496" customWidth="1"/>
    <col min="3" max="3" width="13.33203125" style="496" customWidth="1"/>
    <col min="4" max="5" width="15.6640625" style="496" customWidth="1"/>
    <col min="6" max="6" width="14.6640625" style="496" customWidth="1"/>
    <col min="7" max="7" width="13.6640625" style="496" customWidth="1"/>
    <col min="8" max="8" width="12.109375" style="496" customWidth="1"/>
    <col min="9" max="9" width="16" style="496" bestFit="1" customWidth="1"/>
    <col min="10" max="10" width="16" style="496" customWidth="1"/>
    <col min="11" max="11" width="14.88671875" style="496" customWidth="1"/>
    <col min="12" max="12" width="8.88671875" style="496"/>
    <col min="13" max="13" width="18.44140625" style="496" bestFit="1" customWidth="1"/>
    <col min="14" max="16384" width="8.88671875" style="496"/>
  </cols>
  <sheetData>
    <row r="1" spans="1:20" s="170" customFormat="1">
      <c r="A1" s="2367" t="str">
        <f>+'MISO Cover'!C6</f>
        <v>Entergy Louisiana, LLC</v>
      </c>
      <c r="B1" s="2369"/>
      <c r="C1" s="2369"/>
      <c r="D1" s="2369"/>
      <c r="E1" s="2369"/>
      <c r="F1" s="2369"/>
      <c r="G1" s="2369"/>
      <c r="H1" s="2369"/>
      <c r="I1" s="2369"/>
      <c r="J1" s="2369"/>
      <c r="K1" s="2369"/>
      <c r="L1" s="1426"/>
      <c r="M1" s="1426"/>
      <c r="N1" s="1426"/>
      <c r="O1" s="1426"/>
      <c r="P1" s="1426"/>
      <c r="Q1" s="1426"/>
      <c r="R1" s="1426"/>
      <c r="S1" s="1426"/>
      <c r="T1" s="1426"/>
    </row>
    <row r="2" spans="1:20" s="170" customFormat="1">
      <c r="A2" s="2369" t="s">
        <v>1493</v>
      </c>
      <c r="B2" s="2369"/>
      <c r="C2" s="2369"/>
      <c r="D2" s="2369"/>
      <c r="E2" s="2369"/>
      <c r="F2" s="2369"/>
      <c r="G2" s="2369"/>
      <c r="H2" s="2369"/>
      <c r="I2" s="2369"/>
      <c r="J2" s="2369"/>
      <c r="K2" s="2369"/>
      <c r="L2" s="1427"/>
      <c r="M2" s="1427"/>
      <c r="N2" s="1427"/>
      <c r="O2" s="1427"/>
      <c r="P2" s="1427"/>
      <c r="Q2" s="1427"/>
      <c r="R2" s="1427"/>
      <c r="S2" s="1427"/>
      <c r="T2" s="1427"/>
    </row>
    <row r="3" spans="1:20">
      <c r="A3" s="2367" t="str">
        <f>+'MISO Cover'!K4</f>
        <v>For  the 12 Months Ended 12/31/2017</v>
      </c>
      <c r="B3" s="2369"/>
      <c r="C3" s="2369"/>
      <c r="D3" s="2369"/>
      <c r="E3" s="2369"/>
      <c r="F3" s="2369"/>
      <c r="G3" s="2369"/>
      <c r="H3" s="2369"/>
      <c r="I3" s="2369"/>
      <c r="J3" s="2369"/>
      <c r="K3" s="2369"/>
      <c r="L3" s="1426"/>
      <c r="M3" s="1426"/>
      <c r="N3" s="1426"/>
      <c r="O3" s="1426"/>
      <c r="P3" s="1426"/>
      <c r="Q3" s="1426"/>
    </row>
    <row r="4" spans="1:20">
      <c r="A4" s="1594"/>
      <c r="B4" s="1594"/>
      <c r="C4" s="1594"/>
      <c r="D4" s="1594"/>
      <c r="E4" s="1594"/>
      <c r="F4" s="1594"/>
      <c r="G4" s="1594"/>
      <c r="H4" s="1594"/>
      <c r="I4" s="1594"/>
      <c r="J4" s="1594"/>
      <c r="K4" s="1594"/>
      <c r="L4" s="1426"/>
      <c r="M4" s="1426"/>
      <c r="N4" s="1426"/>
      <c r="O4" s="1426"/>
      <c r="P4" s="1426"/>
      <c r="Q4" s="1426"/>
    </row>
    <row r="5" spans="1:20" s="40" customFormat="1">
      <c r="A5" s="1588" t="s">
        <v>67</v>
      </c>
      <c r="B5" s="1588" t="s">
        <v>114</v>
      </c>
      <c r="C5" s="1588" t="s">
        <v>55</v>
      </c>
      <c r="D5" s="1588" t="s">
        <v>68</v>
      </c>
      <c r="E5" s="1588" t="s">
        <v>66</v>
      </c>
      <c r="F5" s="1588" t="s">
        <v>1494</v>
      </c>
      <c r="G5" s="1588" t="s">
        <v>69</v>
      </c>
      <c r="H5" s="1588" t="s">
        <v>166</v>
      </c>
      <c r="I5" s="1588" t="s">
        <v>59</v>
      </c>
      <c r="J5" s="1588" t="s">
        <v>60</v>
      </c>
      <c r="K5" s="1588" t="s">
        <v>1495</v>
      </c>
      <c r="L5" s="179"/>
      <c r="M5" s="179"/>
      <c r="N5" s="179"/>
      <c r="O5" s="179"/>
      <c r="P5" s="179"/>
      <c r="Q5" s="179"/>
    </row>
    <row r="6" spans="1:20" s="170" customFormat="1">
      <c r="A6" s="1670"/>
      <c r="B6" s="1670"/>
      <c r="F6" s="1671"/>
      <c r="G6" s="1670"/>
      <c r="H6" s="1503"/>
      <c r="I6" s="1503"/>
      <c r="J6" s="1503"/>
      <c r="K6" s="1503"/>
      <c r="L6" s="1503"/>
      <c r="M6" s="1503"/>
    </row>
    <row r="7" spans="1:20">
      <c r="A7" s="170">
        <v>1</v>
      </c>
      <c r="B7" s="170" t="s">
        <v>466</v>
      </c>
      <c r="C7" s="2445" t="s">
        <v>1496</v>
      </c>
      <c r="D7" s="2446"/>
      <c r="E7" s="2446"/>
      <c r="F7" s="2447"/>
      <c r="G7" s="2445" t="s">
        <v>1497</v>
      </c>
      <c r="H7" s="2446"/>
      <c r="I7" s="2446"/>
      <c r="J7" s="2446"/>
      <c r="K7" s="2447"/>
    </row>
    <row r="8" spans="1:20" ht="92.4">
      <c r="A8" s="170">
        <f>+A7+1</f>
        <v>2</v>
      </c>
      <c r="B8" s="170"/>
      <c r="C8" s="1672" t="s">
        <v>1498</v>
      </c>
      <c r="D8" s="1672" t="s">
        <v>1928</v>
      </c>
      <c r="E8" s="1672" t="s">
        <v>1929</v>
      </c>
      <c r="F8" s="1672" t="s">
        <v>1499</v>
      </c>
      <c r="G8" s="1672" t="s">
        <v>1500</v>
      </c>
      <c r="H8" s="1672" t="s">
        <v>1501</v>
      </c>
      <c r="I8" s="1672" t="s">
        <v>1930</v>
      </c>
      <c r="J8" s="1672" t="s">
        <v>1931</v>
      </c>
      <c r="K8" s="1672" t="s">
        <v>1502</v>
      </c>
      <c r="M8" s="496" t="s">
        <v>1932</v>
      </c>
    </row>
    <row r="9" spans="1:20">
      <c r="A9" s="170">
        <f t="shared" ref="A9:A23" si="0">+A8+1</f>
        <v>3</v>
      </c>
      <c r="B9" s="1673"/>
      <c r="C9" s="1674" t="s">
        <v>167</v>
      </c>
      <c r="D9" s="1675"/>
      <c r="E9" s="1675"/>
      <c r="F9" s="1671"/>
      <c r="G9" s="1675"/>
      <c r="H9" s="1674" t="s">
        <v>320</v>
      </c>
      <c r="I9" s="1671"/>
      <c r="J9" s="1671"/>
      <c r="K9" s="170"/>
    </row>
    <row r="10" spans="1:20">
      <c r="A10" s="170">
        <f t="shared" si="0"/>
        <v>4</v>
      </c>
      <c r="B10" s="1676" t="s">
        <v>37</v>
      </c>
      <c r="C10" s="199">
        <v>-455085975</v>
      </c>
      <c r="D10" s="199">
        <v>686339420.88</v>
      </c>
      <c r="E10" s="199">
        <v>51659775.57</v>
      </c>
      <c r="F10" s="256">
        <f t="shared" ref="F10" si="1">C10+D10+E10</f>
        <v>282913221.44999999</v>
      </c>
      <c r="G10" s="199">
        <v>-232677</v>
      </c>
      <c r="H10" s="199">
        <v>-1901338.209999999</v>
      </c>
      <c r="I10" s="199">
        <v>174693.39000000004</v>
      </c>
      <c r="J10" s="199">
        <v>13148.6</v>
      </c>
      <c r="K10" s="74">
        <f>G10+H10+I10+J10</f>
        <v>-1946173.2199999988</v>
      </c>
    </row>
    <row r="11" spans="1:20">
      <c r="A11" s="170">
        <f t="shared" si="0"/>
        <v>5</v>
      </c>
      <c r="B11" s="1676" t="s">
        <v>27</v>
      </c>
      <c r="C11" s="199">
        <v>-437351149.99999988</v>
      </c>
      <c r="D11" s="199">
        <v>682509593</v>
      </c>
      <c r="E11" s="199">
        <v>51371509</v>
      </c>
      <c r="F11" s="256">
        <f t="shared" ref="F11:F22" si="2">C11+D11+E11</f>
        <v>296529952.00000012</v>
      </c>
      <c r="G11" s="199">
        <v>-232677</v>
      </c>
      <c r="H11" s="199">
        <v>-1885533.25</v>
      </c>
      <c r="I11" s="199">
        <v>164173</v>
      </c>
      <c r="J11" s="199">
        <v>12357</v>
      </c>
      <c r="K11" s="74">
        <f t="shared" ref="K11:K22" si="3">G11+H11+I11+J11</f>
        <v>-1941680.25</v>
      </c>
    </row>
    <row r="12" spans="1:20">
      <c r="A12" s="170">
        <f t="shared" si="0"/>
        <v>6</v>
      </c>
      <c r="B12" s="1676" t="s">
        <v>28</v>
      </c>
      <c r="C12" s="199">
        <v>-436923324.99999988</v>
      </c>
      <c r="D12" s="199">
        <v>678679765</v>
      </c>
      <c r="E12" s="199">
        <v>51083242</v>
      </c>
      <c r="F12" s="256">
        <f t="shared" si="2"/>
        <v>292839682.00000012</v>
      </c>
      <c r="G12" s="199">
        <v>-232677</v>
      </c>
      <c r="H12" s="199">
        <v>-1869728.2899999982</v>
      </c>
      <c r="I12" s="199">
        <v>153653</v>
      </c>
      <c r="J12" s="199">
        <v>11565</v>
      </c>
      <c r="K12" s="74">
        <f t="shared" si="3"/>
        <v>-1937187.2899999982</v>
      </c>
    </row>
    <row r="13" spans="1:20">
      <c r="A13" s="170">
        <f t="shared" si="0"/>
        <v>7</v>
      </c>
      <c r="B13" s="1676" t="s">
        <v>29</v>
      </c>
      <c r="C13" s="199">
        <v>-436211440</v>
      </c>
      <c r="D13" s="199">
        <v>674849937</v>
      </c>
      <c r="E13" s="199">
        <v>50794975</v>
      </c>
      <c r="F13" s="256">
        <f t="shared" si="2"/>
        <v>289433472</v>
      </c>
      <c r="G13" s="199">
        <v>-230007</v>
      </c>
      <c r="H13" s="199">
        <v>-1856593.3299999991</v>
      </c>
      <c r="I13" s="199">
        <v>143133</v>
      </c>
      <c r="J13" s="199">
        <v>10773</v>
      </c>
      <c r="K13" s="74">
        <f t="shared" si="3"/>
        <v>-1932694.3299999991</v>
      </c>
    </row>
    <row r="14" spans="1:20">
      <c r="A14" s="170">
        <f t="shared" si="0"/>
        <v>8</v>
      </c>
      <c r="B14" s="1676" t="s">
        <v>30</v>
      </c>
      <c r="C14" s="199">
        <v>-415855614.99999988</v>
      </c>
      <c r="D14" s="199">
        <v>671020109</v>
      </c>
      <c r="E14" s="199">
        <v>50506708</v>
      </c>
      <c r="F14" s="256">
        <f t="shared" si="2"/>
        <v>305671202.00000012</v>
      </c>
      <c r="G14" s="199">
        <v>-230007</v>
      </c>
      <c r="H14" s="199">
        <v>-1820224.4400000004</v>
      </c>
      <c r="I14" s="199">
        <v>132613</v>
      </c>
      <c r="J14" s="199">
        <v>9981</v>
      </c>
      <c r="K14" s="74">
        <f t="shared" si="3"/>
        <v>-1907637.4400000004</v>
      </c>
    </row>
    <row r="15" spans="1:20">
      <c r="A15" s="170">
        <f t="shared" si="0"/>
        <v>9</v>
      </c>
      <c r="B15" s="1676" t="s">
        <v>26</v>
      </c>
      <c r="C15" s="199">
        <v>-415427789.99999994</v>
      </c>
      <c r="D15" s="199">
        <v>667190281</v>
      </c>
      <c r="E15" s="199">
        <v>50218441</v>
      </c>
      <c r="F15" s="256">
        <f t="shared" si="2"/>
        <v>301980932.00000006</v>
      </c>
      <c r="G15" s="199">
        <v>-230007</v>
      </c>
      <c r="H15" s="199">
        <v>-1804419.4999999991</v>
      </c>
      <c r="I15" s="199">
        <v>122093</v>
      </c>
      <c r="J15" s="199">
        <v>9189</v>
      </c>
      <c r="K15" s="74">
        <f t="shared" si="3"/>
        <v>-1903144.4999999991</v>
      </c>
    </row>
    <row r="16" spans="1:20">
      <c r="A16" s="170">
        <f t="shared" si="0"/>
        <v>10</v>
      </c>
      <c r="B16" s="1676" t="s">
        <v>31</v>
      </c>
      <c r="C16" s="199">
        <v>-414999964.99999994</v>
      </c>
      <c r="D16" s="199">
        <v>663360453</v>
      </c>
      <c r="E16" s="199">
        <v>49930174</v>
      </c>
      <c r="F16" s="256">
        <f t="shared" si="2"/>
        <v>298290662.00000006</v>
      </c>
      <c r="G16" s="199">
        <v>-227337</v>
      </c>
      <c r="H16" s="199">
        <v>-1790947.5599999987</v>
      </c>
      <c r="I16" s="199">
        <v>111949</v>
      </c>
      <c r="J16" s="199">
        <v>8426</v>
      </c>
      <c r="K16" s="74">
        <f t="shared" si="3"/>
        <v>-1897909.5599999987</v>
      </c>
    </row>
    <row r="17" spans="1:11">
      <c r="A17" s="170">
        <f t="shared" si="0"/>
        <v>11</v>
      </c>
      <c r="B17" s="1676" t="s">
        <v>32</v>
      </c>
      <c r="C17" s="199">
        <v>-394644140.00000006</v>
      </c>
      <c r="D17" s="199">
        <v>659530625</v>
      </c>
      <c r="E17" s="199">
        <v>49641907</v>
      </c>
      <c r="F17" s="256">
        <f t="shared" si="2"/>
        <v>314528391.99999994</v>
      </c>
      <c r="G17" s="199">
        <v>-227337</v>
      </c>
      <c r="H17" s="199">
        <v>-1774805.62</v>
      </c>
      <c r="I17" s="199">
        <v>101805</v>
      </c>
      <c r="J17" s="199">
        <v>7663</v>
      </c>
      <c r="K17" s="74">
        <f t="shared" si="3"/>
        <v>-1892674.62</v>
      </c>
    </row>
    <row r="18" spans="1:11">
      <c r="A18" s="170">
        <f t="shared" si="0"/>
        <v>12</v>
      </c>
      <c r="B18" s="1676" t="s">
        <v>33</v>
      </c>
      <c r="C18" s="199">
        <v>-394216315</v>
      </c>
      <c r="D18" s="199">
        <v>655700797</v>
      </c>
      <c r="E18" s="199">
        <v>49353640</v>
      </c>
      <c r="F18" s="256">
        <f t="shared" si="2"/>
        <v>310838122</v>
      </c>
      <c r="G18" s="199">
        <v>-227337</v>
      </c>
      <c r="H18" s="199">
        <v>-1758663.6799999988</v>
      </c>
      <c r="I18" s="199">
        <v>91661</v>
      </c>
      <c r="J18" s="199">
        <v>6900</v>
      </c>
      <c r="K18" s="74">
        <f t="shared" si="3"/>
        <v>-1887439.6799999988</v>
      </c>
    </row>
    <row r="19" spans="1:11">
      <c r="A19" s="170">
        <f t="shared" si="0"/>
        <v>13</v>
      </c>
      <c r="B19" s="1676" t="s">
        <v>34</v>
      </c>
      <c r="C19" s="199">
        <v>-383242489.99999988</v>
      </c>
      <c r="D19" s="199">
        <v>651870969</v>
      </c>
      <c r="E19" s="199">
        <v>49065373</v>
      </c>
      <c r="F19" s="256">
        <f t="shared" si="2"/>
        <v>317693852.00000012</v>
      </c>
      <c r="G19" s="199">
        <v>-224667</v>
      </c>
      <c r="H19" s="199">
        <v>-1745053.7399999993</v>
      </c>
      <c r="I19" s="199">
        <v>81943</v>
      </c>
      <c r="J19" s="199">
        <v>6169</v>
      </c>
      <c r="K19" s="74">
        <f t="shared" si="3"/>
        <v>-1881608.7399999993</v>
      </c>
    </row>
    <row r="20" spans="1:11">
      <c r="A20" s="170">
        <f t="shared" si="0"/>
        <v>14</v>
      </c>
      <c r="B20" s="1676" t="s">
        <v>35</v>
      </c>
      <c r="C20" s="199">
        <v>-363304664.99999994</v>
      </c>
      <c r="D20" s="199">
        <v>648041141</v>
      </c>
      <c r="E20" s="199">
        <v>48777106</v>
      </c>
      <c r="F20" s="256">
        <f t="shared" si="2"/>
        <v>333513582.00000006</v>
      </c>
      <c r="G20" s="199">
        <v>-224667</v>
      </c>
      <c r="H20" s="199">
        <v>-1728773.7999999998</v>
      </c>
      <c r="I20" s="199">
        <v>72225</v>
      </c>
      <c r="J20" s="199">
        <v>5438</v>
      </c>
      <c r="K20" s="74">
        <f t="shared" si="3"/>
        <v>-1875777.7999999998</v>
      </c>
    </row>
    <row r="21" spans="1:11">
      <c r="A21" s="170">
        <f t="shared" si="0"/>
        <v>15</v>
      </c>
      <c r="B21" s="1676" t="s">
        <v>36</v>
      </c>
      <c r="C21" s="199">
        <v>-362876839.99999994</v>
      </c>
      <c r="D21" s="199">
        <v>644211313</v>
      </c>
      <c r="E21" s="199">
        <v>48488839</v>
      </c>
      <c r="F21" s="256">
        <f t="shared" si="2"/>
        <v>329823312.00000006</v>
      </c>
      <c r="G21" s="199">
        <v>-224667</v>
      </c>
      <c r="H21" s="199">
        <v>-1712493.8599999994</v>
      </c>
      <c r="I21" s="199">
        <v>62507</v>
      </c>
      <c r="J21" s="199">
        <v>4707</v>
      </c>
      <c r="K21" s="74">
        <f t="shared" si="3"/>
        <v>-1869946.8599999994</v>
      </c>
    </row>
    <row r="22" spans="1:11">
      <c r="A22" s="170">
        <f t="shared" si="0"/>
        <v>16</v>
      </c>
      <c r="B22" s="1676" t="s">
        <v>37</v>
      </c>
      <c r="C22" s="199">
        <v>-419958530.00000006</v>
      </c>
      <c r="D22" s="199">
        <v>701326078</v>
      </c>
      <c r="E22" s="199">
        <v>44765494</v>
      </c>
      <c r="F22" s="256">
        <f t="shared" si="2"/>
        <v>326133041.99999994</v>
      </c>
      <c r="G22" s="199">
        <v>-230899</v>
      </c>
      <c r="H22" s="199">
        <v>-1830556.8599999994</v>
      </c>
      <c r="I22" s="199">
        <v>166063</v>
      </c>
      <c r="J22" s="199">
        <v>10600</v>
      </c>
      <c r="K22" s="74">
        <f t="shared" si="3"/>
        <v>-1884792.8599999994</v>
      </c>
    </row>
    <row r="23" spans="1:11">
      <c r="A23" s="170">
        <f t="shared" si="0"/>
        <v>17</v>
      </c>
      <c r="B23" s="1676"/>
      <c r="C23" s="1677" t="s">
        <v>167</v>
      </c>
      <c r="D23" s="74"/>
      <c r="E23" s="74"/>
      <c r="F23" s="256"/>
      <c r="G23" s="74"/>
      <c r="H23" s="1677" t="s">
        <v>320</v>
      </c>
      <c r="I23" s="74"/>
      <c r="J23" s="74"/>
      <c r="K23" s="74"/>
    </row>
    <row r="24" spans="1:11" s="40" customFormat="1">
      <c r="A24" s="39">
        <f t="shared" ref="A24" si="4">A23+1</f>
        <v>18</v>
      </c>
      <c r="B24" s="1309" t="s">
        <v>1503</v>
      </c>
      <c r="C24" s="256"/>
      <c r="D24" s="256"/>
      <c r="E24" s="256"/>
      <c r="F24" s="256">
        <f>+SUM(F10:F22)/13</f>
        <v>307706878.88076925</v>
      </c>
      <c r="G24" s="256"/>
      <c r="H24" s="256"/>
      <c r="I24" s="256"/>
      <c r="J24" s="256"/>
      <c r="K24" s="256">
        <f>+SUM(K10:K22)/13</f>
        <v>-1904512.8576923073</v>
      </c>
    </row>
    <row r="25" spans="1:11" s="40" customFormat="1">
      <c r="A25" s="39"/>
      <c r="B25" s="39"/>
      <c r="C25" s="39"/>
      <c r="D25" s="39"/>
      <c r="E25" s="39"/>
      <c r="F25" s="39"/>
      <c r="G25" s="39"/>
      <c r="H25" s="39"/>
      <c r="I25" s="39"/>
      <c r="J25" s="39"/>
      <c r="K25" s="39"/>
    </row>
    <row r="26" spans="1:11" s="40" customFormat="1">
      <c r="A26" s="39" t="s">
        <v>299</v>
      </c>
      <c r="B26" s="39"/>
      <c r="C26" s="39"/>
      <c r="D26" s="39"/>
      <c r="E26" s="39"/>
      <c r="F26" s="39"/>
      <c r="G26" s="39"/>
      <c r="H26" s="39"/>
      <c r="I26" s="39"/>
      <c r="J26" s="39"/>
      <c r="K26" s="39"/>
    </row>
    <row r="27" spans="1:11" s="40" customFormat="1">
      <c r="A27" s="217" t="s">
        <v>167</v>
      </c>
      <c r="B27" s="39" t="s">
        <v>1504</v>
      </c>
      <c r="C27" s="39"/>
      <c r="D27" s="39"/>
      <c r="E27" s="39"/>
      <c r="F27" s="39"/>
      <c r="G27" s="39"/>
      <c r="H27" s="39"/>
      <c r="I27" s="39"/>
      <c r="J27" s="39"/>
      <c r="K27" s="39"/>
    </row>
    <row r="28" spans="1:11" s="40" customFormat="1">
      <c r="A28" s="217" t="s">
        <v>320</v>
      </c>
      <c r="B28" s="39" t="s">
        <v>1504</v>
      </c>
      <c r="C28" s="39"/>
      <c r="D28" s="39"/>
      <c r="E28" s="39"/>
      <c r="F28" s="39"/>
      <c r="G28" s="39"/>
      <c r="H28" s="39"/>
      <c r="I28" s="39"/>
      <c r="J28" s="39"/>
      <c r="K28" s="39"/>
    </row>
    <row r="29" spans="1:11" s="40" customFormat="1">
      <c r="A29" s="1541" t="s">
        <v>321</v>
      </c>
      <c r="B29" s="39" t="s">
        <v>1505</v>
      </c>
      <c r="C29" s="39"/>
      <c r="D29" s="39"/>
      <c r="E29" s="39"/>
      <c r="F29" s="39"/>
      <c r="G29" s="39"/>
      <c r="H29" s="39"/>
      <c r="I29" s="39"/>
      <c r="J29" s="39"/>
      <c r="K29" s="39"/>
    </row>
    <row r="213" spans="7:7">
      <c r="G213" s="170"/>
    </row>
  </sheetData>
  <mergeCells count="5">
    <mergeCell ref="A1:K1"/>
    <mergeCell ref="A2:K2"/>
    <mergeCell ref="A3:K3"/>
    <mergeCell ref="C7:F7"/>
    <mergeCell ref="G7:K7"/>
  </mergeCells>
  <pageMargins left="0.5" right="0.5" top="0.5" bottom="0.75" header="0.3" footer="0.5"/>
  <pageSetup scale="91" orientation="landscape" r:id="rId1"/>
  <headerFoot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zoomScaleNormal="100" workbookViewId="0">
      <selection activeCell="L6" sqref="L6"/>
    </sheetView>
  </sheetViews>
  <sheetFormatPr defaultColWidth="15.6640625" defaultRowHeight="13.2"/>
  <cols>
    <col min="1" max="1" width="6.109375" style="496" bestFit="1" customWidth="1"/>
    <col min="2" max="2" width="47.5546875" style="496" customWidth="1"/>
    <col min="3" max="4" width="12.6640625" style="496" customWidth="1"/>
    <col min="5" max="5" width="12.6640625" style="1791" customWidth="1"/>
    <col min="6" max="16384" width="15.6640625" style="496"/>
  </cols>
  <sheetData>
    <row r="1" spans="1:10">
      <c r="A1" s="2449" t="str">
        <f>+'MISO Cover'!C6</f>
        <v>Entergy Louisiana, LLC</v>
      </c>
      <c r="B1" s="2449"/>
      <c r="C1" s="2449"/>
      <c r="D1" s="2449"/>
      <c r="E1" s="2449"/>
    </row>
    <row r="2" spans="1:10">
      <c r="A2" s="2367" t="s">
        <v>1925</v>
      </c>
      <c r="B2" s="2367"/>
      <c r="C2" s="2367"/>
      <c r="D2" s="2367"/>
      <c r="E2" s="2367"/>
    </row>
    <row r="3" spans="1:10">
      <c r="A3" s="2450" t="str">
        <f>+'MISO Cover'!K4</f>
        <v>For  the 12 Months Ended 12/31/2017</v>
      </c>
      <c r="B3" s="2450"/>
      <c r="C3" s="2450"/>
      <c r="D3" s="2450"/>
      <c r="E3" s="2450"/>
    </row>
    <row r="4" spans="1:10">
      <c r="A4" s="170"/>
      <c r="B4" s="170"/>
      <c r="C4" s="170"/>
      <c r="E4" s="507"/>
    </row>
    <row r="5" spans="1:10">
      <c r="A5" s="1826" t="s">
        <v>67</v>
      </c>
      <c r="B5" s="1826" t="s">
        <v>114</v>
      </c>
      <c r="C5" s="1826" t="s">
        <v>55</v>
      </c>
      <c r="D5" s="1814" t="s">
        <v>68</v>
      </c>
      <c r="E5" s="1814" t="s">
        <v>66</v>
      </c>
      <c r="F5" s="496" t="s">
        <v>1958</v>
      </c>
    </row>
    <row r="6" spans="1:10">
      <c r="E6" s="507"/>
    </row>
    <row r="7" spans="1:10" ht="26.4">
      <c r="A7" s="1809" t="s">
        <v>280</v>
      </c>
      <c r="B7" s="1809" t="s">
        <v>112</v>
      </c>
      <c r="C7" s="1810" t="s">
        <v>1907</v>
      </c>
      <c r="D7" s="1810" t="s">
        <v>1908</v>
      </c>
      <c r="E7" s="1809" t="s">
        <v>144</v>
      </c>
    </row>
    <row r="9" spans="1:10" ht="24" customHeight="1">
      <c r="A9" s="1805">
        <v>1</v>
      </c>
      <c r="B9" s="507" t="s">
        <v>1909</v>
      </c>
      <c r="C9" s="243"/>
      <c r="D9" s="243"/>
      <c r="E9" s="1846"/>
      <c r="F9" s="1791"/>
    </row>
    <row r="10" spans="1:10">
      <c r="A10" s="1805">
        <f>A9+0.1</f>
        <v>1.1000000000000001</v>
      </c>
      <c r="B10" s="1806" t="s">
        <v>135</v>
      </c>
      <c r="C10" s="199">
        <f>+'WP22 Support '!E9</f>
        <v>-645267</v>
      </c>
      <c r="D10" s="243"/>
      <c r="E10" s="1846"/>
    </row>
    <row r="11" spans="1:10">
      <c r="A11" s="1805">
        <f>A10+0.1</f>
        <v>1.2000000000000002</v>
      </c>
      <c r="B11" s="1806" t="s">
        <v>189</v>
      </c>
      <c r="C11" s="243"/>
      <c r="D11" s="199">
        <f>+'WP22 Support '!E10</f>
        <v>-9653</v>
      </c>
      <c r="E11" s="1846"/>
    </row>
    <row r="12" spans="1:10">
      <c r="A12" s="1805">
        <f t="shared" ref="A12:A15" si="0">A11+0.1</f>
        <v>1.3000000000000003</v>
      </c>
      <c r="B12" s="1806" t="s">
        <v>414</v>
      </c>
      <c r="C12" s="243"/>
      <c r="D12" s="199">
        <f>+'WP22 Support '!E11</f>
        <v>0</v>
      </c>
      <c r="E12" s="1846"/>
    </row>
    <row r="13" spans="1:10" s="1791" customFormat="1">
      <c r="A13" s="1805">
        <f t="shared" si="0"/>
        <v>1.4000000000000004</v>
      </c>
      <c r="B13" s="1806" t="s">
        <v>1959</v>
      </c>
      <c r="C13" s="1846"/>
      <c r="D13" s="1846"/>
      <c r="E13" s="1846"/>
    </row>
    <row r="14" spans="1:10" s="1791" customFormat="1">
      <c r="A14" s="1805">
        <f t="shared" si="0"/>
        <v>1.5000000000000004</v>
      </c>
      <c r="B14" s="1808" t="s">
        <v>1067</v>
      </c>
      <c r="C14" s="199">
        <v>0</v>
      </c>
      <c r="D14" s="199">
        <v>0</v>
      </c>
      <c r="E14" s="199">
        <v>0</v>
      </c>
      <c r="F14" s="2448" t="s">
        <v>1960</v>
      </c>
      <c r="G14" s="2448"/>
      <c r="H14" s="2448"/>
      <c r="I14" s="2448"/>
      <c r="J14" s="2448"/>
    </row>
    <row r="15" spans="1:10" s="1791" customFormat="1">
      <c r="A15" s="1805">
        <f t="shared" si="0"/>
        <v>1.6000000000000005</v>
      </c>
      <c r="B15" s="1808" t="s">
        <v>319</v>
      </c>
      <c r="C15" s="199">
        <f>+'WP22 Support '!E42</f>
        <v>-6636225.4454321563</v>
      </c>
      <c r="D15" s="199">
        <f>+'WP22 Support '!E44</f>
        <v>-49868067.459254995</v>
      </c>
      <c r="E15" s="199">
        <f>+'WP22 Support '!E43</f>
        <v>29930819.735255174</v>
      </c>
      <c r="F15" s="2448" t="s">
        <v>1960</v>
      </c>
      <c r="G15" s="2448"/>
      <c r="H15" s="2448"/>
      <c r="I15" s="2448"/>
      <c r="J15" s="2448"/>
    </row>
    <row r="16" spans="1:10" s="1791" customFormat="1">
      <c r="A16" s="1847"/>
      <c r="B16" s="1848"/>
      <c r="C16" s="679"/>
      <c r="D16" s="679"/>
    </row>
    <row r="17" spans="1:10" s="679" customFormat="1" ht="30" customHeight="1">
      <c r="A17" s="1807">
        <f>A9+1</f>
        <v>2</v>
      </c>
      <c r="B17" s="1811" t="s">
        <v>1910</v>
      </c>
      <c r="E17" s="1849"/>
    </row>
    <row r="18" spans="1:10" ht="24" customHeight="1">
      <c r="A18" s="1805">
        <f>A17+1</f>
        <v>3</v>
      </c>
      <c r="B18" s="1812" t="s">
        <v>1911</v>
      </c>
    </row>
    <row r="19" spans="1:10">
      <c r="A19" s="1805">
        <f>A18+0.1</f>
        <v>3.1</v>
      </c>
      <c r="B19" s="1808" t="s">
        <v>135</v>
      </c>
      <c r="C19" s="199">
        <f>+'WP22 Support '!E16</f>
        <v>121961.07861599998</v>
      </c>
      <c r="D19" s="243"/>
    </row>
    <row r="20" spans="1:10">
      <c r="A20" s="1805">
        <f>A19+0.1</f>
        <v>3.2</v>
      </c>
      <c r="B20" s="1808" t="s">
        <v>189</v>
      </c>
      <c r="C20" s="243"/>
      <c r="D20" s="199">
        <f>+'WP22 Support '!E17</f>
        <v>22064.312711999999</v>
      </c>
    </row>
    <row r="21" spans="1:10">
      <c r="A21" s="1805">
        <f t="shared" ref="A21" si="1">A20+0.1</f>
        <v>3.3000000000000003</v>
      </c>
      <c r="B21" s="1808" t="s">
        <v>414</v>
      </c>
      <c r="C21" s="243"/>
      <c r="D21" s="199">
        <f>+'WP22 Support '!E18</f>
        <v>0</v>
      </c>
    </row>
    <row r="22" spans="1:10" ht="24" customHeight="1">
      <c r="A22" s="1805">
        <f>A18+1</f>
        <v>4</v>
      </c>
      <c r="B22" s="1812" t="s">
        <v>1927</v>
      </c>
      <c r="C22" s="243"/>
      <c r="D22" s="243"/>
    </row>
    <row r="23" spans="1:10">
      <c r="A23" s="1805">
        <f>A22+0.1</f>
        <v>4.0999999999999996</v>
      </c>
      <c r="B23" s="1808" t="s">
        <v>135</v>
      </c>
      <c r="C23" s="199">
        <f>+'WP22 Support '!E22</f>
        <v>631028.35983199999</v>
      </c>
      <c r="D23" s="243"/>
    </row>
    <row r="24" spans="1:10">
      <c r="A24" s="1805">
        <f>A23+0.1</f>
        <v>4.1999999999999993</v>
      </c>
      <c r="B24" s="1808" t="s">
        <v>189</v>
      </c>
      <c r="C24" s="243"/>
      <c r="D24" s="199">
        <f>+'WP22 Support '!E23</f>
        <v>152239.047376</v>
      </c>
    </row>
    <row r="25" spans="1:10">
      <c r="A25" s="1805">
        <f t="shared" ref="A25" si="2">A24+0.1</f>
        <v>4.2999999999999989</v>
      </c>
      <c r="B25" s="1808" t="s">
        <v>414</v>
      </c>
      <c r="C25" s="243"/>
      <c r="D25" s="199">
        <f>+'WP22 Support '!E24</f>
        <v>434717.25647999998</v>
      </c>
      <c r="E25" s="1850"/>
    </row>
    <row r="26" spans="1:10" ht="30" customHeight="1">
      <c r="A26" s="1805">
        <f>A22+1</f>
        <v>5</v>
      </c>
      <c r="B26" s="1813" t="s">
        <v>1912</v>
      </c>
      <c r="C26" s="1894"/>
      <c r="D26" s="1894"/>
      <c r="E26" s="1890"/>
    </row>
    <row r="27" spans="1:10">
      <c r="A27" s="1805">
        <f>A26+0.1</f>
        <v>5.0999999999999996</v>
      </c>
      <c r="B27" s="1808" t="s">
        <v>1996</v>
      </c>
      <c r="C27" s="501">
        <f>+C10+C14+C19+C23</f>
        <v>107722.438448</v>
      </c>
      <c r="D27" s="501">
        <f>+D11+D12+D14+D20+D21+D24+D25</f>
        <v>599367.61656800006</v>
      </c>
      <c r="E27" s="501">
        <f>+E14</f>
        <v>0</v>
      </c>
      <c r="F27" s="2448" t="s">
        <v>1961</v>
      </c>
      <c r="G27" s="2448"/>
      <c r="H27" s="2448"/>
      <c r="I27" s="2448"/>
      <c r="J27" s="2448"/>
    </row>
    <row r="28" spans="1:10">
      <c r="A28" s="1805">
        <f>A27+0.1</f>
        <v>5.1999999999999993</v>
      </c>
      <c r="B28" s="1808" t="s">
        <v>1994</v>
      </c>
      <c r="C28" s="501">
        <f>+C15</f>
        <v>-6636225.4454321563</v>
      </c>
      <c r="D28" s="501">
        <f>+D15</f>
        <v>-49868067.459254995</v>
      </c>
      <c r="E28" s="501">
        <f>+E15</f>
        <v>29930819.735255174</v>
      </c>
      <c r="F28" s="2448" t="s">
        <v>1961</v>
      </c>
      <c r="G28" s="2448"/>
      <c r="H28" s="2448"/>
      <c r="I28" s="2448"/>
      <c r="J28" s="2448"/>
    </row>
    <row r="29" spans="1:10">
      <c r="A29" s="1805"/>
    </row>
    <row r="30" spans="1:10">
      <c r="A30" s="1805"/>
    </row>
    <row r="31" spans="1:10">
      <c r="A31" s="496" t="s">
        <v>299</v>
      </c>
    </row>
    <row r="32" spans="1:10" ht="15" customHeight="1">
      <c r="A32" s="907" t="s">
        <v>167</v>
      </c>
      <c r="B32" s="496" t="s">
        <v>1913</v>
      </c>
    </row>
    <row r="33" spans="1:6" ht="42.6" customHeight="1">
      <c r="A33" s="907" t="s">
        <v>320</v>
      </c>
      <c r="B33" s="2368" t="s">
        <v>1914</v>
      </c>
      <c r="C33" s="2368"/>
      <c r="D33" s="2368"/>
      <c r="E33" s="2368"/>
    </row>
    <row r="34" spans="1:6" s="1792" customFormat="1" ht="30" customHeight="1">
      <c r="A34" s="907" t="s">
        <v>321</v>
      </c>
      <c r="B34" s="2368" t="s">
        <v>2004</v>
      </c>
      <c r="C34" s="2368"/>
      <c r="D34" s="2368"/>
      <c r="E34" s="2368"/>
      <c r="F34" s="1792" t="s">
        <v>1962</v>
      </c>
    </row>
    <row r="35" spans="1:6" s="1792" customFormat="1" ht="29.25" customHeight="1">
      <c r="A35" s="907" t="s">
        <v>322</v>
      </c>
      <c r="B35" s="2368" t="s">
        <v>1915</v>
      </c>
      <c r="C35" s="2368"/>
      <c r="D35" s="2368"/>
      <c r="E35" s="2368"/>
    </row>
    <row r="36" spans="1:6" s="1791" customFormat="1" ht="29.25" customHeight="1">
      <c r="A36" s="907" t="s">
        <v>323</v>
      </c>
      <c r="B36" s="2368" t="s">
        <v>1963</v>
      </c>
      <c r="C36" s="2368"/>
      <c r="D36" s="2368"/>
      <c r="E36" s="2368"/>
      <c r="F36" s="1792" t="s">
        <v>1964</v>
      </c>
    </row>
  </sheetData>
  <mergeCells count="11">
    <mergeCell ref="F27:J27"/>
    <mergeCell ref="A1:E1"/>
    <mergeCell ref="A2:E2"/>
    <mergeCell ref="A3:E3"/>
    <mergeCell ref="F14:J14"/>
    <mergeCell ref="F15:J15"/>
    <mergeCell ref="F28:J28"/>
    <mergeCell ref="B36:E36"/>
    <mergeCell ref="B34:E34"/>
    <mergeCell ref="B35:E35"/>
    <mergeCell ref="B33:E33"/>
  </mergeCells>
  <printOptions horizontalCentered="1"/>
  <pageMargins left="0.7" right="0.7" top="0.75" bottom="0.75" header="0.3" footer="0.5"/>
  <pageSetup orientation="portrait" r:id="rId1"/>
  <headerFooter>
    <oddFooter>&amp;R&amp;A</oddFooter>
  </headerFooter>
  <ignoredErrors>
    <ignoredError sqref="A22:A36"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21"/>
  <sheetViews>
    <sheetView topLeftCell="A21" zoomScaleNormal="100" workbookViewId="0">
      <pane ySplit="10356" topLeftCell="A45"/>
      <selection activeCell="L6" sqref="L6"/>
      <selection pane="bottomLeft" activeCell="L6" sqref="L6"/>
    </sheetView>
  </sheetViews>
  <sheetFormatPr defaultColWidth="9.109375" defaultRowHeight="12"/>
  <cols>
    <col min="1" max="1" width="4.6640625" style="1960" customWidth="1"/>
    <col min="2" max="2" width="5.109375" style="1949" customWidth="1"/>
    <col min="3" max="3" width="34.88671875" style="1949" bestFit="1" customWidth="1"/>
    <col min="4" max="4" width="13.33203125" style="1949" bestFit="1" customWidth="1"/>
    <col min="5" max="5" width="14.6640625" style="1949" bestFit="1" customWidth="1"/>
    <col min="6" max="6" width="13.33203125" style="1949" bestFit="1" customWidth="1"/>
    <col min="7" max="7" width="13" style="1949" customWidth="1"/>
    <col min="8" max="8" width="9.109375" style="1949"/>
    <col min="9" max="9" width="7.33203125" style="1949" customWidth="1"/>
    <col min="10" max="10" width="15" style="1949" bestFit="1" customWidth="1"/>
    <col min="11" max="15" width="14.109375" style="1949" customWidth="1"/>
    <col min="16" max="16" width="9.88671875" style="1949" bestFit="1" customWidth="1"/>
    <col min="17" max="16384" width="9.109375" style="1949"/>
  </cols>
  <sheetData>
    <row r="1" spans="1:21" s="496" customFormat="1" ht="13.2">
      <c r="A1" s="2449" t="str">
        <f>+'MISO Cover'!C6</f>
        <v>Entergy Louisiana, LLC</v>
      </c>
      <c r="B1" s="2449"/>
      <c r="C1" s="2449"/>
      <c r="D1" s="2449"/>
      <c r="E1" s="2449"/>
      <c r="F1" s="2449"/>
      <c r="G1" s="2449"/>
      <c r="I1" s="2453" t="str">
        <f>+'MISO Cover'!C6</f>
        <v>Entergy Louisiana, LLC</v>
      </c>
      <c r="J1" s="2453"/>
      <c r="K1" s="2453"/>
      <c r="L1" s="2453"/>
      <c r="M1" s="2453"/>
      <c r="N1" s="2453"/>
      <c r="O1" s="2453"/>
      <c r="P1" s="1341"/>
      <c r="Q1" s="1341"/>
      <c r="R1" s="1341"/>
      <c r="S1" s="1341"/>
      <c r="T1" s="1341"/>
      <c r="U1" s="1341"/>
    </row>
    <row r="2" spans="1:21" s="496" customFormat="1" ht="13.2">
      <c r="A2" s="2367" t="s">
        <v>1965</v>
      </c>
      <c r="B2" s="2367"/>
      <c r="C2" s="2367"/>
      <c r="D2" s="2367"/>
      <c r="E2" s="2367"/>
      <c r="F2" s="2367"/>
      <c r="G2" s="2367"/>
      <c r="I2" s="2454" t="s">
        <v>1997</v>
      </c>
      <c r="J2" s="2454"/>
      <c r="K2" s="2454"/>
      <c r="L2" s="2454"/>
      <c r="M2" s="2454"/>
      <c r="N2" s="2454"/>
      <c r="O2" s="2454"/>
      <c r="P2" s="1341"/>
      <c r="Q2" s="1341"/>
      <c r="R2" s="1341"/>
      <c r="S2" s="1341"/>
      <c r="T2" s="1341"/>
      <c r="U2" s="1341"/>
    </row>
    <row r="3" spans="1:21" s="496" customFormat="1" ht="13.2">
      <c r="A3" s="2450" t="str">
        <f>+'MISO Cover'!K4</f>
        <v>For  the 12 Months Ended 12/31/2017</v>
      </c>
      <c r="B3" s="2450"/>
      <c r="C3" s="2450"/>
      <c r="D3" s="2450"/>
      <c r="E3" s="2450"/>
      <c r="F3" s="2450"/>
      <c r="G3" s="2450"/>
      <c r="I3" s="2455" t="str">
        <f>+'MISO Cover'!K4</f>
        <v>For  the 12 Months Ended 12/31/2017</v>
      </c>
      <c r="J3" s="2455"/>
      <c r="K3" s="2455"/>
      <c r="L3" s="2455"/>
      <c r="M3" s="2455"/>
      <c r="N3" s="2455"/>
      <c r="O3" s="2455"/>
      <c r="P3" s="1341"/>
      <c r="Q3" s="1341"/>
      <c r="R3" s="1341"/>
      <c r="S3" s="1341"/>
      <c r="T3" s="1341"/>
      <c r="U3" s="1341"/>
    </row>
    <row r="4" spans="1:21" s="496" customFormat="1" ht="13.2">
      <c r="A4" s="1901"/>
      <c r="B4" s="1901"/>
      <c r="C4" s="1901"/>
      <c r="D4" s="1901"/>
      <c r="E4" s="1901"/>
      <c r="F4" s="1901"/>
      <c r="G4" s="1901"/>
      <c r="I4" s="2091"/>
      <c r="J4" s="2092"/>
      <c r="K4" s="2092"/>
      <c r="L4" s="2092"/>
      <c r="M4" s="2092"/>
      <c r="N4" s="2092"/>
      <c r="O4" s="2093"/>
      <c r="P4" s="1949"/>
      <c r="Q4" s="1949"/>
      <c r="R4" s="1949"/>
      <c r="S4" s="1949"/>
      <c r="T4" s="1949"/>
      <c r="U4" s="1949"/>
    </row>
    <row r="5" spans="1:21" s="1852" customFormat="1" ht="13.2">
      <c r="A5" s="1900" t="s">
        <v>67</v>
      </c>
      <c r="B5" s="1851" t="s">
        <v>114</v>
      </c>
      <c r="C5" s="1851"/>
      <c r="D5" s="1900" t="s">
        <v>55</v>
      </c>
      <c r="E5" s="1900" t="s">
        <v>68</v>
      </c>
      <c r="F5" s="1900" t="s">
        <v>66</v>
      </c>
      <c r="G5" s="2090" t="s">
        <v>2170</v>
      </c>
      <c r="I5" s="1950" t="s">
        <v>67</v>
      </c>
      <c r="J5" s="1950" t="s">
        <v>114</v>
      </c>
      <c r="K5" s="1950" t="s">
        <v>55</v>
      </c>
      <c r="L5" s="1950" t="s">
        <v>68</v>
      </c>
      <c r="M5" s="1950" t="s">
        <v>66</v>
      </c>
      <c r="N5" s="1950" t="s">
        <v>154</v>
      </c>
      <c r="O5" s="1951" t="s">
        <v>1967</v>
      </c>
      <c r="P5" s="1949"/>
      <c r="Q5" s="1949"/>
      <c r="R5" s="1949"/>
      <c r="S5" s="1949"/>
      <c r="T5" s="1949"/>
      <c r="U5" s="1949"/>
    </row>
    <row r="6" spans="1:21" s="507" customFormat="1" ht="33.6">
      <c r="A6" s="1829" t="s">
        <v>280</v>
      </c>
      <c r="B6" s="1853" t="s">
        <v>112</v>
      </c>
      <c r="C6" s="1853"/>
      <c r="D6" s="1829" t="s">
        <v>163</v>
      </c>
      <c r="E6" s="1829" t="s">
        <v>1435</v>
      </c>
      <c r="F6" s="1829" t="s">
        <v>1966</v>
      </c>
      <c r="G6" s="1829" t="s">
        <v>158</v>
      </c>
      <c r="I6" s="2094" t="s">
        <v>1968</v>
      </c>
      <c r="J6" s="2095" t="s">
        <v>1464</v>
      </c>
      <c r="K6" s="2095" t="s">
        <v>1969</v>
      </c>
      <c r="L6" s="2095" t="s">
        <v>135</v>
      </c>
      <c r="M6" s="2095" t="s">
        <v>157</v>
      </c>
      <c r="N6" s="2095" t="s">
        <v>142</v>
      </c>
      <c r="O6" s="2096" t="s">
        <v>113</v>
      </c>
      <c r="P6" s="1949"/>
      <c r="Q6" s="1949"/>
      <c r="R6" s="1949"/>
      <c r="S6" s="1949"/>
      <c r="T6" s="1949"/>
      <c r="U6" s="1949"/>
    </row>
    <row r="7" spans="1:21" s="496" customFormat="1" ht="13.2">
      <c r="A7" s="1898"/>
      <c r="B7" s="1854"/>
      <c r="C7" s="1827"/>
      <c r="D7" s="74"/>
      <c r="E7" s="74"/>
      <c r="F7" s="74"/>
      <c r="G7" s="74"/>
      <c r="I7" s="2097"/>
      <c r="J7" s="2098"/>
      <c r="K7" s="2098"/>
      <c r="L7" s="2098"/>
      <c r="M7" s="2098"/>
      <c r="N7" s="2098"/>
      <c r="O7" s="2099"/>
      <c r="P7" s="1952"/>
      <c r="Q7" s="1952"/>
      <c r="R7" s="1952"/>
      <c r="S7" s="1952"/>
      <c r="T7" s="1952"/>
      <c r="U7" s="1952"/>
    </row>
    <row r="8" spans="1:21" s="496" customFormat="1" ht="13.2">
      <c r="A8" s="1898">
        <v>1</v>
      </c>
      <c r="B8" s="1855" t="s">
        <v>1985</v>
      </c>
      <c r="C8" s="170"/>
      <c r="D8" s="256"/>
      <c r="E8" s="1953"/>
      <c r="F8" s="256"/>
      <c r="G8" s="256"/>
      <c r="I8" s="2097">
        <v>1</v>
      </c>
      <c r="J8" s="2100" t="s">
        <v>2169</v>
      </c>
      <c r="K8" s="2101">
        <f>'WP06 Support 2'!T13</f>
        <v>29959286.556691036</v>
      </c>
      <c r="L8" s="2101">
        <f>'WP06 Support 2'!U13</f>
        <v>-4063433.0122282356</v>
      </c>
      <c r="M8" s="2101">
        <f>'WP06 Support 2'!V13</f>
        <v>29930819.735255174</v>
      </c>
      <c r="N8" s="2101">
        <f>'WP06 Support 2'!W13</f>
        <v>-49364177.270472273</v>
      </c>
      <c r="O8" s="1857">
        <f>SUM(K8:N8)</f>
        <v>6462496.0092457011</v>
      </c>
      <c r="P8" s="1949"/>
      <c r="Q8" s="1949"/>
      <c r="R8" s="1949"/>
      <c r="S8" s="1949"/>
      <c r="T8" s="1949"/>
      <c r="U8" s="1949"/>
    </row>
    <row r="9" spans="1:21" s="496" customFormat="1" ht="13.2">
      <c r="A9" s="1898">
        <f t="shared" ref="A9:A45" si="0">A8+1</f>
        <v>2</v>
      </c>
      <c r="B9" s="1856"/>
      <c r="C9" s="1427" t="s">
        <v>135</v>
      </c>
      <c r="D9" s="1857">
        <v>4176922</v>
      </c>
      <c r="E9" s="1857">
        <v>-645267</v>
      </c>
      <c r="F9" s="1857">
        <v>0</v>
      </c>
      <c r="G9" s="74">
        <f>+D9+E9+F9</f>
        <v>3531655</v>
      </c>
      <c r="H9" s="1955"/>
      <c r="I9" s="2102"/>
      <c r="J9" s="2103"/>
      <c r="K9" s="2104"/>
      <c r="L9" s="2104"/>
      <c r="M9" s="2104"/>
      <c r="N9" s="2104"/>
      <c r="O9" s="2104"/>
      <c r="P9" s="1949"/>
      <c r="Q9" s="1949"/>
      <c r="R9" s="1949"/>
      <c r="S9" s="1949"/>
      <c r="T9" s="1949"/>
      <c r="U9" s="1949"/>
    </row>
    <row r="10" spans="1:21" s="496" customFormat="1" ht="13.2">
      <c r="A10" s="1898">
        <f t="shared" si="0"/>
        <v>3</v>
      </c>
      <c r="B10" s="1856"/>
      <c r="C10" s="1827" t="s">
        <v>1970</v>
      </c>
      <c r="D10" s="1857">
        <v>694336</v>
      </c>
      <c r="E10" s="1857">
        <v>-9653</v>
      </c>
      <c r="F10" s="1857"/>
      <c r="G10" s="74">
        <f t="shared" ref="G10:G11" si="1">+D10+E10+F10</f>
        <v>684683</v>
      </c>
      <c r="I10" s="2097">
        <f>+I8+1</f>
        <v>2</v>
      </c>
      <c r="J10" s="2100" t="s">
        <v>1972</v>
      </c>
      <c r="K10" s="2105">
        <f>-K8/12</f>
        <v>-2496607.2130575865</v>
      </c>
      <c r="L10" s="2105">
        <f t="shared" ref="L10:N10" si="2">-L8/12</f>
        <v>338619.41768568632</v>
      </c>
      <c r="M10" s="2105">
        <f t="shared" si="2"/>
        <v>-2494234.9779379312</v>
      </c>
      <c r="N10" s="2105">
        <f t="shared" si="2"/>
        <v>4113681.4392060228</v>
      </c>
      <c r="O10" s="2105">
        <f>-O8/12</f>
        <v>-538541.33410380839</v>
      </c>
      <c r="P10" s="1949"/>
      <c r="Q10" s="1949"/>
      <c r="R10" s="1949"/>
      <c r="S10" s="1949"/>
      <c r="T10" s="1949"/>
      <c r="U10" s="1949"/>
    </row>
    <row r="11" spans="1:21" s="496" customFormat="1" ht="13.2">
      <c r="A11" s="1898">
        <f t="shared" si="0"/>
        <v>4</v>
      </c>
      <c r="B11" s="1856"/>
      <c r="C11" s="1827" t="s">
        <v>414</v>
      </c>
      <c r="D11" s="1891">
        <v>0</v>
      </c>
      <c r="E11" s="1891">
        <v>0</v>
      </c>
      <c r="F11" s="1891">
        <v>0</v>
      </c>
      <c r="G11" s="535">
        <f t="shared" si="1"/>
        <v>0</v>
      </c>
      <c r="I11" s="2097">
        <f t="shared" ref="I11:I13" si="3">+I10+1</f>
        <v>3</v>
      </c>
      <c r="J11" s="2100" t="s">
        <v>1973</v>
      </c>
      <c r="K11" s="2105"/>
      <c r="L11" s="2105"/>
      <c r="M11" s="2105"/>
      <c r="N11" s="2105"/>
      <c r="O11" s="2105"/>
      <c r="P11" s="1949"/>
      <c r="Q11" s="1858" t="s">
        <v>1971</v>
      </c>
      <c r="R11" s="1949"/>
      <c r="S11" s="1949"/>
      <c r="T11" s="1949"/>
      <c r="U11" s="1949"/>
    </row>
    <row r="12" spans="1:21" s="496" customFormat="1" ht="13.2">
      <c r="A12" s="1898">
        <f t="shared" si="0"/>
        <v>5</v>
      </c>
      <c r="B12" s="1856"/>
      <c r="C12" s="1892" t="str">
        <f>+"Subtotal Sum of Ln "&amp;A9&amp;" Thru Ln "&amp;A11</f>
        <v>Subtotal Sum of Ln 2 Thru Ln 4</v>
      </c>
      <c r="D12" s="256">
        <f>SUM(D9:D11)</f>
        <v>4871258</v>
      </c>
      <c r="E12" s="256">
        <f t="shared" ref="E12:G12" si="4">SUM(E9:E11)</f>
        <v>-654920</v>
      </c>
      <c r="F12" s="256">
        <f t="shared" si="4"/>
        <v>0</v>
      </c>
      <c r="G12" s="256">
        <f t="shared" si="4"/>
        <v>4216338</v>
      </c>
      <c r="I12" s="2097">
        <f t="shared" si="3"/>
        <v>4</v>
      </c>
      <c r="J12" s="2106">
        <v>43070</v>
      </c>
      <c r="K12" s="2105">
        <f>+K$8</f>
        <v>29959286.556691036</v>
      </c>
      <c r="L12" s="2105">
        <f t="shared" ref="L12:O17" si="5">+L$8</f>
        <v>-4063433.0122282356</v>
      </c>
      <c r="M12" s="2105">
        <f t="shared" si="5"/>
        <v>29930819.735255174</v>
      </c>
      <c r="N12" s="2105">
        <f t="shared" si="5"/>
        <v>-49364177.270472273</v>
      </c>
      <c r="O12" s="2105">
        <f t="shared" si="5"/>
        <v>6462496.0092457011</v>
      </c>
      <c r="P12" s="1949"/>
      <c r="Q12" s="1949"/>
      <c r="R12" s="1949"/>
      <c r="S12" s="1949"/>
      <c r="T12" s="1949"/>
      <c r="U12" s="1949"/>
    </row>
    <row r="13" spans="1:21" s="496" customFormat="1" ht="13.2">
      <c r="A13" s="1898">
        <f t="shared" si="0"/>
        <v>6</v>
      </c>
      <c r="I13" s="2097">
        <f t="shared" si="3"/>
        <v>5</v>
      </c>
      <c r="J13" s="2106">
        <v>43101</v>
      </c>
      <c r="K13" s="2105">
        <f t="shared" ref="K13:K17" si="6">+K$8</f>
        <v>29959286.556691036</v>
      </c>
      <c r="L13" s="2105">
        <f t="shared" si="5"/>
        <v>-4063433.0122282356</v>
      </c>
      <c r="M13" s="2105">
        <f t="shared" si="5"/>
        <v>29930819.735255174</v>
      </c>
      <c r="N13" s="2105">
        <f t="shared" si="5"/>
        <v>-49364177.270472273</v>
      </c>
      <c r="O13" s="2105">
        <f t="shared" si="5"/>
        <v>6462496.0092457011</v>
      </c>
      <c r="P13" s="1949"/>
      <c r="Q13" s="1949"/>
      <c r="R13" s="1949"/>
      <c r="S13" s="1949"/>
      <c r="T13" s="1949"/>
      <c r="U13" s="1949"/>
    </row>
    <row r="14" spans="1:21" s="496" customFormat="1" ht="13.2">
      <c r="A14" s="1898">
        <f t="shared" si="0"/>
        <v>7</v>
      </c>
      <c r="B14" s="1341" t="s">
        <v>1974</v>
      </c>
      <c r="C14" s="1841"/>
      <c r="D14" s="1956"/>
      <c r="E14" s="1956"/>
      <c r="F14" s="1956"/>
      <c r="G14" s="505"/>
      <c r="I14" s="2097">
        <f t="shared" ref="I14:I30" si="7">I13+1</f>
        <v>6</v>
      </c>
      <c r="J14" s="2106">
        <v>43132</v>
      </c>
      <c r="K14" s="2105">
        <f t="shared" si="6"/>
        <v>29959286.556691036</v>
      </c>
      <c r="L14" s="2105">
        <f t="shared" si="5"/>
        <v>-4063433.0122282356</v>
      </c>
      <c r="M14" s="2105">
        <f t="shared" si="5"/>
        <v>29930819.735255174</v>
      </c>
      <c r="N14" s="2105">
        <f t="shared" si="5"/>
        <v>-49364177.270472273</v>
      </c>
      <c r="O14" s="2105">
        <f t="shared" si="5"/>
        <v>6462496.0092457011</v>
      </c>
      <c r="P14" s="1949"/>
      <c r="Q14" s="1949"/>
      <c r="R14" s="1949"/>
      <c r="S14" s="1949"/>
      <c r="T14" s="1949"/>
      <c r="U14" s="1949"/>
    </row>
    <row r="15" spans="1:21" s="496" customFormat="1" ht="13.2">
      <c r="A15" s="1898">
        <f t="shared" si="0"/>
        <v>8</v>
      </c>
      <c r="B15" s="1856" t="s">
        <v>1975</v>
      </c>
      <c r="C15" s="1856"/>
      <c r="D15" s="74"/>
      <c r="E15" s="74"/>
      <c r="F15" s="74"/>
      <c r="G15" s="74"/>
      <c r="I15" s="2097">
        <f t="shared" si="7"/>
        <v>7</v>
      </c>
      <c r="J15" s="2106">
        <v>43160</v>
      </c>
      <c r="K15" s="2105">
        <f t="shared" si="6"/>
        <v>29959286.556691036</v>
      </c>
      <c r="L15" s="2105">
        <f t="shared" si="5"/>
        <v>-4063433.0122282356</v>
      </c>
      <c r="M15" s="2105">
        <f t="shared" si="5"/>
        <v>29930819.735255174</v>
      </c>
      <c r="N15" s="2105">
        <f t="shared" si="5"/>
        <v>-49364177.270472273</v>
      </c>
      <c r="O15" s="2105">
        <f t="shared" si="5"/>
        <v>6462496.0092457011</v>
      </c>
      <c r="P15" s="1949"/>
      <c r="Q15" s="1949"/>
      <c r="R15" s="1949"/>
      <c r="S15" s="1949"/>
      <c r="T15" s="1949"/>
      <c r="U15" s="1949"/>
    </row>
    <row r="16" spans="1:21" s="496" customFormat="1" ht="13.2">
      <c r="A16" s="1898">
        <f t="shared" si="0"/>
        <v>9</v>
      </c>
      <c r="B16" s="1854"/>
      <c r="C16" s="1827" t="s">
        <v>135</v>
      </c>
      <c r="D16" s="1859">
        <v>-1494605.0354559999</v>
      </c>
      <c r="E16" s="1859">
        <v>121961.07861599998</v>
      </c>
      <c r="F16" s="1859">
        <v>0</v>
      </c>
      <c r="G16" s="74">
        <f t="shared" ref="G16:G18" si="8">+D16+E16+F16</f>
        <v>-1372643.9568399999</v>
      </c>
      <c r="I16" s="2097">
        <f t="shared" si="7"/>
        <v>8</v>
      </c>
      <c r="J16" s="2106">
        <v>43191</v>
      </c>
      <c r="K16" s="2105">
        <f t="shared" si="6"/>
        <v>29959286.556691036</v>
      </c>
      <c r="L16" s="2105">
        <f t="shared" si="5"/>
        <v>-4063433.0122282356</v>
      </c>
      <c r="M16" s="2105">
        <f t="shared" si="5"/>
        <v>29930819.735255174</v>
      </c>
      <c r="N16" s="2105">
        <f t="shared" si="5"/>
        <v>-49364177.270472273</v>
      </c>
      <c r="O16" s="2105">
        <f t="shared" si="5"/>
        <v>6462496.0092457011</v>
      </c>
      <c r="P16" s="1949"/>
      <c r="Q16" s="1949"/>
      <c r="R16" s="1949"/>
      <c r="S16" s="1949"/>
      <c r="T16" s="1949"/>
      <c r="U16" s="1949"/>
    </row>
    <row r="17" spans="1:21" s="496" customFormat="1" ht="13.2">
      <c r="A17" s="1898">
        <f t="shared" si="0"/>
        <v>10</v>
      </c>
      <c r="B17" s="1854"/>
      <c r="C17" s="1827" t="s">
        <v>1970</v>
      </c>
      <c r="D17" s="1859">
        <v>-159070.86738399998</v>
      </c>
      <c r="E17" s="1859">
        <v>22064.312711999999</v>
      </c>
      <c r="F17" s="1859">
        <v>0</v>
      </c>
      <c r="G17" s="74">
        <f t="shared" si="8"/>
        <v>-137006.554672</v>
      </c>
      <c r="I17" s="2097">
        <f t="shared" si="7"/>
        <v>9</v>
      </c>
      <c r="J17" s="2106">
        <v>43221</v>
      </c>
      <c r="K17" s="2105">
        <f t="shared" si="6"/>
        <v>29959286.556691036</v>
      </c>
      <c r="L17" s="2105">
        <f t="shared" si="5"/>
        <v>-4063433.0122282356</v>
      </c>
      <c r="M17" s="2105">
        <f t="shared" si="5"/>
        <v>29930819.735255174</v>
      </c>
      <c r="N17" s="2105">
        <f t="shared" si="5"/>
        <v>-49364177.270472273</v>
      </c>
      <c r="O17" s="2105">
        <f t="shared" si="5"/>
        <v>6462496.0092457011</v>
      </c>
      <c r="P17" s="1949"/>
      <c r="Q17" s="1949"/>
      <c r="R17" s="1949"/>
      <c r="S17" s="1949"/>
      <c r="T17" s="1949"/>
      <c r="U17" s="1949"/>
    </row>
    <row r="18" spans="1:21" s="496" customFormat="1" ht="13.2">
      <c r="A18" s="1898">
        <f t="shared" si="0"/>
        <v>11</v>
      </c>
      <c r="B18" s="1854"/>
      <c r="C18" s="1827" t="s">
        <v>414</v>
      </c>
      <c r="D18" s="1891">
        <v>0</v>
      </c>
      <c r="E18" s="1891">
        <v>0</v>
      </c>
      <c r="F18" s="1891">
        <v>0</v>
      </c>
      <c r="G18" s="535">
        <f t="shared" si="8"/>
        <v>0</v>
      </c>
      <c r="I18" s="2097">
        <f t="shared" si="7"/>
        <v>10</v>
      </c>
      <c r="J18" s="2106">
        <v>43252</v>
      </c>
      <c r="K18" s="2105">
        <f t="shared" ref="K18:N29" si="9">+K17+K$10</f>
        <v>27462679.343633451</v>
      </c>
      <c r="L18" s="2105">
        <f t="shared" si="9"/>
        <v>-3724813.5945425495</v>
      </c>
      <c r="M18" s="2105">
        <f t="shared" si="9"/>
        <v>27436584.757317245</v>
      </c>
      <c r="N18" s="2105">
        <f t="shared" si="9"/>
        <v>-45250495.831266254</v>
      </c>
      <c r="O18" s="2107">
        <f>SUM(K18:N18)</f>
        <v>5923954.6751418933</v>
      </c>
      <c r="P18" s="1949"/>
      <c r="Q18" s="1949"/>
      <c r="R18" s="1949"/>
      <c r="S18" s="1949"/>
      <c r="T18" s="1949"/>
      <c r="U18" s="1949"/>
    </row>
    <row r="19" spans="1:21" s="496" customFormat="1" ht="13.2">
      <c r="A19" s="1898">
        <f t="shared" si="0"/>
        <v>12</v>
      </c>
      <c r="B19" s="1854"/>
      <c r="C19" s="1892" t="str">
        <f>+"Subtotal Sum of Ln "&amp;A16&amp;" Thru Ln "&amp;A18</f>
        <v>Subtotal Sum of Ln 9 Thru Ln 11</v>
      </c>
      <c r="D19" s="256">
        <f>SUM(D16:D18)</f>
        <v>-1653675.9028399999</v>
      </c>
      <c r="E19" s="256">
        <f t="shared" ref="E19:G19" si="10">SUM(E16:E18)</f>
        <v>144025.391328</v>
      </c>
      <c r="F19" s="256">
        <f t="shared" si="10"/>
        <v>0</v>
      </c>
      <c r="G19" s="256">
        <f t="shared" si="10"/>
        <v>-1509650.5115119999</v>
      </c>
      <c r="I19" s="2097">
        <f t="shared" si="7"/>
        <v>11</v>
      </c>
      <c r="J19" s="2106">
        <v>43282</v>
      </c>
      <c r="K19" s="2105">
        <f t="shared" si="9"/>
        <v>24966072.130575866</v>
      </c>
      <c r="L19" s="2105">
        <f t="shared" si="9"/>
        <v>-3386194.1768568633</v>
      </c>
      <c r="M19" s="2105">
        <f t="shared" si="9"/>
        <v>24942349.779379316</v>
      </c>
      <c r="N19" s="2105">
        <f t="shared" si="9"/>
        <v>-41136814.392060235</v>
      </c>
      <c r="O19" s="2107">
        <f t="shared" ref="O19:O26" si="11">SUM(K19:N19)</f>
        <v>5385413.3410380781</v>
      </c>
      <c r="P19" s="1949"/>
      <c r="Q19" s="1949"/>
      <c r="R19" s="1949"/>
      <c r="S19" s="1949"/>
      <c r="T19" s="1949"/>
      <c r="U19" s="1949"/>
    </row>
    <row r="20" spans="1:21" s="496" customFormat="1" ht="13.2">
      <c r="A20" s="1898">
        <f t="shared" si="0"/>
        <v>13</v>
      </c>
      <c r="B20" s="1854"/>
      <c r="C20" s="1854"/>
      <c r="D20" s="74"/>
      <c r="E20" s="74"/>
      <c r="F20" s="74"/>
      <c r="G20" s="74"/>
      <c r="I20" s="2097">
        <f t="shared" si="7"/>
        <v>12</v>
      </c>
      <c r="J20" s="2106">
        <v>43313</v>
      </c>
      <c r="K20" s="2105">
        <f t="shared" si="9"/>
        <v>22469464.91751828</v>
      </c>
      <c r="L20" s="2105">
        <f t="shared" si="9"/>
        <v>-3047574.7591711772</v>
      </c>
      <c r="M20" s="2105">
        <f t="shared" si="9"/>
        <v>22448114.801441386</v>
      </c>
      <c r="N20" s="2105">
        <f t="shared" si="9"/>
        <v>-37023132.952854216</v>
      </c>
      <c r="O20" s="2107">
        <f t="shared" si="11"/>
        <v>4846872.0069342703</v>
      </c>
      <c r="P20" s="1949"/>
      <c r="Q20" s="1949"/>
      <c r="R20" s="1949"/>
      <c r="S20" s="1949"/>
      <c r="T20" s="1949"/>
      <c r="U20" s="1949"/>
    </row>
    <row r="21" spans="1:21" s="496" customFormat="1" ht="13.2">
      <c r="A21" s="1898">
        <f t="shared" si="0"/>
        <v>14</v>
      </c>
      <c r="B21" s="1856" t="s">
        <v>1976</v>
      </c>
      <c r="C21" s="1854"/>
      <c r="D21" s="74"/>
      <c r="E21" s="74"/>
      <c r="F21" s="74"/>
      <c r="G21" s="74"/>
      <c r="I21" s="2097">
        <f t="shared" si="7"/>
        <v>13</v>
      </c>
      <c r="J21" s="2106">
        <v>43344</v>
      </c>
      <c r="K21" s="2105">
        <f t="shared" si="9"/>
        <v>19972857.704460695</v>
      </c>
      <c r="L21" s="2105">
        <f t="shared" si="9"/>
        <v>-2708955.341485491</v>
      </c>
      <c r="M21" s="2105">
        <f t="shared" si="9"/>
        <v>19953879.823503457</v>
      </c>
      <c r="N21" s="2105">
        <f t="shared" si="9"/>
        <v>-32909451.513648193</v>
      </c>
      <c r="O21" s="2107">
        <f t="shared" si="11"/>
        <v>4308330.6728304662</v>
      </c>
      <c r="P21" s="1949"/>
      <c r="Q21" s="1949"/>
      <c r="R21" s="1949"/>
      <c r="S21" s="1949"/>
      <c r="T21" s="1949"/>
      <c r="U21" s="1949"/>
    </row>
    <row r="22" spans="1:21" s="496" customFormat="1" ht="13.2">
      <c r="A22" s="1898">
        <f t="shared" si="0"/>
        <v>15</v>
      </c>
      <c r="B22" s="1854"/>
      <c r="C22" s="1827" t="s">
        <v>135</v>
      </c>
      <c r="D22" s="1859">
        <v>-22564347.652080003</v>
      </c>
      <c r="E22" s="1859">
        <v>631028.35983199999</v>
      </c>
      <c r="F22" s="1859">
        <v>-826101.88481599989</v>
      </c>
      <c r="G22" s="74">
        <f t="shared" ref="G22:G24" si="12">+D22+E22+F22</f>
        <v>-22759421.177064002</v>
      </c>
      <c r="I22" s="2097">
        <f t="shared" si="7"/>
        <v>14</v>
      </c>
      <c r="J22" s="2106">
        <v>43374</v>
      </c>
      <c r="K22" s="2105">
        <f t="shared" si="9"/>
        <v>17476250.49140311</v>
      </c>
      <c r="L22" s="2105">
        <f t="shared" si="9"/>
        <v>-2370335.9237998049</v>
      </c>
      <c r="M22" s="2105">
        <f t="shared" si="9"/>
        <v>17459644.845565528</v>
      </c>
      <c r="N22" s="2105">
        <f t="shared" si="9"/>
        <v>-28795770.074442171</v>
      </c>
      <c r="O22" s="2107">
        <f t="shared" si="11"/>
        <v>3769789.3387266621</v>
      </c>
      <c r="P22" s="1949"/>
      <c r="Q22" s="1949"/>
      <c r="R22" s="1949"/>
      <c r="S22" s="1949"/>
      <c r="T22" s="1949"/>
      <c r="U22" s="1949"/>
    </row>
    <row r="23" spans="1:21" s="496" customFormat="1" ht="13.2">
      <c r="A23" s="1898">
        <f t="shared" si="0"/>
        <v>16</v>
      </c>
      <c r="B23" s="1854"/>
      <c r="C23" s="1827" t="s">
        <v>1970</v>
      </c>
      <c r="D23" s="1859">
        <v>-1957418.2946239999</v>
      </c>
      <c r="E23" s="1859">
        <v>152239.047376</v>
      </c>
      <c r="F23" s="1859">
        <v>-57780.7984</v>
      </c>
      <c r="G23" s="74">
        <f t="shared" si="12"/>
        <v>-1862960.0456479997</v>
      </c>
      <c r="I23" s="2097">
        <f t="shared" si="7"/>
        <v>15</v>
      </c>
      <c r="J23" s="2106">
        <v>43405</v>
      </c>
      <c r="K23" s="2105">
        <f t="shared" si="9"/>
        <v>14979643.278345523</v>
      </c>
      <c r="L23" s="2105">
        <f t="shared" si="9"/>
        <v>-2031716.5061141185</v>
      </c>
      <c r="M23" s="2105">
        <f t="shared" si="9"/>
        <v>14965409.867627596</v>
      </c>
      <c r="N23" s="2105">
        <f t="shared" si="9"/>
        <v>-24682088.635236148</v>
      </c>
      <c r="O23" s="2107">
        <f t="shared" si="11"/>
        <v>3231248.0046228543</v>
      </c>
      <c r="P23" s="1949"/>
      <c r="Q23" s="1949"/>
      <c r="R23" s="1949"/>
      <c r="S23" s="1949"/>
      <c r="T23" s="1949"/>
      <c r="U23" s="1949"/>
    </row>
    <row r="24" spans="1:21" s="496" customFormat="1" ht="13.2">
      <c r="A24" s="1898">
        <f t="shared" si="0"/>
        <v>17</v>
      </c>
      <c r="B24" s="1854"/>
      <c r="C24" s="1827" t="s">
        <v>414</v>
      </c>
      <c r="D24" s="1891">
        <v>-1973483.075096</v>
      </c>
      <c r="E24" s="1891">
        <v>434717.25647999998</v>
      </c>
      <c r="F24" s="1891">
        <v>-163975.59744799999</v>
      </c>
      <c r="G24" s="535">
        <f t="shared" si="12"/>
        <v>-1702741.416064</v>
      </c>
      <c r="I24" s="2097">
        <f t="shared" si="7"/>
        <v>16</v>
      </c>
      <c r="J24" s="2106">
        <v>43435</v>
      </c>
      <c r="K24" s="2105">
        <f t="shared" si="9"/>
        <v>12483036.065287936</v>
      </c>
      <c r="L24" s="2105">
        <f t="shared" si="9"/>
        <v>-1693097.0884284321</v>
      </c>
      <c r="M24" s="2105">
        <f t="shared" si="9"/>
        <v>12471174.889689665</v>
      </c>
      <c r="N24" s="2105">
        <f t="shared" si="9"/>
        <v>-20568407.196030125</v>
      </c>
      <c r="O24" s="2107">
        <f t="shared" si="11"/>
        <v>2692706.6705190465</v>
      </c>
      <c r="P24" s="1949"/>
      <c r="Q24" s="1949"/>
      <c r="R24" s="1949"/>
      <c r="S24" s="1949"/>
      <c r="T24" s="1949"/>
      <c r="U24" s="1949"/>
    </row>
    <row r="25" spans="1:21" s="496" customFormat="1" ht="13.2">
      <c r="A25" s="1898">
        <f t="shared" si="0"/>
        <v>18</v>
      </c>
      <c r="B25" s="1854"/>
      <c r="C25" s="1892" t="str">
        <f>+"Subtotal Sum of Ln "&amp;A22&amp;" Thru Ln "&amp;A24</f>
        <v>Subtotal Sum of Ln 15 Thru Ln 17</v>
      </c>
      <c r="D25" s="256">
        <f>SUM(D22:D24)</f>
        <v>-26495249.021800004</v>
      </c>
      <c r="E25" s="256">
        <f t="shared" ref="E25:G25" si="13">SUM(E22:E24)</f>
        <v>1217984.6636879998</v>
      </c>
      <c r="F25" s="256">
        <f t="shared" si="13"/>
        <v>-1047858.2806639998</v>
      </c>
      <c r="G25" s="256">
        <f t="shared" si="13"/>
        <v>-26325122.638776004</v>
      </c>
      <c r="I25" s="2097">
        <f t="shared" si="7"/>
        <v>17</v>
      </c>
      <c r="J25" s="2106">
        <v>43466</v>
      </c>
      <c r="K25" s="2105">
        <f t="shared" si="9"/>
        <v>9986428.8522303496</v>
      </c>
      <c r="L25" s="2105">
        <f t="shared" si="9"/>
        <v>-1354477.6707427457</v>
      </c>
      <c r="M25" s="2105">
        <f t="shared" si="9"/>
        <v>9976939.9117517341</v>
      </c>
      <c r="N25" s="2105">
        <f t="shared" si="9"/>
        <v>-16454725.756824102</v>
      </c>
      <c r="O25" s="2107">
        <f t="shared" si="11"/>
        <v>2154165.336415235</v>
      </c>
      <c r="P25" s="1949"/>
      <c r="Q25" s="1949"/>
      <c r="R25" s="1949"/>
      <c r="S25" s="1949"/>
      <c r="T25" s="1949"/>
      <c r="U25" s="1949"/>
    </row>
    <row r="26" spans="1:21" s="496" customFormat="1" ht="13.2">
      <c r="A26" s="1898">
        <f t="shared" si="0"/>
        <v>19</v>
      </c>
      <c r="B26" s="1854"/>
      <c r="C26" s="1827"/>
      <c r="D26" s="74"/>
      <c r="E26" s="74"/>
      <c r="F26" s="74"/>
      <c r="G26" s="74"/>
      <c r="I26" s="2097">
        <f t="shared" si="7"/>
        <v>18</v>
      </c>
      <c r="J26" s="2106">
        <v>43497</v>
      </c>
      <c r="K26" s="2105">
        <f t="shared" si="9"/>
        <v>7489821.6391727626</v>
      </c>
      <c r="L26" s="2105">
        <f t="shared" si="9"/>
        <v>-1015858.2530570594</v>
      </c>
      <c r="M26" s="2105">
        <f t="shared" si="9"/>
        <v>7482704.9338138029</v>
      </c>
      <c r="N26" s="2105">
        <f t="shared" si="9"/>
        <v>-12341044.317618079</v>
      </c>
      <c r="O26" s="2107">
        <f t="shared" si="11"/>
        <v>1615624.0023114271</v>
      </c>
      <c r="P26" s="1949"/>
      <c r="Q26" s="1949"/>
      <c r="R26" s="1949"/>
      <c r="S26" s="1949"/>
      <c r="T26" s="1949"/>
      <c r="U26" s="1949"/>
    </row>
    <row r="27" spans="1:21" s="496" customFormat="1" ht="13.8" thickBot="1">
      <c r="A27" s="1898">
        <f t="shared" si="0"/>
        <v>20</v>
      </c>
      <c r="B27" s="1827" t="s">
        <v>1986</v>
      </c>
      <c r="C27" s="1949"/>
      <c r="D27" s="973">
        <f>+D12+D19+D25</f>
        <v>-23277666.924640004</v>
      </c>
      <c r="E27" s="973">
        <f t="shared" ref="E27:G27" si="14">+E12+E19+E25</f>
        <v>707090.05501599982</v>
      </c>
      <c r="F27" s="973">
        <f t="shared" si="14"/>
        <v>-1047858.2806639998</v>
      </c>
      <c r="G27" s="973">
        <f t="shared" si="14"/>
        <v>-23618435.150288004</v>
      </c>
      <c r="I27" s="2097">
        <f t="shared" si="7"/>
        <v>19</v>
      </c>
      <c r="J27" s="2106">
        <v>43525</v>
      </c>
      <c r="K27" s="2105">
        <f t="shared" si="9"/>
        <v>4993214.4261151757</v>
      </c>
      <c r="L27" s="2105">
        <f t="shared" si="9"/>
        <v>-677238.83537137299</v>
      </c>
      <c r="M27" s="2105">
        <f t="shared" si="9"/>
        <v>4988469.9558758717</v>
      </c>
      <c r="N27" s="2105">
        <f t="shared" si="9"/>
        <v>-8227362.8784120567</v>
      </c>
      <c r="O27" s="2107">
        <f t="shared" ref="O27:O29" si="15">SUM(K27:N27)</f>
        <v>1077082.6682076175</v>
      </c>
      <c r="P27" s="1949"/>
      <c r="Q27" s="1858" t="s">
        <v>1977</v>
      </c>
      <c r="R27" s="1949"/>
      <c r="S27" s="1949"/>
      <c r="T27" s="1949"/>
      <c r="U27" s="1949"/>
    </row>
    <row r="28" spans="1:21" s="496" customFormat="1" ht="13.8" thickTop="1">
      <c r="A28" s="1898">
        <f t="shared" si="0"/>
        <v>21</v>
      </c>
      <c r="I28" s="2097">
        <f t="shared" si="7"/>
        <v>20</v>
      </c>
      <c r="J28" s="2106">
        <v>43556</v>
      </c>
      <c r="K28" s="2105">
        <f t="shared" si="9"/>
        <v>2496607.2130575893</v>
      </c>
      <c r="L28" s="2105">
        <f t="shared" si="9"/>
        <v>-338619.41768568667</v>
      </c>
      <c r="M28" s="2105">
        <f t="shared" si="9"/>
        <v>2494234.9779379405</v>
      </c>
      <c r="N28" s="2105">
        <f t="shared" si="9"/>
        <v>-4113681.4392060339</v>
      </c>
      <c r="O28" s="2107">
        <f t="shared" si="15"/>
        <v>538541.33410380967</v>
      </c>
      <c r="P28" s="1949"/>
      <c r="Q28" s="1858" t="s">
        <v>1978</v>
      </c>
      <c r="R28" s="1949"/>
      <c r="S28" s="1949"/>
      <c r="T28" s="1949"/>
      <c r="U28" s="1949"/>
    </row>
    <row r="29" spans="1:21" s="1341" customFormat="1" ht="13.2">
      <c r="A29" s="1898">
        <f t="shared" si="0"/>
        <v>22</v>
      </c>
      <c r="B29" s="1855" t="s">
        <v>1987</v>
      </c>
      <c r="C29" s="1827"/>
      <c r="D29" s="1857"/>
      <c r="E29" s="1857"/>
      <c r="F29" s="1857"/>
      <c r="G29" s="74"/>
      <c r="H29" s="496"/>
      <c r="I29" s="2097">
        <f t="shared" si="7"/>
        <v>21</v>
      </c>
      <c r="J29" s="2106">
        <v>43586</v>
      </c>
      <c r="K29" s="2105">
        <f t="shared" si="9"/>
        <v>0</v>
      </c>
      <c r="L29" s="2105">
        <f t="shared" si="9"/>
        <v>0</v>
      </c>
      <c r="M29" s="2105">
        <f t="shared" si="9"/>
        <v>9.3132257461547852E-9</v>
      </c>
      <c r="N29" s="2105">
        <f t="shared" si="9"/>
        <v>-1.1175870895385742E-8</v>
      </c>
      <c r="O29" s="2107">
        <f t="shared" si="15"/>
        <v>-1.862645149230957E-9</v>
      </c>
      <c r="P29" s="1957"/>
      <c r="Q29" s="1957"/>
      <c r="R29" s="1957"/>
      <c r="S29" s="1957"/>
      <c r="T29" s="1957"/>
      <c r="U29" s="1957"/>
    </row>
    <row r="30" spans="1:21" s="1341" customFormat="1" ht="13.2">
      <c r="A30" s="1898">
        <f t="shared" si="0"/>
        <v>23</v>
      </c>
      <c r="B30" s="1855"/>
      <c r="C30" s="1827" t="s">
        <v>1988</v>
      </c>
      <c r="D30" s="1857">
        <v>3531655</v>
      </c>
      <c r="E30" s="1857">
        <v>-2572792.4332039203</v>
      </c>
      <c r="F30" s="1857">
        <v>96409254.654706776</v>
      </c>
      <c r="G30" s="74">
        <f t="shared" ref="G30:G32" si="16">+D30+E30+F30</f>
        <v>97368117.221502855</v>
      </c>
      <c r="I30" s="2097">
        <f t="shared" si="7"/>
        <v>22</v>
      </c>
      <c r="J30" s="2106"/>
      <c r="K30" s="2105"/>
      <c r="L30" s="2105"/>
      <c r="M30" s="2105"/>
      <c r="N30" s="2105"/>
      <c r="O30" s="2105"/>
      <c r="P30" s="1957"/>
      <c r="Q30" s="1957"/>
      <c r="R30" s="1957"/>
      <c r="S30" s="1957"/>
      <c r="T30" s="1957"/>
      <c r="U30" s="1957"/>
    </row>
    <row r="31" spans="1:21" s="1341" customFormat="1" ht="13.2">
      <c r="A31" s="1898">
        <f t="shared" si="0"/>
        <v>24</v>
      </c>
      <c r="B31" s="1855"/>
      <c r="C31" s="1827" t="s">
        <v>1989</v>
      </c>
      <c r="D31" s="1857">
        <v>684683</v>
      </c>
      <c r="E31" s="1857">
        <v>-503890.18878271896</v>
      </c>
      <c r="F31" s="1857">
        <v>19460053.274005968</v>
      </c>
      <c r="G31" s="74">
        <f t="shared" si="16"/>
        <v>19640846.08522325</v>
      </c>
      <c r="I31" s="2097"/>
      <c r="J31" s="2106"/>
      <c r="K31" s="2105"/>
      <c r="L31" s="2105"/>
      <c r="M31" s="2105"/>
      <c r="N31" s="2105"/>
      <c r="O31" s="2105"/>
      <c r="P31" s="1957"/>
      <c r="Q31" s="1957"/>
      <c r="R31" s="1957"/>
      <c r="S31" s="1957"/>
      <c r="T31" s="1957"/>
      <c r="U31" s="1957"/>
    </row>
    <row r="32" spans="1:21" ht="13.95" customHeight="1">
      <c r="A32" s="1898">
        <f t="shared" si="0"/>
        <v>25</v>
      </c>
      <c r="B32" s="1855"/>
      <c r="C32" s="1827" t="s">
        <v>1990</v>
      </c>
      <c r="D32" s="1891"/>
      <c r="E32" s="1891"/>
      <c r="F32" s="1891"/>
      <c r="G32" s="535">
        <f t="shared" si="16"/>
        <v>0</v>
      </c>
      <c r="H32" s="1341"/>
      <c r="I32" s="2097"/>
      <c r="J32" s="2108"/>
      <c r="K32" s="1859"/>
      <c r="L32" s="1859"/>
      <c r="M32" s="1859"/>
      <c r="N32" s="1859"/>
      <c r="O32" s="2109"/>
      <c r="P32" s="1957"/>
      <c r="Q32" s="1957"/>
      <c r="R32" s="1957"/>
      <c r="S32" s="1957"/>
      <c r="T32" s="1957"/>
      <c r="U32" s="1957"/>
    </row>
    <row r="33" spans="1:21" ht="13.95" customHeight="1">
      <c r="A33" s="1898">
        <f t="shared" si="0"/>
        <v>26</v>
      </c>
      <c r="B33" s="1855"/>
      <c r="C33" s="1967" t="str">
        <f>+"Subtotal Sum of Ln "&amp;A30&amp;" Thru Ln "&amp;A32</f>
        <v>Subtotal Sum of Ln 23 Thru Ln 25</v>
      </c>
      <c r="D33" s="256">
        <f>SUM(D30:D32)</f>
        <v>4216338</v>
      </c>
      <c r="E33" s="256">
        <f t="shared" ref="E33:G33" si="17">SUM(E30:E32)</f>
        <v>-3076682.6219866392</v>
      </c>
      <c r="F33" s="256">
        <f t="shared" si="17"/>
        <v>115869307.92871274</v>
      </c>
      <c r="G33" s="256">
        <f t="shared" si="17"/>
        <v>117008963.3067261</v>
      </c>
      <c r="I33" s="2452" t="s">
        <v>299</v>
      </c>
      <c r="J33" s="2452"/>
      <c r="K33" s="2110"/>
      <c r="L33" s="2110"/>
      <c r="M33" s="2110"/>
      <c r="N33" s="2110"/>
      <c r="O33" s="2109"/>
      <c r="P33" s="1957"/>
      <c r="Q33" s="1957"/>
      <c r="R33" s="1957"/>
      <c r="S33" s="1957"/>
      <c r="T33" s="1957"/>
      <c r="U33" s="1957"/>
    </row>
    <row r="34" spans="1:21" ht="13.95" customHeight="1">
      <c r="A34" s="1898">
        <f t="shared" si="0"/>
        <v>27</v>
      </c>
      <c r="B34" s="1855"/>
      <c r="C34" s="1892"/>
      <c r="D34" s="256"/>
      <c r="E34" s="256"/>
      <c r="F34" s="256"/>
      <c r="G34" s="1953"/>
      <c r="I34" s="2111" t="s">
        <v>167</v>
      </c>
      <c r="J34" s="2451" t="s">
        <v>2257</v>
      </c>
      <c r="K34" s="2451"/>
      <c r="L34" s="2451"/>
      <c r="M34" s="2451"/>
      <c r="N34" s="2451"/>
      <c r="O34" s="2451"/>
    </row>
    <row r="35" spans="1:21" s="1952" customFormat="1" ht="13.95" customHeight="1">
      <c r="A35" s="1898">
        <f t="shared" si="0"/>
        <v>28</v>
      </c>
      <c r="B35" s="1855"/>
      <c r="C35" s="1892" t="s">
        <v>2220</v>
      </c>
      <c r="D35" s="256"/>
      <c r="E35" s="256"/>
      <c r="F35" s="256"/>
      <c r="G35" s="256"/>
      <c r="H35" s="1949"/>
      <c r="I35" s="2111"/>
      <c r="J35" s="2451"/>
      <c r="K35" s="2451"/>
      <c r="L35" s="2451"/>
      <c r="M35" s="2451"/>
      <c r="N35" s="2451"/>
      <c r="O35" s="2451"/>
    </row>
    <row r="36" spans="1:21" ht="13.95" customHeight="1">
      <c r="A36" s="1898">
        <f t="shared" si="0"/>
        <v>29</v>
      </c>
      <c r="B36" s="1856"/>
      <c r="C36" s="1827" t="s">
        <v>1991</v>
      </c>
      <c r="D36" s="1857"/>
      <c r="E36" s="2135">
        <f>L8</f>
        <v>-4063433.0122282356</v>
      </c>
      <c r="F36" s="1857">
        <f>-E36</f>
        <v>4063433.0122282356</v>
      </c>
      <c r="G36" s="74">
        <f t="shared" ref="G36:G38" si="18">+D36+E36+F36</f>
        <v>0</v>
      </c>
      <c r="I36" s="2112"/>
      <c r="J36" s="2112"/>
      <c r="K36" s="2112"/>
      <c r="L36" s="2112"/>
      <c r="M36" s="2112"/>
      <c r="N36" s="2112"/>
      <c r="O36" s="2112"/>
    </row>
    <row r="37" spans="1:21" ht="13.95" customHeight="1">
      <c r="A37" s="1898">
        <f t="shared" si="0"/>
        <v>30</v>
      </c>
      <c r="B37" s="1856"/>
      <c r="C37" s="1827" t="s">
        <v>1992</v>
      </c>
      <c r="D37" s="1857"/>
      <c r="E37" s="2135">
        <f>M8</f>
        <v>29930819.735255174</v>
      </c>
      <c r="F37" s="1857">
        <f>-E37</f>
        <v>-29930819.735255174</v>
      </c>
      <c r="G37" s="74">
        <f t="shared" si="18"/>
        <v>0</v>
      </c>
      <c r="H37" s="1952"/>
      <c r="I37" s="2112"/>
      <c r="J37" s="2113"/>
      <c r="K37" s="2112"/>
      <c r="L37" s="2112"/>
      <c r="M37" s="2112"/>
      <c r="N37" s="2112"/>
      <c r="O37" s="2112"/>
    </row>
    <row r="38" spans="1:21" ht="13.95" customHeight="1">
      <c r="A38" s="1898">
        <f t="shared" si="0"/>
        <v>31</v>
      </c>
      <c r="B38" s="1856"/>
      <c r="C38" s="1827" t="s">
        <v>1993</v>
      </c>
      <c r="D38" s="1891"/>
      <c r="E38" s="2136">
        <f>N8</f>
        <v>-49364177.270472273</v>
      </c>
      <c r="F38" s="1891">
        <f>-E38</f>
        <v>49364177.270472273</v>
      </c>
      <c r="G38" s="535">
        <f t="shared" si="18"/>
        <v>0</v>
      </c>
      <c r="H38" s="1952"/>
      <c r="I38" s="2112"/>
      <c r="J38" s="2113"/>
      <c r="K38" s="2112"/>
      <c r="L38" s="2112"/>
      <c r="M38" s="2112"/>
      <c r="N38" s="2112"/>
      <c r="O38" s="2112"/>
    </row>
    <row r="39" spans="1:21" ht="13.95" customHeight="1">
      <c r="A39" s="1898">
        <f t="shared" si="0"/>
        <v>32</v>
      </c>
      <c r="B39" s="1856"/>
      <c r="C39" s="1967" t="str">
        <f>+"Subtotal Sum of Ln "&amp;A36&amp;" Thru Ln "&amp;A38</f>
        <v>Subtotal Sum of Ln 29 Thru Ln 31</v>
      </c>
      <c r="D39" s="256">
        <f>SUM(D36:D38)</f>
        <v>0</v>
      </c>
      <c r="E39" s="256">
        <f t="shared" ref="E39:G39" si="19">SUM(E36:E38)</f>
        <v>-23496790.547445334</v>
      </c>
      <c r="F39" s="256">
        <f t="shared" si="19"/>
        <v>23496790.547445334</v>
      </c>
      <c r="G39" s="256">
        <f t="shared" si="19"/>
        <v>0</v>
      </c>
      <c r="H39" s="1952"/>
      <c r="I39" s="2112"/>
      <c r="J39" s="2113"/>
      <c r="K39" s="2112"/>
      <c r="L39" s="2112"/>
      <c r="M39" s="2112"/>
      <c r="N39" s="2112"/>
      <c r="O39" s="2112"/>
    </row>
    <row r="40" spans="1:21" ht="13.95" customHeight="1">
      <c r="A40" s="1898">
        <f t="shared" si="0"/>
        <v>33</v>
      </c>
      <c r="B40" s="1856"/>
      <c r="C40" s="1958"/>
      <c r="D40" s="1953"/>
      <c r="E40" s="1953"/>
      <c r="F40" s="1953"/>
      <c r="G40" s="1953"/>
      <c r="H40" s="1952"/>
      <c r="I40" s="1952"/>
      <c r="J40" s="1952"/>
      <c r="K40" s="1952"/>
      <c r="L40" s="1952"/>
      <c r="M40" s="1952"/>
      <c r="N40" s="1952"/>
      <c r="O40" s="1952"/>
    </row>
    <row r="41" spans="1:21" ht="13.95" customHeight="1">
      <c r="A41" s="1898">
        <f t="shared" si="0"/>
        <v>34</v>
      </c>
      <c r="B41" s="1959" t="s">
        <v>9</v>
      </c>
      <c r="C41" s="1958"/>
      <c r="D41" s="1953"/>
      <c r="E41" s="1953"/>
      <c r="F41" s="1953"/>
      <c r="G41" s="1953"/>
      <c r="H41" s="1952"/>
      <c r="I41" s="1952"/>
      <c r="J41" s="1952"/>
      <c r="K41" s="1952"/>
      <c r="L41" s="1952"/>
      <c r="M41" s="1952"/>
      <c r="N41" s="1952"/>
      <c r="O41" s="1952"/>
    </row>
    <row r="42" spans="1:21" ht="13.95" customHeight="1">
      <c r="A42" s="1898">
        <f t="shared" si="0"/>
        <v>35</v>
      </c>
      <c r="B42" s="1854"/>
      <c r="C42" s="1967" t="str">
        <f>+"Transmission  (Ln "&amp;A30&amp;" + Ln "&amp;A36&amp;")"</f>
        <v>Transmission  (Ln 23 + Ln 29)</v>
      </c>
      <c r="D42" s="256">
        <f>+D30+D36</f>
        <v>3531655</v>
      </c>
      <c r="E42" s="256">
        <f t="shared" ref="E42:F42" si="20">+E30+E36</f>
        <v>-6636225.4454321563</v>
      </c>
      <c r="F42" s="256">
        <f t="shared" si="20"/>
        <v>100472687.66693501</v>
      </c>
      <c r="G42" s="256">
        <f t="shared" ref="G42:G44" si="21">+D42+E42+F42</f>
        <v>97368117.221502855</v>
      </c>
      <c r="H42" s="1952"/>
      <c r="I42" s="1952"/>
      <c r="J42" s="1952"/>
      <c r="K42" s="1952"/>
      <c r="L42" s="1952"/>
      <c r="M42" s="1952"/>
      <c r="N42" s="1952"/>
      <c r="O42" s="1952"/>
    </row>
    <row r="43" spans="1:21" ht="13.95" customHeight="1">
      <c r="A43" s="1898">
        <f t="shared" si="0"/>
        <v>36</v>
      </c>
      <c r="B43" s="1854"/>
      <c r="C43" s="1967" t="str">
        <f>+"Plant  (Ln "&amp;A37&amp;")"</f>
        <v>Plant  (Ln 30)</v>
      </c>
      <c r="D43" s="256">
        <f>+D37</f>
        <v>0</v>
      </c>
      <c r="E43" s="256">
        <f t="shared" ref="E43:F43" si="22">+E37</f>
        <v>29930819.735255174</v>
      </c>
      <c r="F43" s="256">
        <f t="shared" si="22"/>
        <v>-29930819.735255174</v>
      </c>
      <c r="G43" s="256">
        <f t="shared" si="21"/>
        <v>0</v>
      </c>
      <c r="H43" s="1952"/>
    </row>
    <row r="44" spans="1:21" ht="13.95" customHeight="1">
      <c r="A44" s="1898">
        <f t="shared" si="0"/>
        <v>37</v>
      </c>
      <c r="B44" s="1854"/>
      <c r="C44" s="1967" t="str">
        <f>+"Labor  (Ln "&amp;A31&amp;" + Ln "&amp;A32&amp;" + Ln "&amp;A38&amp;")"</f>
        <v>Labor  (Ln 24 + Ln 25 + Ln 31)</v>
      </c>
      <c r="D44" s="535">
        <f>+D31+D32+D38</f>
        <v>684683</v>
      </c>
      <c r="E44" s="535">
        <f t="shared" ref="E44:F44" si="23">+E31+E32+E38</f>
        <v>-49868067.459254995</v>
      </c>
      <c r="F44" s="535">
        <f t="shared" si="23"/>
        <v>68824230.544478238</v>
      </c>
      <c r="G44" s="535">
        <f t="shared" si="21"/>
        <v>19640846.085223243</v>
      </c>
      <c r="H44" s="1952"/>
    </row>
    <row r="45" spans="1:21" ht="15" customHeight="1">
      <c r="A45" s="1898">
        <f t="shared" si="0"/>
        <v>38</v>
      </c>
      <c r="B45" s="1968" t="str">
        <f>+"Projected Total  (Ln "&amp;A33&amp;" + Ln "&amp;A39&amp;")"</f>
        <v>Projected Total  (Ln 26 + Ln 32)</v>
      </c>
      <c r="C45" s="1892"/>
      <c r="D45" s="256">
        <f>+D33+D39</f>
        <v>4216338</v>
      </c>
      <c r="E45" s="256">
        <f>+E33+E39</f>
        <v>-26573473.169431973</v>
      </c>
      <c r="F45" s="256">
        <f>+F33+F39</f>
        <v>139366098.47615808</v>
      </c>
      <c r="G45" s="256">
        <f>+G33+G39</f>
        <v>117008963.3067261</v>
      </c>
    </row>
    <row r="46" spans="1:21" ht="15" customHeight="1">
      <c r="B46" s="1969"/>
      <c r="C46" s="1969"/>
      <c r="D46" s="1969"/>
      <c r="E46" s="1969"/>
      <c r="F46" s="1969"/>
      <c r="G46" s="2114"/>
    </row>
    <row r="47" spans="1:21" ht="15" customHeight="1">
      <c r="A47" s="2113" t="s">
        <v>2221</v>
      </c>
      <c r="B47" s="2119"/>
      <c r="C47" s="2120"/>
      <c r="D47" s="74"/>
      <c r="E47" s="74"/>
      <c r="F47" s="74"/>
      <c r="G47" s="74"/>
    </row>
    <row r="48" spans="1:21" ht="15" customHeight="1">
      <c r="A48" s="2140" t="s">
        <v>167</v>
      </c>
      <c r="B48" s="2357" t="s">
        <v>2256</v>
      </c>
      <c r="C48" s="2357"/>
      <c r="D48" s="2357"/>
      <c r="E48" s="2357"/>
      <c r="F48" s="2357"/>
      <c r="G48" s="2357"/>
    </row>
    <row r="49" spans="1:8" ht="15" customHeight="1">
      <c r="A49" s="1949"/>
    </row>
    <row r="50" spans="1:8" ht="15" customHeight="1">
      <c r="A50" s="1949"/>
    </row>
    <row r="51" spans="1:8" ht="15" customHeight="1">
      <c r="A51" s="1949"/>
    </row>
    <row r="52" spans="1:8" ht="15" customHeight="1">
      <c r="A52" s="1949"/>
    </row>
    <row r="53" spans="1:8" ht="15" customHeight="1">
      <c r="A53" s="1949"/>
    </row>
    <row r="54" spans="1:8" ht="15" customHeight="1">
      <c r="A54" s="1949"/>
    </row>
    <row r="55" spans="1:8" ht="15" customHeight="1">
      <c r="A55" s="1949"/>
    </row>
    <row r="56" spans="1:8" ht="15" customHeight="1">
      <c r="A56" s="1949"/>
    </row>
    <row r="57" spans="1:8" ht="15" customHeight="1">
      <c r="A57" s="1949"/>
    </row>
    <row r="58" spans="1:8" ht="15" customHeight="1">
      <c r="A58" s="1949"/>
    </row>
    <row r="59" spans="1:8" ht="15" customHeight="1">
      <c r="A59" s="1949"/>
    </row>
    <row r="60" spans="1:8" ht="15" customHeight="1">
      <c r="A60" s="1949"/>
    </row>
    <row r="61" spans="1:8" s="1957" customFormat="1">
      <c r="A61" s="1949"/>
      <c r="B61" s="1949"/>
      <c r="C61" s="1949"/>
      <c r="D61" s="1949"/>
      <c r="E61" s="1949"/>
      <c r="F61" s="1949"/>
      <c r="G61" s="1949"/>
      <c r="H61" s="1949"/>
    </row>
    <row r="62" spans="1:8" s="1957" customFormat="1" ht="13.95" customHeight="1">
      <c r="A62" s="1949"/>
      <c r="B62" s="1949"/>
      <c r="C62" s="1949"/>
      <c r="D62" s="1949"/>
      <c r="E62" s="1949"/>
      <c r="F62" s="1949"/>
      <c r="G62" s="1949"/>
      <c r="H62" s="1949"/>
    </row>
    <row r="63" spans="1:8" s="1957" customFormat="1">
      <c r="A63" s="1949"/>
      <c r="B63" s="1949"/>
      <c r="C63" s="1949"/>
      <c r="D63" s="1949"/>
      <c r="E63" s="1949"/>
      <c r="F63" s="1949"/>
      <c r="G63" s="1949"/>
      <c r="H63" s="1949"/>
    </row>
    <row r="64" spans="1:8" s="1957" customFormat="1">
      <c r="A64" s="1949"/>
      <c r="B64" s="1949"/>
      <c r="C64" s="1949"/>
      <c r="D64" s="1949"/>
      <c r="E64" s="1949"/>
      <c r="F64" s="1949"/>
      <c r="G64" s="1949"/>
      <c r="H64" s="1949"/>
    </row>
    <row r="65" spans="1:8" s="1957" customFormat="1">
      <c r="A65" s="1949"/>
      <c r="B65" s="1949"/>
      <c r="C65" s="1949"/>
      <c r="D65" s="1949"/>
      <c r="E65" s="1949"/>
      <c r="F65" s="1949"/>
      <c r="G65" s="1949"/>
    </row>
    <row r="66" spans="1:8" s="1957" customFormat="1">
      <c r="A66" s="1949"/>
      <c r="B66" s="1949"/>
      <c r="C66" s="1949"/>
      <c r="D66" s="1949"/>
      <c r="E66" s="1949"/>
      <c r="F66" s="1949"/>
      <c r="G66" s="1949"/>
    </row>
    <row r="67" spans="1:8" s="1957" customFormat="1">
      <c r="B67" s="1949"/>
      <c r="C67" s="1949"/>
      <c r="D67" s="1949"/>
      <c r="E67" s="1949"/>
      <c r="F67" s="1949"/>
      <c r="G67" s="1949"/>
    </row>
    <row r="68" spans="1:8" s="1957" customFormat="1">
      <c r="B68" s="1949"/>
      <c r="C68" s="1949"/>
      <c r="D68" s="1949"/>
      <c r="E68" s="1949"/>
      <c r="F68" s="1949"/>
      <c r="G68" s="1949"/>
    </row>
    <row r="69" spans="1:8" s="1957" customFormat="1">
      <c r="B69" s="1949"/>
      <c r="C69" s="1949"/>
      <c r="D69" s="1949"/>
      <c r="E69" s="1949"/>
      <c r="F69" s="1949"/>
      <c r="G69" s="1949"/>
    </row>
    <row r="70" spans="1:8" s="1957" customFormat="1">
      <c r="B70" s="1949"/>
      <c r="C70" s="1949"/>
      <c r="D70" s="1949"/>
      <c r="E70" s="1949"/>
      <c r="F70" s="1949"/>
      <c r="G70" s="1949"/>
    </row>
    <row r="71" spans="1:8" s="1957" customFormat="1">
      <c r="B71" s="1949"/>
      <c r="C71" s="1949"/>
      <c r="D71" s="1949"/>
      <c r="E71" s="1949"/>
      <c r="F71" s="1949"/>
      <c r="G71" s="1949"/>
    </row>
    <row r="72" spans="1:8" s="1957" customFormat="1">
      <c r="A72" s="1961"/>
      <c r="B72" s="1949"/>
      <c r="C72" s="1949"/>
      <c r="D72" s="1949"/>
      <c r="E72" s="1949"/>
      <c r="F72" s="1949"/>
      <c r="G72" s="1954"/>
      <c r="H72" s="1962"/>
    </row>
    <row r="73" spans="1:8" s="1957" customFormat="1">
      <c r="A73" s="1963"/>
      <c r="B73" s="1949"/>
      <c r="C73" s="1949"/>
      <c r="D73" s="1949"/>
      <c r="E73" s="1949"/>
      <c r="F73" s="1949"/>
      <c r="G73" s="1954"/>
      <c r="H73" s="1962"/>
    </row>
    <row r="74" spans="1:8" s="1957" customFormat="1">
      <c r="A74" s="1963"/>
      <c r="B74" s="1949"/>
      <c r="C74" s="1949"/>
      <c r="D74" s="1949"/>
      <c r="E74" s="1949"/>
      <c r="F74" s="1949"/>
      <c r="G74" s="1954"/>
      <c r="H74" s="1962"/>
    </row>
    <row r="75" spans="1:8" s="1957" customFormat="1">
      <c r="A75" s="1963"/>
      <c r="B75" s="1949"/>
      <c r="C75" s="1949"/>
      <c r="D75" s="1949"/>
      <c r="E75" s="1949"/>
      <c r="F75" s="1949"/>
      <c r="G75" s="1954"/>
      <c r="H75" s="1962"/>
    </row>
    <row r="76" spans="1:8" s="1957" customFormat="1">
      <c r="A76" s="1963"/>
      <c r="G76" s="1962"/>
      <c r="H76" s="1962"/>
    </row>
    <row r="77" spans="1:8" s="1957" customFormat="1">
      <c r="A77" s="1963"/>
    </row>
    <row r="78" spans="1:8" s="1957" customFormat="1">
      <c r="A78" s="1963"/>
    </row>
    <row r="79" spans="1:8" s="1957" customFormat="1">
      <c r="A79" s="1963"/>
    </row>
    <row r="80" spans="1:8" s="1957" customFormat="1">
      <c r="A80" s="1963"/>
    </row>
    <row r="81" spans="1:7" s="1957" customFormat="1">
      <c r="A81" s="1963"/>
      <c r="B81" s="1964"/>
      <c r="C81" s="1964"/>
      <c r="D81" s="1964"/>
      <c r="E81" s="1964"/>
      <c r="F81" s="1964"/>
      <c r="G81" s="1965"/>
    </row>
    <row r="82" spans="1:7" s="1957" customFormat="1">
      <c r="A82" s="1963"/>
      <c r="B82" s="1964"/>
      <c r="C82" s="1964"/>
      <c r="D82" s="1964"/>
      <c r="E82" s="1964"/>
      <c r="F82" s="1964"/>
      <c r="G82" s="1965"/>
    </row>
    <row r="83" spans="1:7" s="1957" customFormat="1">
      <c r="A83" s="1963"/>
      <c r="B83" s="1964"/>
      <c r="C83" s="1964"/>
      <c r="D83" s="1964"/>
      <c r="E83" s="1964"/>
      <c r="F83" s="1964"/>
      <c r="G83" s="1965"/>
    </row>
    <row r="84" spans="1:7" s="1957" customFormat="1">
      <c r="A84" s="1963"/>
      <c r="B84" s="1964"/>
      <c r="C84" s="1964"/>
      <c r="D84" s="1964"/>
      <c r="E84" s="1964"/>
      <c r="F84" s="1964"/>
      <c r="G84" s="1965"/>
    </row>
    <row r="85" spans="1:7" s="1957" customFormat="1">
      <c r="A85" s="1963"/>
      <c r="B85" s="1964"/>
      <c r="C85" s="1964"/>
      <c r="D85" s="1964"/>
      <c r="E85" s="1964"/>
      <c r="F85" s="1964"/>
      <c r="G85" s="1965"/>
    </row>
    <row r="86" spans="1:7" s="1957" customFormat="1">
      <c r="A86" s="1963"/>
      <c r="B86" s="1964"/>
      <c r="C86" s="1964"/>
      <c r="D86" s="1964"/>
      <c r="E86" s="1964"/>
      <c r="F86" s="1964"/>
      <c r="G86" s="1965"/>
    </row>
    <row r="87" spans="1:7" s="1957" customFormat="1">
      <c r="A87" s="1963"/>
      <c r="B87" s="1964"/>
      <c r="C87" s="1964"/>
      <c r="D87" s="1964"/>
      <c r="E87" s="1964"/>
      <c r="F87" s="1964"/>
      <c r="G87" s="1965"/>
    </row>
    <row r="88" spans="1:7" s="1957" customFormat="1">
      <c r="A88" s="1963"/>
      <c r="B88" s="1964"/>
      <c r="C88" s="1964"/>
      <c r="D88" s="1964"/>
      <c r="E88" s="1964"/>
      <c r="F88" s="1964"/>
      <c r="G88" s="1965"/>
    </row>
    <row r="89" spans="1:7" s="1957" customFormat="1">
      <c r="A89" s="1963"/>
      <c r="B89" s="1964"/>
      <c r="C89" s="1964"/>
      <c r="D89" s="1964"/>
      <c r="E89" s="1964"/>
      <c r="F89" s="1964"/>
      <c r="G89" s="1965"/>
    </row>
    <row r="90" spans="1:7" s="1957" customFormat="1">
      <c r="A90" s="1963"/>
      <c r="B90" s="1964"/>
      <c r="C90" s="1964"/>
      <c r="D90" s="1964"/>
      <c r="E90" s="1964"/>
      <c r="F90" s="1964"/>
      <c r="G90" s="1965"/>
    </row>
    <row r="91" spans="1:7" s="1957" customFormat="1">
      <c r="A91" s="1963"/>
      <c r="B91" s="1964"/>
      <c r="C91" s="1964"/>
      <c r="D91" s="1964"/>
      <c r="E91" s="1964"/>
      <c r="F91" s="1964"/>
      <c r="G91" s="1965"/>
    </row>
    <row r="92" spans="1:7" s="1957" customFormat="1">
      <c r="A92" s="1963"/>
      <c r="B92" s="1964"/>
      <c r="C92" s="1964"/>
      <c r="D92" s="1964"/>
      <c r="E92" s="1964"/>
      <c r="F92" s="1964"/>
      <c r="G92" s="1965"/>
    </row>
    <row r="93" spans="1:7" s="1957" customFormat="1">
      <c r="A93" s="1963"/>
      <c r="B93" s="1964"/>
      <c r="C93" s="1964"/>
      <c r="D93" s="1964"/>
      <c r="E93" s="1964"/>
      <c r="F93" s="1964"/>
      <c r="G93" s="1965"/>
    </row>
    <row r="94" spans="1:7" s="1957" customFormat="1">
      <c r="A94" s="1963"/>
      <c r="B94" s="1964"/>
      <c r="C94" s="1964"/>
      <c r="D94" s="1964"/>
      <c r="E94" s="1964"/>
      <c r="F94" s="1964"/>
      <c r="G94" s="1965"/>
    </row>
    <row r="95" spans="1:7" s="1957" customFormat="1">
      <c r="A95" s="1963"/>
      <c r="B95" s="1964"/>
      <c r="C95" s="1964"/>
      <c r="D95" s="1964"/>
      <c r="E95" s="1964"/>
      <c r="F95" s="1964"/>
      <c r="G95" s="1965"/>
    </row>
    <row r="96" spans="1:7" s="1957" customFormat="1">
      <c r="A96" s="1963"/>
      <c r="B96" s="1964"/>
      <c r="C96" s="1964"/>
      <c r="D96" s="1964"/>
      <c r="E96" s="1964"/>
      <c r="F96" s="1964"/>
      <c r="G96" s="1965"/>
    </row>
    <row r="97" spans="1:8" s="1957" customFormat="1">
      <c r="A97" s="1963"/>
      <c r="B97" s="1964"/>
      <c r="C97" s="1964"/>
      <c r="D97" s="1964"/>
      <c r="E97" s="1964"/>
      <c r="F97" s="1964"/>
      <c r="G97" s="1965"/>
    </row>
    <row r="98" spans="1:8" s="1957" customFormat="1">
      <c r="A98" s="1963"/>
      <c r="B98" s="1964"/>
      <c r="C98" s="1964"/>
      <c r="D98" s="1964"/>
      <c r="E98" s="1964"/>
      <c r="F98" s="1964"/>
      <c r="G98" s="1965"/>
    </row>
    <row r="99" spans="1:8" s="1957" customFormat="1">
      <c r="A99" s="1963"/>
      <c r="B99" s="1964"/>
      <c r="C99" s="1964"/>
      <c r="D99" s="1964"/>
      <c r="E99" s="1964"/>
      <c r="F99" s="1964"/>
      <c r="G99" s="1965"/>
    </row>
    <row r="100" spans="1:8" s="1957" customFormat="1">
      <c r="A100" s="1963"/>
      <c r="B100" s="1964"/>
      <c r="C100" s="1964"/>
      <c r="D100" s="1964"/>
      <c r="E100" s="1964"/>
      <c r="F100" s="1964"/>
      <c r="G100" s="1965"/>
    </row>
    <row r="101" spans="1:8" s="1957" customFormat="1">
      <c r="A101" s="1963"/>
      <c r="B101" s="1964"/>
      <c r="C101" s="1964"/>
      <c r="D101" s="1964"/>
      <c r="E101" s="1964"/>
      <c r="F101" s="1964"/>
      <c r="G101" s="1965"/>
    </row>
    <row r="102" spans="1:8" s="1957" customFormat="1">
      <c r="A102" s="1963"/>
      <c r="B102" s="1964"/>
      <c r="C102" s="1964"/>
      <c r="D102" s="1964"/>
      <c r="E102" s="1964"/>
      <c r="F102" s="1964"/>
      <c r="G102" s="1965"/>
    </row>
    <row r="103" spans="1:8" s="1957" customFormat="1">
      <c r="A103" s="1963"/>
      <c r="B103" s="1964"/>
      <c r="C103" s="1964"/>
      <c r="D103" s="1964"/>
      <c r="E103" s="1964"/>
      <c r="F103" s="1964"/>
      <c r="G103" s="1965"/>
    </row>
    <row r="104" spans="1:8">
      <c r="A104" s="1963"/>
      <c r="B104" s="1964"/>
      <c r="C104" s="1964"/>
      <c r="D104" s="1964"/>
      <c r="E104" s="1964"/>
      <c r="F104" s="1964"/>
      <c r="G104" s="1965"/>
      <c r="H104" s="1957"/>
    </row>
    <row r="105" spans="1:8">
      <c r="A105" s="1963"/>
      <c r="B105" s="1964"/>
      <c r="C105" s="1964"/>
      <c r="D105" s="1964"/>
      <c r="E105" s="1964"/>
      <c r="F105" s="1964"/>
      <c r="G105" s="1965"/>
      <c r="H105" s="1957"/>
    </row>
    <row r="106" spans="1:8">
      <c r="A106" s="1963"/>
      <c r="B106" s="1964"/>
      <c r="C106" s="1964"/>
      <c r="D106" s="1964"/>
      <c r="E106" s="1964"/>
      <c r="F106" s="1964"/>
      <c r="G106" s="1965"/>
      <c r="H106" s="1957"/>
    </row>
    <row r="107" spans="1:8">
      <c r="A107" s="1963"/>
      <c r="B107" s="1964"/>
      <c r="C107" s="1964"/>
      <c r="D107" s="1964"/>
      <c r="E107" s="1964"/>
      <c r="F107" s="1964"/>
      <c r="G107" s="1965"/>
      <c r="H107" s="1957"/>
    </row>
    <row r="108" spans="1:8">
      <c r="A108" s="1963"/>
      <c r="B108" s="1964"/>
      <c r="C108" s="1964"/>
      <c r="D108" s="1964"/>
      <c r="E108" s="1964"/>
      <c r="F108" s="1964"/>
      <c r="G108" s="1965"/>
    </row>
    <row r="109" spans="1:8">
      <c r="A109" s="1963"/>
      <c r="B109" s="1964"/>
      <c r="C109" s="1964"/>
      <c r="D109" s="1964"/>
      <c r="E109" s="1964"/>
      <c r="F109" s="1964"/>
      <c r="G109" s="1965"/>
    </row>
    <row r="110" spans="1:8">
      <c r="B110" s="1964"/>
      <c r="C110" s="1964"/>
      <c r="D110" s="1964"/>
      <c r="E110" s="1964"/>
      <c r="F110" s="1964"/>
      <c r="G110" s="1965"/>
    </row>
    <row r="111" spans="1:8">
      <c r="B111" s="1964"/>
      <c r="C111" s="1964"/>
      <c r="D111" s="1964"/>
      <c r="E111" s="1964"/>
      <c r="F111" s="1964"/>
      <c r="G111" s="1965"/>
    </row>
    <row r="112" spans="1:8">
      <c r="B112" s="1964"/>
      <c r="C112" s="1964"/>
      <c r="D112" s="1964"/>
      <c r="E112" s="1964"/>
      <c r="F112" s="1964"/>
      <c r="G112" s="1965"/>
    </row>
    <row r="113" spans="1:7">
      <c r="A113" s="1949"/>
      <c r="B113" s="1964"/>
      <c r="C113" s="1964"/>
      <c r="D113" s="1964"/>
      <c r="E113" s="1964"/>
      <c r="F113" s="1964"/>
      <c r="G113" s="1965"/>
    </row>
    <row r="114" spans="1:7">
      <c r="A114" s="1949"/>
      <c r="B114" s="1964"/>
      <c r="C114" s="1964"/>
      <c r="D114" s="1964"/>
      <c r="E114" s="1964"/>
      <c r="F114" s="1964"/>
      <c r="G114" s="1965"/>
    </row>
    <row r="115" spans="1:7">
      <c r="A115" s="1949"/>
      <c r="B115" s="1957"/>
      <c r="C115" s="1957"/>
      <c r="D115" s="1957"/>
      <c r="E115" s="1957"/>
      <c r="F115" s="1957"/>
      <c r="G115" s="1957"/>
    </row>
    <row r="116" spans="1:7">
      <c r="A116" s="1949"/>
      <c r="B116" s="1957"/>
      <c r="C116" s="1957"/>
      <c r="D116" s="1957"/>
      <c r="E116" s="1957"/>
      <c r="F116" s="1957"/>
      <c r="G116" s="1957"/>
    </row>
    <row r="117" spans="1:7">
      <c r="A117" s="1949"/>
      <c r="B117" s="1957"/>
      <c r="C117" s="1957"/>
      <c r="D117" s="1957"/>
      <c r="E117" s="1957"/>
      <c r="F117" s="1957"/>
      <c r="G117" s="1957"/>
    </row>
    <row r="118" spans="1:7">
      <c r="A118" s="1949"/>
      <c r="B118" s="1957"/>
      <c r="C118" s="1957"/>
      <c r="D118" s="1957"/>
      <c r="E118" s="1957"/>
      <c r="F118" s="1957"/>
      <c r="G118" s="1957"/>
    </row>
    <row r="221" spans="1:8">
      <c r="A221" s="1949"/>
      <c r="G221" s="1966"/>
      <c r="H221" s="1966"/>
    </row>
  </sheetData>
  <mergeCells count="9">
    <mergeCell ref="B48:G48"/>
    <mergeCell ref="J34:O35"/>
    <mergeCell ref="I33:J33"/>
    <mergeCell ref="A1:G1"/>
    <mergeCell ref="I1:O1"/>
    <mergeCell ref="A2:G2"/>
    <mergeCell ref="I2:O2"/>
    <mergeCell ref="A3:G3"/>
    <mergeCell ref="I3:O3"/>
  </mergeCells>
  <printOptions horizontalCentered="1"/>
  <pageMargins left="0.5" right="0.5" top="0.75" bottom="0.75" header="0.3" footer="0.55000000000000004"/>
  <pageSetup scale="93" fitToWidth="2" orientation="portrait" r:id="rId1"/>
  <headerFooter>
    <oddFooter>&amp;R&amp;A</oddFooter>
  </headerFooter>
  <colBreaks count="1" manualBreakCount="1">
    <brk id="7" min="5" max="48"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85"/>
  <sheetViews>
    <sheetView zoomScaleNormal="100" workbookViewId="0">
      <selection activeCell="L6" sqref="L6"/>
    </sheetView>
  </sheetViews>
  <sheetFormatPr defaultColWidth="8.88671875" defaultRowHeight="13.2"/>
  <cols>
    <col min="1" max="1" width="6.109375" style="582" customWidth="1"/>
    <col min="2" max="2" width="43.44140625" style="581" customWidth="1"/>
    <col min="3" max="3" width="11" style="581" bestFit="1" customWidth="1"/>
    <col min="4" max="4" width="7.109375" style="581" bestFit="1" customWidth="1"/>
    <col min="5" max="5" width="5.6640625" style="593" bestFit="1" customWidth="1"/>
    <col min="6" max="6" width="13.109375" style="593" bestFit="1" customWidth="1"/>
    <col min="7" max="7" width="10.109375" style="914" bestFit="1" customWidth="1"/>
    <col min="8" max="8" width="9.44140625" style="894" bestFit="1" customWidth="1"/>
    <col min="9" max="9" width="10.44140625" style="593" bestFit="1" customWidth="1"/>
    <col min="10" max="10" width="11.44140625" style="593" bestFit="1" customWidth="1"/>
    <col min="11" max="11" width="12.109375" style="914" bestFit="1" customWidth="1"/>
    <col min="12" max="12" width="9.88671875" style="581" customWidth="1"/>
    <col min="13" max="13" width="9.5546875" style="581" bestFit="1" customWidth="1"/>
    <col min="14" max="14" width="11.44140625" style="581" customWidth="1"/>
    <col min="15" max="15" width="13.88671875" style="2274" customWidth="1"/>
    <col min="16" max="16384" width="8.88671875" style="581"/>
  </cols>
  <sheetData>
    <row r="1" spans="1:18">
      <c r="A1" s="2390" t="str">
        <f>+'MISO Cover'!C6</f>
        <v>Entergy Louisiana, LLC</v>
      </c>
      <c r="B1" s="2390"/>
      <c r="C1" s="2390"/>
      <c r="D1" s="2390"/>
      <c r="E1" s="2390"/>
      <c r="F1" s="2390"/>
      <c r="G1" s="2390"/>
      <c r="H1" s="2390"/>
      <c r="I1" s="2390"/>
      <c r="J1" s="2390"/>
      <c r="K1" s="2390"/>
      <c r="L1" s="785"/>
    </row>
    <row r="2" spans="1:18">
      <c r="A2" s="2327" t="s">
        <v>1064</v>
      </c>
      <c r="B2" s="2327"/>
      <c r="C2" s="2327"/>
      <c r="D2" s="2327"/>
      <c r="E2" s="2327"/>
      <c r="F2" s="2391"/>
      <c r="G2" s="2391"/>
      <c r="H2" s="2391"/>
      <c r="I2" s="2391"/>
      <c r="J2" s="2391"/>
      <c r="K2" s="2391"/>
      <c r="L2" s="160"/>
    </row>
    <row r="3" spans="1:18">
      <c r="A3" s="2390" t="str">
        <f>+'MISO Cover'!K4</f>
        <v>For  the 12 Months Ended 12/31/2017</v>
      </c>
      <c r="B3" s="2390"/>
      <c r="C3" s="2390"/>
      <c r="D3" s="2390"/>
      <c r="E3" s="2390"/>
      <c r="F3" s="2390"/>
      <c r="G3" s="2390"/>
      <c r="H3" s="2390"/>
      <c r="I3" s="2390"/>
      <c r="J3" s="2390"/>
      <c r="K3" s="2390"/>
    </row>
    <row r="4" spans="1:18">
      <c r="A4" s="1711"/>
      <c r="B4" s="1715"/>
      <c r="C4" s="1715"/>
      <c r="D4" s="1715"/>
      <c r="E4" s="1716"/>
      <c r="F4" s="779"/>
      <c r="G4" s="779"/>
      <c r="I4" s="779"/>
      <c r="J4" s="779"/>
      <c r="K4" s="779"/>
      <c r="L4" s="785"/>
    </row>
    <row r="5" spans="1:18">
      <c r="A5" s="2327" t="s">
        <v>1081</v>
      </c>
      <c r="B5" s="2327"/>
      <c r="C5" s="2327"/>
      <c r="D5" s="2327"/>
      <c r="E5" s="2327"/>
      <c r="F5" s="2391"/>
      <c r="G5" s="2391"/>
      <c r="H5" s="2391"/>
      <c r="I5" s="2391"/>
      <c r="J5" s="2391"/>
      <c r="K5" s="2391"/>
    </row>
    <row r="6" spans="1:18">
      <c r="A6" s="1588"/>
      <c r="B6" s="1588"/>
      <c r="C6" s="1588"/>
      <c r="D6" s="1588"/>
      <c r="E6" s="1588"/>
      <c r="F6" s="1063"/>
      <c r="G6" s="1063"/>
      <c r="H6" s="1063"/>
      <c r="I6" s="1063"/>
      <c r="J6" s="1063"/>
      <c r="K6" s="1063"/>
    </row>
    <row r="7" spans="1:18" s="894" customFormat="1">
      <c r="A7" s="1717"/>
      <c r="B7" s="1588"/>
      <c r="C7" s="1588"/>
      <c r="D7" s="1588"/>
      <c r="E7" s="1588" t="str">
        <f>+C8&amp;" + "&amp;D8</f>
        <v>B + C</v>
      </c>
      <c r="G7" s="217" t="str">
        <f>+"- ("&amp;E8&amp;"+"&amp;F8&amp;")"</f>
        <v>- (D+E)</v>
      </c>
      <c r="H7" s="891" t="str">
        <f>+G8&amp;" * "&amp;D8&amp;"/"&amp;E8</f>
        <v>F * C/D</v>
      </c>
      <c r="K7" s="891" t="str">
        <f>+G8&amp;" - "&amp;I8&amp;" - "&amp;J8</f>
        <v>F - H - I</v>
      </c>
      <c r="L7" s="913"/>
      <c r="O7" s="483"/>
    </row>
    <row r="8" spans="1:18" s="894" customFormat="1" ht="13.2" customHeight="1">
      <c r="A8" s="1717" t="s">
        <v>280</v>
      </c>
      <c r="B8" s="1588" t="s">
        <v>67</v>
      </c>
      <c r="C8" s="1588" t="s">
        <v>114</v>
      </c>
      <c r="D8" s="1588" t="s">
        <v>55</v>
      </c>
      <c r="E8" s="1718" t="s">
        <v>68</v>
      </c>
      <c r="F8" s="771" t="s">
        <v>66</v>
      </c>
      <c r="G8" s="771" t="s">
        <v>154</v>
      </c>
      <c r="H8" s="771" t="s">
        <v>69</v>
      </c>
      <c r="I8" s="771" t="s">
        <v>166</v>
      </c>
      <c r="J8" s="771" t="s">
        <v>59</v>
      </c>
      <c r="K8" s="771" t="s">
        <v>60</v>
      </c>
      <c r="M8" s="1074"/>
      <c r="N8" s="2273"/>
      <c r="O8" s="2275"/>
      <c r="P8" s="1074"/>
      <c r="Q8" s="1074"/>
      <c r="R8" s="1072"/>
    </row>
    <row r="9" spans="1:18" s="894" customFormat="1" ht="26.4">
      <c r="A9" s="1717"/>
      <c r="B9" s="1588"/>
      <c r="C9" s="2457" t="s">
        <v>828</v>
      </c>
      <c r="D9" s="2457"/>
      <c r="E9" s="2457"/>
      <c r="F9" s="1168" t="s">
        <v>821</v>
      </c>
      <c r="G9" s="2456" t="s">
        <v>831</v>
      </c>
      <c r="H9" s="2456"/>
      <c r="I9" s="2456" t="s">
        <v>826</v>
      </c>
      <c r="J9" s="2456"/>
      <c r="K9" s="1168" t="s">
        <v>831</v>
      </c>
      <c r="M9" s="1074"/>
      <c r="N9" s="2273" t="s">
        <v>2152</v>
      </c>
      <c r="O9" s="2275" t="s">
        <v>2156</v>
      </c>
      <c r="P9" s="1074"/>
      <c r="Q9" s="1074"/>
      <c r="R9" s="1072"/>
    </row>
    <row r="10" spans="1:18" s="891" customFormat="1" ht="15" customHeight="1">
      <c r="A10" s="1712">
        <v>1</v>
      </c>
      <c r="B10" s="1083" t="s">
        <v>171</v>
      </c>
      <c r="C10" s="547" t="s">
        <v>919</v>
      </c>
      <c r="D10" s="547" t="s">
        <v>829</v>
      </c>
      <c r="E10" s="547" t="s">
        <v>113</v>
      </c>
      <c r="F10" s="1073" t="s">
        <v>830</v>
      </c>
      <c r="G10" s="1073" t="s">
        <v>833</v>
      </c>
      <c r="H10" s="1231" t="s">
        <v>832</v>
      </c>
      <c r="I10" s="1073" t="s">
        <v>825</v>
      </c>
      <c r="J10" s="1073" t="s">
        <v>827</v>
      </c>
      <c r="K10" s="1073" t="s">
        <v>113</v>
      </c>
      <c r="M10" s="1074"/>
      <c r="N10" s="2273" t="s">
        <v>2317</v>
      </c>
      <c r="O10" s="2275">
        <v>-11328148.849999994</v>
      </c>
      <c r="P10" s="1074"/>
      <c r="Q10" s="1074"/>
      <c r="R10" s="1072"/>
    </row>
    <row r="11" spans="1:18">
      <c r="A11" s="1713">
        <f>+A10+0.01</f>
        <v>1.01</v>
      </c>
      <c r="B11" s="545" t="s">
        <v>1573</v>
      </c>
      <c r="C11" s="199">
        <f>IFERROR(INDEX(#REF!,MATCH($B11,#REF!,0)),0)</f>
        <v>0</v>
      </c>
      <c r="D11" s="199">
        <f>IFERROR(INDEX(#REF!,MATCH($B11,#REF!,0)),0)</f>
        <v>0</v>
      </c>
      <c r="E11" s="74">
        <f t="shared" ref="E11:E33" si="0">+C11+D11</f>
        <v>0</v>
      </c>
      <c r="F11" s="199">
        <f>IFERROR(INDEX(#REF!,MATCH($B11,#REF!,0)),0)</f>
        <v>0</v>
      </c>
      <c r="G11" s="74">
        <f>-(E11+F11)</f>
        <v>0</v>
      </c>
      <c r="H11" s="483">
        <f t="shared" ref="H11:H50" si="1">G11*IF($E11=0,0,+ABS($D11)/(ABS($C11)+ABS($D11)))</f>
        <v>0</v>
      </c>
      <c r="I11" s="199">
        <f>+IFERROR(INDEX(#REF!,MATCH($B11,#REF!,0)),0)</f>
        <v>0</v>
      </c>
      <c r="J11" s="199">
        <f>+IFERROR(INDEX(#REF!,MATCH($B11,#REF!,0)),0)</f>
        <v>0</v>
      </c>
      <c r="K11" s="786">
        <f>+G11-I11-J11</f>
        <v>0</v>
      </c>
      <c r="L11" s="996"/>
      <c r="M11" s="1074"/>
      <c r="N11" s="2273"/>
      <c r="O11" s="2275"/>
      <c r="P11" s="1074"/>
      <c r="Q11" s="1074"/>
    </row>
    <row r="12" spans="1:18" ht="13.2" customHeight="1">
      <c r="A12" s="1713">
        <f t="shared" ref="A12:A52" si="2">+A11+0.01</f>
        <v>1.02</v>
      </c>
      <c r="B12" s="545" t="s">
        <v>1574</v>
      </c>
      <c r="C12" s="199">
        <f>IFERROR(INDEX(#REF!,MATCH($B12,#REF!,0)),0)</f>
        <v>0</v>
      </c>
      <c r="D12" s="199">
        <f>IFERROR(INDEX(#REF!,MATCH($B12,#REF!,0)),0)</f>
        <v>0</v>
      </c>
      <c r="E12" s="74">
        <f t="shared" si="0"/>
        <v>0</v>
      </c>
      <c r="F12" s="199">
        <f>IFERROR(INDEX(#REF!,MATCH($B12,#REF!,0)),0)</f>
        <v>0</v>
      </c>
      <c r="G12" s="74">
        <f t="shared" ref="G12:G50" si="3">-E12-F12</f>
        <v>0</v>
      </c>
      <c r="H12" s="483">
        <f t="shared" si="1"/>
        <v>0</v>
      </c>
      <c r="I12" s="199">
        <f>+IFERROR(INDEX(#REF!,MATCH($B12,#REF!,0)),0)</f>
        <v>0</v>
      </c>
      <c r="J12" s="199">
        <f>+IFERROR(INDEX(#REF!,MATCH($B12,#REF!,0)),0)</f>
        <v>0</v>
      </c>
      <c r="K12" s="786">
        <f t="shared" ref="K12:K51" si="4">+G12-I12-J12</f>
        <v>0</v>
      </c>
      <c r="L12" s="996"/>
      <c r="M12" s="1074"/>
      <c r="P12" s="1074"/>
      <c r="Q12" s="1074"/>
    </row>
    <row r="13" spans="1:18">
      <c r="A13" s="1713">
        <f t="shared" si="2"/>
        <v>1.03</v>
      </c>
      <c r="B13" s="545" t="s">
        <v>1575</v>
      </c>
      <c r="C13" s="199">
        <f>IFERROR(INDEX(#REF!,MATCH($B13,#REF!,0)),0)</f>
        <v>0</v>
      </c>
      <c r="D13" s="199">
        <f>IFERROR(INDEX(#REF!,MATCH($B13,#REF!,0)),0)</f>
        <v>0</v>
      </c>
      <c r="E13" s="74">
        <f t="shared" si="0"/>
        <v>0</v>
      </c>
      <c r="F13" s="199">
        <f>IFERROR(INDEX(#REF!,MATCH($B13,#REF!,0)),0)</f>
        <v>0</v>
      </c>
      <c r="G13" s="74">
        <f t="shared" si="3"/>
        <v>0</v>
      </c>
      <c r="H13" s="483">
        <f t="shared" si="1"/>
        <v>0</v>
      </c>
      <c r="I13" s="199">
        <f>+IFERROR(INDEX(#REF!,MATCH($B13,#REF!,0)),0)</f>
        <v>0</v>
      </c>
      <c r="J13" s="199">
        <f>+IFERROR(INDEX(#REF!,MATCH($B13,#REF!,0)),0)</f>
        <v>0</v>
      </c>
      <c r="K13" s="786">
        <f t="shared" si="4"/>
        <v>0</v>
      </c>
      <c r="L13" s="996"/>
      <c r="M13" s="1074"/>
      <c r="P13"/>
      <c r="Q13" s="1074"/>
    </row>
    <row r="14" spans="1:18">
      <c r="A14" s="1713">
        <f t="shared" si="2"/>
        <v>1.04</v>
      </c>
      <c r="B14" s="545" t="s">
        <v>1576</v>
      </c>
      <c r="C14" s="199">
        <f>IFERROR(INDEX(#REF!,MATCH($B14,#REF!,0)),0)</f>
        <v>0</v>
      </c>
      <c r="D14" s="199">
        <f>IFERROR(INDEX(#REF!,MATCH($B14,#REF!,0)),0)</f>
        <v>0</v>
      </c>
      <c r="E14" s="74">
        <f t="shared" si="0"/>
        <v>0</v>
      </c>
      <c r="F14" s="199">
        <f>IFERROR(INDEX(#REF!,MATCH($B14,#REF!,0)),0)</f>
        <v>0</v>
      </c>
      <c r="G14" s="74">
        <f t="shared" si="3"/>
        <v>0</v>
      </c>
      <c r="H14" s="483">
        <f t="shared" si="1"/>
        <v>0</v>
      </c>
      <c r="I14" s="199">
        <f>+IFERROR(INDEX(#REF!,MATCH($B14,#REF!,0)),0)</f>
        <v>0</v>
      </c>
      <c r="J14" s="199">
        <f>+IFERROR(INDEX(#REF!,MATCH($B14,#REF!,0)),0)</f>
        <v>0</v>
      </c>
      <c r="K14" s="786">
        <f t="shared" si="4"/>
        <v>0</v>
      </c>
      <c r="L14" s="996"/>
      <c r="M14" s="1074"/>
      <c r="P14"/>
      <c r="Q14" s="1074"/>
    </row>
    <row r="15" spans="1:18">
      <c r="A15" s="1713">
        <f t="shared" si="2"/>
        <v>1.05</v>
      </c>
      <c r="B15" s="545" t="s">
        <v>1577</v>
      </c>
      <c r="C15" s="199">
        <f>IFERROR(INDEX(#REF!,MATCH($B15,#REF!,0)),0)</f>
        <v>0</v>
      </c>
      <c r="D15" s="199">
        <f>IFERROR(INDEX(#REF!,MATCH($B15,#REF!,0)),0)</f>
        <v>0</v>
      </c>
      <c r="E15" s="74">
        <f t="shared" si="0"/>
        <v>0</v>
      </c>
      <c r="F15" s="199">
        <f>IFERROR(INDEX(#REF!,MATCH($B15,#REF!,0)),0)</f>
        <v>0</v>
      </c>
      <c r="G15" s="74">
        <f t="shared" si="3"/>
        <v>0</v>
      </c>
      <c r="H15" s="483">
        <f t="shared" si="1"/>
        <v>0</v>
      </c>
      <c r="I15" s="199">
        <f>+IFERROR(INDEX(#REF!,MATCH($B15,#REF!,0)),0)</f>
        <v>0</v>
      </c>
      <c r="J15" s="199">
        <v>261465.49000000002</v>
      </c>
      <c r="K15" s="786">
        <f t="shared" si="4"/>
        <v>-261465.49000000002</v>
      </c>
      <c r="L15" s="996"/>
      <c r="M15" s="1074"/>
      <c r="N15" s="2273" t="s">
        <v>1577</v>
      </c>
      <c r="O15" s="2275">
        <v>261465.49000000002</v>
      </c>
      <c r="P15"/>
    </row>
    <row r="16" spans="1:18">
      <c r="A16" s="1713">
        <f t="shared" si="2"/>
        <v>1.06</v>
      </c>
      <c r="B16" s="545" t="s">
        <v>1578</v>
      </c>
      <c r="C16" s="199">
        <f>IFERROR(INDEX(#REF!,MATCH($B16,#REF!,0)),0)</f>
        <v>0</v>
      </c>
      <c r="D16" s="199">
        <f>IFERROR(INDEX(#REF!,MATCH($B16,#REF!,0)),0)</f>
        <v>0</v>
      </c>
      <c r="E16" s="74">
        <f t="shared" si="0"/>
        <v>0</v>
      </c>
      <c r="F16" s="199">
        <f>IFERROR(INDEX(#REF!,MATCH($B16,#REF!,0)),0)</f>
        <v>0</v>
      </c>
      <c r="G16" s="74">
        <f t="shared" si="3"/>
        <v>0</v>
      </c>
      <c r="H16" s="483">
        <f t="shared" si="1"/>
        <v>0</v>
      </c>
      <c r="I16" s="199">
        <f>+IFERROR(INDEX(#REF!,MATCH($B16,#REF!,0)),0)</f>
        <v>0</v>
      </c>
      <c r="J16" s="199">
        <v>135976.61000000004</v>
      </c>
      <c r="K16" s="786">
        <f t="shared" si="4"/>
        <v>-135976.61000000004</v>
      </c>
      <c r="L16" s="996"/>
      <c r="M16" s="1074"/>
      <c r="N16" s="39" t="s">
        <v>1578</v>
      </c>
      <c r="O16" s="74">
        <v>135976.61000000004</v>
      </c>
      <c r="P16"/>
    </row>
    <row r="17" spans="1:18">
      <c r="A17" s="1713">
        <f t="shared" si="2"/>
        <v>1.07</v>
      </c>
      <c r="B17" s="545" t="s">
        <v>1579</v>
      </c>
      <c r="C17" s="199">
        <f>IFERROR(INDEX(#REF!,MATCH($B17,#REF!,0)),0)</f>
        <v>0</v>
      </c>
      <c r="D17" s="199">
        <f>IFERROR(INDEX(#REF!,MATCH($B17,#REF!,0)),0)</f>
        <v>0</v>
      </c>
      <c r="E17" s="74">
        <f t="shared" si="0"/>
        <v>0</v>
      </c>
      <c r="F17" s="199">
        <f>IFERROR(INDEX(#REF!,MATCH($B17,#REF!,0)),0)</f>
        <v>0</v>
      </c>
      <c r="G17" s="74">
        <f t="shared" si="3"/>
        <v>0</v>
      </c>
      <c r="H17" s="483">
        <f t="shared" si="1"/>
        <v>0</v>
      </c>
      <c r="I17" s="199">
        <f>+IFERROR(INDEX(#REF!,MATCH($B17,#REF!,0)),0)</f>
        <v>0</v>
      </c>
      <c r="J17" s="199">
        <v>818326.52000000025</v>
      </c>
      <c r="K17" s="786">
        <f t="shared" si="4"/>
        <v>-818326.52000000025</v>
      </c>
      <c r="L17" s="996"/>
      <c r="M17" s="1074"/>
      <c r="N17" s="1309" t="s">
        <v>1579</v>
      </c>
      <c r="O17" s="74">
        <v>818326.52000000025</v>
      </c>
      <c r="P17"/>
      <c r="Q17" s="1074"/>
      <c r="R17" s="1074"/>
    </row>
    <row r="18" spans="1:18">
      <c r="A18" s="1713">
        <f t="shared" si="2"/>
        <v>1.08</v>
      </c>
      <c r="B18" s="545" t="s">
        <v>1580</v>
      </c>
      <c r="C18" s="199">
        <f>IFERROR(INDEX(#REF!,MATCH($B18,#REF!,0)),0)</f>
        <v>0</v>
      </c>
      <c r="D18" s="199">
        <f>IFERROR(INDEX(#REF!,MATCH($B18,#REF!,0)),0)</f>
        <v>0</v>
      </c>
      <c r="E18" s="74">
        <f t="shared" si="0"/>
        <v>0</v>
      </c>
      <c r="F18" s="199">
        <f>IFERROR(INDEX(#REF!,MATCH($B18,#REF!,0)),0)</f>
        <v>0</v>
      </c>
      <c r="G18" s="74">
        <f t="shared" si="3"/>
        <v>0</v>
      </c>
      <c r="H18" s="483">
        <f t="shared" si="1"/>
        <v>0</v>
      </c>
      <c r="I18" s="199">
        <f>+IFERROR(INDEX(#REF!,MATCH($B18,#REF!,0)),0)</f>
        <v>0</v>
      </c>
      <c r="J18" s="199">
        <v>1364.1099999999997</v>
      </c>
      <c r="K18" s="786">
        <f t="shared" si="4"/>
        <v>-1364.1099999999997</v>
      </c>
      <c r="L18" s="996"/>
      <c r="M18" s="1074"/>
      <c r="N18" s="1309" t="s">
        <v>1580</v>
      </c>
      <c r="O18" s="74">
        <v>1364.1099999999997</v>
      </c>
      <c r="P18"/>
    </row>
    <row r="19" spans="1:18">
      <c r="A19" s="1713">
        <f t="shared" si="2"/>
        <v>1.0900000000000001</v>
      </c>
      <c r="B19" s="545" t="s">
        <v>1581</v>
      </c>
      <c r="C19" s="199">
        <f>IFERROR(INDEX(#REF!,MATCH($B19,#REF!,0)),0)</f>
        <v>0</v>
      </c>
      <c r="D19" s="199">
        <f>IFERROR(INDEX(#REF!,MATCH($B19,#REF!,0)),0)</f>
        <v>0</v>
      </c>
      <c r="E19" s="74">
        <f t="shared" si="0"/>
        <v>0</v>
      </c>
      <c r="F19" s="199">
        <f>IFERROR(INDEX(#REF!,MATCH($B19,#REF!,0)),0)</f>
        <v>0</v>
      </c>
      <c r="G19" s="74">
        <f t="shared" si="3"/>
        <v>0</v>
      </c>
      <c r="H19" s="483">
        <f t="shared" si="1"/>
        <v>0</v>
      </c>
      <c r="I19" s="199">
        <f>+IFERROR(INDEX(#REF!,MATCH($B19,#REF!,0)),0)</f>
        <v>0</v>
      </c>
      <c r="J19" s="199">
        <v>90.75</v>
      </c>
      <c r="K19" s="786">
        <f t="shared" si="4"/>
        <v>-90.75</v>
      </c>
      <c r="L19" s="996"/>
      <c r="M19" s="1074"/>
      <c r="N19" s="1309" t="s">
        <v>1581</v>
      </c>
      <c r="O19" s="74">
        <v>90.75</v>
      </c>
      <c r="P19"/>
    </row>
    <row r="20" spans="1:18">
      <c r="A20" s="1713">
        <f t="shared" si="2"/>
        <v>1.1000000000000001</v>
      </c>
      <c r="B20" s="545" t="s">
        <v>1582</v>
      </c>
      <c r="C20" s="199">
        <f>IFERROR(INDEX(#REF!,MATCH($B20,#REF!,0)),0)</f>
        <v>0</v>
      </c>
      <c r="D20" s="199">
        <f>IFERROR(INDEX(#REF!,MATCH($B20,#REF!,0)),0)</f>
        <v>0</v>
      </c>
      <c r="E20" s="74">
        <f t="shared" si="0"/>
        <v>0</v>
      </c>
      <c r="F20" s="199">
        <f>IFERROR(INDEX(#REF!,MATCH($B20,#REF!,0)),0)</f>
        <v>0</v>
      </c>
      <c r="G20" s="74">
        <f t="shared" si="3"/>
        <v>0</v>
      </c>
      <c r="H20" s="483">
        <f t="shared" si="1"/>
        <v>0</v>
      </c>
      <c r="I20" s="199">
        <f>+IFERROR(INDEX(#REF!,MATCH($B20,#REF!,0)),0)</f>
        <v>0</v>
      </c>
      <c r="J20" s="199">
        <v>918.61</v>
      </c>
      <c r="K20" s="786">
        <f t="shared" si="4"/>
        <v>-918.61</v>
      </c>
      <c r="L20" s="996"/>
      <c r="M20" s="1074"/>
      <c r="N20" s="1309" t="s">
        <v>1582</v>
      </c>
      <c r="O20" s="74">
        <v>918.61</v>
      </c>
      <c r="P20"/>
    </row>
    <row r="21" spans="1:18">
      <c r="A21" s="1713">
        <f t="shared" si="2"/>
        <v>1.1100000000000001</v>
      </c>
      <c r="B21" s="545" t="s">
        <v>1583</v>
      </c>
      <c r="C21" s="199">
        <f>IFERROR(INDEX(#REF!,MATCH($B21,#REF!,0)),0)</f>
        <v>0</v>
      </c>
      <c r="D21" s="199">
        <f>IFERROR(INDEX(#REF!,MATCH($B21,#REF!,0)),0)</f>
        <v>0</v>
      </c>
      <c r="E21" s="74">
        <f t="shared" si="0"/>
        <v>0</v>
      </c>
      <c r="F21" s="199">
        <f>IFERROR(INDEX(#REF!,MATCH($B21,#REF!,0)),0)</f>
        <v>0</v>
      </c>
      <c r="G21" s="74">
        <f t="shared" si="3"/>
        <v>0</v>
      </c>
      <c r="H21" s="483">
        <f t="shared" si="1"/>
        <v>0</v>
      </c>
      <c r="I21" s="199">
        <f>+IFERROR(INDEX(#REF!,MATCH($B21,#REF!,0)),0)</f>
        <v>0</v>
      </c>
      <c r="J21" s="199">
        <v>2756.0499999999993</v>
      </c>
      <c r="K21" s="786">
        <f t="shared" si="4"/>
        <v>-2756.0499999999993</v>
      </c>
      <c r="L21" s="996"/>
      <c r="M21" s="1074"/>
      <c r="N21" s="1309" t="s">
        <v>1583</v>
      </c>
      <c r="O21" s="74">
        <v>2756.0499999999993</v>
      </c>
      <c r="P21"/>
    </row>
    <row r="22" spans="1:18">
      <c r="A22" s="1713">
        <f t="shared" si="2"/>
        <v>1.1200000000000001</v>
      </c>
      <c r="B22" s="545" t="s">
        <v>1584</v>
      </c>
      <c r="C22" s="199">
        <f>IFERROR(INDEX(#REF!,MATCH($B22,#REF!,0)),0)</f>
        <v>0</v>
      </c>
      <c r="D22" s="199">
        <f>IFERROR(INDEX(#REF!,MATCH($B22,#REF!,0)),0)</f>
        <v>0</v>
      </c>
      <c r="E22" s="74">
        <f t="shared" si="0"/>
        <v>0</v>
      </c>
      <c r="F22" s="199">
        <f>IFERROR(INDEX(#REF!,MATCH($B22,#REF!,0)),0)</f>
        <v>0</v>
      </c>
      <c r="G22" s="74">
        <f t="shared" si="3"/>
        <v>0</v>
      </c>
      <c r="H22" s="483">
        <f t="shared" si="1"/>
        <v>0</v>
      </c>
      <c r="I22" s="199">
        <f>+IFERROR(INDEX(#REF!,MATCH($B22,#REF!,0)),0)</f>
        <v>0</v>
      </c>
      <c r="J22" s="199">
        <v>4575.5599999999995</v>
      </c>
      <c r="K22" s="786">
        <f t="shared" si="4"/>
        <v>-4575.5599999999995</v>
      </c>
      <c r="L22" s="996"/>
      <c r="M22" s="1074"/>
      <c r="N22" s="1309" t="s">
        <v>1584</v>
      </c>
      <c r="O22" s="74">
        <v>4575.5599999999995</v>
      </c>
      <c r="P22"/>
    </row>
    <row r="23" spans="1:18">
      <c r="A23" s="1713">
        <f t="shared" si="2"/>
        <v>1.1300000000000001</v>
      </c>
      <c r="B23" s="545" t="s">
        <v>1585</v>
      </c>
      <c r="C23" s="199">
        <f>IFERROR(INDEX(#REF!,MATCH($B23,#REF!,0)),0)</f>
        <v>0</v>
      </c>
      <c r="D23" s="199">
        <f>IFERROR(INDEX(#REF!,MATCH($B23,#REF!,0)),0)</f>
        <v>0</v>
      </c>
      <c r="E23" s="74">
        <f t="shared" si="0"/>
        <v>0</v>
      </c>
      <c r="F23" s="199">
        <f>IFERROR(INDEX(#REF!,MATCH($B23,#REF!,0)),0)</f>
        <v>0</v>
      </c>
      <c r="G23" s="74">
        <f t="shared" si="3"/>
        <v>0</v>
      </c>
      <c r="H23" s="483">
        <f t="shared" si="1"/>
        <v>0</v>
      </c>
      <c r="I23" s="199">
        <f>+IFERROR(INDEX(#REF!,MATCH($B23,#REF!,0)),0)</f>
        <v>0</v>
      </c>
      <c r="J23" s="199">
        <v>515709.0400000001</v>
      </c>
      <c r="K23" s="786">
        <f t="shared" si="4"/>
        <v>-515709.0400000001</v>
      </c>
      <c r="L23" s="996"/>
      <c r="M23" s="1074"/>
      <c r="N23" s="1309" t="s">
        <v>1585</v>
      </c>
      <c r="O23" s="74">
        <v>515709.0400000001</v>
      </c>
    </row>
    <row r="24" spans="1:18">
      <c r="A24" s="1713">
        <f t="shared" si="2"/>
        <v>1.1400000000000001</v>
      </c>
      <c r="B24" s="545">
        <v>561100</v>
      </c>
      <c r="C24" s="199">
        <f>IFERROR(INDEX(#REF!,MATCH($B24,#REF!,0)),0)</f>
        <v>0</v>
      </c>
      <c r="D24" s="199">
        <f>IFERROR(INDEX(#REF!,MATCH($B24,#REF!,0)),0)</f>
        <v>0</v>
      </c>
      <c r="E24" s="74">
        <f t="shared" si="0"/>
        <v>0</v>
      </c>
      <c r="F24" s="199">
        <f>IFERROR(INDEX(#REF!,MATCH($B24,#REF!,0)),0)</f>
        <v>0</v>
      </c>
      <c r="G24" s="786">
        <f t="shared" si="3"/>
        <v>0</v>
      </c>
      <c r="H24" s="483">
        <f t="shared" si="1"/>
        <v>0</v>
      </c>
      <c r="I24" s="199">
        <f>+IFERROR(INDEX(#REF!,MATCH($B24,#REF!,0)),0)</f>
        <v>0</v>
      </c>
      <c r="J24" s="199">
        <v>-8.14</v>
      </c>
      <c r="K24" s="786">
        <f t="shared" si="4"/>
        <v>8.14</v>
      </c>
      <c r="L24" s="996"/>
      <c r="M24" s="1074"/>
      <c r="N24" s="1309" t="s">
        <v>2320</v>
      </c>
      <c r="O24" s="74">
        <v>-8.14</v>
      </c>
    </row>
    <row r="25" spans="1:18">
      <c r="A25" s="1713">
        <f t="shared" si="2"/>
        <v>1.1500000000000001</v>
      </c>
      <c r="B25" s="545">
        <v>561200</v>
      </c>
      <c r="C25" s="199">
        <f>IFERROR(INDEX(#REF!,MATCH($B25,#REF!,0)),0)</f>
        <v>0</v>
      </c>
      <c r="D25" s="199">
        <f>IFERROR(INDEX(#REF!,MATCH($B25,#REF!,0)),0)</f>
        <v>0</v>
      </c>
      <c r="E25" s="74">
        <f t="shared" si="0"/>
        <v>0</v>
      </c>
      <c r="F25" s="199">
        <f>IFERROR(INDEX(#REF!,MATCH($B25,#REF!,0)),0)</f>
        <v>0</v>
      </c>
      <c r="G25" s="786">
        <f t="shared" ref="G25" si="5">-E25-F25</f>
        <v>0</v>
      </c>
      <c r="H25" s="483">
        <f t="shared" ref="H25" si="6">G25*IF($E25=0,0,+ABS($D25)/(ABS($C25)+ABS($D25)))</f>
        <v>0</v>
      </c>
      <c r="I25" s="199">
        <f>+IFERROR(INDEX(#REF!,MATCH($B25,#REF!,0)),0)</f>
        <v>0</v>
      </c>
      <c r="J25" s="199">
        <v>2093.5199999999995</v>
      </c>
      <c r="K25" s="786">
        <f t="shared" si="4"/>
        <v>-2093.5199999999995</v>
      </c>
      <c r="L25" s="996"/>
      <c r="M25" s="1074"/>
      <c r="N25" s="2273" t="s">
        <v>1627</v>
      </c>
      <c r="O25" s="243">
        <v>2093.5199999999995</v>
      </c>
    </row>
    <row r="26" spans="1:18">
      <c r="A26" s="1713">
        <f t="shared" si="2"/>
        <v>1.1600000000000001</v>
      </c>
      <c r="B26" s="545" t="s">
        <v>1586</v>
      </c>
      <c r="C26" s="199">
        <f>IFERROR(INDEX(#REF!,MATCH($B26,#REF!,0)),0)</f>
        <v>0</v>
      </c>
      <c r="D26" s="199">
        <f>IFERROR(INDEX(#REF!,MATCH($B26,#REF!,0)),0)</f>
        <v>0</v>
      </c>
      <c r="E26" s="74">
        <f t="shared" ref="E26" si="7">+C26+D26</f>
        <v>0</v>
      </c>
      <c r="F26" s="199">
        <f>IFERROR(INDEX(#REF!,MATCH($B26,#REF!,0)),0)</f>
        <v>0</v>
      </c>
      <c r="G26" s="786">
        <f t="shared" ref="G26" si="8">-E26-F26</f>
        <v>0</v>
      </c>
      <c r="H26" s="483">
        <f t="shared" ref="H26" si="9">G26*IF($E26=0,0,+ABS($D26)/(ABS($C26)+ABS($D26)))</f>
        <v>0</v>
      </c>
      <c r="I26" s="199">
        <f>+IFERROR(INDEX(#REF!,MATCH($B26,#REF!,0)),0)</f>
        <v>0</v>
      </c>
      <c r="J26" s="199"/>
      <c r="K26" s="786">
        <f t="shared" ref="K26" si="10">+G26-I26-J26</f>
        <v>0</v>
      </c>
      <c r="L26" s="996"/>
      <c r="M26" s="1074"/>
      <c r="N26" s="2273" t="s">
        <v>1586</v>
      </c>
      <c r="O26" s="243"/>
    </row>
    <row r="27" spans="1:18">
      <c r="A27" s="1713">
        <f t="shared" si="2"/>
        <v>1.1700000000000002</v>
      </c>
      <c r="B27" s="545" t="s">
        <v>1587</v>
      </c>
      <c r="C27" s="199">
        <f>IFERROR(INDEX(#REF!,MATCH($B27,#REF!,0)),0)</f>
        <v>0</v>
      </c>
      <c r="D27" s="199">
        <f>IFERROR(INDEX(#REF!,MATCH($B27,#REF!,0)),0)</f>
        <v>0</v>
      </c>
      <c r="E27" s="74">
        <f t="shared" si="0"/>
        <v>0</v>
      </c>
      <c r="F27" s="199">
        <f>IFERROR(INDEX(#REF!,MATCH($B27,#REF!,0)),0)</f>
        <v>0</v>
      </c>
      <c r="G27" s="786">
        <f t="shared" si="3"/>
        <v>0</v>
      </c>
      <c r="H27" s="483">
        <f t="shared" si="1"/>
        <v>0</v>
      </c>
      <c r="I27" s="199">
        <f>+IFERROR(INDEX(#REF!,MATCH($B27,#REF!,0)),0)</f>
        <v>0</v>
      </c>
      <c r="J27" s="199">
        <v>240.01999999999995</v>
      </c>
      <c r="K27" s="786">
        <f t="shared" si="4"/>
        <v>-240.01999999999995</v>
      </c>
      <c r="L27" s="996"/>
      <c r="M27" s="1074"/>
      <c r="N27" s="2273" t="s">
        <v>1587</v>
      </c>
      <c r="O27" s="243">
        <v>240.01999999999995</v>
      </c>
    </row>
    <row r="28" spans="1:18">
      <c r="A28" s="1713">
        <f t="shared" si="2"/>
        <v>1.1800000000000002</v>
      </c>
      <c r="B28" s="545" t="s">
        <v>1588</v>
      </c>
      <c r="C28" s="199">
        <f>IFERROR(INDEX(#REF!,MATCH($B28,#REF!,0)),0)</f>
        <v>0</v>
      </c>
      <c r="D28" s="199">
        <f>IFERROR(INDEX(#REF!,MATCH($B28,#REF!,0)),0)</f>
        <v>0</v>
      </c>
      <c r="E28" s="74">
        <f t="shared" si="0"/>
        <v>0</v>
      </c>
      <c r="F28" s="199">
        <f>IFERROR(INDEX(#REF!,MATCH($B28,#REF!,0)),0)</f>
        <v>0</v>
      </c>
      <c r="G28" s="74">
        <f t="shared" si="3"/>
        <v>0</v>
      </c>
      <c r="H28" s="483">
        <f t="shared" si="1"/>
        <v>0</v>
      </c>
      <c r="I28" s="199">
        <f>+IFERROR(INDEX(#REF!,MATCH($B28,#REF!,0)),0)</f>
        <v>0</v>
      </c>
      <c r="J28" s="199">
        <v>209.66000000000003</v>
      </c>
      <c r="K28" s="786">
        <f t="shared" si="4"/>
        <v>-209.66000000000003</v>
      </c>
      <c r="L28" s="996"/>
      <c r="M28" s="1074"/>
      <c r="N28" s="2273" t="s">
        <v>1588</v>
      </c>
      <c r="O28" s="243">
        <v>209.66000000000003</v>
      </c>
    </row>
    <row r="29" spans="1:18">
      <c r="A29" s="1713">
        <f t="shared" si="2"/>
        <v>1.1900000000000002</v>
      </c>
      <c r="B29" s="545">
        <v>562000</v>
      </c>
      <c r="C29" s="199">
        <f>IFERROR(INDEX(#REF!,MATCH($B29,#REF!,0)),0)</f>
        <v>0</v>
      </c>
      <c r="D29" s="199">
        <f>IFERROR(INDEX(#REF!,MATCH($B29,#REF!,0)),0)</f>
        <v>0</v>
      </c>
      <c r="E29" s="74">
        <f t="shared" ref="E29" si="11">+C29+D29</f>
        <v>0</v>
      </c>
      <c r="F29" s="199">
        <f>IFERROR(INDEX(#REF!,MATCH($B29,#REF!,0)),0)</f>
        <v>0</v>
      </c>
      <c r="G29" s="74">
        <f t="shared" ref="G29" si="12">-E29-F29</f>
        <v>0</v>
      </c>
      <c r="H29" s="483">
        <f t="shared" ref="H29" si="13">G29*IF($E29=0,0,+ABS($D29)/(ABS($C29)+ABS($D29)))</f>
        <v>0</v>
      </c>
      <c r="I29" s="199">
        <f>+IFERROR(INDEX(#REF!,MATCH($B29,#REF!,0)),0)</f>
        <v>0</v>
      </c>
      <c r="J29" s="199"/>
      <c r="K29" s="786">
        <f t="shared" ref="K29" si="14">+G29-I29-J29</f>
        <v>0</v>
      </c>
      <c r="L29" s="996"/>
      <c r="M29" s="1074"/>
      <c r="N29" s="1309">
        <v>562000</v>
      </c>
      <c r="O29" s="243"/>
    </row>
    <row r="30" spans="1:18">
      <c r="A30" s="1713">
        <f t="shared" si="2"/>
        <v>1.2000000000000002</v>
      </c>
      <c r="B30" s="545" t="s">
        <v>1589</v>
      </c>
      <c r="C30" s="199">
        <f>IFERROR(INDEX(#REF!,MATCH($B30,#REF!,0)),0)</f>
        <v>0</v>
      </c>
      <c r="D30" s="199">
        <f>IFERROR(INDEX(#REF!,MATCH($B30,#REF!,0)),0)</f>
        <v>0</v>
      </c>
      <c r="E30" s="74">
        <f t="shared" si="0"/>
        <v>0</v>
      </c>
      <c r="F30" s="199">
        <f>IFERROR(INDEX(#REF!,MATCH($B30,#REF!,0)),0)</f>
        <v>0</v>
      </c>
      <c r="G30" s="74">
        <f t="shared" si="3"/>
        <v>0</v>
      </c>
      <c r="H30" s="483">
        <f t="shared" si="1"/>
        <v>0</v>
      </c>
      <c r="I30" s="199">
        <f>+IFERROR(INDEX(#REF!,MATCH($B30,#REF!,0)),0)</f>
        <v>0</v>
      </c>
      <c r="J30" s="199">
        <v>65737.319999999992</v>
      </c>
      <c r="K30" s="786">
        <f t="shared" si="4"/>
        <v>-65737.319999999992</v>
      </c>
      <c r="L30" s="996"/>
      <c r="M30" s="1074"/>
      <c r="N30" s="2273" t="s">
        <v>1589</v>
      </c>
      <c r="O30" s="243">
        <v>65737.319999999992</v>
      </c>
    </row>
    <row r="31" spans="1:18">
      <c r="A31" s="893">
        <f t="shared" si="2"/>
        <v>1.2100000000000002</v>
      </c>
      <c r="B31" s="545">
        <v>567000</v>
      </c>
      <c r="C31" s="199">
        <f>IFERROR(INDEX(#REF!,MATCH($B31,#REF!,0)),0)</f>
        <v>0</v>
      </c>
      <c r="D31" s="199">
        <f>IFERROR(INDEX(#REF!,MATCH($B31,#REF!,0)),0)</f>
        <v>0</v>
      </c>
      <c r="E31" s="74">
        <f t="shared" si="0"/>
        <v>0</v>
      </c>
      <c r="F31" s="199">
        <f>IFERROR(INDEX(#REF!,MATCH($B31,#REF!,0)),0)</f>
        <v>0</v>
      </c>
      <c r="G31" s="74">
        <f t="shared" ref="G31:G32" si="15">-E31-F31</f>
        <v>0</v>
      </c>
      <c r="H31" s="483">
        <f t="shared" ref="H31:H32" si="16">G31*IF($E31=0,0,+ABS($D31)/(ABS($C31)+ABS($D31)))</f>
        <v>0</v>
      </c>
      <c r="I31" s="199">
        <f>+IFERROR(INDEX(#REF!,MATCH($B31,#REF!,0)),0)</f>
        <v>0</v>
      </c>
      <c r="J31" s="199"/>
      <c r="K31" s="786">
        <f t="shared" ref="K31:K32" si="17">+G31-I31-J31</f>
        <v>0</v>
      </c>
      <c r="L31" s="996"/>
      <c r="M31" s="1074"/>
      <c r="N31" s="1309">
        <v>567000</v>
      </c>
      <c r="O31" s="243"/>
    </row>
    <row r="32" spans="1:18">
      <c r="A32" s="893">
        <f t="shared" si="2"/>
        <v>1.2200000000000002</v>
      </c>
      <c r="B32" s="545">
        <v>568000</v>
      </c>
      <c r="C32" s="199">
        <f>IFERROR(INDEX(#REF!,MATCH($B32,#REF!,0)),0)</f>
        <v>0</v>
      </c>
      <c r="D32" s="199">
        <f>IFERROR(INDEX(#REF!,MATCH($B32,#REF!,0)),0)</f>
        <v>0</v>
      </c>
      <c r="E32" s="74">
        <f t="shared" si="0"/>
        <v>0</v>
      </c>
      <c r="F32" s="199">
        <f>IFERROR(INDEX(#REF!,MATCH($B32,#REF!,0)),0)</f>
        <v>0</v>
      </c>
      <c r="G32" s="74">
        <f t="shared" si="15"/>
        <v>0</v>
      </c>
      <c r="H32" s="483">
        <f t="shared" si="16"/>
        <v>0</v>
      </c>
      <c r="I32" s="199">
        <f>+IFERROR(INDEX(#REF!,MATCH($B32,#REF!,0)),0)</f>
        <v>0</v>
      </c>
      <c r="J32" s="199">
        <v>-113.18999999999997</v>
      </c>
      <c r="K32" s="786">
        <f t="shared" si="17"/>
        <v>113.18999999999997</v>
      </c>
      <c r="L32" s="996"/>
      <c r="M32" s="1074"/>
      <c r="N32" s="2273" t="s">
        <v>1628</v>
      </c>
      <c r="O32" s="243">
        <v>-113.18999999999997</v>
      </c>
    </row>
    <row r="33" spans="1:15">
      <c r="A33" s="893">
        <f t="shared" si="2"/>
        <v>1.2300000000000002</v>
      </c>
      <c r="B33" s="545">
        <v>569000</v>
      </c>
      <c r="C33" s="199">
        <f>IFERROR(INDEX(#REF!,MATCH($B33,#REF!,0)),0)</f>
        <v>0</v>
      </c>
      <c r="D33" s="199">
        <f>IFERROR(INDEX(#REF!,MATCH($B33,#REF!,0)),0)</f>
        <v>0</v>
      </c>
      <c r="E33" s="74">
        <f t="shared" si="0"/>
        <v>0</v>
      </c>
      <c r="F33" s="199">
        <f>IFERROR(INDEX(#REF!,MATCH($B33,#REF!,0)),0)</f>
        <v>0</v>
      </c>
      <c r="G33" s="74">
        <f t="shared" si="3"/>
        <v>0</v>
      </c>
      <c r="H33" s="483">
        <f t="shared" si="1"/>
        <v>0</v>
      </c>
      <c r="I33" s="199">
        <f>+IFERROR(INDEX(#REF!,MATCH($B33,#REF!,0)),0)</f>
        <v>0</v>
      </c>
      <c r="J33" s="199"/>
      <c r="K33" s="786">
        <f t="shared" si="4"/>
        <v>0</v>
      </c>
      <c r="L33" s="996"/>
      <c r="M33" s="1074"/>
      <c r="N33" s="1309">
        <v>569000</v>
      </c>
      <c r="O33" s="243"/>
    </row>
    <row r="34" spans="1:15">
      <c r="A34" s="893">
        <f t="shared" si="2"/>
        <v>1.2400000000000002</v>
      </c>
      <c r="B34" s="545" t="s">
        <v>1590</v>
      </c>
      <c r="C34" s="199">
        <f>IFERROR(INDEX(#REF!,MATCH($B34,#REF!,0)),0)</f>
        <v>0</v>
      </c>
      <c r="D34" s="199">
        <f>IFERROR(INDEX(#REF!,MATCH($B34,#REF!,0)),0)</f>
        <v>0</v>
      </c>
      <c r="E34" s="74">
        <f t="shared" ref="E34:E35" si="18">+C34+D34</f>
        <v>0</v>
      </c>
      <c r="F34" s="199">
        <f>IFERROR(INDEX(#REF!,MATCH($B34,#REF!,0)),0)</f>
        <v>0</v>
      </c>
      <c r="G34" s="74">
        <f t="shared" ref="G34:G35" si="19">-E34-F34</f>
        <v>0</v>
      </c>
      <c r="H34" s="483">
        <f t="shared" ref="H34:H35" si="20">G34*IF($E34=0,0,+ABS($D34)/(ABS($C34)+ABS($D34)))</f>
        <v>0</v>
      </c>
      <c r="I34" s="199">
        <f>+IFERROR(INDEX(#REF!,MATCH($B34,#REF!,0)),0)</f>
        <v>0</v>
      </c>
      <c r="J34" s="199">
        <v>-122.10000000000005</v>
      </c>
      <c r="K34" s="786">
        <f t="shared" ref="K34:K35" si="21">+G34-I34-J34</f>
        <v>122.10000000000005</v>
      </c>
      <c r="L34" s="996"/>
      <c r="M34" s="1074"/>
      <c r="N34" s="2273" t="s">
        <v>1590</v>
      </c>
      <c r="O34" s="243">
        <v>-122.10000000000005</v>
      </c>
    </row>
    <row r="35" spans="1:15">
      <c r="A35" s="893">
        <f t="shared" si="2"/>
        <v>1.2500000000000002</v>
      </c>
      <c r="B35" s="545">
        <v>573000</v>
      </c>
      <c r="C35" s="199">
        <f>IFERROR(INDEX(#REF!,MATCH($B35,#REF!,0)),0)</f>
        <v>0</v>
      </c>
      <c r="D35" s="199">
        <f>IFERROR(INDEX(#REF!,MATCH($B35,#REF!,0)),0)</f>
        <v>0</v>
      </c>
      <c r="E35" s="74">
        <f t="shared" si="18"/>
        <v>0</v>
      </c>
      <c r="F35" s="199">
        <f>IFERROR(INDEX(#REF!,MATCH($B35,#REF!,0)),0)</f>
        <v>0</v>
      </c>
      <c r="G35" s="74">
        <f t="shared" si="19"/>
        <v>0</v>
      </c>
      <c r="H35" s="483">
        <f t="shared" si="20"/>
        <v>0</v>
      </c>
      <c r="I35" s="199">
        <f>+IFERROR(INDEX(#REF!,MATCH($B35,#REF!,0)),0)</f>
        <v>0</v>
      </c>
      <c r="J35" s="199"/>
      <c r="K35" s="786">
        <f t="shared" si="21"/>
        <v>0</v>
      </c>
      <c r="L35" s="996"/>
      <c r="M35" s="1074"/>
      <c r="N35" s="1309">
        <v>573000</v>
      </c>
      <c r="O35" s="243"/>
    </row>
    <row r="36" spans="1:15">
      <c r="A36" s="893">
        <f t="shared" si="2"/>
        <v>1.2600000000000002</v>
      </c>
      <c r="B36" s="545">
        <v>575100</v>
      </c>
      <c r="C36" s="199">
        <f>IFERROR(INDEX(#REF!,MATCH($B36,#REF!,0)),0)</f>
        <v>0</v>
      </c>
      <c r="D36" s="199">
        <f>IFERROR(INDEX(#REF!,MATCH($B36,#REF!,0)),0)</f>
        <v>0</v>
      </c>
      <c r="E36" s="74">
        <f t="shared" ref="E36:E44" si="22">+C36+D36</f>
        <v>0</v>
      </c>
      <c r="F36" s="199">
        <f>IFERROR(INDEX(#REF!,MATCH($B36,#REF!,0)),0)</f>
        <v>0</v>
      </c>
      <c r="G36" s="74">
        <f t="shared" si="3"/>
        <v>0</v>
      </c>
      <c r="H36" s="483">
        <f t="shared" si="1"/>
        <v>0</v>
      </c>
      <c r="I36" s="199">
        <f>+IFERROR(INDEX(#REF!,MATCH($B36,#REF!,0)),0)</f>
        <v>0</v>
      </c>
      <c r="J36" s="199">
        <v>937.8599999999999</v>
      </c>
      <c r="K36" s="786">
        <f t="shared" si="4"/>
        <v>-937.8599999999999</v>
      </c>
      <c r="L36" s="996"/>
      <c r="M36" s="1074"/>
      <c r="N36" s="2273" t="s">
        <v>2321</v>
      </c>
      <c r="O36" s="243">
        <v>937.8599999999999</v>
      </c>
    </row>
    <row r="37" spans="1:15">
      <c r="A37" s="893">
        <f t="shared" si="2"/>
        <v>1.2700000000000002</v>
      </c>
      <c r="B37" s="545" t="s">
        <v>1591</v>
      </c>
      <c r="C37" s="199">
        <f>IFERROR(INDEX(#REF!,MATCH($B37,#REF!,0)),0)</f>
        <v>0</v>
      </c>
      <c r="D37" s="199">
        <f>IFERROR(INDEX(#REF!,MATCH($B37,#REF!,0)),0)</f>
        <v>0</v>
      </c>
      <c r="E37" s="74">
        <f t="shared" si="22"/>
        <v>0</v>
      </c>
      <c r="F37" s="199">
        <f>IFERROR(INDEX(#REF!,MATCH($B37,#REF!,0)),0)</f>
        <v>0</v>
      </c>
      <c r="G37" s="74">
        <f t="shared" si="3"/>
        <v>0</v>
      </c>
      <c r="H37" s="483">
        <f t="shared" si="1"/>
        <v>0</v>
      </c>
      <c r="I37" s="199">
        <f>+IFERROR(INDEX(#REF!,MATCH($B37,#REF!,0)),0)</f>
        <v>0</v>
      </c>
      <c r="J37" s="199">
        <v>-1.6500000000000006</v>
      </c>
      <c r="K37" s="786">
        <f t="shared" si="4"/>
        <v>1.6500000000000006</v>
      </c>
      <c r="L37" s="996"/>
      <c r="M37" s="1074"/>
      <c r="N37" s="2273" t="s">
        <v>1591</v>
      </c>
      <c r="O37" s="243">
        <v>-1.6500000000000006</v>
      </c>
    </row>
    <row r="38" spans="1:15">
      <c r="A38" s="893">
        <f t="shared" si="2"/>
        <v>1.2800000000000002</v>
      </c>
      <c r="B38" s="545" t="s">
        <v>1592</v>
      </c>
      <c r="C38" s="199">
        <f>IFERROR(INDEX(#REF!,MATCH($B38,#REF!,0)),0)</f>
        <v>0</v>
      </c>
      <c r="D38" s="199">
        <f>IFERROR(INDEX(#REF!,MATCH($B38,#REF!,0)),0)</f>
        <v>0</v>
      </c>
      <c r="E38" s="74">
        <f t="shared" si="22"/>
        <v>0</v>
      </c>
      <c r="F38" s="199">
        <f>IFERROR(INDEX(#REF!,MATCH($B38,#REF!,0)),0)</f>
        <v>0</v>
      </c>
      <c r="G38" s="74">
        <f t="shared" si="3"/>
        <v>0</v>
      </c>
      <c r="H38" s="483">
        <f t="shared" si="1"/>
        <v>0</v>
      </c>
      <c r="I38" s="199">
        <f>+IFERROR(INDEX(#REF!,MATCH($B38,#REF!,0)),0)</f>
        <v>0</v>
      </c>
      <c r="J38" s="199">
        <v>929.06000000000017</v>
      </c>
      <c r="K38" s="786">
        <f t="shared" si="4"/>
        <v>-929.06000000000017</v>
      </c>
      <c r="L38" s="996"/>
      <c r="M38" s="1074"/>
      <c r="N38" s="2273" t="s">
        <v>1592</v>
      </c>
      <c r="O38" s="243">
        <v>929.06000000000017</v>
      </c>
    </row>
    <row r="39" spans="1:15">
      <c r="A39" s="893">
        <f t="shared" si="2"/>
        <v>1.2900000000000003</v>
      </c>
      <c r="B39" s="545" t="s">
        <v>1593</v>
      </c>
      <c r="C39" s="199">
        <f>IFERROR(INDEX(#REF!,MATCH($B39,#REF!,0)),0)</f>
        <v>0</v>
      </c>
      <c r="D39" s="199">
        <f>IFERROR(INDEX(#REF!,MATCH($B39,#REF!,0)),0)</f>
        <v>0</v>
      </c>
      <c r="E39" s="74">
        <f t="shared" ref="E39" si="23">+C39+D39</f>
        <v>0</v>
      </c>
      <c r="F39" s="199">
        <f>IFERROR(INDEX(#REF!,MATCH($B39,#REF!,0)),0)</f>
        <v>0</v>
      </c>
      <c r="G39" s="74">
        <f t="shared" ref="G39" si="24">-E39-F39</f>
        <v>0</v>
      </c>
      <c r="H39" s="483">
        <f t="shared" ref="H39" si="25">G39*IF($E39=0,0,+ABS($D39)/(ABS($C39)+ABS($D39)))</f>
        <v>0</v>
      </c>
      <c r="I39" s="199">
        <f>+IFERROR(INDEX(#REF!,MATCH($B39,#REF!,0)),0)</f>
        <v>0</v>
      </c>
      <c r="J39" s="199">
        <v>18.920000000000002</v>
      </c>
      <c r="K39" s="786">
        <f t="shared" ref="K39" si="26">+G39-I39-J39</f>
        <v>-18.920000000000002</v>
      </c>
      <c r="L39" s="996"/>
      <c r="M39" s="1074"/>
      <c r="N39" s="2273" t="s">
        <v>1593</v>
      </c>
      <c r="O39" s="243">
        <v>18.920000000000002</v>
      </c>
    </row>
    <row r="40" spans="1:15">
      <c r="A40" s="893">
        <f t="shared" si="2"/>
        <v>1.3000000000000003</v>
      </c>
      <c r="B40" s="545">
        <v>912000</v>
      </c>
      <c r="C40" s="199">
        <f>IFERROR(INDEX(#REF!,MATCH($B40,#REF!,0)),0)</f>
        <v>0</v>
      </c>
      <c r="D40" s="199">
        <f>IFERROR(INDEX(#REF!,MATCH($B40,#REF!,0)),0)</f>
        <v>0</v>
      </c>
      <c r="E40" s="74">
        <f t="shared" si="22"/>
        <v>0</v>
      </c>
      <c r="F40" s="199">
        <f>IFERROR(INDEX(#REF!,MATCH($B40,#REF!,0)),0)</f>
        <v>0</v>
      </c>
      <c r="G40" s="74">
        <f t="shared" si="3"/>
        <v>0</v>
      </c>
      <c r="H40" s="483">
        <f t="shared" si="1"/>
        <v>0</v>
      </c>
      <c r="I40" s="199">
        <f>+IFERROR(INDEX(#REF!,MATCH($B40,#REF!,0)),0)</f>
        <v>0</v>
      </c>
      <c r="J40" s="199">
        <v>85.14</v>
      </c>
      <c r="K40" s="786">
        <f t="shared" si="4"/>
        <v>-85.14</v>
      </c>
      <c r="L40" s="996"/>
      <c r="M40" s="1074"/>
      <c r="N40" s="2273" t="s">
        <v>2322</v>
      </c>
      <c r="O40" s="243">
        <v>85.14</v>
      </c>
    </row>
    <row r="41" spans="1:15">
      <c r="A41" s="893">
        <f t="shared" si="2"/>
        <v>1.3100000000000003</v>
      </c>
      <c r="B41" s="545" t="s">
        <v>1594</v>
      </c>
      <c r="C41" s="199">
        <f>IFERROR(INDEX(#REF!,MATCH($B41,#REF!,0)),0)</f>
        <v>0</v>
      </c>
      <c r="D41" s="199">
        <f>IFERROR(INDEX(#REF!,MATCH($B41,#REF!,0)),0)</f>
        <v>0</v>
      </c>
      <c r="E41" s="74">
        <f t="shared" si="22"/>
        <v>0</v>
      </c>
      <c r="F41" s="199">
        <f>IFERROR(INDEX(#REF!,MATCH($B41,#REF!,0)),0)</f>
        <v>0</v>
      </c>
      <c r="G41" s="74">
        <f t="shared" si="3"/>
        <v>0</v>
      </c>
      <c r="H41" s="483">
        <f t="shared" si="1"/>
        <v>0</v>
      </c>
      <c r="I41" s="199">
        <f>+IFERROR(INDEX(#REF!,MATCH($B41,#REF!,0)),0)</f>
        <v>0</v>
      </c>
      <c r="J41" s="199">
        <v>1408527.1199999994</v>
      </c>
      <c r="K41" s="786">
        <f t="shared" si="4"/>
        <v>-1408527.1199999994</v>
      </c>
      <c r="L41" s="1116"/>
      <c r="M41" s="1074"/>
      <c r="N41" s="2273" t="s">
        <v>1594</v>
      </c>
      <c r="O41" s="243">
        <v>1408527.1199999994</v>
      </c>
    </row>
    <row r="42" spans="1:15">
      <c r="A42" s="893">
        <f t="shared" si="2"/>
        <v>1.3200000000000003</v>
      </c>
      <c r="B42" s="545" t="s">
        <v>1595</v>
      </c>
      <c r="C42" s="199">
        <f>IFERROR(INDEX(#REF!,MATCH($B42,#REF!,0)),0)</f>
        <v>0</v>
      </c>
      <c r="D42" s="199">
        <f>IFERROR(INDEX(#REF!,MATCH($B42,#REF!,0)),0)</f>
        <v>0</v>
      </c>
      <c r="E42" s="74">
        <f t="shared" si="22"/>
        <v>0</v>
      </c>
      <c r="F42" s="199">
        <f>IFERROR(INDEX(#REF!,MATCH($B42,#REF!,0)),0)</f>
        <v>0</v>
      </c>
      <c r="G42" s="74">
        <f t="shared" si="3"/>
        <v>0</v>
      </c>
      <c r="H42" s="483">
        <f t="shared" si="1"/>
        <v>0</v>
      </c>
      <c r="I42" s="199">
        <f>+IFERROR(INDEX(#REF!,MATCH($B42,#REF!,0)),0)</f>
        <v>0</v>
      </c>
      <c r="J42" s="199">
        <v>194011.95</v>
      </c>
      <c r="K42" s="786">
        <f t="shared" si="4"/>
        <v>-194011.95</v>
      </c>
      <c r="L42" s="996"/>
      <c r="M42" s="1074"/>
      <c r="N42" s="2273" t="s">
        <v>1595</v>
      </c>
      <c r="O42" s="243">
        <v>194011.95</v>
      </c>
    </row>
    <row r="43" spans="1:15">
      <c r="A43" s="893">
        <f t="shared" si="2"/>
        <v>1.3300000000000003</v>
      </c>
      <c r="B43" s="545" t="s">
        <v>1596</v>
      </c>
      <c r="C43" s="199">
        <f>IFERROR(INDEX(#REF!,MATCH($B43,#REF!,0)),0)</f>
        <v>0</v>
      </c>
      <c r="D43" s="199">
        <f>IFERROR(INDEX(#REF!,MATCH($B43,#REF!,0)),0)</f>
        <v>0</v>
      </c>
      <c r="E43" s="74">
        <f t="shared" si="22"/>
        <v>0</v>
      </c>
      <c r="F43" s="199">
        <f>IFERROR(INDEX(#REF!,MATCH($B43,#REF!,0)),0)</f>
        <v>0</v>
      </c>
      <c r="G43" s="74">
        <f t="shared" si="3"/>
        <v>0</v>
      </c>
      <c r="H43" s="483">
        <f t="shared" si="1"/>
        <v>0</v>
      </c>
      <c r="I43" s="199">
        <f>+IFERROR(INDEX(#REF!,MATCH($B43,#REF!,0)),0)</f>
        <v>0</v>
      </c>
      <c r="J43" s="199">
        <v>4073773.9899999988</v>
      </c>
      <c r="K43" s="786">
        <f t="shared" si="4"/>
        <v>-4073773.9899999988</v>
      </c>
      <c r="L43" s="996"/>
      <c r="M43" s="1074"/>
      <c r="N43" s="2273" t="s">
        <v>1596</v>
      </c>
      <c r="O43" s="243">
        <v>4073773.9899999988</v>
      </c>
    </row>
    <row r="44" spans="1:15">
      <c r="A44" s="893">
        <f t="shared" si="2"/>
        <v>1.3400000000000003</v>
      </c>
      <c r="B44" s="545">
        <v>924000</v>
      </c>
      <c r="C44" s="199">
        <f>IFERROR(INDEX(#REF!,MATCH($B44,#REF!,0)),0)</f>
        <v>0</v>
      </c>
      <c r="D44" s="199">
        <f>IFERROR(INDEX(#REF!,MATCH($B44,#REF!,0)),0)</f>
        <v>0</v>
      </c>
      <c r="E44" s="74">
        <f t="shared" si="22"/>
        <v>0</v>
      </c>
      <c r="F44" s="199">
        <f>IFERROR(INDEX(#REF!,MATCH($B44,#REF!,0)),0)</f>
        <v>0</v>
      </c>
      <c r="G44" s="74">
        <f t="shared" si="3"/>
        <v>0</v>
      </c>
      <c r="H44" s="483">
        <f t="shared" si="1"/>
        <v>0</v>
      </c>
      <c r="I44" s="199">
        <f>+IFERROR(INDEX(#REF!,MATCH($B44,#REF!,0)),0)</f>
        <v>0</v>
      </c>
      <c r="J44" s="199">
        <v>-7.7</v>
      </c>
      <c r="K44" s="786">
        <f t="shared" si="4"/>
        <v>7.7</v>
      </c>
      <c r="L44" s="996"/>
      <c r="M44" s="1074"/>
      <c r="N44" s="2273" t="s">
        <v>2323</v>
      </c>
      <c r="O44" s="243">
        <v>-7.7</v>
      </c>
    </row>
    <row r="45" spans="1:15" ht="14.25" customHeight="1">
      <c r="A45" s="893">
        <f t="shared" si="2"/>
        <v>1.3500000000000003</v>
      </c>
      <c r="B45" s="545" t="s">
        <v>1597</v>
      </c>
      <c r="C45" s="199">
        <f>IFERROR(INDEX(#REF!,MATCH($B45,#REF!,0)),0)</f>
        <v>0</v>
      </c>
      <c r="D45" s="199">
        <f>IFERROR(INDEX(#REF!,MATCH($B45,#REF!,0)),0)</f>
        <v>0</v>
      </c>
      <c r="E45" s="74">
        <f t="shared" ref="E45:E51" si="27">+C45+D45</f>
        <v>0</v>
      </c>
      <c r="F45" s="199">
        <f>IFERROR(INDEX(#REF!,MATCH($B45,#REF!,0)),0)</f>
        <v>0</v>
      </c>
      <c r="G45" s="74">
        <f t="shared" si="3"/>
        <v>0</v>
      </c>
      <c r="H45" s="483">
        <f t="shared" si="1"/>
        <v>0</v>
      </c>
      <c r="I45" s="199">
        <f>+IFERROR(INDEX(#REF!,MATCH($B45,#REF!,0)),0)</f>
        <v>0</v>
      </c>
      <c r="J45" s="199">
        <v>56.980000000000032</v>
      </c>
      <c r="K45" s="786">
        <f t="shared" si="4"/>
        <v>-56.980000000000032</v>
      </c>
      <c r="L45" s="996"/>
      <c r="M45" s="1074"/>
      <c r="N45" s="2273" t="s">
        <v>1597</v>
      </c>
      <c r="O45" s="243">
        <v>56.980000000000032</v>
      </c>
    </row>
    <row r="46" spans="1:15" ht="14.25" customHeight="1">
      <c r="A46" s="893">
        <f t="shared" si="2"/>
        <v>1.3600000000000003</v>
      </c>
      <c r="B46" s="545" t="s">
        <v>1598</v>
      </c>
      <c r="C46" s="199">
        <f>IFERROR(INDEX(#REF!,MATCH($B46,#REF!,0)),0)</f>
        <v>0</v>
      </c>
      <c r="D46" s="199">
        <f>IFERROR(INDEX(#REF!,MATCH($B46,#REF!,0)),0)</f>
        <v>0</v>
      </c>
      <c r="E46" s="74">
        <f t="shared" si="27"/>
        <v>0</v>
      </c>
      <c r="F46" s="199">
        <f>IFERROR(INDEX(#REF!,MATCH($B46,#REF!,0)),0)</f>
        <v>0</v>
      </c>
      <c r="G46" s="74">
        <f t="shared" si="3"/>
        <v>0</v>
      </c>
      <c r="H46" s="483">
        <f t="shared" si="1"/>
        <v>0</v>
      </c>
      <c r="I46" s="199">
        <f>+IFERROR(INDEX(#REF!,MATCH($B46,#REF!,0)),0)</f>
        <v>0</v>
      </c>
      <c r="J46" s="199">
        <v>1009825.8499999999</v>
      </c>
      <c r="K46" s="786">
        <f t="shared" si="4"/>
        <v>-1009825.8499999999</v>
      </c>
      <c r="L46" s="996"/>
      <c r="M46" s="1074"/>
      <c r="N46" s="2273" t="s">
        <v>1598</v>
      </c>
      <c r="O46" s="243">
        <v>1009825.8499999999</v>
      </c>
    </row>
    <row r="47" spans="1:15" ht="14.25" customHeight="1">
      <c r="A47" s="893">
        <f t="shared" si="2"/>
        <v>1.3700000000000003</v>
      </c>
      <c r="B47" s="545" t="s">
        <v>1599</v>
      </c>
      <c r="C47" s="199">
        <f>IFERROR(INDEX(#REF!,MATCH($B47,#REF!,0)),0)</f>
        <v>0</v>
      </c>
      <c r="D47" s="199">
        <f>IFERROR(INDEX(#REF!,MATCH($B47,#REF!,0)),0)</f>
        <v>0</v>
      </c>
      <c r="E47" s="74">
        <f t="shared" si="27"/>
        <v>0</v>
      </c>
      <c r="F47" s="199">
        <f>IFERROR(INDEX(#REF!,MATCH($B47,#REF!,0)),0)</f>
        <v>0</v>
      </c>
      <c r="G47" s="786">
        <f t="shared" si="3"/>
        <v>0</v>
      </c>
      <c r="H47" s="483">
        <f t="shared" si="1"/>
        <v>0</v>
      </c>
      <c r="I47" s="199">
        <f>+IFERROR(INDEX(#REF!,MATCH($B47,#REF!,0)),0)</f>
        <v>0</v>
      </c>
      <c r="J47" s="199">
        <v>918663.68000000005</v>
      </c>
      <c r="K47" s="786">
        <f t="shared" si="4"/>
        <v>-918663.68000000005</v>
      </c>
      <c r="L47" s="996"/>
      <c r="M47" s="1074"/>
      <c r="N47" s="2273" t="s">
        <v>1599</v>
      </c>
      <c r="O47" s="243">
        <v>918663.68000000005</v>
      </c>
    </row>
    <row r="48" spans="1:15" ht="14.25" customHeight="1">
      <c r="A48" s="893">
        <f t="shared" si="2"/>
        <v>1.3800000000000003</v>
      </c>
      <c r="B48" s="545" t="s">
        <v>1600</v>
      </c>
      <c r="C48" s="199">
        <f>IFERROR(INDEX(#REF!,MATCH($B48,#REF!,0)),0)</f>
        <v>0</v>
      </c>
      <c r="D48" s="199">
        <f>IFERROR(INDEX(#REF!,MATCH($B48,#REF!,0)),0)</f>
        <v>0</v>
      </c>
      <c r="E48" s="74">
        <f t="shared" si="27"/>
        <v>0</v>
      </c>
      <c r="F48" s="199">
        <f>IFERROR(INDEX(#REF!,MATCH($B48,#REF!,0)),0)</f>
        <v>0</v>
      </c>
      <c r="G48" s="786">
        <f t="shared" si="3"/>
        <v>0</v>
      </c>
      <c r="H48" s="483">
        <f t="shared" si="1"/>
        <v>0</v>
      </c>
      <c r="I48" s="199">
        <f>+IFERROR(INDEX(#REF!,MATCH($B48,#REF!,0)),0)</f>
        <v>0</v>
      </c>
      <c r="J48" s="199">
        <v>9326.7899999999972</v>
      </c>
      <c r="K48" s="786">
        <f t="shared" si="4"/>
        <v>-9326.7899999999972</v>
      </c>
      <c r="L48" s="996"/>
      <c r="M48" s="1074"/>
      <c r="N48" s="2273" t="s">
        <v>1600</v>
      </c>
      <c r="O48" s="243">
        <v>9326.7899999999972</v>
      </c>
    </row>
    <row r="49" spans="1:15">
      <c r="A49" s="893">
        <f t="shared" si="2"/>
        <v>1.3900000000000003</v>
      </c>
      <c r="B49" s="545" t="s">
        <v>1601</v>
      </c>
      <c r="C49" s="199">
        <f>IFERROR(INDEX(#REF!,MATCH($B49,#REF!,0)),0)</f>
        <v>0</v>
      </c>
      <c r="D49" s="199">
        <f>IFERROR(INDEX(#REF!,MATCH($B49,#REF!,0)),0)</f>
        <v>0</v>
      </c>
      <c r="E49" s="74">
        <f t="shared" si="27"/>
        <v>0</v>
      </c>
      <c r="F49" s="199">
        <f>IFERROR(INDEX(#REF!,MATCH($B49,#REF!,0)),0)</f>
        <v>0</v>
      </c>
      <c r="G49" s="74">
        <f t="shared" si="3"/>
        <v>0</v>
      </c>
      <c r="H49" s="483">
        <f t="shared" si="1"/>
        <v>0</v>
      </c>
      <c r="I49" s="199">
        <f>+IFERROR(INDEX(#REF!,MATCH($B49,#REF!,0)),0)</f>
        <v>0</v>
      </c>
      <c r="J49" s="199">
        <v>43366.51</v>
      </c>
      <c r="K49" s="786">
        <f t="shared" si="4"/>
        <v>-43366.51</v>
      </c>
      <c r="L49" s="996"/>
      <c r="N49" s="2273" t="s">
        <v>1601</v>
      </c>
      <c r="O49" s="243">
        <v>43366.51</v>
      </c>
    </row>
    <row r="50" spans="1:15">
      <c r="A50" s="893">
        <f t="shared" si="2"/>
        <v>1.4000000000000004</v>
      </c>
      <c r="B50" s="545" t="s">
        <v>1602</v>
      </c>
      <c r="C50" s="199">
        <f>IFERROR(INDEX(#REF!,MATCH($B50,#REF!,0)),0)</f>
        <v>0</v>
      </c>
      <c r="D50" s="199">
        <f>IFERROR(INDEX(#REF!,MATCH($B50,#REF!,0)),0)</f>
        <v>0</v>
      </c>
      <c r="E50" s="74">
        <f t="shared" si="27"/>
        <v>0</v>
      </c>
      <c r="F50" s="199">
        <f>IFERROR(INDEX(#REF!,MATCH($B50,#REF!,0)),0)</f>
        <v>0</v>
      </c>
      <c r="G50" s="74">
        <f t="shared" si="3"/>
        <v>0</v>
      </c>
      <c r="H50" s="483">
        <f t="shared" si="1"/>
        <v>0</v>
      </c>
      <c r="I50" s="199">
        <f>+IFERROR(INDEX(#REF!,MATCH($B50,#REF!,0)),0)</f>
        <v>0</v>
      </c>
      <c r="J50" s="199">
        <v>2330.3500000000004</v>
      </c>
      <c r="K50" s="786">
        <f t="shared" si="4"/>
        <v>-2330.3500000000004</v>
      </c>
      <c r="N50" s="2273" t="s">
        <v>1602</v>
      </c>
      <c r="O50" s="243">
        <v>2330.3500000000004</v>
      </c>
    </row>
    <row r="51" spans="1:15">
      <c r="A51" s="893">
        <f t="shared" si="2"/>
        <v>1.4100000000000004</v>
      </c>
      <c r="B51" s="545">
        <v>935000</v>
      </c>
      <c r="C51" s="199">
        <f>IFERROR(INDEX(#REF!,MATCH($B51,#REF!,0)),0)</f>
        <v>0</v>
      </c>
      <c r="D51" s="199">
        <f>IFERROR(INDEX(#REF!,MATCH($B51,#REF!,0)),0)</f>
        <v>0</v>
      </c>
      <c r="E51" s="74">
        <f t="shared" si="27"/>
        <v>0</v>
      </c>
      <c r="F51" s="199">
        <f>IFERROR(INDEX(#REF!,MATCH($B51,#REF!,0)),0)</f>
        <v>0</v>
      </c>
      <c r="G51" s="74">
        <f t="shared" ref="G51" si="28">-E51-F51</f>
        <v>0</v>
      </c>
      <c r="H51" s="483">
        <f t="shared" ref="H51" si="29">G51*IF($E51=0,0,+ABS($D51)/(ABS($C51)+ABS($D51)))</f>
        <v>0</v>
      </c>
      <c r="I51" s="199">
        <f>+IFERROR(INDEX(#REF!,MATCH($B51,#REF!,0)),0)</f>
        <v>0</v>
      </c>
      <c r="J51" s="199">
        <v>-8.0300000000000011</v>
      </c>
      <c r="K51" s="786">
        <f t="shared" si="4"/>
        <v>8.0300000000000011</v>
      </c>
      <c r="N51" s="2273" t="s">
        <v>2324</v>
      </c>
      <c r="O51" s="243">
        <v>-8.0300000000000011</v>
      </c>
    </row>
    <row r="52" spans="1:15">
      <c r="A52" s="1233">
        <f t="shared" si="2"/>
        <v>1.4200000000000004</v>
      </c>
      <c r="B52" s="1202" t="s">
        <v>2258</v>
      </c>
      <c r="C52" s="199">
        <v>0</v>
      </c>
      <c r="D52" s="199">
        <v>0</v>
      </c>
      <c r="E52" s="199">
        <f t="shared" ref="E52:E54" si="30">+C52+D52</f>
        <v>0</v>
      </c>
      <c r="F52" s="1232">
        <v>0</v>
      </c>
      <c r="G52" s="199">
        <f t="shared" ref="G52:G54" si="31">-E52-F52</f>
        <v>0</v>
      </c>
      <c r="H52" s="1234">
        <f t="shared" ref="H52:H54" si="32">G52*IF($E52=0,0,+ABS($D52)/(ABS($C52)+ABS($D52)))</f>
        <v>0</v>
      </c>
      <c r="I52" s="1232">
        <f>+IFERROR(INDEX(#REF!,MATCH($B52,#REF!,0)),0)</f>
        <v>0</v>
      </c>
      <c r="J52" s="1232">
        <f>+O52+O53</f>
        <v>1857092.2000000002</v>
      </c>
      <c r="K52" s="786">
        <f t="shared" ref="K52:K53" si="33">+G52-I52-J52</f>
        <v>-1857092.2000000002</v>
      </c>
      <c r="N52" s="2273" t="s">
        <v>2318</v>
      </c>
      <c r="O52" s="2275">
        <v>2185127.56</v>
      </c>
    </row>
    <row r="53" spans="1:15">
      <c r="A53" s="1233" t="s">
        <v>925</v>
      </c>
      <c r="B53" s="1202" t="s">
        <v>934</v>
      </c>
      <c r="C53" s="199">
        <v>0</v>
      </c>
      <c r="D53" s="199">
        <v>0</v>
      </c>
      <c r="E53" s="199">
        <f t="shared" si="30"/>
        <v>0</v>
      </c>
      <c r="F53" s="1232">
        <v>0</v>
      </c>
      <c r="G53" s="199">
        <f t="shared" si="31"/>
        <v>0</v>
      </c>
      <c r="H53" s="1234">
        <f t="shared" si="32"/>
        <v>0</v>
      </c>
      <c r="I53" s="1232">
        <f>+IFERROR(INDEX(#REF!,MATCH($B53,#REF!,0)),0)</f>
        <v>0</v>
      </c>
      <c r="J53" s="1232">
        <f>+IFERROR(INDEX(#REF!,MATCH($B53,#REF!,0)),0)</f>
        <v>0</v>
      </c>
      <c r="K53" s="786">
        <f t="shared" si="33"/>
        <v>0</v>
      </c>
      <c r="N53" s="1309" t="s">
        <v>2319</v>
      </c>
      <c r="O53" s="74">
        <v>-328035.36</v>
      </c>
    </row>
    <row r="54" spans="1:15">
      <c r="A54" s="1233" t="s">
        <v>929</v>
      </c>
      <c r="B54" s="1202" t="s">
        <v>934</v>
      </c>
      <c r="C54" s="199">
        <v>0</v>
      </c>
      <c r="D54" s="199">
        <v>0</v>
      </c>
      <c r="E54" s="199">
        <f t="shared" si="30"/>
        <v>0</v>
      </c>
      <c r="F54" s="1232">
        <v>0</v>
      </c>
      <c r="G54" s="199">
        <f t="shared" si="31"/>
        <v>0</v>
      </c>
      <c r="H54" s="1234">
        <f t="shared" si="32"/>
        <v>0</v>
      </c>
      <c r="I54" s="1232">
        <f>+IFERROR(INDEX(#REF!,MATCH($B54,#REF!,0)),0)</f>
        <v>0</v>
      </c>
      <c r="J54" s="1232">
        <f>+IFERROR(INDEX(#REF!,MATCH($B54,#REF!,0)),0)</f>
        <v>0</v>
      </c>
      <c r="K54" s="786">
        <f t="shared" ref="K54" si="34">+G54-I54-J54</f>
        <v>0</v>
      </c>
      <c r="N54" s="1074"/>
    </row>
    <row r="55" spans="1:15" ht="13.8" thickBot="1">
      <c r="A55" s="892">
        <f>+A10+1</f>
        <v>2</v>
      </c>
      <c r="B55" s="772" t="str">
        <f>+"Total  Sum (Ln "&amp;A10&amp;" Subparts"&amp;")"</f>
        <v>Total  Sum (Ln 1 Subparts)</v>
      </c>
      <c r="C55" s="787">
        <f t="shared" ref="C55:K55" si="35">SUM(C11:C54)</f>
        <v>0</v>
      </c>
      <c r="D55" s="787">
        <f t="shared" si="35"/>
        <v>0</v>
      </c>
      <c r="E55" s="787">
        <f t="shared" si="35"/>
        <v>0</v>
      </c>
      <c r="F55" s="787">
        <f t="shared" si="35"/>
        <v>0</v>
      </c>
      <c r="G55" s="787">
        <f t="shared" si="35"/>
        <v>0</v>
      </c>
      <c r="H55" s="787">
        <f t="shared" si="35"/>
        <v>0</v>
      </c>
      <c r="I55" s="787">
        <f t="shared" si="35"/>
        <v>0</v>
      </c>
      <c r="J55" s="787">
        <f t="shared" si="35"/>
        <v>11328148.849999998</v>
      </c>
      <c r="K55" s="787">
        <f t="shared" si="35"/>
        <v>-11328148.849999998</v>
      </c>
      <c r="N55" s="2273" t="s">
        <v>2154</v>
      </c>
      <c r="O55" s="243">
        <v>4.4244359287404222E-9</v>
      </c>
    </row>
    <row r="56" spans="1:15" ht="13.8" thickTop="1">
      <c r="A56" s="892">
        <f t="shared" ref="A56:A77" si="36">+A55+1</f>
        <v>3</v>
      </c>
      <c r="B56" s="772"/>
      <c r="C56" s="788"/>
      <c r="D56" s="788"/>
      <c r="E56" s="788"/>
      <c r="F56" s="788"/>
      <c r="G56" s="788"/>
      <c r="H56" s="788"/>
      <c r="I56" s="788"/>
      <c r="J56" s="788"/>
      <c r="K56" s="788"/>
      <c r="L56" s="806"/>
      <c r="N56" s="1074"/>
    </row>
    <row r="57" spans="1:15">
      <c r="A57" s="892">
        <f t="shared" si="36"/>
        <v>4</v>
      </c>
      <c r="B57" s="772" t="s">
        <v>570</v>
      </c>
      <c r="C57" s="772"/>
      <c r="D57" s="772"/>
      <c r="E57" s="773"/>
      <c r="F57" s="773"/>
      <c r="G57" s="773"/>
      <c r="I57" s="773"/>
      <c r="J57" s="773"/>
      <c r="K57" s="773"/>
      <c r="L57" s="806"/>
      <c r="N57" s="1074"/>
    </row>
    <row r="58" spans="1:15">
      <c r="A58" s="892">
        <f t="shared" si="36"/>
        <v>5</v>
      </c>
      <c r="B58" s="774" t="s">
        <v>667</v>
      </c>
      <c r="C58" s="786">
        <f>+SUM(C24:C27)</f>
        <v>0</v>
      </c>
      <c r="D58" s="786">
        <f>+SUM(D24:D27)</f>
        <v>0</v>
      </c>
      <c r="E58" s="786">
        <f>+C58+D58</f>
        <v>0</v>
      </c>
      <c r="F58" s="786">
        <f>+SUM(F24:F27)</f>
        <v>0</v>
      </c>
      <c r="G58" s="74">
        <f t="shared" ref="G58:G61" si="37">-E58-F58</f>
        <v>0</v>
      </c>
      <c r="H58" s="1266">
        <f>IF(E58=0, 0,+G58*D58/E58)</f>
        <v>0</v>
      </c>
      <c r="I58" s="786">
        <f>+SUM(I24:I27)</f>
        <v>0</v>
      </c>
      <c r="J58" s="786">
        <f t="shared" ref="J58" si="38">+SUM(J24:J27)</f>
        <v>2325.3999999999996</v>
      </c>
      <c r="K58" s="786">
        <f>+SUM(K24:K27)</f>
        <v>-2325.3999999999996</v>
      </c>
      <c r="L58" s="806"/>
      <c r="N58" s="1074"/>
    </row>
    <row r="59" spans="1:15" ht="15">
      <c r="A59" s="892">
        <f t="shared" si="36"/>
        <v>6</v>
      </c>
      <c r="B59" s="774" t="s">
        <v>513</v>
      </c>
      <c r="C59" s="638">
        <f>+C28</f>
        <v>0</v>
      </c>
      <c r="D59" s="638">
        <f>+D28</f>
        <v>0</v>
      </c>
      <c r="E59" s="638">
        <f t="shared" ref="E59:E61" si="39">+C59+D59</f>
        <v>0</v>
      </c>
      <c r="F59" s="638">
        <f>+F28</f>
        <v>0</v>
      </c>
      <c r="G59" s="464">
        <f t="shared" si="37"/>
        <v>0</v>
      </c>
      <c r="H59" s="638">
        <f>+H28</f>
        <v>0</v>
      </c>
      <c r="I59" s="638">
        <f t="shared" ref="I59:J59" si="40">+I28</f>
        <v>0</v>
      </c>
      <c r="J59" s="638">
        <f t="shared" si="40"/>
        <v>209.66000000000003</v>
      </c>
      <c r="K59" s="638">
        <f>+K28</f>
        <v>-209.66000000000003</v>
      </c>
      <c r="L59" s="806"/>
      <c r="N59" s="1074"/>
    </row>
    <row r="60" spans="1:15">
      <c r="A60" s="892">
        <f t="shared" si="36"/>
        <v>7</v>
      </c>
      <c r="B60" s="955" t="str">
        <f>+"Total Lines "&amp;A58&amp;" + "&amp;A59</f>
        <v>Total Lines 5 + 6</v>
      </c>
      <c r="C60" s="786">
        <f t="shared" ref="C60:G60" si="41">SUM(C58:C59)</f>
        <v>0</v>
      </c>
      <c r="D60" s="786">
        <f t="shared" si="41"/>
        <v>0</v>
      </c>
      <c r="E60" s="786">
        <f t="shared" si="41"/>
        <v>0</v>
      </c>
      <c r="F60" s="786">
        <f t="shared" si="41"/>
        <v>0</v>
      </c>
      <c r="G60" s="786">
        <f t="shared" si="41"/>
        <v>0</v>
      </c>
      <c r="H60" s="786">
        <f t="shared" ref="H60:K60" si="42">SUM(H58:H59)</f>
        <v>0</v>
      </c>
      <c r="I60" s="786">
        <f t="shared" si="42"/>
        <v>0</v>
      </c>
      <c r="J60" s="786">
        <f t="shared" si="42"/>
        <v>2535.0599999999995</v>
      </c>
      <c r="K60" s="786">
        <f t="shared" si="42"/>
        <v>-2535.0599999999995</v>
      </c>
      <c r="L60" s="806"/>
      <c r="N60" s="1074"/>
    </row>
    <row r="61" spans="1:15" ht="15">
      <c r="A61" s="892">
        <f t="shared" si="36"/>
        <v>8</v>
      </c>
      <c r="B61" s="1071" t="s">
        <v>817</v>
      </c>
      <c r="C61" s="638">
        <f>+SUM(C23:C35)-SUM(C24:C28)</f>
        <v>0</v>
      </c>
      <c r="D61" s="638">
        <f>+SUM(D23:D35)-SUM(D24:D28)</f>
        <v>0</v>
      </c>
      <c r="E61" s="638">
        <f t="shared" si="39"/>
        <v>0</v>
      </c>
      <c r="F61" s="638">
        <f>+SUM(F23:F35)-SUM(F24:F28)</f>
        <v>0</v>
      </c>
      <c r="G61" s="464">
        <f t="shared" si="37"/>
        <v>0</v>
      </c>
      <c r="H61" s="638">
        <f>+SUM(H23:H35)-SUM(H24:H28)</f>
        <v>0</v>
      </c>
      <c r="I61" s="638">
        <f>+SUM(I23:I35)-SUM(I24:I28)</f>
        <v>0</v>
      </c>
      <c r="J61" s="638">
        <f>+SUM(J23:J36)-SUM(J24:J28)</f>
        <v>582148.93000000005</v>
      </c>
      <c r="K61" s="638">
        <f>+SUM(K23:K35)-SUM(K24:K28)</f>
        <v>-581211.07000000007</v>
      </c>
      <c r="N61" s="1074"/>
    </row>
    <row r="62" spans="1:15">
      <c r="A62" s="892">
        <f t="shared" si="36"/>
        <v>9</v>
      </c>
      <c r="B62" s="772" t="s">
        <v>1111</v>
      </c>
      <c r="C62" s="786">
        <f t="shared" ref="C62:J62" si="43">+C60+C61</f>
        <v>0</v>
      </c>
      <c r="D62" s="786">
        <f t="shared" si="43"/>
        <v>0</v>
      </c>
      <c r="E62" s="786">
        <f t="shared" si="43"/>
        <v>0</v>
      </c>
      <c r="F62" s="786">
        <f t="shared" si="43"/>
        <v>0</v>
      </c>
      <c r="G62" s="786">
        <f t="shared" si="43"/>
        <v>0</v>
      </c>
      <c r="H62" s="786">
        <f t="shared" si="43"/>
        <v>0</v>
      </c>
      <c r="I62" s="786">
        <f t="shared" si="43"/>
        <v>0</v>
      </c>
      <c r="J62" s="786">
        <f t="shared" si="43"/>
        <v>584683.99000000011</v>
      </c>
      <c r="K62" s="786">
        <f>+K60+K61</f>
        <v>-583746.13000000012</v>
      </c>
    </row>
    <row r="63" spans="1:15">
      <c r="A63" s="892">
        <f t="shared" si="36"/>
        <v>10</v>
      </c>
      <c r="B63" s="772"/>
      <c r="C63" s="786"/>
      <c r="D63" s="786"/>
      <c r="E63" s="786"/>
      <c r="F63" s="786"/>
      <c r="G63" s="786"/>
      <c r="I63" s="786"/>
      <c r="J63" s="786"/>
      <c r="K63" s="786"/>
    </row>
    <row r="64" spans="1:15">
      <c r="A64" s="892">
        <f t="shared" si="36"/>
        <v>11</v>
      </c>
      <c r="B64" s="772" t="s">
        <v>51</v>
      </c>
      <c r="C64" s="786"/>
      <c r="D64" s="786"/>
      <c r="E64" s="786"/>
      <c r="F64" s="786"/>
      <c r="G64" s="786"/>
      <c r="I64" s="786"/>
      <c r="J64" s="786"/>
      <c r="K64" s="786"/>
    </row>
    <row r="65" spans="1:15">
      <c r="A65" s="892">
        <f t="shared" si="36"/>
        <v>12</v>
      </c>
      <c r="B65" s="774" t="s">
        <v>690</v>
      </c>
      <c r="C65" s="775">
        <f t="shared" ref="C65:I65" si="44">+SUM(C11:C14)</f>
        <v>0</v>
      </c>
      <c r="D65" s="775">
        <f t="shared" si="44"/>
        <v>0</v>
      </c>
      <c r="E65" s="775">
        <f t="shared" si="44"/>
        <v>0</v>
      </c>
      <c r="F65" s="775">
        <f t="shared" si="44"/>
        <v>0</v>
      </c>
      <c r="G65" s="775">
        <f t="shared" si="44"/>
        <v>0</v>
      </c>
      <c r="H65" s="775">
        <f t="shared" si="44"/>
        <v>0</v>
      </c>
      <c r="I65" s="775">
        <f t="shared" si="44"/>
        <v>0</v>
      </c>
      <c r="J65" s="775">
        <f>+J52</f>
        <v>1857092.2000000002</v>
      </c>
      <c r="K65" s="775">
        <f>+K52</f>
        <v>-1857092.2000000002</v>
      </c>
    </row>
    <row r="66" spans="1:15">
      <c r="A66" s="892">
        <f t="shared" si="36"/>
        <v>13</v>
      </c>
      <c r="B66" s="774" t="s">
        <v>689</v>
      </c>
      <c r="C66" s="776">
        <f t="shared" ref="C66:K66" si="45">+C15</f>
        <v>0</v>
      </c>
      <c r="D66" s="776">
        <f t="shared" si="45"/>
        <v>0</v>
      </c>
      <c r="E66" s="776">
        <f t="shared" si="45"/>
        <v>0</v>
      </c>
      <c r="F66" s="776">
        <f t="shared" si="45"/>
        <v>0</v>
      </c>
      <c r="G66" s="776">
        <f t="shared" si="45"/>
        <v>0</v>
      </c>
      <c r="H66" s="776">
        <f t="shared" si="45"/>
        <v>0</v>
      </c>
      <c r="I66" s="776">
        <f t="shared" si="45"/>
        <v>0</v>
      </c>
      <c r="J66" s="776">
        <f t="shared" si="45"/>
        <v>261465.49000000002</v>
      </c>
      <c r="K66" s="776">
        <f t="shared" si="45"/>
        <v>-261465.49000000002</v>
      </c>
    </row>
    <row r="67" spans="1:15">
      <c r="A67" s="892">
        <f t="shared" si="36"/>
        <v>14</v>
      </c>
      <c r="B67" s="774" t="s">
        <v>688</v>
      </c>
      <c r="C67" s="776">
        <f t="shared" ref="C67:K67" si="46">+C16</f>
        <v>0</v>
      </c>
      <c r="D67" s="776">
        <f t="shared" si="46"/>
        <v>0</v>
      </c>
      <c r="E67" s="776">
        <f t="shared" si="46"/>
        <v>0</v>
      </c>
      <c r="F67" s="776">
        <f t="shared" si="46"/>
        <v>0</v>
      </c>
      <c r="G67" s="776">
        <f t="shared" si="46"/>
        <v>0</v>
      </c>
      <c r="H67" s="776">
        <f t="shared" si="46"/>
        <v>0</v>
      </c>
      <c r="I67" s="776">
        <f t="shared" si="46"/>
        <v>0</v>
      </c>
      <c r="J67" s="776">
        <f t="shared" si="46"/>
        <v>135976.61000000004</v>
      </c>
      <c r="K67" s="776">
        <f t="shared" si="46"/>
        <v>-135976.61000000004</v>
      </c>
    </row>
    <row r="68" spans="1:15">
      <c r="A68" s="892">
        <f t="shared" si="36"/>
        <v>15</v>
      </c>
      <c r="B68" s="774" t="s">
        <v>682</v>
      </c>
      <c r="C68" s="775">
        <f>+SUM(C17:C22)</f>
        <v>0</v>
      </c>
      <c r="D68" s="775">
        <f t="shared" ref="D68:K68" si="47">+SUM(D17:D22)</f>
        <v>0</v>
      </c>
      <c r="E68" s="775">
        <f t="shared" si="47"/>
        <v>0</v>
      </c>
      <c r="F68" s="775">
        <f t="shared" si="47"/>
        <v>0</v>
      </c>
      <c r="G68" s="775">
        <f t="shared" si="47"/>
        <v>0</v>
      </c>
      <c r="H68" s="775">
        <f t="shared" si="47"/>
        <v>0</v>
      </c>
      <c r="I68" s="775">
        <f t="shared" si="47"/>
        <v>0</v>
      </c>
      <c r="J68" s="775">
        <f t="shared" si="47"/>
        <v>828031.60000000033</v>
      </c>
      <c r="K68" s="775">
        <f t="shared" si="47"/>
        <v>-828031.60000000033</v>
      </c>
    </row>
    <row r="69" spans="1:15">
      <c r="A69" s="892">
        <f t="shared" si="36"/>
        <v>16</v>
      </c>
      <c r="B69" s="774" t="s">
        <v>681</v>
      </c>
      <c r="C69" s="775">
        <f>+SUM(C23:C35)</f>
        <v>0</v>
      </c>
      <c r="D69" s="775">
        <f t="shared" ref="D69:J69" si="48">+SUM(D23:D35)</f>
        <v>0</v>
      </c>
      <c r="E69" s="775">
        <f t="shared" si="48"/>
        <v>0</v>
      </c>
      <c r="F69" s="775">
        <f t="shared" si="48"/>
        <v>0</v>
      </c>
      <c r="G69" s="775">
        <f t="shared" si="48"/>
        <v>0</v>
      </c>
      <c r="H69" s="775">
        <f t="shared" si="48"/>
        <v>0</v>
      </c>
      <c r="I69" s="775">
        <f t="shared" si="48"/>
        <v>0</v>
      </c>
      <c r="J69" s="775">
        <f t="shared" si="48"/>
        <v>583746.13000000012</v>
      </c>
      <c r="K69" s="775">
        <f>+SUM(K23:K35)</f>
        <v>-583746.13000000012</v>
      </c>
    </row>
    <row r="70" spans="1:15">
      <c r="A70" s="892">
        <f t="shared" si="36"/>
        <v>17</v>
      </c>
      <c r="B70" s="774" t="s">
        <v>683</v>
      </c>
      <c r="C70" s="775">
        <f>+C36</f>
        <v>0</v>
      </c>
      <c r="D70" s="775">
        <f t="shared" ref="D70:K70" si="49">+D36</f>
        <v>0</v>
      </c>
      <c r="E70" s="775">
        <f t="shared" si="49"/>
        <v>0</v>
      </c>
      <c r="F70" s="775">
        <f t="shared" si="49"/>
        <v>0</v>
      </c>
      <c r="G70" s="775">
        <f t="shared" si="49"/>
        <v>0</v>
      </c>
      <c r="H70" s="775">
        <f t="shared" si="49"/>
        <v>0</v>
      </c>
      <c r="I70" s="775">
        <f t="shared" si="49"/>
        <v>0</v>
      </c>
      <c r="J70" s="775">
        <f t="shared" si="49"/>
        <v>937.8599999999999</v>
      </c>
      <c r="K70" s="775">
        <f t="shared" si="49"/>
        <v>-937.8599999999999</v>
      </c>
    </row>
    <row r="71" spans="1:15">
      <c r="A71" s="892">
        <f t="shared" si="36"/>
        <v>18</v>
      </c>
      <c r="B71" s="774" t="s">
        <v>684</v>
      </c>
      <c r="C71" s="775"/>
      <c r="D71" s="775"/>
      <c r="E71" s="775"/>
      <c r="F71" s="775"/>
      <c r="G71" s="775"/>
      <c r="H71" s="775"/>
      <c r="I71" s="775"/>
      <c r="J71" s="775"/>
      <c r="K71" s="775"/>
    </row>
    <row r="72" spans="1:15">
      <c r="A72" s="892">
        <f t="shared" si="36"/>
        <v>19</v>
      </c>
      <c r="B72" s="774" t="s">
        <v>685</v>
      </c>
      <c r="C72" s="775">
        <f>SUM(C37:C38)</f>
        <v>0</v>
      </c>
      <c r="D72" s="775">
        <f t="shared" ref="D72:K72" si="50">SUM(D37:D38)</f>
        <v>0</v>
      </c>
      <c r="E72" s="775">
        <f t="shared" si="50"/>
        <v>0</v>
      </c>
      <c r="F72" s="775">
        <f t="shared" si="50"/>
        <v>0</v>
      </c>
      <c r="G72" s="775">
        <f t="shared" si="50"/>
        <v>0</v>
      </c>
      <c r="H72" s="775">
        <f t="shared" si="50"/>
        <v>0</v>
      </c>
      <c r="I72" s="775">
        <f t="shared" si="50"/>
        <v>0</v>
      </c>
      <c r="J72" s="775">
        <f t="shared" si="50"/>
        <v>927.4100000000002</v>
      </c>
      <c r="K72" s="775">
        <f t="shared" si="50"/>
        <v>-927.4100000000002</v>
      </c>
    </row>
    <row r="73" spans="1:15">
      <c r="A73" s="892">
        <f t="shared" si="36"/>
        <v>20</v>
      </c>
      <c r="B73" s="774" t="s">
        <v>686</v>
      </c>
      <c r="C73" s="775">
        <f>+SUM(C39:C40)</f>
        <v>0</v>
      </c>
      <c r="D73" s="775">
        <f t="shared" ref="D73:K73" si="51">+SUM(D39:D40)</f>
        <v>0</v>
      </c>
      <c r="E73" s="775">
        <f t="shared" si="51"/>
        <v>0</v>
      </c>
      <c r="F73" s="775">
        <f t="shared" si="51"/>
        <v>0</v>
      </c>
      <c r="G73" s="775">
        <f t="shared" si="51"/>
        <v>0</v>
      </c>
      <c r="H73" s="775">
        <f t="shared" si="51"/>
        <v>0</v>
      </c>
      <c r="I73" s="775">
        <f t="shared" si="51"/>
        <v>0</v>
      </c>
      <c r="J73" s="775">
        <f t="shared" si="51"/>
        <v>104.06</v>
      </c>
      <c r="K73" s="775">
        <f t="shared" si="51"/>
        <v>-104.06</v>
      </c>
    </row>
    <row r="74" spans="1:15" s="920" customFormat="1">
      <c r="A74" s="892">
        <f t="shared" si="36"/>
        <v>21</v>
      </c>
      <c r="B74" s="774" t="s">
        <v>687</v>
      </c>
      <c r="C74" s="777">
        <f>SUM(C41:C54)</f>
        <v>0</v>
      </c>
      <c r="D74" s="777">
        <f t="shared" ref="D74:I74" si="52">SUM(D41:D54)</f>
        <v>0</v>
      </c>
      <c r="E74" s="777">
        <f t="shared" si="52"/>
        <v>0</v>
      </c>
      <c r="F74" s="777">
        <f t="shared" si="52"/>
        <v>0</v>
      </c>
      <c r="G74" s="777">
        <f t="shared" si="52"/>
        <v>0</v>
      </c>
      <c r="H74" s="777">
        <f t="shared" si="52"/>
        <v>0</v>
      </c>
      <c r="I74" s="777">
        <f t="shared" si="52"/>
        <v>0</v>
      </c>
      <c r="J74" s="777">
        <f>SUM(J41:J51)</f>
        <v>7659867.4899999974</v>
      </c>
      <c r="K74" s="777">
        <f>SUM(K41:K51)</f>
        <v>-7659867.4899999974</v>
      </c>
      <c r="L74" s="581"/>
      <c r="N74" s="581"/>
      <c r="O74" s="2274"/>
    </row>
    <row r="75" spans="1:15" ht="13.8" thickBot="1">
      <c r="A75" s="852">
        <f>+A74+1</f>
        <v>22</v>
      </c>
      <c r="B75" s="772" t="str">
        <f>+"Total  Sum (Ln "&amp;A65&amp;" to Ln "&amp;A74&amp;")"</f>
        <v>Total  Sum (Ln 12 to Ln 21)</v>
      </c>
      <c r="C75" s="778">
        <f t="shared" ref="C75" si="53">SUM(C65:C74)</f>
        <v>0</v>
      </c>
      <c r="D75" s="778">
        <f t="shared" ref="D75:K75" si="54">SUM(D65:D74)</f>
        <v>0</v>
      </c>
      <c r="E75" s="778">
        <f t="shared" si="54"/>
        <v>0</v>
      </c>
      <c r="F75" s="778">
        <f t="shared" si="54"/>
        <v>0</v>
      </c>
      <c r="G75" s="778">
        <f t="shared" si="54"/>
        <v>0</v>
      </c>
      <c r="H75" s="778">
        <f t="shared" si="54"/>
        <v>0</v>
      </c>
      <c r="I75" s="778">
        <f t="shared" si="54"/>
        <v>0</v>
      </c>
      <c r="J75" s="778">
        <f t="shared" si="54"/>
        <v>11328148.849999998</v>
      </c>
      <c r="K75" s="778">
        <f t="shared" si="54"/>
        <v>-11328148.849999998</v>
      </c>
    </row>
    <row r="76" spans="1:15" ht="13.8" thickTop="1">
      <c r="A76" s="892">
        <f t="shared" si="36"/>
        <v>23</v>
      </c>
      <c r="B76" s="772"/>
      <c r="C76" s="772"/>
      <c r="D76" s="772"/>
      <c r="E76" s="779"/>
      <c r="F76" s="773"/>
      <c r="G76" s="779"/>
      <c r="I76" s="773"/>
      <c r="J76" s="773"/>
      <c r="K76" s="773"/>
    </row>
    <row r="77" spans="1:15">
      <c r="A77" s="892">
        <f t="shared" si="36"/>
        <v>24</v>
      </c>
      <c r="B77" s="772" t="str">
        <f>+"Payroll O&amp;M Excl A&amp;G  Sum (Ln "&amp;A65&amp;" To Ln "&amp;A73&amp;")"</f>
        <v>Payroll O&amp;M Excl A&amp;G  Sum (Ln 12 To Ln 20)</v>
      </c>
      <c r="C77" s="775"/>
      <c r="D77" s="775"/>
      <c r="E77" s="775"/>
      <c r="F77" s="775"/>
      <c r="G77" s="775"/>
      <c r="H77" s="775">
        <f>+SUM(H65:H73)</f>
        <v>0</v>
      </c>
      <c r="I77" s="775"/>
      <c r="J77" s="775"/>
      <c r="K77" s="775"/>
    </row>
    <row r="78" spans="1:15">
      <c r="A78" s="891"/>
      <c r="B78" s="772"/>
      <c r="C78" s="772"/>
      <c r="D78" s="775"/>
      <c r="E78" s="773"/>
      <c r="F78" s="773"/>
      <c r="G78" s="773"/>
      <c r="I78" s="773"/>
      <c r="J78" s="773"/>
      <c r="K78" s="773"/>
      <c r="L78" s="920"/>
    </row>
    <row r="79" spans="1:15">
      <c r="A79" s="891" t="s">
        <v>665</v>
      </c>
      <c r="B79" s="772"/>
      <c r="C79" s="772"/>
      <c r="D79" s="772"/>
      <c r="E79" s="779"/>
      <c r="F79" s="779"/>
      <c r="G79" s="779"/>
      <c r="I79" s="779"/>
      <c r="J79" s="779"/>
      <c r="K79" s="779"/>
    </row>
    <row r="80" spans="1:15" ht="39.6" customHeight="1">
      <c r="A80" s="959" t="s">
        <v>167</v>
      </c>
      <c r="B80" s="2458" t="s">
        <v>860</v>
      </c>
      <c r="C80" s="2458"/>
      <c r="D80" s="2458"/>
      <c r="E80" s="2458"/>
      <c r="F80" s="2458"/>
      <c r="G80" s="2458"/>
      <c r="H80" s="2458"/>
      <c r="I80" s="2458"/>
      <c r="J80" s="2458"/>
      <c r="K80" s="2458"/>
    </row>
    <row r="81" spans="1:15">
      <c r="A81" s="958" t="s">
        <v>320</v>
      </c>
      <c r="B81" s="772" t="s">
        <v>666</v>
      </c>
      <c r="C81" s="772"/>
      <c r="D81" s="772"/>
      <c r="E81" s="779"/>
      <c r="F81" s="779"/>
      <c r="G81" s="779"/>
      <c r="I81" s="779"/>
      <c r="J81" s="779"/>
      <c r="K81" s="779"/>
      <c r="N81" s="920"/>
      <c r="O81" s="2276"/>
    </row>
    <row r="82" spans="1:15" ht="12.75" customHeight="1">
      <c r="A82" s="959" t="s">
        <v>321</v>
      </c>
      <c r="B82" s="2324" t="s">
        <v>812</v>
      </c>
      <c r="C82" s="2324"/>
      <c r="D82" s="2324"/>
      <c r="E82" s="2324"/>
      <c r="F82" s="2324"/>
      <c r="G82" s="2324"/>
      <c r="H82" s="2324"/>
      <c r="I82" s="2324"/>
      <c r="J82" s="2324"/>
      <c r="K82" s="2324"/>
    </row>
    <row r="83" spans="1:15">
      <c r="A83" s="1069" t="s">
        <v>322</v>
      </c>
      <c r="B83" s="1309" t="s">
        <v>856</v>
      </c>
      <c r="C83" s="1309"/>
      <c r="D83" s="1309"/>
      <c r="E83" s="1309"/>
      <c r="F83" s="1309"/>
      <c r="G83" s="1309"/>
      <c r="H83" s="1309"/>
      <c r="I83" s="1309"/>
      <c r="J83" s="1309"/>
      <c r="K83" s="1309"/>
    </row>
    <row r="84" spans="1:15">
      <c r="A84" s="1068"/>
      <c r="B84" s="772"/>
      <c r="C84" s="772"/>
      <c r="D84" s="772"/>
      <c r="E84" s="772"/>
      <c r="F84" s="772"/>
      <c r="G84" s="772"/>
      <c r="I84" s="772"/>
      <c r="J84" s="772"/>
      <c r="K84" s="772"/>
    </row>
    <row r="85" spans="1:15">
      <c r="B85" s="772"/>
      <c r="C85" s="772"/>
      <c r="D85" s="772"/>
      <c r="E85" s="772"/>
      <c r="F85" s="772"/>
      <c r="G85" s="772"/>
      <c r="I85" s="772"/>
      <c r="J85" s="772"/>
      <c r="K85" s="772"/>
    </row>
  </sheetData>
  <mergeCells count="9">
    <mergeCell ref="B82:K82"/>
    <mergeCell ref="A1:K1"/>
    <mergeCell ref="A2:K2"/>
    <mergeCell ref="I9:J9"/>
    <mergeCell ref="C9:E9"/>
    <mergeCell ref="G9:H9"/>
    <mergeCell ref="A3:K3"/>
    <mergeCell ref="A5:K5"/>
    <mergeCell ref="B80:K80"/>
  </mergeCells>
  <phoneticPr fontId="104" type="noConversion"/>
  <printOptions horizontalCentered="1"/>
  <pageMargins left="0.7" right="0.7" top="0.5" bottom="0.5" header="0.3" footer="0.5"/>
  <pageSetup scale="65" orientation="portrait" r:id="rId1"/>
  <headerFooter>
    <oddFooter>&amp;R&amp;A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7"/>
  <dimension ref="A1:K213"/>
  <sheetViews>
    <sheetView zoomScaleNormal="100" zoomScaleSheetLayoutView="90" workbookViewId="0">
      <selection activeCell="L6" sqref="L6"/>
    </sheetView>
  </sheetViews>
  <sheetFormatPr defaultColWidth="8.88671875" defaultRowHeight="13.2"/>
  <cols>
    <col min="1" max="1" width="5.33203125" style="593" customWidth="1"/>
    <col min="2" max="2" width="44.6640625" style="161" customWidth="1"/>
    <col min="3" max="3" width="18.88671875" style="161" customWidth="1"/>
    <col min="4" max="4" width="16.109375" style="161" bestFit="1" customWidth="1"/>
    <col min="5" max="5" width="13.109375" style="161" bestFit="1" customWidth="1"/>
    <col min="6" max="6" width="17.109375" style="161" customWidth="1"/>
    <col min="7" max="8" width="8.88671875" style="161"/>
    <col min="9" max="9" width="10.88671875" style="161" bestFit="1" customWidth="1"/>
    <col min="10" max="16384" width="8.88671875" style="161"/>
  </cols>
  <sheetData>
    <row r="1" spans="1:10">
      <c r="A1" s="2390" t="str">
        <f>'MISO Cover'!C6</f>
        <v>Entergy Louisiana, LLC</v>
      </c>
      <c r="B1" s="2390"/>
      <c r="C1" s="2390"/>
      <c r="D1" s="2390"/>
      <c r="E1" s="2390"/>
      <c r="F1" s="2390"/>
      <c r="G1" s="780"/>
      <c r="I1" s="781"/>
    </row>
    <row r="2" spans="1:10">
      <c r="A2" s="2327" t="s">
        <v>857</v>
      </c>
      <c r="B2" s="2327"/>
      <c r="C2" s="2327"/>
      <c r="D2" s="2327"/>
      <c r="E2" s="2327"/>
      <c r="F2" s="2391"/>
      <c r="G2" s="913"/>
    </row>
    <row r="3" spans="1:10">
      <c r="A3" s="2390" t="str">
        <f>'MISO Cover'!K4</f>
        <v>For  the 12 Months Ended 12/31/2017</v>
      </c>
      <c r="B3" s="2390"/>
      <c r="C3" s="2390"/>
      <c r="D3" s="2390"/>
      <c r="E3" s="2390"/>
      <c r="F3" s="2390"/>
      <c r="G3" s="782"/>
    </row>
    <row r="4" spans="1:10">
      <c r="A4" s="171"/>
      <c r="B4" s="171"/>
      <c r="C4" s="171"/>
      <c r="D4" s="171"/>
      <c r="E4" s="171"/>
      <c r="F4" s="583"/>
      <c r="G4" s="583"/>
    </row>
    <row r="5" spans="1:10">
      <c r="A5" s="1588"/>
      <c r="B5" s="783"/>
      <c r="C5" s="721"/>
      <c r="D5" s="1604"/>
      <c r="E5" s="1604"/>
      <c r="F5" s="1192" t="s">
        <v>668</v>
      </c>
    </row>
    <row r="6" spans="1:10">
      <c r="A6" s="1711" t="s">
        <v>280</v>
      </c>
      <c r="B6" s="1588" t="s">
        <v>67</v>
      </c>
      <c r="C6" s="1604"/>
      <c r="D6" s="1588" t="s">
        <v>114</v>
      </c>
      <c r="E6" s="1588" t="s">
        <v>55</v>
      </c>
      <c r="F6" s="1237" t="s">
        <v>68</v>
      </c>
    </row>
    <row r="7" spans="1:10">
      <c r="A7" s="1714">
        <v>1</v>
      </c>
      <c r="B7" s="1083" t="s">
        <v>171</v>
      </c>
      <c r="C7" s="1363"/>
      <c r="D7" s="1083" t="s">
        <v>920</v>
      </c>
      <c r="E7" s="1083" t="s">
        <v>484</v>
      </c>
      <c r="F7" s="1362" t="s">
        <v>521</v>
      </c>
      <c r="H7" s="162"/>
      <c r="I7" s="162"/>
    </row>
    <row r="8" spans="1:10">
      <c r="A8" s="1713">
        <f>A7+0.01</f>
        <v>1.01</v>
      </c>
      <c r="B8" s="1195" t="s">
        <v>836</v>
      </c>
      <c r="C8" s="585"/>
      <c r="D8" s="1238">
        <f>IFERROR(INDEX(#REF!,MATCH($B8,#REF!,0)),0)</f>
        <v>0</v>
      </c>
      <c r="E8" s="1238">
        <f>IFERROR(INDEX(#REF!,MATCH($B8,#REF!,0)),0)</f>
        <v>0</v>
      </c>
      <c r="F8" s="586">
        <f>SUM(D8:E8)</f>
        <v>0</v>
      </c>
      <c r="G8" s="163"/>
      <c r="H8" s="162"/>
      <c r="I8" s="162"/>
      <c r="J8" s="163"/>
    </row>
    <row r="9" spans="1:10" s="163" customFormat="1">
      <c r="A9" s="1713">
        <f t="shared" ref="A9:A42" si="0">A8+0.01</f>
        <v>1.02</v>
      </c>
      <c r="B9" s="1195" t="s">
        <v>837</v>
      </c>
      <c r="C9" s="585"/>
      <c r="D9" s="1238">
        <f>IFERROR(INDEX(#REF!,MATCH($B9,#REF!,0)),0)</f>
        <v>0</v>
      </c>
      <c r="E9" s="1238">
        <f>IFERROR(INDEX(#REF!,MATCH($B9,#REF!,0)),0)</f>
        <v>0</v>
      </c>
      <c r="F9" s="586">
        <f t="shared" ref="F9:F42" si="1">SUM(D9:E9)</f>
        <v>0</v>
      </c>
      <c r="G9" s="585"/>
      <c r="H9" s="1530" t="s">
        <v>1542</v>
      </c>
      <c r="I9" s="162"/>
      <c r="J9" s="162"/>
    </row>
    <row r="10" spans="1:10" s="162" customFormat="1" ht="13.2" customHeight="1">
      <c r="A10" s="1713">
        <f t="shared" si="0"/>
        <v>1.03</v>
      </c>
      <c r="B10" s="584" t="s">
        <v>1557</v>
      </c>
      <c r="C10" s="585"/>
      <c r="D10" s="1238">
        <f>IFERROR(INDEX(#REF!,MATCH($B10,#REF!,0)),0)</f>
        <v>0</v>
      </c>
      <c r="E10" s="1238">
        <f>IFERROR(INDEX(#REF!,MATCH($B10,#REF!,0)),0)</f>
        <v>0</v>
      </c>
      <c r="F10" s="586">
        <f t="shared" si="1"/>
        <v>0</v>
      </c>
      <c r="G10" s="585"/>
    </row>
    <row r="11" spans="1:10" s="162" customFormat="1">
      <c r="A11" s="1713">
        <f t="shared" si="0"/>
        <v>1.04</v>
      </c>
      <c r="B11" s="584" t="s">
        <v>1558</v>
      </c>
      <c r="C11" s="585"/>
      <c r="D11" s="1238">
        <f>IFERROR(INDEX(#REF!,MATCH($B11,#REF!,0)),0)</f>
        <v>0</v>
      </c>
      <c r="E11" s="1238">
        <f>IFERROR(INDEX(#REF!,MATCH($B11,#REF!,0)),0)</f>
        <v>0</v>
      </c>
      <c r="F11" s="586">
        <f t="shared" si="1"/>
        <v>0</v>
      </c>
      <c r="G11" s="585"/>
    </row>
    <row r="12" spans="1:10" s="162" customFormat="1">
      <c r="A12" s="1713">
        <f t="shared" si="0"/>
        <v>1.05</v>
      </c>
      <c r="B12" s="1196" t="s">
        <v>1559</v>
      </c>
      <c r="C12" s="585"/>
      <c r="D12" s="1238">
        <f>IFERROR(INDEX(#REF!,MATCH($B12,#REF!,0)),0)</f>
        <v>0</v>
      </c>
      <c r="E12" s="1238">
        <f>IFERROR(INDEX(#REF!,MATCH($B12,#REF!,0)),0)</f>
        <v>0</v>
      </c>
      <c r="F12" s="586">
        <f t="shared" si="1"/>
        <v>0</v>
      </c>
      <c r="G12" s="585"/>
    </row>
    <row r="13" spans="1:10" s="162" customFormat="1">
      <c r="A13" s="1713">
        <f t="shared" si="0"/>
        <v>1.06</v>
      </c>
      <c r="B13" s="1196" t="s">
        <v>1560</v>
      </c>
      <c r="C13" s="585"/>
      <c r="D13" s="1238">
        <f>IFERROR(INDEX(#REF!,MATCH($B13,#REF!,0)),0)</f>
        <v>0</v>
      </c>
      <c r="E13" s="1238">
        <f>IFERROR(INDEX(#REF!,MATCH($B13,#REF!,0)),0)</f>
        <v>0</v>
      </c>
      <c r="F13" s="586">
        <f t="shared" si="1"/>
        <v>0</v>
      </c>
      <c r="G13" s="585"/>
    </row>
    <row r="14" spans="1:10" s="162" customFormat="1">
      <c r="A14" s="1713">
        <f t="shared" si="0"/>
        <v>1.07</v>
      </c>
      <c r="B14" s="1196" t="s">
        <v>1561</v>
      </c>
      <c r="C14" s="585"/>
      <c r="D14" s="1238">
        <f>IFERROR(INDEX(#REF!,MATCH($B14,#REF!,0)),0)</f>
        <v>0</v>
      </c>
      <c r="E14" s="1238">
        <f>IFERROR(INDEX(#REF!,MATCH($B14,#REF!,0)),0)</f>
        <v>0</v>
      </c>
      <c r="F14" s="586">
        <f t="shared" si="1"/>
        <v>0</v>
      </c>
      <c r="G14" s="585"/>
    </row>
    <row r="15" spans="1:10" s="162" customFormat="1">
      <c r="A15" s="1713">
        <f t="shared" si="0"/>
        <v>1.08</v>
      </c>
      <c r="B15" s="1196" t="s">
        <v>1562</v>
      </c>
      <c r="C15" s="585"/>
      <c r="D15" s="1238">
        <f>IFERROR(INDEX(#REF!,MATCH($B15,#REF!,0)),0)</f>
        <v>0</v>
      </c>
      <c r="E15" s="1238">
        <f>IFERROR(INDEX(#REF!,MATCH($B15,#REF!,0)),0)</f>
        <v>0</v>
      </c>
      <c r="F15" s="586">
        <f t="shared" si="1"/>
        <v>0</v>
      </c>
      <c r="G15" s="585"/>
    </row>
    <row r="16" spans="1:10" s="162" customFormat="1">
      <c r="A16" s="1713">
        <f t="shared" si="0"/>
        <v>1.0900000000000001</v>
      </c>
      <c r="B16" s="1196" t="s">
        <v>1563</v>
      </c>
      <c r="C16" s="585"/>
      <c r="D16" s="1238">
        <f>IFERROR(INDEX(#REF!,MATCH($B16,#REF!,0)),0)</f>
        <v>0</v>
      </c>
      <c r="E16" s="1238">
        <f>IFERROR(INDEX(#REF!,MATCH($B16,#REF!,0)),0)</f>
        <v>0</v>
      </c>
      <c r="F16" s="586">
        <f t="shared" si="1"/>
        <v>0</v>
      </c>
      <c r="G16" s="585"/>
    </row>
    <row r="17" spans="1:7" s="162" customFormat="1">
      <c r="A17" s="1713">
        <f t="shared" si="0"/>
        <v>1.1000000000000001</v>
      </c>
      <c r="B17" s="1196" t="s">
        <v>1564</v>
      </c>
      <c r="C17" s="585"/>
      <c r="D17" s="1238">
        <f>IFERROR(INDEX(#REF!,MATCH($B17,#REF!,0)),0)</f>
        <v>0</v>
      </c>
      <c r="E17" s="1238">
        <f>IFERROR(INDEX(#REF!,MATCH($B17,#REF!,0)),0)</f>
        <v>0</v>
      </c>
      <c r="F17" s="586">
        <f t="shared" si="1"/>
        <v>0</v>
      </c>
      <c r="G17" s="585"/>
    </row>
    <row r="18" spans="1:7" s="162" customFormat="1">
      <c r="A18" s="1713">
        <f t="shared" si="0"/>
        <v>1.1100000000000001</v>
      </c>
      <c r="B18" s="1196" t="s">
        <v>1565</v>
      </c>
      <c r="C18" s="585"/>
      <c r="D18" s="1238">
        <f>IFERROR(INDEX(#REF!,MATCH($B18,#REF!,0)),0)</f>
        <v>0</v>
      </c>
      <c r="E18" s="1238">
        <f>IFERROR(INDEX(#REF!,MATCH($B18,#REF!,0)),0)</f>
        <v>0</v>
      </c>
      <c r="F18" s="586">
        <f t="shared" si="1"/>
        <v>0</v>
      </c>
      <c r="G18" s="585"/>
    </row>
    <row r="19" spans="1:7" s="162" customFormat="1">
      <c r="A19" s="1713">
        <f t="shared" si="0"/>
        <v>1.1200000000000001</v>
      </c>
      <c r="B19" s="1196" t="s">
        <v>1566</v>
      </c>
      <c r="C19" s="585"/>
      <c r="D19" s="1238">
        <f>IFERROR(INDEX(#REF!,MATCH($B19,#REF!,0)),0)</f>
        <v>0</v>
      </c>
      <c r="E19" s="1238">
        <f>IFERROR(INDEX(#REF!,MATCH($B19,#REF!,0)),0)</f>
        <v>0</v>
      </c>
      <c r="F19" s="586">
        <f t="shared" si="1"/>
        <v>0</v>
      </c>
      <c r="G19" s="585"/>
    </row>
    <row r="20" spans="1:7" s="162" customFormat="1">
      <c r="A20" s="1713">
        <f t="shared" si="0"/>
        <v>1.1300000000000001</v>
      </c>
      <c r="B20" s="1196" t="s">
        <v>1567</v>
      </c>
      <c r="C20" s="585"/>
      <c r="D20" s="1238">
        <f>IFERROR(INDEX(#REF!,MATCH($B20,#REF!,0)),0)</f>
        <v>0</v>
      </c>
      <c r="E20" s="1238">
        <f>IFERROR(INDEX(#REF!,MATCH($B20,#REF!,0)),0)</f>
        <v>0</v>
      </c>
      <c r="F20" s="586">
        <f t="shared" si="1"/>
        <v>0</v>
      </c>
      <c r="G20" s="585"/>
    </row>
    <row r="21" spans="1:7" s="162" customFormat="1">
      <c r="A21" s="1713">
        <f t="shared" si="0"/>
        <v>1.1400000000000001</v>
      </c>
      <c r="B21" s="1196" t="s">
        <v>1568</v>
      </c>
      <c r="C21" s="585"/>
      <c r="D21" s="1238">
        <f>IFERROR(INDEX(#REF!,MATCH($B21,#REF!,0)),0)</f>
        <v>0</v>
      </c>
      <c r="E21" s="1238">
        <f>IFERROR(INDEX(#REF!,MATCH($B21,#REF!,0)),0)</f>
        <v>0</v>
      </c>
      <c r="F21" s="586">
        <f t="shared" si="1"/>
        <v>0</v>
      </c>
      <c r="G21" s="585"/>
    </row>
    <row r="22" spans="1:7" s="162" customFormat="1">
      <c r="A22" s="1713">
        <f t="shared" si="0"/>
        <v>1.1500000000000001</v>
      </c>
      <c r="B22" s="1196" t="s">
        <v>1569</v>
      </c>
      <c r="C22" s="585"/>
      <c r="D22" s="1238">
        <f>IFERROR(INDEX(#REF!,MATCH($B22,#REF!,0)),0)</f>
        <v>0</v>
      </c>
      <c r="E22" s="1238">
        <f>IFERROR(INDEX(#REF!,MATCH($B22,#REF!,0)),0)</f>
        <v>0</v>
      </c>
      <c r="F22" s="586">
        <f t="shared" si="1"/>
        <v>0</v>
      </c>
      <c r="G22" s="585"/>
    </row>
    <row r="23" spans="1:7" s="162" customFormat="1">
      <c r="A23" s="1713">
        <f t="shared" si="0"/>
        <v>1.1600000000000001</v>
      </c>
      <c r="B23" s="1196" t="s">
        <v>1570</v>
      </c>
      <c r="C23" s="585"/>
      <c r="D23" s="1238">
        <f>IFERROR(INDEX(#REF!,MATCH($B23,#REF!,0)),0)</f>
        <v>0</v>
      </c>
      <c r="E23" s="1238">
        <f>IFERROR(INDEX(#REF!,MATCH($B23,#REF!,0)),0)</f>
        <v>0</v>
      </c>
      <c r="F23" s="586">
        <f t="shared" si="1"/>
        <v>0</v>
      </c>
      <c r="G23" s="585"/>
    </row>
    <row r="24" spans="1:7" s="162" customFormat="1">
      <c r="A24" s="1713">
        <f t="shared" si="0"/>
        <v>1.1700000000000002</v>
      </c>
      <c r="B24" s="1196" t="s">
        <v>1571</v>
      </c>
      <c r="C24" s="585"/>
      <c r="D24" s="1238">
        <f>IFERROR(INDEX(#REF!,MATCH($B24,#REF!,0)),0)</f>
        <v>0</v>
      </c>
      <c r="E24" s="1238">
        <f>IFERROR(INDEX(#REF!,MATCH($B24,#REF!,0)),0)</f>
        <v>0</v>
      </c>
      <c r="F24" s="586">
        <f t="shared" si="1"/>
        <v>0</v>
      </c>
      <c r="G24" s="585"/>
    </row>
    <row r="25" spans="1:7" s="162" customFormat="1">
      <c r="A25" s="1713">
        <f t="shared" si="0"/>
        <v>1.1800000000000002</v>
      </c>
      <c r="B25" s="1196" t="s">
        <v>1572</v>
      </c>
      <c r="C25" s="585"/>
      <c r="D25" s="1238">
        <f>IFERROR(INDEX(#REF!,MATCH($B25,#REF!,0)),0)</f>
        <v>0</v>
      </c>
      <c r="E25" s="1238">
        <f>IFERROR(INDEX(#REF!,MATCH($B25,#REF!,0)),0)</f>
        <v>0</v>
      </c>
      <c r="F25" s="586">
        <f t="shared" si="1"/>
        <v>0</v>
      </c>
      <c r="G25" s="585"/>
    </row>
    <row r="26" spans="1:7" s="162" customFormat="1">
      <c r="A26" s="1713">
        <f t="shared" si="0"/>
        <v>1.1900000000000002</v>
      </c>
      <c r="B26" s="1197" t="s">
        <v>798</v>
      </c>
      <c r="C26" s="585"/>
      <c r="D26" s="1238">
        <f>IFERROR(INDEX(#REF!,MATCH($B26,#REF!,0)),0)</f>
        <v>0</v>
      </c>
      <c r="E26" s="1238">
        <f>IFERROR(INDEX(#REF!,MATCH($B26,#REF!,0)),0)</f>
        <v>0</v>
      </c>
      <c r="F26" s="586">
        <f t="shared" si="1"/>
        <v>0</v>
      </c>
      <c r="G26" s="585"/>
    </row>
    <row r="27" spans="1:7" s="162" customFormat="1">
      <c r="A27" s="1713">
        <f t="shared" si="0"/>
        <v>1.2000000000000002</v>
      </c>
      <c r="B27" s="1197" t="s">
        <v>838</v>
      </c>
      <c r="C27" s="585"/>
      <c r="D27" s="1238">
        <f>IFERROR(INDEX(#REF!,MATCH($B27,#REF!,0)),0)</f>
        <v>0</v>
      </c>
      <c r="E27" s="1238">
        <f>IFERROR(INDEX(#REF!,MATCH($B27,#REF!,0)),0)</f>
        <v>0</v>
      </c>
      <c r="F27" s="586">
        <f t="shared" si="1"/>
        <v>0</v>
      </c>
      <c r="G27" s="585"/>
    </row>
    <row r="28" spans="1:7" s="162" customFormat="1">
      <c r="A28" s="1713">
        <f t="shared" si="0"/>
        <v>1.2100000000000002</v>
      </c>
      <c r="B28" s="1197" t="s">
        <v>175</v>
      </c>
      <c r="C28" s="585"/>
      <c r="D28" s="1238">
        <f>IFERROR(INDEX(#REF!,MATCH($B28,#REF!,0)),0)</f>
        <v>0</v>
      </c>
      <c r="E28" s="1238">
        <f>IFERROR(INDEX(#REF!,MATCH($B28,#REF!,0)),0)</f>
        <v>0</v>
      </c>
      <c r="F28" s="586">
        <f t="shared" si="1"/>
        <v>0</v>
      </c>
      <c r="G28" s="919"/>
    </row>
    <row r="29" spans="1:7" s="162" customFormat="1">
      <c r="A29" s="1713">
        <f t="shared" si="0"/>
        <v>1.2200000000000002</v>
      </c>
      <c r="B29" s="1197" t="s">
        <v>858</v>
      </c>
      <c r="C29" s="585"/>
      <c r="D29" s="1238">
        <f>IFERROR(INDEX(#REF!,MATCH($B29,#REF!,0)),0)</f>
        <v>0</v>
      </c>
      <c r="E29" s="1238">
        <f>IFERROR(INDEX(#REF!,MATCH($B29,#REF!,0)),0)</f>
        <v>0</v>
      </c>
      <c r="F29" s="586">
        <f t="shared" si="1"/>
        <v>0</v>
      </c>
      <c r="G29" s="919"/>
    </row>
    <row r="30" spans="1:7" s="162" customFormat="1">
      <c r="A30" s="1713">
        <f t="shared" si="0"/>
        <v>1.2300000000000002</v>
      </c>
      <c r="B30" s="584" t="s">
        <v>176</v>
      </c>
      <c r="C30" s="585"/>
      <c r="D30" s="1238">
        <f>IFERROR(INDEX(#REF!,MATCH($B30,#REF!,0)),0)</f>
        <v>0</v>
      </c>
      <c r="E30" s="1238">
        <f>IFERROR(INDEX(#REF!,MATCH($B30,#REF!,0)),0)</f>
        <v>0</v>
      </c>
      <c r="F30" s="586">
        <f t="shared" si="1"/>
        <v>0</v>
      </c>
      <c r="G30" s="585"/>
    </row>
    <row r="31" spans="1:7" s="162" customFormat="1">
      <c r="A31" s="893">
        <f t="shared" si="0"/>
        <v>1.2400000000000002</v>
      </c>
      <c r="B31" s="584" t="s">
        <v>177</v>
      </c>
      <c r="C31" s="585"/>
      <c r="D31" s="1238">
        <f>IFERROR(INDEX(#REF!,MATCH($B31,#REF!,0)),0)</f>
        <v>0</v>
      </c>
      <c r="E31" s="1238">
        <f>IFERROR(INDEX(#REF!,MATCH($B31,#REF!,0)),0)</f>
        <v>0</v>
      </c>
      <c r="F31" s="586">
        <f t="shared" si="1"/>
        <v>0</v>
      </c>
      <c r="G31" s="585"/>
    </row>
    <row r="32" spans="1:7" s="162" customFormat="1">
      <c r="A32" s="893">
        <f t="shared" si="0"/>
        <v>1.2500000000000002</v>
      </c>
      <c r="B32" s="584" t="s">
        <v>178</v>
      </c>
      <c r="C32" s="585"/>
      <c r="D32" s="1238">
        <f>IFERROR(INDEX(#REF!,MATCH($B32,#REF!,0)),0)</f>
        <v>0</v>
      </c>
      <c r="E32" s="1238">
        <f>IFERROR(INDEX(#REF!,MATCH($B32,#REF!,0)),0)</f>
        <v>0</v>
      </c>
      <c r="F32" s="586">
        <f t="shared" si="1"/>
        <v>0</v>
      </c>
      <c r="G32" s="585"/>
    </row>
    <row r="33" spans="1:10" s="162" customFormat="1">
      <c r="A33" s="893">
        <f t="shared" si="0"/>
        <v>1.2600000000000002</v>
      </c>
      <c r="B33" s="584" t="s">
        <v>179</v>
      </c>
      <c r="C33" s="585"/>
      <c r="D33" s="1238">
        <f>IFERROR(INDEX(#REF!,MATCH($B33,#REF!,0)),0)</f>
        <v>0</v>
      </c>
      <c r="E33" s="1238">
        <f>IFERROR(INDEX(#REF!,MATCH($B33,#REF!,0)),0)</f>
        <v>0</v>
      </c>
      <c r="F33" s="586">
        <f t="shared" si="1"/>
        <v>0</v>
      </c>
      <c r="G33" s="585"/>
    </row>
    <row r="34" spans="1:10" s="162" customFormat="1">
      <c r="A34" s="893">
        <f t="shared" si="0"/>
        <v>1.2700000000000002</v>
      </c>
      <c r="B34" s="584" t="s">
        <v>180</v>
      </c>
      <c r="C34" s="585"/>
      <c r="D34" s="1238">
        <f>IFERROR(INDEX(#REF!,MATCH($B34,#REF!,0)),0)</f>
        <v>0</v>
      </c>
      <c r="E34" s="1238">
        <f>IFERROR(INDEX(#REF!,MATCH($B34,#REF!,0)),0)</f>
        <v>0</v>
      </c>
      <c r="F34" s="586">
        <f t="shared" si="1"/>
        <v>0</v>
      </c>
      <c r="G34" s="585"/>
    </row>
    <row r="35" spans="1:10" s="162" customFormat="1">
      <c r="A35" s="893">
        <f t="shared" si="0"/>
        <v>1.2800000000000002</v>
      </c>
      <c r="B35" s="584" t="s">
        <v>181</v>
      </c>
      <c r="C35" s="585"/>
      <c r="D35" s="1238">
        <f>IFERROR(INDEX(#REF!,MATCH($B35,#REF!,0)),0)</f>
        <v>0</v>
      </c>
      <c r="E35" s="1238">
        <f>IFERROR(INDEX(#REF!,MATCH($B35,#REF!,0)),0)</f>
        <v>0</v>
      </c>
      <c r="F35" s="586">
        <f t="shared" si="1"/>
        <v>0</v>
      </c>
      <c r="G35" s="585"/>
    </row>
    <row r="36" spans="1:10" s="162" customFormat="1">
      <c r="A36" s="893">
        <f t="shared" si="0"/>
        <v>1.2900000000000003</v>
      </c>
      <c r="B36" s="584" t="s">
        <v>182</v>
      </c>
      <c r="C36" s="585"/>
      <c r="D36" s="1238">
        <f>IFERROR(INDEX(#REF!,MATCH($B36,#REF!,0)),0)</f>
        <v>0</v>
      </c>
      <c r="E36" s="1238">
        <f>IFERROR(INDEX(#REF!,MATCH($B36,#REF!,0)),0)</f>
        <v>0</v>
      </c>
      <c r="F36" s="586">
        <f t="shared" si="1"/>
        <v>0</v>
      </c>
      <c r="G36" s="585"/>
    </row>
    <row r="37" spans="1:10" s="162" customFormat="1">
      <c r="A37" s="893">
        <f t="shared" si="0"/>
        <v>1.3000000000000003</v>
      </c>
      <c r="B37" s="584" t="s">
        <v>294</v>
      </c>
      <c r="C37" s="585"/>
      <c r="D37" s="1238">
        <f>IFERROR(INDEX(#REF!,MATCH($B37,#REF!,0)),0)</f>
        <v>0</v>
      </c>
      <c r="E37" s="1238">
        <f>IFERROR(INDEX(#REF!,MATCH($B37,#REF!,0)),0)</f>
        <v>0</v>
      </c>
      <c r="F37" s="586">
        <f t="shared" si="1"/>
        <v>0</v>
      </c>
      <c r="G37" s="585"/>
    </row>
    <row r="38" spans="1:10" s="162" customFormat="1">
      <c r="A38" s="893">
        <f t="shared" si="0"/>
        <v>1.3100000000000003</v>
      </c>
      <c r="B38" s="584" t="s">
        <v>183</v>
      </c>
      <c r="C38" s="585"/>
      <c r="D38" s="1238">
        <f>IFERROR(INDEX(#REF!,MATCH($B38,#REF!,0)),0)</f>
        <v>0</v>
      </c>
      <c r="E38" s="1238">
        <f>IFERROR(INDEX(#REF!,MATCH($B38,#REF!,0)),0)</f>
        <v>0</v>
      </c>
      <c r="F38" s="586">
        <f t="shared" si="1"/>
        <v>0</v>
      </c>
      <c r="G38" s="585"/>
    </row>
    <row r="39" spans="1:10" s="162" customFormat="1">
      <c r="A39" s="893">
        <f t="shared" si="0"/>
        <v>1.3200000000000003</v>
      </c>
      <c r="B39" s="584" t="s">
        <v>295</v>
      </c>
      <c r="C39" s="585"/>
      <c r="D39" s="1238">
        <f>IFERROR(INDEX(#REF!,MATCH($B39,#REF!,0)),0)</f>
        <v>0</v>
      </c>
      <c r="E39" s="1238">
        <f>IFERROR(INDEX(#REF!,MATCH($B39,#REF!,0)),0)</f>
        <v>0</v>
      </c>
      <c r="F39" s="586">
        <f t="shared" si="1"/>
        <v>0</v>
      </c>
      <c r="G39" s="585"/>
    </row>
    <row r="40" spans="1:10" s="162" customFormat="1">
      <c r="A40" s="893">
        <f t="shared" si="0"/>
        <v>1.3300000000000003</v>
      </c>
      <c r="B40" s="584" t="s">
        <v>184</v>
      </c>
      <c r="C40" s="585"/>
      <c r="D40" s="1238">
        <f>IFERROR(INDEX(#REF!,MATCH($B40,#REF!,0)),0)</f>
        <v>0</v>
      </c>
      <c r="E40" s="1238">
        <f>IFERROR(INDEX(#REF!,MATCH($B40,#REF!,0)),0)</f>
        <v>0</v>
      </c>
      <c r="F40" s="586">
        <f t="shared" si="1"/>
        <v>0</v>
      </c>
      <c r="G40" s="585"/>
    </row>
    <row r="41" spans="1:10" s="162" customFormat="1">
      <c r="A41" s="893">
        <f t="shared" si="0"/>
        <v>1.3400000000000003</v>
      </c>
      <c r="B41" s="584" t="s">
        <v>295</v>
      </c>
      <c r="C41" s="585"/>
      <c r="D41" s="1238">
        <f>IFERROR(INDEX(#REF!,MATCH($B41,#REF!,0)),0)</f>
        <v>0</v>
      </c>
      <c r="E41" s="1238">
        <f>IFERROR(INDEX(#REF!,MATCH($B41,#REF!,0)),0)</f>
        <v>0</v>
      </c>
      <c r="F41" s="586">
        <f t="shared" si="1"/>
        <v>0</v>
      </c>
      <c r="G41" s="585"/>
    </row>
    <row r="42" spans="1:10" s="162" customFormat="1">
      <c r="A42" s="893">
        <f t="shared" si="0"/>
        <v>1.3500000000000003</v>
      </c>
      <c r="B42" s="1196" t="s">
        <v>184</v>
      </c>
      <c r="C42" s="585"/>
      <c r="D42" s="1238">
        <f>IFERROR(INDEX(#REF!,MATCH($B42,#REF!,0)),0)</f>
        <v>0</v>
      </c>
      <c r="E42" s="1238">
        <f>IFERROR(INDEX(#REF!,MATCH($B42,#REF!,0)),0)</f>
        <v>0</v>
      </c>
      <c r="F42" s="586">
        <f t="shared" si="1"/>
        <v>0</v>
      </c>
      <c r="G42" s="585"/>
    </row>
    <row r="43" spans="1:10" s="162" customFormat="1" ht="13.8" thickBot="1">
      <c r="A43" s="852">
        <f>A7+1</f>
        <v>2</v>
      </c>
      <c r="B43" s="610" t="s">
        <v>824</v>
      </c>
      <c r="C43" s="585"/>
      <c r="D43" s="611">
        <f>SUM(D8:D42)</f>
        <v>0</v>
      </c>
      <c r="E43" s="611">
        <f>SUM(E8:E42)</f>
        <v>0</v>
      </c>
      <c r="F43" s="611">
        <f>SUM(F8:F42)</f>
        <v>0</v>
      </c>
      <c r="G43" s="585"/>
    </row>
    <row r="44" spans="1:10" s="162" customFormat="1" ht="13.8" thickTop="1">
      <c r="A44" s="852">
        <f>A43+1</f>
        <v>3</v>
      </c>
      <c r="B44" s="987"/>
      <c r="C44" s="987"/>
      <c r="D44" s="987"/>
      <c r="E44" s="988"/>
      <c r="F44" s="988"/>
      <c r="G44" s="773"/>
      <c r="H44" s="581"/>
      <c r="I44" s="581"/>
      <c r="J44" s="581"/>
    </row>
    <row r="45" spans="1:10" s="581" customFormat="1">
      <c r="A45" s="852">
        <f t="shared" ref="A45:A50" si="2">A44+1</f>
        <v>4</v>
      </c>
      <c r="B45" s="987" t="s">
        <v>570</v>
      </c>
      <c r="C45" s="987"/>
      <c r="D45" s="987"/>
      <c r="E45" s="988"/>
      <c r="F45" s="988"/>
      <c r="G45" s="773"/>
    </row>
    <row r="46" spans="1:10" s="581" customFormat="1">
      <c r="A46" s="852">
        <f t="shared" si="2"/>
        <v>5</v>
      </c>
      <c r="B46" s="989" t="s">
        <v>667</v>
      </c>
      <c r="C46" s="990"/>
      <c r="D46" s="990"/>
      <c r="E46" s="990"/>
      <c r="F46" s="990"/>
      <c r="G46" s="786"/>
    </row>
    <row r="47" spans="1:10" s="581" customFormat="1" ht="15">
      <c r="A47" s="852">
        <f t="shared" si="2"/>
        <v>6</v>
      </c>
      <c r="B47" s="989" t="s">
        <v>513</v>
      </c>
      <c r="C47" s="638"/>
      <c r="D47" s="638">
        <f>D23</f>
        <v>0</v>
      </c>
      <c r="E47" s="638">
        <f>E23</f>
        <v>0</v>
      </c>
      <c r="F47" s="638">
        <f>F23</f>
        <v>0</v>
      </c>
      <c r="G47" s="638"/>
    </row>
    <row r="48" spans="1:10" s="581" customFormat="1">
      <c r="A48" s="852">
        <f t="shared" si="2"/>
        <v>7</v>
      </c>
      <c r="B48" s="991" t="s">
        <v>799</v>
      </c>
      <c r="C48" s="990"/>
      <c r="D48" s="990">
        <f>SUM(D46:D47)</f>
        <v>0</v>
      </c>
      <c r="E48" s="990">
        <f>SUM(E46:E47)</f>
        <v>0</v>
      </c>
      <c r="F48" s="990">
        <f>SUM(F46:F47)</f>
        <v>0</v>
      </c>
      <c r="G48" s="786"/>
    </row>
    <row r="49" spans="1:10" s="581" customFormat="1" ht="15">
      <c r="A49" s="852">
        <f t="shared" si="2"/>
        <v>8</v>
      </c>
      <c r="B49" s="987" t="s">
        <v>839</v>
      </c>
      <c r="C49" s="638"/>
      <c r="D49" s="638">
        <f>SUM(D22:D27)-D23</f>
        <v>0</v>
      </c>
      <c r="E49" s="638">
        <f t="shared" ref="E49:F49" si="3">SUM(E22:E27)-E23</f>
        <v>0</v>
      </c>
      <c r="F49" s="638">
        <f t="shared" si="3"/>
        <v>0</v>
      </c>
      <c r="G49" s="806"/>
    </row>
    <row r="50" spans="1:10" s="581" customFormat="1">
      <c r="A50" s="852">
        <f t="shared" si="2"/>
        <v>9</v>
      </c>
      <c r="B50" s="987" t="s">
        <v>758</v>
      </c>
      <c r="C50" s="990"/>
      <c r="D50" s="990">
        <f>+D48+D49</f>
        <v>0</v>
      </c>
      <c r="E50" s="990">
        <f>+E48+E49</f>
        <v>0</v>
      </c>
      <c r="F50" s="990">
        <f>+F48+F49</f>
        <v>0</v>
      </c>
      <c r="G50" s="786"/>
    </row>
    <row r="51" spans="1:10" s="581" customFormat="1">
      <c r="A51" s="852">
        <f t="shared" ref="A51:A62" si="4">+A50+1</f>
        <v>10</v>
      </c>
      <c r="B51" s="584"/>
      <c r="C51" s="585"/>
      <c r="D51" s="270"/>
      <c r="E51" s="270"/>
      <c r="F51" s="270"/>
      <c r="G51" s="585"/>
      <c r="H51" s="162"/>
      <c r="I51" s="162"/>
      <c r="J51" s="162"/>
    </row>
    <row r="52" spans="1:10" s="162" customFormat="1">
      <c r="A52" s="852">
        <f t="shared" si="4"/>
        <v>11</v>
      </c>
      <c r="B52" s="987" t="s">
        <v>51</v>
      </c>
      <c r="C52" s="987"/>
      <c r="D52" s="987"/>
      <c r="E52" s="988"/>
      <c r="F52" s="988"/>
      <c r="G52" s="770"/>
    </row>
    <row r="53" spans="1:10" s="162" customFormat="1">
      <c r="A53" s="852">
        <f t="shared" si="4"/>
        <v>12</v>
      </c>
      <c r="B53" s="989" t="s">
        <v>690</v>
      </c>
      <c r="D53" s="992">
        <f>D8+D9+D12+D13</f>
        <v>0</v>
      </c>
      <c r="E53" s="992">
        <f>E8+E9</f>
        <v>0</v>
      </c>
      <c r="F53" s="992">
        <f>F8+F9+F12+F13</f>
        <v>0</v>
      </c>
    </row>
    <row r="54" spans="1:10" s="162" customFormat="1">
      <c r="A54" s="852">
        <f t="shared" si="4"/>
        <v>13</v>
      </c>
      <c r="B54" s="989" t="s">
        <v>689</v>
      </c>
      <c r="D54" s="993">
        <f t="shared" ref="D54:F55" si="5">D10</f>
        <v>0</v>
      </c>
      <c r="E54" s="993">
        <f t="shared" si="5"/>
        <v>0</v>
      </c>
      <c r="F54" s="993">
        <f t="shared" si="5"/>
        <v>0</v>
      </c>
    </row>
    <row r="55" spans="1:10" s="162" customFormat="1">
      <c r="A55" s="852">
        <f t="shared" si="4"/>
        <v>14</v>
      </c>
      <c r="B55" s="989" t="s">
        <v>688</v>
      </c>
      <c r="D55" s="993">
        <f t="shared" si="5"/>
        <v>0</v>
      </c>
      <c r="E55" s="993">
        <f t="shared" si="5"/>
        <v>0</v>
      </c>
      <c r="F55" s="993">
        <f t="shared" si="5"/>
        <v>0</v>
      </c>
    </row>
    <row r="56" spans="1:10" s="162" customFormat="1">
      <c r="A56" s="852">
        <f t="shared" si="4"/>
        <v>15</v>
      </c>
      <c r="B56" s="989" t="s">
        <v>682</v>
      </c>
      <c r="D56" s="992">
        <f>SUM(D14:D21)</f>
        <v>0</v>
      </c>
      <c r="E56" s="992">
        <f>SUM(E14:E21)</f>
        <v>0</v>
      </c>
      <c r="F56" s="992">
        <f>SUM(F14:F21)</f>
        <v>0</v>
      </c>
    </row>
    <row r="57" spans="1:10" s="162" customFormat="1">
      <c r="A57" s="852">
        <f t="shared" si="4"/>
        <v>16</v>
      </c>
      <c r="B57" s="989" t="s">
        <v>681</v>
      </c>
      <c r="D57" s="992">
        <f>SUM(D22:D27)</f>
        <v>0</v>
      </c>
      <c r="E57" s="992">
        <f>SUM(E22:E27)</f>
        <v>0</v>
      </c>
      <c r="F57" s="992">
        <f>SUM(F22:F27)</f>
        <v>0</v>
      </c>
    </row>
    <row r="58" spans="1:10" s="162" customFormat="1">
      <c r="A58" s="852">
        <f t="shared" si="4"/>
        <v>17</v>
      </c>
      <c r="B58" s="989" t="s">
        <v>683</v>
      </c>
      <c r="D58" s="992">
        <f t="shared" ref="D58:F59" si="6">D28</f>
        <v>0</v>
      </c>
      <c r="E58" s="992">
        <f t="shared" si="6"/>
        <v>0</v>
      </c>
      <c r="F58" s="992">
        <f t="shared" si="6"/>
        <v>0</v>
      </c>
    </row>
    <row r="59" spans="1:10" s="162" customFormat="1">
      <c r="A59" s="852">
        <f t="shared" si="4"/>
        <v>18</v>
      </c>
      <c r="B59" s="989" t="s">
        <v>684</v>
      </c>
      <c r="D59" s="992">
        <f t="shared" si="6"/>
        <v>0</v>
      </c>
      <c r="E59" s="992">
        <f t="shared" si="6"/>
        <v>0</v>
      </c>
      <c r="F59" s="992">
        <f t="shared" si="6"/>
        <v>0</v>
      </c>
    </row>
    <row r="60" spans="1:10" s="162" customFormat="1">
      <c r="A60" s="852">
        <f t="shared" si="4"/>
        <v>19</v>
      </c>
      <c r="B60" s="989" t="s">
        <v>685</v>
      </c>
      <c r="D60" s="992">
        <f>D31</f>
        <v>0</v>
      </c>
      <c r="E60" s="992">
        <f t="shared" ref="E60:F60" si="7">E31</f>
        <v>0</v>
      </c>
      <c r="F60" s="992">
        <f t="shared" si="7"/>
        <v>0</v>
      </c>
    </row>
    <row r="61" spans="1:10" s="162" customFormat="1">
      <c r="A61" s="852">
        <f t="shared" si="4"/>
        <v>20</v>
      </c>
      <c r="B61" s="989" t="s">
        <v>686</v>
      </c>
      <c r="D61" s="992">
        <f>D30</f>
        <v>0</v>
      </c>
      <c r="E61" s="992">
        <f t="shared" ref="E61:F61" si="8">E30</f>
        <v>0</v>
      </c>
      <c r="F61" s="992">
        <f t="shared" si="8"/>
        <v>0</v>
      </c>
    </row>
    <row r="62" spans="1:10" s="162" customFormat="1">
      <c r="A62" s="852">
        <f t="shared" si="4"/>
        <v>21</v>
      </c>
      <c r="B62" s="989" t="s">
        <v>687</v>
      </c>
      <c r="D62" s="993">
        <f>SUM(D32:D42)</f>
        <v>0</v>
      </c>
      <c r="E62" s="993">
        <f>SUM(E32:E42)</f>
        <v>0</v>
      </c>
      <c r="F62" s="993">
        <f>SUM(F32:F42)</f>
        <v>0</v>
      </c>
    </row>
    <row r="63" spans="1:10" s="162" customFormat="1" ht="13.8" thickBot="1">
      <c r="A63" s="852">
        <f>A62+1</f>
        <v>22</v>
      </c>
      <c r="B63" s="987" t="str">
        <f>B43</f>
        <v>Total  Sum Line 1 Subparts</v>
      </c>
      <c r="D63" s="994">
        <f>SUM(D53:D62)</f>
        <v>0</v>
      </c>
      <c r="E63" s="994">
        <f>SUM(E53:E62)</f>
        <v>0</v>
      </c>
      <c r="F63" s="994">
        <f>SUM(F53:F62)</f>
        <v>0</v>
      </c>
    </row>
    <row r="64" spans="1:10" s="162" customFormat="1" ht="13.8" thickTop="1">
      <c r="A64" s="892">
        <f>A63+1</f>
        <v>23</v>
      </c>
      <c r="B64" s="987"/>
      <c r="D64" s="987"/>
      <c r="E64" s="987"/>
      <c r="F64" s="995"/>
      <c r="G64" s="775"/>
    </row>
    <row r="65" spans="1:11" s="162" customFormat="1">
      <c r="A65" s="892">
        <f>A64+1</f>
        <v>24</v>
      </c>
      <c r="B65" s="1067" t="s">
        <v>854</v>
      </c>
      <c r="D65" s="992"/>
      <c r="E65" s="992">
        <f>SUM(E53:E61)</f>
        <v>0</v>
      </c>
      <c r="F65" s="992"/>
      <c r="G65" s="161"/>
    </row>
    <row r="66" spans="1:11" s="162" customFormat="1">
      <c r="A66" s="892"/>
      <c r="B66" s="1067"/>
      <c r="D66" s="992"/>
      <c r="E66" s="992"/>
      <c r="F66" s="992"/>
      <c r="G66" s="161"/>
    </row>
    <row r="67" spans="1:11" s="162" customFormat="1">
      <c r="A67" s="892"/>
      <c r="B67" s="991"/>
      <c r="D67" s="992"/>
      <c r="E67" s="992"/>
      <c r="F67" s="992"/>
      <c r="G67" s="161"/>
    </row>
    <row r="68" spans="1:11" s="162" customFormat="1">
      <c r="A68" s="162" t="s">
        <v>190</v>
      </c>
      <c r="B68" s="584"/>
      <c r="D68" s="270"/>
      <c r="E68" s="270"/>
      <c r="F68" s="270"/>
      <c r="G68" s="161"/>
      <c r="H68" s="161"/>
      <c r="I68" s="161"/>
      <c r="J68" s="161"/>
    </row>
    <row r="69" spans="1:11">
      <c r="A69" s="1066" t="s">
        <v>167</v>
      </c>
      <c r="B69" s="162" t="s">
        <v>747</v>
      </c>
      <c r="C69" s="162"/>
      <c r="D69" s="162"/>
      <c r="E69" s="162"/>
      <c r="F69" s="162"/>
    </row>
    <row r="70" spans="1:11" s="581" customFormat="1">
      <c r="A70" s="1069" t="s">
        <v>320</v>
      </c>
      <c r="B70" s="2331" t="s">
        <v>855</v>
      </c>
      <c r="C70" s="2331"/>
      <c r="D70" s="2331"/>
      <c r="E70" s="2331"/>
      <c r="F70" s="2331"/>
      <c r="G70" s="2460"/>
      <c r="H70" s="961"/>
      <c r="I70" s="960"/>
      <c r="J70" s="960"/>
      <c r="K70" s="960"/>
    </row>
    <row r="71" spans="1:11" s="581" customFormat="1" ht="26.4" customHeight="1">
      <c r="A71" s="959" t="s">
        <v>321</v>
      </c>
      <c r="B71" s="2459" t="s">
        <v>856</v>
      </c>
      <c r="C71" s="2459"/>
      <c r="D71" s="2459"/>
      <c r="E71" s="2459"/>
      <c r="F71" s="2459"/>
      <c r="G71" s="960"/>
      <c r="H71" s="961"/>
      <c r="I71" s="960"/>
      <c r="J71" s="960"/>
      <c r="K71" s="960"/>
    </row>
    <row r="72" spans="1:11">
      <c r="A72" s="962"/>
      <c r="B72" s="610"/>
      <c r="C72" s="610"/>
      <c r="D72" s="610"/>
      <c r="E72" s="610"/>
      <c r="F72" s="610"/>
    </row>
    <row r="73" spans="1:11">
      <c r="A73" s="962"/>
      <c r="B73" s="610"/>
      <c r="C73" s="610"/>
      <c r="D73" s="610"/>
      <c r="E73" s="610"/>
      <c r="F73" s="610"/>
    </row>
    <row r="74" spans="1:11">
      <c r="A74" s="962"/>
      <c r="B74" s="610"/>
      <c r="C74" s="610"/>
      <c r="D74" s="610"/>
      <c r="E74" s="610"/>
      <c r="F74" s="610"/>
    </row>
    <row r="75" spans="1:11">
      <c r="A75" s="161"/>
    </row>
    <row r="213" spans="7:7">
      <c r="G213" s="162"/>
    </row>
  </sheetData>
  <mergeCells count="5">
    <mergeCell ref="B71:F71"/>
    <mergeCell ref="A3:F3"/>
    <mergeCell ref="A1:F1"/>
    <mergeCell ref="A2:F2"/>
    <mergeCell ref="B70:G70"/>
  </mergeCells>
  <phoneticPr fontId="104" type="noConversion"/>
  <printOptions horizontalCentered="1"/>
  <pageMargins left="0.7" right="0.7" top="0.4" bottom="0.4" header="0.3" footer="0.5"/>
  <pageSetup scale="72" fitToHeight="2" orientation="portrait" r:id="rId1"/>
  <headerFooter>
    <oddFooter>&amp;R&amp;A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N215"/>
  <sheetViews>
    <sheetView topLeftCell="A29" zoomScaleNormal="100" workbookViewId="0">
      <selection activeCell="L6" sqref="L6"/>
    </sheetView>
  </sheetViews>
  <sheetFormatPr defaultColWidth="8.88671875" defaultRowHeight="13.2"/>
  <cols>
    <col min="1" max="1" width="4.88671875" style="981" customWidth="1"/>
    <col min="2" max="2" width="43.109375" style="971" customWidth="1"/>
    <col min="3" max="3" width="11.6640625" style="971" bestFit="1" customWidth="1"/>
    <col min="4" max="6" width="11" style="971" customWidth="1"/>
    <col min="7" max="7" width="14.109375" style="971" customWidth="1"/>
    <col min="8" max="11" width="12.44140625" style="971" customWidth="1"/>
    <col min="12" max="12" width="10.44140625" style="971" customWidth="1"/>
    <col min="13" max="16384" width="8.88671875" style="971"/>
  </cols>
  <sheetData>
    <row r="1" spans="1:14" s="40" customFormat="1">
      <c r="A1" s="2365" t="str">
        <f>+'MISO Cover'!C6</f>
        <v>Entergy Louisiana, LLC</v>
      </c>
      <c r="B1" s="2365"/>
      <c r="C1" s="2365"/>
      <c r="D1" s="2365"/>
      <c r="E1" s="2365"/>
      <c r="F1" s="2365"/>
      <c r="G1" s="2365"/>
      <c r="H1" s="781"/>
    </row>
    <row r="2" spans="1:14" s="40" customFormat="1">
      <c r="A2" s="2438" t="s">
        <v>170</v>
      </c>
      <c r="B2" s="2438"/>
      <c r="C2" s="2438"/>
      <c r="D2" s="2438"/>
      <c r="E2" s="2438"/>
      <c r="F2" s="2438"/>
      <c r="G2" s="2438"/>
    </row>
    <row r="3" spans="1:14" s="40" customFormat="1">
      <c r="A3" s="2462" t="s">
        <v>949</v>
      </c>
      <c r="B3" s="2462"/>
      <c r="C3" s="2462"/>
      <c r="D3" s="2462"/>
      <c r="E3" s="2462"/>
      <c r="F3" s="2462"/>
      <c r="G3" s="2462"/>
    </row>
    <row r="4" spans="1:14" s="40" customFormat="1">
      <c r="A4" s="2438" t="str">
        <f>+'MISO Cover'!K4</f>
        <v>For  the 12 Months Ended 12/31/2017</v>
      </c>
      <c r="B4" s="2438"/>
      <c r="C4" s="2438"/>
      <c r="D4" s="2438"/>
      <c r="E4" s="2438"/>
      <c r="F4" s="2438"/>
      <c r="G4" s="2438"/>
      <c r="H4" s="756"/>
      <c r="I4" s="756"/>
      <c r="J4" s="756"/>
      <c r="K4" s="756"/>
      <c r="L4" s="756"/>
      <c r="M4" s="756"/>
      <c r="N4" s="756"/>
    </row>
    <row r="5" spans="1:14" s="40" customFormat="1">
      <c r="A5" s="1602"/>
      <c r="B5" s="1602"/>
      <c r="C5" s="565"/>
      <c r="D5" s="565"/>
      <c r="E5" s="565"/>
      <c r="F5" s="970" t="s">
        <v>877</v>
      </c>
      <c r="G5" s="1235" t="s">
        <v>878</v>
      </c>
      <c r="H5" s="756"/>
      <c r="I5" s="756"/>
      <c r="J5" s="756"/>
      <c r="K5" s="756"/>
      <c r="L5" s="756"/>
      <c r="M5" s="756"/>
      <c r="N5" s="756"/>
    </row>
    <row r="6" spans="1:14" s="161" customFormat="1">
      <c r="A6" s="1711" t="s">
        <v>280</v>
      </c>
      <c r="B6" s="1588" t="s">
        <v>67</v>
      </c>
      <c r="C6" s="1588" t="s">
        <v>114</v>
      </c>
      <c r="D6" s="1588" t="s">
        <v>55</v>
      </c>
      <c r="E6" s="1588" t="s">
        <v>68</v>
      </c>
      <c r="F6" s="970" t="s">
        <v>66</v>
      </c>
      <c r="G6" s="1235" t="s">
        <v>154</v>
      </c>
      <c r="H6" s="756"/>
      <c r="I6" s="756"/>
      <c r="J6" s="756"/>
      <c r="K6" s="756"/>
      <c r="L6" s="756"/>
    </row>
    <row r="7" spans="1:14" s="161" customFormat="1" ht="15">
      <c r="A7" s="1711"/>
      <c r="B7" s="1588"/>
      <c r="C7" s="1588"/>
      <c r="D7" s="2457" t="s">
        <v>823</v>
      </c>
      <c r="E7" s="2457"/>
      <c r="F7" s="2456"/>
      <c r="G7" s="1235"/>
      <c r="H7" s="756"/>
      <c r="I7" s="756"/>
      <c r="J7" s="756"/>
      <c r="K7" s="756"/>
      <c r="L7" s="756"/>
    </row>
    <row r="8" spans="1:14" s="161" customFormat="1">
      <c r="A8" s="1712">
        <v>1</v>
      </c>
      <c r="B8" s="1083" t="s">
        <v>171</v>
      </c>
      <c r="C8" s="1083" t="s">
        <v>822</v>
      </c>
      <c r="D8" s="1083" t="s">
        <v>872</v>
      </c>
      <c r="E8" s="1083" t="s">
        <v>2190</v>
      </c>
      <c r="F8" s="1362" t="s">
        <v>113</v>
      </c>
      <c r="G8" s="1362" t="s">
        <v>521</v>
      </c>
      <c r="H8" s="162"/>
    </row>
    <row r="9" spans="1:14" ht="13.2" customHeight="1">
      <c r="A9" s="1713">
        <f>+A8+0.01</f>
        <v>1.01</v>
      </c>
      <c r="B9" s="545" t="s">
        <v>1603</v>
      </c>
      <c r="C9" s="199">
        <v>0</v>
      </c>
      <c r="D9" s="199">
        <f>IFERROR(INDEX(#REF!,MATCH($B9,#REF!,0)),0)</f>
        <v>0</v>
      </c>
      <c r="E9" s="199">
        <v>428169.72</v>
      </c>
      <c r="F9" s="976">
        <f>+D9+E9</f>
        <v>428169.72</v>
      </c>
      <c r="G9" s="74">
        <f>+C9+F9</f>
        <v>428169.72</v>
      </c>
      <c r="H9" s="974"/>
    </row>
    <row r="10" spans="1:14">
      <c r="A10" s="1713">
        <f>+A9+0.01</f>
        <v>1.02</v>
      </c>
      <c r="B10" s="545" t="s">
        <v>1604</v>
      </c>
      <c r="C10" s="199">
        <v>0</v>
      </c>
      <c r="D10" s="199">
        <f>IFERROR(INDEX(#REF!,MATCH($B10,#REF!,0)),0)</f>
        <v>0</v>
      </c>
      <c r="E10" s="199">
        <v>242679.8</v>
      </c>
      <c r="F10" s="976">
        <f t="shared" ref="F10:F33" si="0">+D10+E10</f>
        <v>242679.8</v>
      </c>
      <c r="G10" s="74">
        <f t="shared" ref="G10:G33" si="1">+C10+F10</f>
        <v>242679.8</v>
      </c>
      <c r="H10" s="974"/>
    </row>
    <row r="11" spans="1:14">
      <c r="A11" s="1713">
        <f>+A9+0.01</f>
        <v>1.02</v>
      </c>
      <c r="B11" s="545" t="s">
        <v>1605</v>
      </c>
      <c r="C11" s="199">
        <v>0</v>
      </c>
      <c r="D11" s="199">
        <f>IFERROR(INDEX(#REF!,MATCH($B11,#REF!,0)),0)</f>
        <v>0</v>
      </c>
      <c r="E11" s="199">
        <v>92886.2</v>
      </c>
      <c r="F11" s="976">
        <f t="shared" si="0"/>
        <v>92886.2</v>
      </c>
      <c r="G11" s="74">
        <f t="shared" si="1"/>
        <v>92886.2</v>
      </c>
      <c r="H11" s="974"/>
    </row>
    <row r="12" spans="1:14">
      <c r="A12" s="1713">
        <f t="shared" ref="A12:A29" si="2">+A11+0.01</f>
        <v>1.03</v>
      </c>
      <c r="B12" s="545" t="s">
        <v>1606</v>
      </c>
      <c r="C12" s="199">
        <v>0</v>
      </c>
      <c r="D12" s="199">
        <f>IFERROR(INDEX(#REF!,MATCH($B12,#REF!,0)),0)</f>
        <v>0</v>
      </c>
      <c r="E12" s="199">
        <v>108.24</v>
      </c>
      <c r="F12" s="976">
        <f t="shared" si="0"/>
        <v>108.24</v>
      </c>
      <c r="G12" s="74">
        <f t="shared" si="1"/>
        <v>108.24</v>
      </c>
      <c r="H12" s="974"/>
    </row>
    <row r="13" spans="1:14">
      <c r="A13" s="1713">
        <f t="shared" si="2"/>
        <v>1.04</v>
      </c>
      <c r="B13" s="545" t="s">
        <v>1607</v>
      </c>
      <c r="C13" s="199">
        <v>0</v>
      </c>
      <c r="D13" s="199">
        <f>IFERROR(INDEX(#REF!,MATCH($B13,#REF!,0)),0)</f>
        <v>0</v>
      </c>
      <c r="E13" s="199">
        <v>1267774.42</v>
      </c>
      <c r="F13" s="976">
        <f t="shared" si="0"/>
        <v>1267774.42</v>
      </c>
      <c r="G13" s="74">
        <f t="shared" si="1"/>
        <v>1267774.42</v>
      </c>
      <c r="H13" s="974"/>
    </row>
    <row r="14" spans="1:14">
      <c r="A14" s="1713">
        <f t="shared" si="2"/>
        <v>1.05</v>
      </c>
      <c r="B14" s="545" t="s">
        <v>1608</v>
      </c>
      <c r="C14" s="199">
        <v>0</v>
      </c>
      <c r="D14" s="199">
        <f>IFERROR(INDEX(#REF!,MATCH($B14,#REF!,0)),0)</f>
        <v>0</v>
      </c>
      <c r="E14" s="199"/>
      <c r="F14" s="976">
        <f t="shared" si="0"/>
        <v>0</v>
      </c>
      <c r="G14" s="74">
        <f t="shared" si="1"/>
        <v>0</v>
      </c>
      <c r="H14" s="974"/>
    </row>
    <row r="15" spans="1:14">
      <c r="A15" s="1713">
        <f t="shared" si="2"/>
        <v>1.06</v>
      </c>
      <c r="B15" s="545" t="s">
        <v>1609</v>
      </c>
      <c r="C15" s="199">
        <v>0</v>
      </c>
      <c r="D15" s="199">
        <f>IFERROR(INDEX(#REF!,MATCH($B15,#REF!,0)),0)</f>
        <v>0</v>
      </c>
      <c r="E15" s="199">
        <v>27556.65</v>
      </c>
      <c r="F15" s="976">
        <f t="shared" si="0"/>
        <v>27556.65</v>
      </c>
      <c r="G15" s="74">
        <f t="shared" si="1"/>
        <v>27556.65</v>
      </c>
      <c r="H15" s="974"/>
    </row>
    <row r="16" spans="1:14">
      <c r="A16" s="1713">
        <f t="shared" si="2"/>
        <v>1.07</v>
      </c>
      <c r="B16" s="545" t="s">
        <v>1610</v>
      </c>
      <c r="C16" s="199">
        <v>0</v>
      </c>
      <c r="D16" s="199">
        <f>IFERROR(INDEX(#REF!,MATCH($B16,#REF!,0)),0)</f>
        <v>0</v>
      </c>
      <c r="E16" s="199"/>
      <c r="F16" s="976">
        <f t="shared" si="0"/>
        <v>0</v>
      </c>
      <c r="G16" s="74">
        <f t="shared" si="1"/>
        <v>0</v>
      </c>
      <c r="H16" s="974"/>
    </row>
    <row r="17" spans="1:8">
      <c r="A17" s="1713">
        <f t="shared" si="2"/>
        <v>1.08</v>
      </c>
      <c r="B17" s="545" t="s">
        <v>1567</v>
      </c>
      <c r="C17" s="199">
        <v>0</v>
      </c>
      <c r="D17" s="199">
        <f>IFERROR(INDEX(#REF!,MATCH($B17,#REF!,0)),0)</f>
        <v>0</v>
      </c>
      <c r="E17" s="199">
        <v>19822.439999999999</v>
      </c>
      <c r="F17" s="976">
        <f t="shared" si="0"/>
        <v>19822.439999999999</v>
      </c>
      <c r="G17" s="74">
        <f t="shared" si="1"/>
        <v>19822.439999999999</v>
      </c>
      <c r="H17" s="974"/>
    </row>
    <row r="18" spans="1:8">
      <c r="A18" s="1713">
        <f t="shared" si="2"/>
        <v>1.0900000000000001</v>
      </c>
      <c r="B18" s="545" t="s">
        <v>1569</v>
      </c>
      <c r="C18" s="199">
        <v>0</v>
      </c>
      <c r="D18" s="199">
        <f>IFERROR(INDEX(#REF!,MATCH($B18,#REF!,0)),0)</f>
        <v>0</v>
      </c>
      <c r="E18" s="199"/>
      <c r="F18" s="976">
        <f t="shared" si="0"/>
        <v>0</v>
      </c>
      <c r="G18" s="74">
        <f t="shared" si="1"/>
        <v>0</v>
      </c>
      <c r="H18" s="974"/>
    </row>
    <row r="19" spans="1:8">
      <c r="A19" s="1713">
        <f t="shared" si="2"/>
        <v>1.1000000000000001</v>
      </c>
      <c r="B19" s="545" t="s">
        <v>1611</v>
      </c>
      <c r="C19" s="199">
        <v>0</v>
      </c>
      <c r="D19" s="199">
        <f>IFERROR(INDEX(#REF!,MATCH($B19,#REF!,0)),0)</f>
        <v>0</v>
      </c>
      <c r="E19" s="199"/>
      <c r="F19" s="976">
        <f t="shared" si="0"/>
        <v>0</v>
      </c>
      <c r="G19" s="74">
        <f t="shared" si="1"/>
        <v>0</v>
      </c>
      <c r="H19" s="974"/>
    </row>
    <row r="20" spans="1:8">
      <c r="A20" s="1713">
        <f t="shared" si="2"/>
        <v>1.1100000000000001</v>
      </c>
      <c r="B20" s="545" t="s">
        <v>1612</v>
      </c>
      <c r="C20" s="199">
        <v>0</v>
      </c>
      <c r="D20" s="199">
        <f>IFERROR(INDEX(#REF!,MATCH($B20,#REF!,0)),0)</f>
        <v>0</v>
      </c>
      <c r="E20" s="199"/>
      <c r="F20" s="976">
        <f t="shared" si="0"/>
        <v>0</v>
      </c>
      <c r="G20" s="74">
        <f t="shared" si="1"/>
        <v>0</v>
      </c>
      <c r="H20" s="974"/>
    </row>
    <row r="21" spans="1:8">
      <c r="A21" s="1713">
        <f t="shared" si="2"/>
        <v>1.1200000000000001</v>
      </c>
      <c r="B21" s="545" t="s">
        <v>1613</v>
      </c>
      <c r="C21" s="199">
        <v>0</v>
      </c>
      <c r="D21" s="199">
        <f>IFERROR(INDEX(#REF!,MATCH($B21,#REF!,0)),0)</f>
        <v>0</v>
      </c>
      <c r="E21" s="199">
        <v>168761.23</v>
      </c>
      <c r="F21" s="976">
        <f t="shared" si="0"/>
        <v>168761.23</v>
      </c>
      <c r="G21" s="74">
        <f t="shared" si="1"/>
        <v>168761.23</v>
      </c>
      <c r="H21" s="974"/>
    </row>
    <row r="22" spans="1:8">
      <c r="A22" s="1713">
        <f t="shared" si="2"/>
        <v>1.1300000000000001</v>
      </c>
      <c r="B22" s="545" t="s">
        <v>1614</v>
      </c>
      <c r="C22" s="199">
        <v>0</v>
      </c>
      <c r="D22" s="199">
        <f>IFERROR(INDEX(#REF!,MATCH($B22,#REF!,0)),0)</f>
        <v>0</v>
      </c>
      <c r="E22" s="199"/>
      <c r="F22" s="976">
        <f t="shared" si="0"/>
        <v>0</v>
      </c>
      <c r="G22" s="74">
        <f t="shared" si="1"/>
        <v>0</v>
      </c>
      <c r="H22" s="974"/>
    </row>
    <row r="23" spans="1:8">
      <c r="A23" s="1713">
        <f t="shared" si="2"/>
        <v>1.1400000000000001</v>
      </c>
      <c r="B23" s="545" t="s">
        <v>1615</v>
      </c>
      <c r="C23" s="199">
        <v>0</v>
      </c>
      <c r="D23" s="199">
        <f>IFERROR(INDEX(#REF!,MATCH($B23,#REF!,0)),0)</f>
        <v>0</v>
      </c>
      <c r="E23" s="199"/>
      <c r="F23" s="976">
        <f t="shared" si="0"/>
        <v>0</v>
      </c>
      <c r="G23" s="74">
        <f t="shared" si="1"/>
        <v>0</v>
      </c>
      <c r="H23" s="974"/>
    </row>
    <row r="24" spans="1:8">
      <c r="A24" s="893">
        <f t="shared" si="2"/>
        <v>1.1500000000000001</v>
      </c>
      <c r="B24" s="271" t="s">
        <v>2191</v>
      </c>
      <c r="C24" s="199">
        <v>170812.68</v>
      </c>
      <c r="D24" s="199"/>
      <c r="E24" s="199"/>
      <c r="F24" s="976">
        <f t="shared" si="0"/>
        <v>0</v>
      </c>
      <c r="G24" s="74">
        <f t="shared" si="1"/>
        <v>170812.68</v>
      </c>
      <c r="H24" s="974"/>
    </row>
    <row r="25" spans="1:8">
      <c r="A25" s="893">
        <f t="shared" si="2"/>
        <v>1.1600000000000001</v>
      </c>
      <c r="B25" s="271" t="s">
        <v>2192</v>
      </c>
      <c r="C25" s="199">
        <v>5223.72</v>
      </c>
      <c r="D25" s="199"/>
      <c r="E25" s="199"/>
      <c r="F25" s="976">
        <f t="shared" si="0"/>
        <v>0</v>
      </c>
      <c r="G25" s="74">
        <f t="shared" si="1"/>
        <v>5223.72</v>
      </c>
      <c r="H25" s="974"/>
    </row>
    <row r="26" spans="1:8">
      <c r="A26" s="1713">
        <f>+A23+0.01</f>
        <v>1.1500000000000001</v>
      </c>
      <c r="B26" s="545" t="s">
        <v>1616</v>
      </c>
      <c r="C26" s="199">
        <v>0</v>
      </c>
      <c r="D26" s="199">
        <f>IFERROR(INDEX(#REF!,MATCH($B26,#REF!,0)),0)</f>
        <v>0</v>
      </c>
      <c r="E26" s="199">
        <v>711592.09</v>
      </c>
      <c r="F26" s="976">
        <f t="shared" si="0"/>
        <v>711592.09</v>
      </c>
      <c r="G26" s="74">
        <f t="shared" si="1"/>
        <v>711592.09</v>
      </c>
      <c r="H26" s="974"/>
    </row>
    <row r="27" spans="1:8">
      <c r="A27" s="1713">
        <f t="shared" si="2"/>
        <v>1.1600000000000001</v>
      </c>
      <c r="B27" s="545" t="s">
        <v>1617</v>
      </c>
      <c r="C27" s="199">
        <v>0</v>
      </c>
      <c r="D27" s="199">
        <f>IFERROR(INDEX(#REF!,MATCH($B27,#REF!,0)),0)</f>
        <v>0</v>
      </c>
      <c r="E27" s="199"/>
      <c r="F27" s="976">
        <f t="shared" si="0"/>
        <v>0</v>
      </c>
      <c r="G27" s="74">
        <f t="shared" si="1"/>
        <v>0</v>
      </c>
      <c r="H27" s="974"/>
    </row>
    <row r="28" spans="1:8">
      <c r="A28" s="1713">
        <f t="shared" si="2"/>
        <v>1.1700000000000002</v>
      </c>
      <c r="B28" s="545" t="s">
        <v>1618</v>
      </c>
      <c r="C28" s="199">
        <v>0</v>
      </c>
      <c r="D28" s="199">
        <f>IFERROR(INDEX(#REF!,MATCH($B28,#REF!,0)),0)</f>
        <v>0</v>
      </c>
      <c r="E28" s="199">
        <v>844643.8</v>
      </c>
      <c r="F28" s="976">
        <f t="shared" si="0"/>
        <v>844643.8</v>
      </c>
      <c r="G28" s="74">
        <f t="shared" si="1"/>
        <v>844643.8</v>
      </c>
      <c r="H28" s="974"/>
    </row>
    <row r="29" spans="1:8">
      <c r="A29" s="1713">
        <f t="shared" si="2"/>
        <v>1.1800000000000002</v>
      </c>
      <c r="B29" s="545" t="s">
        <v>1619</v>
      </c>
      <c r="C29" s="199">
        <v>0</v>
      </c>
      <c r="D29" s="199">
        <f>IFERROR(INDEX(#REF!,MATCH($B29,#REF!,0)),0)</f>
        <v>0</v>
      </c>
      <c r="E29" s="199">
        <v>18729.810000000001</v>
      </c>
      <c r="F29" s="976">
        <f t="shared" si="0"/>
        <v>18729.810000000001</v>
      </c>
      <c r="G29" s="74">
        <f t="shared" si="1"/>
        <v>18729.810000000001</v>
      </c>
      <c r="H29" s="974"/>
    </row>
    <row r="30" spans="1:8">
      <c r="A30" s="1713">
        <f t="shared" ref="A30:A33" si="3">+A29+0.01</f>
        <v>1.1900000000000002</v>
      </c>
      <c r="B30" s="545" t="s">
        <v>1620</v>
      </c>
      <c r="C30" s="199">
        <v>0</v>
      </c>
      <c r="D30" s="199">
        <f>IFERROR(INDEX(#REF!,MATCH($B30,#REF!,0)),0)</f>
        <v>0</v>
      </c>
      <c r="E30" s="199">
        <v>1491888.86</v>
      </c>
      <c r="F30" s="976">
        <f t="shared" si="0"/>
        <v>1491888.86</v>
      </c>
      <c r="G30" s="74">
        <f t="shared" si="1"/>
        <v>1491888.86</v>
      </c>
      <c r="H30" s="974"/>
    </row>
    <row r="31" spans="1:8">
      <c r="A31" s="1713">
        <f t="shared" si="3"/>
        <v>1.2000000000000002</v>
      </c>
      <c r="B31" s="545" t="s">
        <v>1621</v>
      </c>
      <c r="C31" s="199">
        <v>0</v>
      </c>
      <c r="D31" s="199">
        <f>IFERROR(INDEX(#REF!,MATCH($B31,#REF!,0)),0)</f>
        <v>0</v>
      </c>
      <c r="E31" s="199">
        <v>2204712.5099999998</v>
      </c>
      <c r="F31" s="976">
        <f t="shared" si="0"/>
        <v>2204712.5099999998</v>
      </c>
      <c r="G31" s="74">
        <f t="shared" si="1"/>
        <v>2204712.5099999998</v>
      </c>
      <c r="H31" s="974"/>
    </row>
    <row r="32" spans="1:8">
      <c r="A32" s="1713">
        <f t="shared" si="3"/>
        <v>1.2100000000000002</v>
      </c>
      <c r="B32" s="545" t="s">
        <v>1622</v>
      </c>
      <c r="C32" s="199">
        <v>0</v>
      </c>
      <c r="D32" s="199">
        <f>IFERROR(INDEX(#REF!,MATCH($B32,#REF!,0)),0)</f>
        <v>0</v>
      </c>
      <c r="E32" s="199"/>
      <c r="F32" s="976">
        <f t="shared" si="0"/>
        <v>0</v>
      </c>
      <c r="G32" s="74">
        <f t="shared" si="1"/>
        <v>0</v>
      </c>
      <c r="H32" s="974"/>
    </row>
    <row r="33" spans="1:9">
      <c r="A33" s="893">
        <f t="shared" si="3"/>
        <v>1.2200000000000002</v>
      </c>
      <c r="B33" s="1566" t="s">
        <v>1623</v>
      </c>
      <c r="C33" s="199">
        <v>0</v>
      </c>
      <c r="D33" s="199">
        <f>IFERROR(INDEX(#REF!,MATCH($B33,#REF!,0)),0)</f>
        <v>0</v>
      </c>
      <c r="E33" s="199"/>
      <c r="F33" s="74">
        <f t="shared" si="0"/>
        <v>0</v>
      </c>
      <c r="G33" s="74">
        <f t="shared" si="1"/>
        <v>0</v>
      </c>
      <c r="H33" s="974"/>
    </row>
    <row r="34" spans="1:9" ht="13.8" thickBot="1">
      <c r="A34" s="982">
        <f>+A8+1</f>
        <v>2</v>
      </c>
      <c r="B34" s="974" t="str">
        <f>+"Total  (Sum of Line "&amp;A8&amp; " Subparts)"</f>
        <v>Total  (Sum of Line 1 Subparts)</v>
      </c>
      <c r="C34" s="972">
        <f>SUM(C9:C33)</f>
        <v>176036.4</v>
      </c>
      <c r="D34" s="972">
        <f>SUM(D9:D33)</f>
        <v>0</v>
      </c>
      <c r="E34" s="972">
        <f>SUM(E9:E33)</f>
        <v>7519325.7699999996</v>
      </c>
      <c r="F34" s="973">
        <f>SUM(F9:F33)</f>
        <v>7519325.7699999996</v>
      </c>
      <c r="G34" s="973">
        <f>SUM(G9:G33)</f>
        <v>7695362.1699999999</v>
      </c>
    </row>
    <row r="35" spans="1:9" s="581" customFormat="1" ht="13.8" thickTop="1">
      <c r="A35" s="892">
        <f t="shared" ref="A35:A56" si="4">+A34+1</f>
        <v>3</v>
      </c>
      <c r="B35" s="974"/>
      <c r="C35" s="974"/>
      <c r="D35" s="974"/>
      <c r="E35" s="2118"/>
      <c r="F35" s="974"/>
      <c r="G35" s="975"/>
      <c r="H35" s="975"/>
      <c r="I35" s="975"/>
    </row>
    <row r="36" spans="1:9" s="581" customFormat="1">
      <c r="A36" s="892">
        <f t="shared" si="4"/>
        <v>4</v>
      </c>
      <c r="B36" s="974" t="s">
        <v>570</v>
      </c>
      <c r="C36" s="974"/>
      <c r="D36" s="974"/>
      <c r="E36" s="974"/>
      <c r="F36" s="974"/>
      <c r="G36" s="975"/>
      <c r="H36" s="976"/>
      <c r="I36" s="976"/>
    </row>
    <row r="37" spans="1:9" s="581" customFormat="1" ht="15">
      <c r="A37" s="892">
        <f t="shared" si="4"/>
        <v>5</v>
      </c>
      <c r="B37" s="977" t="s">
        <v>667</v>
      </c>
      <c r="C37" s="976"/>
      <c r="D37" s="976"/>
      <c r="E37" s="976"/>
      <c r="F37" s="976"/>
      <c r="G37" s="976"/>
      <c r="H37" s="638"/>
      <c r="I37" s="638"/>
    </row>
    <row r="38" spans="1:9" s="581" customFormat="1">
      <c r="A38" s="892">
        <f t="shared" si="4"/>
        <v>6</v>
      </c>
      <c r="B38" s="977" t="s">
        <v>513</v>
      </c>
      <c r="C38" s="997"/>
      <c r="D38" s="997"/>
      <c r="E38" s="997"/>
      <c r="F38" s="997"/>
      <c r="G38" s="997">
        <f>SUM(C38:E38)</f>
        <v>0</v>
      </c>
      <c r="H38" s="976"/>
      <c r="I38" s="976"/>
    </row>
    <row r="39" spans="1:9" s="581" customFormat="1" ht="15">
      <c r="A39" s="892">
        <f t="shared" si="4"/>
        <v>7</v>
      </c>
      <c r="B39" s="982" t="str">
        <f>+"Total Lines "&amp;A37&amp;" + "&amp;A38</f>
        <v>Total Lines 5 + 6</v>
      </c>
      <c r="C39" s="976">
        <f>SUM(C37:C38)</f>
        <v>0</v>
      </c>
      <c r="D39" s="976">
        <f>SUM(D37:D38)</f>
        <v>0</v>
      </c>
      <c r="E39" s="976">
        <f>SUM(E37:E38)</f>
        <v>0</v>
      </c>
      <c r="F39" s="976">
        <f>+D39+E39</f>
        <v>0</v>
      </c>
      <c r="G39" s="976">
        <f>SUM(G37:G38)</f>
        <v>0</v>
      </c>
      <c r="H39" s="638"/>
      <c r="I39" s="638"/>
    </row>
    <row r="40" spans="1:9" s="581" customFormat="1">
      <c r="A40" s="892">
        <f t="shared" si="4"/>
        <v>8</v>
      </c>
      <c r="B40" s="1071" t="s">
        <v>817</v>
      </c>
      <c r="C40" s="997">
        <f>+SUM(C17:C20)-C39</f>
        <v>0</v>
      </c>
      <c r="D40" s="997">
        <f>+SUM(D17:D20)-D39</f>
        <v>0</v>
      </c>
      <c r="E40" s="997">
        <f>+SUM(E17:E20)-E39</f>
        <v>19822.439999999999</v>
      </c>
      <c r="F40" s="997">
        <f>+D40+E40</f>
        <v>19822.439999999999</v>
      </c>
      <c r="G40" s="997">
        <f>+C40+F40</f>
        <v>19822.439999999999</v>
      </c>
      <c r="H40" s="806"/>
      <c r="I40" s="976"/>
    </row>
    <row r="41" spans="1:9">
      <c r="A41" s="892">
        <f t="shared" si="4"/>
        <v>9</v>
      </c>
      <c r="B41" s="974" t="str">
        <f>+"Total Transmission Sum of (Line "&amp;A39&amp;" &amp; "&amp;A40&amp;")"</f>
        <v>Total Transmission Sum of (Line 7 &amp; 8)</v>
      </c>
      <c r="C41" s="976">
        <f>+C39+C40</f>
        <v>0</v>
      </c>
      <c r="D41" s="976">
        <f>+D39+D40</f>
        <v>0</v>
      </c>
      <c r="E41" s="976">
        <f>+E39+E40</f>
        <v>19822.439999999999</v>
      </c>
      <c r="F41" s="976">
        <f>+F39+F40</f>
        <v>19822.439999999999</v>
      </c>
      <c r="G41" s="976">
        <f>+G39+G40</f>
        <v>19822.439999999999</v>
      </c>
    </row>
    <row r="42" spans="1:9">
      <c r="A42" s="892">
        <f t="shared" si="4"/>
        <v>10</v>
      </c>
      <c r="B42" s="974"/>
      <c r="C42" s="978"/>
      <c r="D42" s="978"/>
      <c r="E42" s="978"/>
      <c r="F42" s="978"/>
      <c r="G42" s="74"/>
    </row>
    <row r="43" spans="1:9">
      <c r="A43" s="892">
        <f t="shared" si="4"/>
        <v>11</v>
      </c>
      <c r="B43" s="974" t="s">
        <v>51</v>
      </c>
      <c r="C43" s="976"/>
      <c r="D43" s="976"/>
      <c r="E43" s="976"/>
      <c r="F43" s="976"/>
      <c r="G43" s="976"/>
    </row>
    <row r="44" spans="1:9">
      <c r="A44" s="892">
        <f t="shared" si="4"/>
        <v>12</v>
      </c>
      <c r="B44" s="977" t="s">
        <v>690</v>
      </c>
      <c r="C44" s="1113">
        <f>+C34-SUM(C45:C53)</f>
        <v>176036.4</v>
      </c>
      <c r="D44" s="1113">
        <f t="shared" ref="D44:G44" si="5">+D34-SUM(D45:D53)</f>
        <v>0</v>
      </c>
      <c r="E44" s="1113">
        <f t="shared" si="5"/>
        <v>428169.71999999881</v>
      </c>
      <c r="F44" s="1113">
        <f t="shared" si="5"/>
        <v>428169.71999999881</v>
      </c>
      <c r="G44" s="1113">
        <f t="shared" si="5"/>
        <v>604206.11999999918</v>
      </c>
    </row>
    <row r="45" spans="1:9">
      <c r="A45" s="892">
        <f t="shared" si="4"/>
        <v>13</v>
      </c>
      <c r="B45" s="977" t="s">
        <v>689</v>
      </c>
      <c r="C45" s="1114"/>
      <c r="D45" s="1114"/>
      <c r="E45" s="1114"/>
      <c r="F45" s="1113">
        <f t="shared" ref="F45:F53" si="6">+D45+E45</f>
        <v>0</v>
      </c>
      <c r="G45" s="1114">
        <f t="shared" ref="G45:G53" si="7">+C45+F45</f>
        <v>0</v>
      </c>
    </row>
    <row r="46" spans="1:9">
      <c r="A46" s="892">
        <f t="shared" si="4"/>
        <v>14</v>
      </c>
      <c r="B46" s="977" t="s">
        <v>688</v>
      </c>
      <c r="C46" s="1114">
        <f>+C10</f>
        <v>0</v>
      </c>
      <c r="D46" s="1114">
        <f>+D10</f>
        <v>0</v>
      </c>
      <c r="E46" s="1114">
        <f>+E10</f>
        <v>242679.8</v>
      </c>
      <c r="F46" s="1113">
        <f t="shared" si="6"/>
        <v>242679.8</v>
      </c>
      <c r="G46" s="1114">
        <f t="shared" si="7"/>
        <v>242679.8</v>
      </c>
    </row>
    <row r="47" spans="1:9">
      <c r="A47" s="892">
        <f t="shared" si="4"/>
        <v>15</v>
      </c>
      <c r="B47" s="977" t="s">
        <v>682</v>
      </c>
      <c r="C47" s="1113">
        <f>+SUM(C11:C16)</f>
        <v>0</v>
      </c>
      <c r="D47" s="1113">
        <f>+SUM(D11:D16)</f>
        <v>0</v>
      </c>
      <c r="E47" s="1113">
        <f>+SUM(E11:E16)</f>
        <v>1388325.5099999998</v>
      </c>
      <c r="F47" s="1113">
        <f t="shared" si="6"/>
        <v>1388325.5099999998</v>
      </c>
      <c r="G47" s="1114">
        <f t="shared" si="7"/>
        <v>1388325.5099999998</v>
      </c>
    </row>
    <row r="48" spans="1:9">
      <c r="A48" s="892">
        <f t="shared" si="4"/>
        <v>16</v>
      </c>
      <c r="B48" s="977" t="s">
        <v>681</v>
      </c>
      <c r="C48" s="1113">
        <f>+SUM(C17:C20)</f>
        <v>0</v>
      </c>
      <c r="D48" s="1113">
        <f>+SUM(D17:D20)</f>
        <v>0</v>
      </c>
      <c r="E48" s="1113">
        <f>+SUM(E17:E20)</f>
        <v>19822.439999999999</v>
      </c>
      <c r="F48" s="1113">
        <f t="shared" si="6"/>
        <v>19822.439999999999</v>
      </c>
      <c r="G48" s="1114">
        <f t="shared" si="7"/>
        <v>19822.439999999999</v>
      </c>
    </row>
    <row r="49" spans="1:13">
      <c r="A49" s="892">
        <f t="shared" si="4"/>
        <v>17</v>
      </c>
      <c r="B49" s="977" t="s">
        <v>683</v>
      </c>
      <c r="C49" s="1113"/>
      <c r="D49" s="1113"/>
      <c r="E49" s="1113"/>
      <c r="F49" s="1113">
        <f t="shared" si="6"/>
        <v>0</v>
      </c>
      <c r="G49" s="1114">
        <f t="shared" si="7"/>
        <v>0</v>
      </c>
    </row>
    <row r="50" spans="1:13">
      <c r="A50" s="892">
        <f t="shared" si="4"/>
        <v>18</v>
      </c>
      <c r="B50" s="977" t="s">
        <v>684</v>
      </c>
      <c r="C50" s="1113">
        <f>+SUM(C21:C23)</f>
        <v>0</v>
      </c>
      <c r="D50" s="1113">
        <f>+SUM(D21:D23)</f>
        <v>0</v>
      </c>
      <c r="E50" s="1113">
        <f>+SUM(E21:E23)</f>
        <v>168761.23</v>
      </c>
      <c r="F50" s="1113">
        <f t="shared" si="6"/>
        <v>168761.23</v>
      </c>
      <c r="G50" s="1114">
        <f t="shared" si="7"/>
        <v>168761.23</v>
      </c>
    </row>
    <row r="51" spans="1:13">
      <c r="A51" s="892">
        <f t="shared" si="4"/>
        <v>19</v>
      </c>
      <c r="B51" s="977" t="s">
        <v>685</v>
      </c>
      <c r="C51" s="1113"/>
      <c r="D51" s="1113"/>
      <c r="E51" s="1113"/>
      <c r="F51" s="1113">
        <f t="shared" si="6"/>
        <v>0</v>
      </c>
      <c r="G51" s="1114">
        <f t="shared" si="7"/>
        <v>0</v>
      </c>
    </row>
    <row r="52" spans="1:13">
      <c r="A52" s="892">
        <f t="shared" si="4"/>
        <v>20</v>
      </c>
      <c r="B52" s="977" t="s">
        <v>686</v>
      </c>
      <c r="C52" s="1113">
        <f>+SUM(C26:C27)</f>
        <v>0</v>
      </c>
      <c r="D52" s="1113">
        <f>+SUM(D26:D27)</f>
        <v>0</v>
      </c>
      <c r="E52" s="1113">
        <f>+SUM(E26:E27)</f>
        <v>711592.09</v>
      </c>
      <c r="F52" s="1113">
        <f t="shared" si="6"/>
        <v>711592.09</v>
      </c>
      <c r="G52" s="1114">
        <f t="shared" si="7"/>
        <v>711592.09</v>
      </c>
    </row>
    <row r="53" spans="1:13">
      <c r="A53" s="892">
        <f t="shared" si="4"/>
        <v>21</v>
      </c>
      <c r="B53" s="977" t="s">
        <v>687</v>
      </c>
      <c r="C53" s="1115">
        <f>+SUM(C28:C33)</f>
        <v>0</v>
      </c>
      <c r="D53" s="1115">
        <f>+SUM(D28:D33)</f>
        <v>0</v>
      </c>
      <c r="E53" s="1115">
        <f>+SUM(E28:E33)</f>
        <v>4559974.9800000004</v>
      </c>
      <c r="F53" s="1113">
        <f t="shared" si="6"/>
        <v>4559974.9800000004</v>
      </c>
      <c r="G53" s="1115">
        <f t="shared" si="7"/>
        <v>4559974.9800000004</v>
      </c>
    </row>
    <row r="54" spans="1:13" ht="13.8" thickBot="1">
      <c r="A54" s="892">
        <f t="shared" si="4"/>
        <v>22</v>
      </c>
      <c r="B54" s="974" t="str">
        <f>+"Total Sum of (Line "&amp;A44&amp;" to Line "&amp;A53&amp;")"</f>
        <v>Total Sum of (Line 12 to Line 21)</v>
      </c>
      <c r="C54" s="979">
        <f>SUM(C44:C53)</f>
        <v>176036.4</v>
      </c>
      <c r="D54" s="979">
        <f>SUM(D44:D53)</f>
        <v>0</v>
      </c>
      <c r="E54" s="979">
        <f>SUM(E44:E53)</f>
        <v>7519325.7699999996</v>
      </c>
      <c r="F54" s="979">
        <f>SUM(F44:F53)</f>
        <v>7519325.7699999996</v>
      </c>
      <c r="G54" s="979">
        <f>SUM(G44:G53)</f>
        <v>7695362.169999999</v>
      </c>
    </row>
    <row r="55" spans="1:13" ht="13.8" thickTop="1">
      <c r="A55" s="892">
        <f t="shared" si="4"/>
        <v>23</v>
      </c>
      <c r="B55" s="974"/>
      <c r="C55" s="976"/>
      <c r="D55" s="976"/>
      <c r="E55" s="976"/>
      <c r="F55" s="976"/>
      <c r="G55" s="976"/>
    </row>
    <row r="56" spans="1:13">
      <c r="A56" s="892">
        <f t="shared" si="4"/>
        <v>24</v>
      </c>
      <c r="B56" s="974" t="str">
        <f>+"Payroll O&amp;M Excl A&amp;G  Sum (Ln "&amp;A44&amp;" To Ln "&amp;A52&amp;")"</f>
        <v>Payroll O&amp;M Excl A&amp;G  Sum (Ln 12 To Ln 20)</v>
      </c>
      <c r="C56" s="976"/>
      <c r="D56" s="976"/>
      <c r="E56" s="976"/>
      <c r="F56" s="976"/>
      <c r="G56" s="976"/>
    </row>
    <row r="57" spans="1:13">
      <c r="A57" s="582"/>
      <c r="C57" s="978"/>
      <c r="D57" s="978"/>
      <c r="E57" s="978"/>
      <c r="F57" s="978"/>
      <c r="G57" s="978"/>
    </row>
    <row r="59" spans="1:13">
      <c r="A59" s="971" t="s">
        <v>299</v>
      </c>
    </row>
    <row r="60" spans="1:13" ht="15" customHeight="1">
      <c r="A60" s="980" t="s">
        <v>167</v>
      </c>
      <c r="B60" s="2463" t="s">
        <v>965</v>
      </c>
      <c r="C60" s="2463"/>
      <c r="D60" s="2463"/>
      <c r="E60" s="2463"/>
      <c r="F60" s="2463"/>
      <c r="G60" s="2463"/>
    </row>
    <row r="61" spans="1:13" ht="27.6" customHeight="1">
      <c r="A61" s="980" t="s">
        <v>320</v>
      </c>
      <c r="B61" s="2461" t="s">
        <v>859</v>
      </c>
      <c r="C61" s="2461"/>
      <c r="D61" s="2461"/>
      <c r="E61" s="2461"/>
      <c r="F61" s="2461"/>
      <c r="G61" s="2461"/>
    </row>
    <row r="62" spans="1:13" ht="39" customHeight="1">
      <c r="A62" s="1070" t="s">
        <v>321</v>
      </c>
      <c r="B62" s="2461" t="s">
        <v>1082</v>
      </c>
      <c r="C62" s="2461"/>
      <c r="D62" s="2461"/>
      <c r="E62" s="2461"/>
      <c r="F62" s="2461"/>
      <c r="G62" s="2461"/>
    </row>
    <row r="63" spans="1:13" s="894" customFormat="1">
      <c r="A63" s="1069"/>
      <c r="B63" s="39"/>
      <c r="C63" s="960"/>
      <c r="D63" s="960"/>
      <c r="E63" s="960"/>
      <c r="F63" s="960"/>
      <c r="G63" s="960"/>
      <c r="H63" s="960"/>
      <c r="I63" s="960"/>
      <c r="J63" s="961"/>
      <c r="K63" s="960"/>
      <c r="L63" s="960"/>
      <c r="M63" s="960"/>
    </row>
    <row r="215" spans="7:7">
      <c r="G215" s="974"/>
    </row>
  </sheetData>
  <mergeCells count="8">
    <mergeCell ref="B62:G62"/>
    <mergeCell ref="A4:G4"/>
    <mergeCell ref="B61:G61"/>
    <mergeCell ref="A1:G1"/>
    <mergeCell ref="A2:G2"/>
    <mergeCell ref="A3:G3"/>
    <mergeCell ref="B60:G60"/>
    <mergeCell ref="D7:F7"/>
  </mergeCells>
  <printOptions horizontalCentered="1"/>
  <pageMargins left="0.5" right="0.5" top="0.5" bottom="0.7" header="0.3" footer="0.5"/>
  <pageSetup scale="86" orientation="portrait" r:id="rId1"/>
  <headerFooter>
    <oddFooter>&amp;R&amp;A</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5"/>
  <sheetViews>
    <sheetView topLeftCell="A31" workbookViewId="0">
      <selection activeCell="L6" sqref="L6"/>
    </sheetView>
  </sheetViews>
  <sheetFormatPr defaultColWidth="8.88671875" defaultRowHeight="13.2"/>
  <cols>
    <col min="1" max="1" width="5.33203125" style="1177" customWidth="1"/>
    <col min="2" max="2" width="52.33203125" style="161" customWidth="1"/>
    <col min="3" max="3" width="11.109375" style="161" customWidth="1"/>
    <col min="4" max="4" width="10" style="161" customWidth="1"/>
    <col min="5" max="5" width="9.5546875" style="161" bestFit="1" customWidth="1"/>
    <col min="6" max="6" width="10.33203125" style="161" bestFit="1" customWidth="1"/>
    <col min="7" max="7" width="14.33203125" style="161" customWidth="1"/>
    <col min="8" max="9" width="8.88671875" style="161"/>
    <col min="10" max="10" width="10.88671875" style="161" bestFit="1" customWidth="1"/>
    <col min="11" max="16384" width="8.88671875" style="161"/>
  </cols>
  <sheetData>
    <row r="1" spans="1:14">
      <c r="A1" s="2390" t="s">
        <v>958</v>
      </c>
      <c r="B1" s="2390"/>
      <c r="C1" s="2390"/>
      <c r="D1" s="2390"/>
      <c r="E1" s="2390"/>
      <c r="F1" s="2390"/>
      <c r="G1" s="2390"/>
      <c r="H1" s="780"/>
      <c r="J1" s="1295"/>
    </row>
    <row r="2" spans="1:14">
      <c r="A2" s="2327" t="s">
        <v>960</v>
      </c>
      <c r="B2" s="2327"/>
      <c r="C2" s="2327"/>
      <c r="D2" s="2327"/>
      <c r="E2" s="2327"/>
      <c r="F2" s="2391"/>
      <c r="G2" s="2391"/>
      <c r="H2" s="1170"/>
    </row>
    <row r="3" spans="1:14">
      <c r="A3" s="2390" t="s">
        <v>2043</v>
      </c>
      <c r="B3" s="2390"/>
      <c r="C3" s="2390"/>
      <c r="D3" s="2390"/>
      <c r="E3" s="2390"/>
      <c r="F3" s="2390"/>
      <c r="G3" s="2390"/>
      <c r="H3" s="782"/>
    </row>
    <row r="4" spans="1:14">
      <c r="A4" s="171"/>
      <c r="B4" s="171"/>
      <c r="C4" s="171"/>
      <c r="D4" s="171"/>
      <c r="E4" s="171"/>
      <c r="F4" s="583"/>
      <c r="G4" s="583"/>
      <c r="H4" s="583"/>
    </row>
    <row r="5" spans="1:14">
      <c r="A5" s="1588"/>
      <c r="B5" s="783"/>
      <c r="C5" s="721"/>
      <c r="D5" s="721"/>
      <c r="E5" s="721"/>
      <c r="F5" s="721"/>
      <c r="G5" s="1466" t="s">
        <v>1458</v>
      </c>
    </row>
    <row r="6" spans="1:14">
      <c r="A6" s="1703" t="s">
        <v>280</v>
      </c>
      <c r="B6" s="1588" t="s">
        <v>67</v>
      </c>
      <c r="C6" s="1588" t="s">
        <v>114</v>
      </c>
      <c r="D6" s="1588" t="s">
        <v>55</v>
      </c>
      <c r="E6" s="1588" t="s">
        <v>68</v>
      </c>
      <c r="F6" s="1467" t="s">
        <v>66</v>
      </c>
      <c r="G6" s="1468" t="s">
        <v>154</v>
      </c>
    </row>
    <row r="7" spans="1:14" s="1537" customFormat="1" ht="25.95" customHeight="1">
      <c r="A7" s="1710">
        <v>1</v>
      </c>
      <c r="B7" s="547" t="s">
        <v>171</v>
      </c>
      <c r="C7" s="547" t="s">
        <v>961</v>
      </c>
      <c r="D7" s="547" t="s">
        <v>484</v>
      </c>
      <c r="E7" s="547" t="s">
        <v>821</v>
      </c>
      <c r="F7" s="1536" t="s">
        <v>1459</v>
      </c>
      <c r="G7" s="1536" t="s">
        <v>521</v>
      </c>
      <c r="I7" s="161"/>
      <c r="J7" s="161"/>
      <c r="K7" s="161"/>
      <c r="L7" s="161"/>
      <c r="M7" s="161"/>
      <c r="N7" s="161"/>
    </row>
    <row r="8" spans="1:14" ht="13.2" customHeight="1">
      <c r="A8" s="1707">
        <f>A7+0.01</f>
        <v>1.01</v>
      </c>
      <c r="B8" s="161" t="s">
        <v>1624</v>
      </c>
      <c r="C8" s="1238">
        <f>IFERROR(INDEX(#REF!,MATCH($B8,#REF!,0)),0)</f>
        <v>0</v>
      </c>
      <c r="D8" s="1238">
        <f>IFERROR(INDEX(#REF!,MATCH($B8,#REF!,0)),0)</f>
        <v>0</v>
      </c>
      <c r="E8" s="1238">
        <v>0</v>
      </c>
      <c r="F8" s="1238">
        <v>0</v>
      </c>
      <c r="G8" s="885">
        <f>SUM(C8:F8)</f>
        <v>0</v>
      </c>
      <c r="H8" s="1310"/>
      <c r="J8" s="962" t="s">
        <v>1416</v>
      </c>
      <c r="K8" s="1310"/>
    </row>
    <row r="9" spans="1:14" s="1310" customFormat="1">
      <c r="A9" s="1707">
        <f t="shared" ref="A9:A38" si="0">A8+0.01</f>
        <v>1.02</v>
      </c>
      <c r="B9" s="161" t="s">
        <v>1625</v>
      </c>
      <c r="C9" s="1238">
        <f>IFERROR(INDEX(#REF!,MATCH($B9,#REF!,0)),0)</f>
        <v>0</v>
      </c>
      <c r="D9" s="1238">
        <f>IFERROR(INDEX(#REF!,MATCH($B9,#REF!,0)),0)</f>
        <v>0</v>
      </c>
      <c r="E9" s="1238">
        <v>0</v>
      </c>
      <c r="F9" s="1238">
        <v>0</v>
      </c>
      <c r="G9" s="885">
        <f>SUM(C9:F9)</f>
        <v>0</v>
      </c>
      <c r="H9" s="585"/>
      <c r="I9" s="161"/>
      <c r="J9" s="962" t="s">
        <v>1417</v>
      </c>
      <c r="K9" s="162"/>
      <c r="M9" s="161"/>
    </row>
    <row r="10" spans="1:14" s="162" customFormat="1">
      <c r="A10" s="1707">
        <f t="shared" si="0"/>
        <v>1.03</v>
      </c>
      <c r="B10" s="161" t="s">
        <v>1577</v>
      </c>
      <c r="C10" s="1238">
        <v>2225.9</v>
      </c>
      <c r="D10" s="1238">
        <f>IFERROR(INDEX(#REF!,MATCH($B10,#REF!,0)),0)</f>
        <v>0</v>
      </c>
      <c r="E10" s="1238">
        <v>0</v>
      </c>
      <c r="F10" s="1238">
        <v>0</v>
      </c>
      <c r="G10" s="885">
        <f>SUM(C10:F10)</f>
        <v>2225.9</v>
      </c>
      <c r="H10" s="585"/>
      <c r="I10" s="161"/>
      <c r="J10" s="962" t="s">
        <v>1391</v>
      </c>
      <c r="M10" s="161"/>
    </row>
    <row r="11" spans="1:14" s="162" customFormat="1">
      <c r="A11" s="1707">
        <f t="shared" si="0"/>
        <v>1.04</v>
      </c>
      <c r="B11" s="783">
        <v>407348</v>
      </c>
      <c r="C11" s="1238">
        <v>0</v>
      </c>
      <c r="D11" s="1238">
        <v>0</v>
      </c>
      <c r="E11" s="1238">
        <v>0</v>
      </c>
      <c r="F11" s="1238">
        <v>28548.960000000006</v>
      </c>
      <c r="G11" s="885">
        <f>SUM(C11:F11)</f>
        <v>28548.960000000006</v>
      </c>
      <c r="H11" s="585"/>
      <c r="I11" s="161"/>
      <c r="J11" s="962" t="s">
        <v>2188</v>
      </c>
      <c r="M11" s="161"/>
    </row>
    <row r="12" spans="1:14" s="162" customFormat="1">
      <c r="A12" s="1707">
        <f t="shared" si="0"/>
        <v>1.05</v>
      </c>
      <c r="B12" s="783">
        <v>407403</v>
      </c>
      <c r="C12" s="1238">
        <v>0</v>
      </c>
      <c r="D12" s="1238">
        <v>0</v>
      </c>
      <c r="E12" s="1238">
        <v>0</v>
      </c>
      <c r="F12" s="1238">
        <v>0</v>
      </c>
      <c r="G12" s="885">
        <f>SUM(C12:F12)</f>
        <v>0</v>
      </c>
      <c r="H12" s="585"/>
      <c r="I12" s="161"/>
      <c r="J12" s="962" t="s">
        <v>2189</v>
      </c>
      <c r="M12" s="161"/>
    </row>
    <row r="13" spans="1:14" s="162" customFormat="1">
      <c r="A13" s="1707">
        <f t="shared" si="0"/>
        <v>1.06</v>
      </c>
      <c r="B13" s="161" t="s">
        <v>1578</v>
      </c>
      <c r="C13" s="1238">
        <v>541.47</v>
      </c>
      <c r="D13" s="1238">
        <f>IFERROR(INDEX(#REF!,MATCH($B13,#REF!,0)),0)</f>
        <v>0</v>
      </c>
      <c r="E13" s="1238">
        <v>0</v>
      </c>
      <c r="F13" s="1238">
        <v>0</v>
      </c>
      <c r="G13" s="885">
        <f t="shared" ref="G13:G38" si="1">SUM(C13:F13)</f>
        <v>541.47</v>
      </c>
      <c r="H13" s="585"/>
      <c r="I13" s="161"/>
      <c r="J13" s="962" t="s">
        <v>1392</v>
      </c>
      <c r="M13" s="161"/>
    </row>
    <row r="14" spans="1:14" s="162" customFormat="1">
      <c r="A14" s="1707">
        <f t="shared" si="0"/>
        <v>1.07</v>
      </c>
      <c r="B14" s="161" t="s">
        <v>1626</v>
      </c>
      <c r="C14" s="1238">
        <v>112.76999999999998</v>
      </c>
      <c r="D14" s="1238">
        <v>104.92999999999998</v>
      </c>
      <c r="E14" s="1238">
        <v>0</v>
      </c>
      <c r="F14" s="1238">
        <v>0</v>
      </c>
      <c r="G14" s="885">
        <f t="shared" si="1"/>
        <v>217.69999999999996</v>
      </c>
      <c r="H14" s="585"/>
      <c r="I14" s="161"/>
      <c r="J14" s="962" t="s">
        <v>1418</v>
      </c>
      <c r="M14" s="161"/>
    </row>
    <row r="15" spans="1:14" s="162" customFormat="1">
      <c r="A15" s="1707">
        <f t="shared" si="0"/>
        <v>1.08</v>
      </c>
      <c r="B15" s="161" t="s">
        <v>1579</v>
      </c>
      <c r="C15" s="1238">
        <f>IFERROR(INDEX(#REF!,MATCH($B15,#REF!,0)),0)</f>
        <v>0</v>
      </c>
      <c r="D15" s="1238">
        <f>IFERROR(INDEX(#REF!,MATCH($B15,#REF!,0)),0)</f>
        <v>0</v>
      </c>
      <c r="E15" s="1238">
        <v>0</v>
      </c>
      <c r="F15" s="1238">
        <v>0</v>
      </c>
      <c r="G15" s="885">
        <f t="shared" si="1"/>
        <v>0</v>
      </c>
      <c r="H15" s="585"/>
      <c r="I15" s="161"/>
      <c r="J15" s="962" t="s">
        <v>1393</v>
      </c>
      <c r="M15" s="161"/>
    </row>
    <row r="16" spans="1:14" s="162" customFormat="1">
      <c r="A16" s="1707">
        <f t="shared" si="0"/>
        <v>1.0900000000000001</v>
      </c>
      <c r="B16" s="161" t="s">
        <v>1580</v>
      </c>
      <c r="C16" s="1238">
        <f>IFERROR(INDEX(#REF!,MATCH($B16,#REF!,0)),0)</f>
        <v>0</v>
      </c>
      <c r="D16" s="1238">
        <f>IFERROR(INDEX(#REF!,MATCH($B16,#REF!,0)),0)</f>
        <v>0</v>
      </c>
      <c r="E16" s="1238">
        <v>0</v>
      </c>
      <c r="F16" s="1238">
        <v>0</v>
      </c>
      <c r="G16" s="885">
        <f t="shared" si="1"/>
        <v>0</v>
      </c>
      <c r="H16" s="585"/>
      <c r="I16" s="161"/>
      <c r="J16" s="962" t="s">
        <v>1394</v>
      </c>
      <c r="M16" s="161"/>
    </row>
    <row r="17" spans="1:13" s="162" customFormat="1">
      <c r="A17" s="1707">
        <f t="shared" si="0"/>
        <v>1.1000000000000001</v>
      </c>
      <c r="B17" s="161" t="s">
        <v>1583</v>
      </c>
      <c r="C17" s="1238">
        <f>IFERROR(INDEX(#REF!,MATCH($B17,#REF!,0)),0)</f>
        <v>0</v>
      </c>
      <c r="D17" s="1238">
        <f>IFERROR(INDEX(#REF!,MATCH($B17,#REF!,0)),0)</f>
        <v>0</v>
      </c>
      <c r="E17" s="1238">
        <v>0</v>
      </c>
      <c r="F17" s="1238">
        <v>0</v>
      </c>
      <c r="G17" s="885">
        <f t="shared" si="1"/>
        <v>0</v>
      </c>
      <c r="H17" s="585"/>
      <c r="I17" s="161"/>
      <c r="J17" s="962" t="s">
        <v>1395</v>
      </c>
      <c r="M17" s="161"/>
    </row>
    <row r="18" spans="1:13" s="162" customFormat="1">
      <c r="A18" s="1707">
        <f t="shared" si="0"/>
        <v>1.1100000000000001</v>
      </c>
      <c r="B18" s="161" t="s">
        <v>1584</v>
      </c>
      <c r="C18" s="1238">
        <f>IFERROR(INDEX(#REF!,MATCH($B18,#REF!,0)),0)</f>
        <v>0</v>
      </c>
      <c r="D18" s="1238">
        <f>IFERROR(INDEX(#REF!,MATCH($B18,#REF!,0)),0)</f>
        <v>0</v>
      </c>
      <c r="E18" s="1238">
        <v>0</v>
      </c>
      <c r="F18" s="1238">
        <v>0</v>
      </c>
      <c r="G18" s="885">
        <f t="shared" si="1"/>
        <v>0</v>
      </c>
      <c r="H18" s="585"/>
      <c r="I18" s="161"/>
      <c r="J18" s="962" t="s">
        <v>1396</v>
      </c>
      <c r="M18" s="161"/>
    </row>
    <row r="19" spans="1:13" s="162" customFormat="1">
      <c r="A19" s="1707">
        <f t="shared" si="0"/>
        <v>1.1200000000000001</v>
      </c>
      <c r="B19" s="161" t="s">
        <v>1585</v>
      </c>
      <c r="C19" s="1238">
        <f>IFERROR(INDEX(#REF!,MATCH($B19,#REF!,0)),0)</f>
        <v>0</v>
      </c>
      <c r="D19" s="1238">
        <f>IFERROR(INDEX(#REF!,MATCH($B19,#REF!,0)),0)</f>
        <v>0</v>
      </c>
      <c r="E19" s="1238">
        <v>0</v>
      </c>
      <c r="F19" s="1238">
        <v>0</v>
      </c>
      <c r="G19" s="885">
        <f t="shared" si="1"/>
        <v>0</v>
      </c>
      <c r="H19" s="585"/>
      <c r="I19" s="161"/>
      <c r="J19" s="962" t="s">
        <v>1397</v>
      </c>
      <c r="M19" s="161"/>
    </row>
    <row r="20" spans="1:13" s="162" customFormat="1">
      <c r="A20" s="1707">
        <f t="shared" si="0"/>
        <v>1.1300000000000001</v>
      </c>
      <c r="B20" s="161" t="s">
        <v>1627</v>
      </c>
      <c r="C20" s="1238">
        <f>IFERROR(INDEX(#REF!,MATCH($B20,#REF!,0)),0)</f>
        <v>0</v>
      </c>
      <c r="D20" s="1238">
        <f>IFERROR(INDEX(#REF!,MATCH($B20,#REF!,0)),0)</f>
        <v>0</v>
      </c>
      <c r="E20" s="1238">
        <v>0</v>
      </c>
      <c r="F20" s="1238">
        <v>0</v>
      </c>
      <c r="G20" s="885">
        <f t="shared" si="1"/>
        <v>0</v>
      </c>
      <c r="H20" s="585"/>
      <c r="I20" s="161"/>
      <c r="J20" s="962" t="s">
        <v>1398</v>
      </c>
      <c r="M20" s="161"/>
    </row>
    <row r="21" spans="1:13" s="162" customFormat="1">
      <c r="A21" s="1707">
        <f t="shared" si="0"/>
        <v>1.1400000000000001</v>
      </c>
      <c r="B21" s="161" t="s">
        <v>1588</v>
      </c>
      <c r="C21" s="1238">
        <f>IFERROR(INDEX(#REF!,MATCH($B21,#REF!,0)),0)</f>
        <v>0</v>
      </c>
      <c r="D21" s="1238">
        <f>IFERROR(INDEX(#REF!,MATCH($B21,#REF!,0)),0)</f>
        <v>0</v>
      </c>
      <c r="E21" s="1238">
        <v>0</v>
      </c>
      <c r="F21" s="1238">
        <v>0</v>
      </c>
      <c r="G21" s="885">
        <f t="shared" si="1"/>
        <v>0</v>
      </c>
      <c r="H21" s="585"/>
      <c r="I21" s="161"/>
      <c r="J21" s="962" t="s">
        <v>1399</v>
      </c>
      <c r="M21" s="161"/>
    </row>
    <row r="22" spans="1:13" s="162" customFormat="1">
      <c r="A22" s="1707">
        <f t="shared" si="0"/>
        <v>1.1500000000000001</v>
      </c>
      <c r="B22" s="161" t="s">
        <v>1589</v>
      </c>
      <c r="C22" s="1238">
        <f>IFERROR(INDEX(#REF!,MATCH($B22,#REF!,0)),0)</f>
        <v>0</v>
      </c>
      <c r="D22" s="1238">
        <f>IFERROR(INDEX(#REF!,MATCH($B22,#REF!,0)),0)</f>
        <v>0</v>
      </c>
      <c r="E22" s="1238">
        <v>0</v>
      </c>
      <c r="F22" s="1238">
        <v>0</v>
      </c>
      <c r="G22" s="885">
        <f t="shared" si="1"/>
        <v>0</v>
      </c>
      <c r="H22" s="585"/>
      <c r="I22" s="161"/>
      <c r="J22" s="962" t="s">
        <v>1400</v>
      </c>
      <c r="M22" s="161"/>
    </row>
    <row r="23" spans="1:13" s="162" customFormat="1">
      <c r="A23" s="1707">
        <f t="shared" si="0"/>
        <v>1.1600000000000001</v>
      </c>
      <c r="B23" s="161" t="s">
        <v>1628</v>
      </c>
      <c r="C23" s="1238">
        <f>IFERROR(INDEX(#REF!,MATCH($B23,#REF!,0)),0)</f>
        <v>0</v>
      </c>
      <c r="D23" s="1238">
        <f>IFERROR(INDEX(#REF!,MATCH($B23,#REF!,0)),0)</f>
        <v>0</v>
      </c>
      <c r="E23" s="1238">
        <v>0</v>
      </c>
      <c r="F23" s="1238">
        <v>0</v>
      </c>
      <c r="G23" s="885">
        <f t="shared" si="1"/>
        <v>0</v>
      </c>
      <c r="H23" s="585"/>
      <c r="I23" s="161"/>
      <c r="J23" s="962" t="s">
        <v>1401</v>
      </c>
      <c r="M23" s="161"/>
    </row>
    <row r="24" spans="1:13" s="162" customFormat="1">
      <c r="A24" s="1707">
        <f t="shared" si="0"/>
        <v>1.1700000000000002</v>
      </c>
      <c r="B24" s="161" t="s">
        <v>1629</v>
      </c>
      <c r="C24" s="1238">
        <f>IFERROR(INDEX(#REF!,MATCH($B24,#REF!,0)),0)</f>
        <v>0</v>
      </c>
      <c r="D24" s="1238">
        <f>IFERROR(INDEX(#REF!,MATCH($B24,#REF!,0)),0)</f>
        <v>0</v>
      </c>
      <c r="E24" s="1238">
        <v>0</v>
      </c>
      <c r="F24" s="1238">
        <v>0</v>
      </c>
      <c r="G24" s="885">
        <f t="shared" si="1"/>
        <v>0</v>
      </c>
      <c r="H24" s="919"/>
      <c r="I24" s="161"/>
      <c r="J24" s="962" t="s">
        <v>1411</v>
      </c>
      <c r="M24" s="161"/>
    </row>
    <row r="25" spans="1:13" s="162" customFormat="1">
      <c r="A25" s="1707">
        <f t="shared" si="0"/>
        <v>1.1800000000000002</v>
      </c>
      <c r="B25" s="161" t="s">
        <v>1630</v>
      </c>
      <c r="C25" s="1238">
        <f>IFERROR(INDEX(#REF!,MATCH($B25,#REF!,0)),0)</f>
        <v>0</v>
      </c>
      <c r="D25" s="1238">
        <f>IFERROR(INDEX(#REF!,MATCH($B25,#REF!,0)),0)</f>
        <v>0</v>
      </c>
      <c r="E25" s="1238">
        <v>0</v>
      </c>
      <c r="F25" s="1238">
        <v>0</v>
      </c>
      <c r="G25" s="885">
        <f t="shared" si="1"/>
        <v>0</v>
      </c>
      <c r="H25" s="919"/>
      <c r="I25" s="161"/>
      <c r="J25" s="962" t="s">
        <v>1412</v>
      </c>
      <c r="M25" s="161"/>
    </row>
    <row r="26" spans="1:13" s="162" customFormat="1">
      <c r="A26" s="1707">
        <f t="shared" si="0"/>
        <v>1.1900000000000002</v>
      </c>
      <c r="B26" s="161" t="s">
        <v>1631</v>
      </c>
      <c r="C26" s="1238">
        <f>IFERROR(INDEX(#REF!,MATCH($B26,#REF!,0)),0)</f>
        <v>0</v>
      </c>
      <c r="D26" s="1238">
        <f>IFERROR(INDEX(#REF!,MATCH($B26,#REF!,0)),0)</f>
        <v>0</v>
      </c>
      <c r="E26" s="1238">
        <v>0</v>
      </c>
      <c r="F26" s="1238">
        <v>0</v>
      </c>
      <c r="G26" s="885">
        <f t="shared" si="1"/>
        <v>0</v>
      </c>
      <c r="H26" s="585"/>
      <c r="I26" s="161"/>
      <c r="J26" s="962" t="s">
        <v>1413</v>
      </c>
      <c r="M26" s="161"/>
    </row>
    <row r="27" spans="1:13" s="162" customFormat="1">
      <c r="A27" s="1707">
        <f t="shared" si="0"/>
        <v>1.2000000000000002</v>
      </c>
      <c r="B27" s="161" t="s">
        <v>1632</v>
      </c>
      <c r="C27" s="1238">
        <f>IFERROR(INDEX(#REF!,MATCH($B27,#REF!,0)),0)</f>
        <v>0</v>
      </c>
      <c r="D27" s="1238">
        <f>IFERROR(INDEX(#REF!,MATCH($B27,#REF!,0)),0)</f>
        <v>0</v>
      </c>
      <c r="E27" s="1238">
        <v>0</v>
      </c>
      <c r="F27" s="1238">
        <v>0</v>
      </c>
      <c r="G27" s="885">
        <f t="shared" si="1"/>
        <v>0</v>
      </c>
      <c r="H27" s="585"/>
      <c r="I27" s="161"/>
      <c r="J27" s="962" t="s">
        <v>1419</v>
      </c>
      <c r="M27" s="161"/>
    </row>
    <row r="28" spans="1:13" s="162" customFormat="1">
      <c r="A28" s="1707">
        <f t="shared" si="0"/>
        <v>1.2100000000000002</v>
      </c>
      <c r="B28" s="161" t="s">
        <v>1633</v>
      </c>
      <c r="C28" s="1238">
        <f>IFERROR(INDEX(#REF!,MATCH($B28,#REF!,0)),0)</f>
        <v>0</v>
      </c>
      <c r="D28" s="1238">
        <f>IFERROR(INDEX(#REF!,MATCH($B28,#REF!,0)),0)</f>
        <v>0</v>
      </c>
      <c r="E28" s="1238">
        <v>0</v>
      </c>
      <c r="F28" s="1238">
        <v>0</v>
      </c>
      <c r="G28" s="885">
        <f t="shared" si="1"/>
        <v>0</v>
      </c>
      <c r="H28" s="585"/>
      <c r="I28" s="161"/>
      <c r="J28" s="962" t="s">
        <v>1420</v>
      </c>
      <c r="M28" s="161"/>
    </row>
    <row r="29" spans="1:13" s="162" customFormat="1">
      <c r="A29" s="1707">
        <f t="shared" si="0"/>
        <v>1.2200000000000002</v>
      </c>
      <c r="B29" s="161" t="s">
        <v>1591</v>
      </c>
      <c r="C29" s="1238">
        <f>IFERROR(INDEX(#REF!,MATCH($B29,#REF!,0)),0)</f>
        <v>0</v>
      </c>
      <c r="D29" s="1238">
        <f>IFERROR(INDEX(#REF!,MATCH($B29,#REF!,0)),0)</f>
        <v>0</v>
      </c>
      <c r="E29" s="1238">
        <v>0</v>
      </c>
      <c r="F29" s="1238">
        <v>0</v>
      </c>
      <c r="G29" s="885">
        <f t="shared" si="1"/>
        <v>0</v>
      </c>
      <c r="H29" s="585"/>
      <c r="I29" s="161"/>
      <c r="J29" s="962" t="s">
        <v>1402</v>
      </c>
      <c r="M29" s="161"/>
    </row>
    <row r="30" spans="1:13" s="162" customFormat="1">
      <c r="A30" s="1707">
        <f t="shared" si="0"/>
        <v>1.2300000000000002</v>
      </c>
      <c r="B30" s="161" t="s">
        <v>1634</v>
      </c>
      <c r="C30" s="1238">
        <f>IFERROR(INDEX(#REF!,MATCH($B30,#REF!,0)),0)</f>
        <v>0</v>
      </c>
      <c r="D30" s="1238">
        <f>IFERROR(INDEX(#REF!,MATCH($B30,#REF!,0)),0)</f>
        <v>0</v>
      </c>
      <c r="E30" s="1238">
        <v>0</v>
      </c>
      <c r="F30" s="1238">
        <v>0</v>
      </c>
      <c r="G30" s="885">
        <f t="shared" si="1"/>
        <v>0</v>
      </c>
      <c r="H30" s="585"/>
      <c r="I30" s="161"/>
      <c r="J30" s="962" t="s">
        <v>1414</v>
      </c>
      <c r="M30" s="161"/>
    </row>
    <row r="31" spans="1:13" s="162" customFormat="1">
      <c r="A31" s="1707">
        <f t="shared" si="0"/>
        <v>1.2400000000000002</v>
      </c>
      <c r="B31" s="161" t="s">
        <v>1593</v>
      </c>
      <c r="C31" s="1238">
        <f>IFERROR(INDEX(#REF!,MATCH($B31,#REF!,0)),0)</f>
        <v>0</v>
      </c>
      <c r="D31" s="1238">
        <f>IFERROR(INDEX(#REF!,MATCH($B31,#REF!,0)),0)</f>
        <v>0</v>
      </c>
      <c r="E31" s="1238">
        <v>0</v>
      </c>
      <c r="F31" s="1238">
        <v>0</v>
      </c>
      <c r="G31" s="885">
        <f t="shared" si="1"/>
        <v>0</v>
      </c>
      <c r="H31" s="585"/>
      <c r="I31" s="161"/>
      <c r="J31" s="962" t="s">
        <v>1403</v>
      </c>
      <c r="M31" s="161"/>
    </row>
    <row r="32" spans="1:13" s="162" customFormat="1">
      <c r="A32" s="1707">
        <f t="shared" si="0"/>
        <v>1.2500000000000002</v>
      </c>
      <c r="B32" s="161" t="s">
        <v>1635</v>
      </c>
      <c r="C32" s="1238">
        <f>IFERROR(INDEX(#REF!,MATCH($B32,#REF!,0)),0)</f>
        <v>0</v>
      </c>
      <c r="D32" s="1238">
        <f>IFERROR(INDEX(#REF!,MATCH($B32,#REF!,0)),0)</f>
        <v>0</v>
      </c>
      <c r="E32" s="1238">
        <v>0</v>
      </c>
      <c r="F32" s="1238">
        <v>0</v>
      </c>
      <c r="G32" s="885">
        <f t="shared" si="1"/>
        <v>0</v>
      </c>
      <c r="H32" s="585"/>
      <c r="I32" s="161"/>
      <c r="J32" s="962" t="s">
        <v>1415</v>
      </c>
      <c r="M32" s="161"/>
    </row>
    <row r="33" spans="1:13" s="162" customFormat="1">
      <c r="A33" s="1707">
        <f t="shared" si="0"/>
        <v>1.2600000000000002</v>
      </c>
      <c r="B33" s="161" t="s">
        <v>1594</v>
      </c>
      <c r="C33" s="1238">
        <v>3211.62</v>
      </c>
      <c r="D33" s="1238">
        <v>10263.780000000002</v>
      </c>
      <c r="E33" s="1238">
        <v>0</v>
      </c>
      <c r="F33" s="1238">
        <v>0</v>
      </c>
      <c r="G33" s="885">
        <f t="shared" si="1"/>
        <v>13475.400000000001</v>
      </c>
      <c r="H33" s="585"/>
      <c r="I33" s="161"/>
      <c r="J33" s="962" t="s">
        <v>1404</v>
      </c>
      <c r="M33" s="161"/>
    </row>
    <row r="34" spans="1:13" s="162" customFormat="1">
      <c r="A34" s="1707">
        <f t="shared" si="0"/>
        <v>1.2700000000000002</v>
      </c>
      <c r="B34" s="161" t="s">
        <v>1595</v>
      </c>
      <c r="C34" s="1238">
        <v>401.31999999999994</v>
      </c>
      <c r="D34" s="1238">
        <f>IFERROR(INDEX(#REF!,MATCH($B34,#REF!,0)),0)</f>
        <v>0</v>
      </c>
      <c r="E34" s="1238">
        <v>0</v>
      </c>
      <c r="F34" s="1238">
        <v>0</v>
      </c>
      <c r="G34" s="885">
        <f t="shared" si="1"/>
        <v>401.31999999999994</v>
      </c>
      <c r="H34" s="585"/>
      <c r="I34" s="161"/>
      <c r="J34" s="962" t="s">
        <v>1405</v>
      </c>
      <c r="M34" s="161"/>
    </row>
    <row r="35" spans="1:13" s="162" customFormat="1">
      <c r="A35" s="1707">
        <f t="shared" si="0"/>
        <v>1.2800000000000002</v>
      </c>
      <c r="B35" s="161" t="s">
        <v>1596</v>
      </c>
      <c r="C35" s="1238">
        <f>IFERROR(INDEX(#REF!,MATCH($B35,#REF!,0)),0)</f>
        <v>0</v>
      </c>
      <c r="D35" s="1238">
        <f>IFERROR(INDEX(#REF!,MATCH($B35,#REF!,0)),0)</f>
        <v>0</v>
      </c>
      <c r="E35" s="1238">
        <v>-476484.36</v>
      </c>
      <c r="F35" s="1238">
        <v>1507537.1100000003</v>
      </c>
      <c r="G35" s="885">
        <f t="shared" si="1"/>
        <v>1031052.7500000003</v>
      </c>
      <c r="H35" s="585"/>
      <c r="I35" s="161"/>
      <c r="J35" s="962" t="s">
        <v>1406</v>
      </c>
      <c r="M35" s="161"/>
    </row>
    <row r="36" spans="1:13" s="162" customFormat="1">
      <c r="A36" s="1707">
        <f t="shared" si="0"/>
        <v>1.2900000000000003</v>
      </c>
      <c r="B36" s="161" t="s">
        <v>1598</v>
      </c>
      <c r="C36" s="1238">
        <v>4773.4000000000005</v>
      </c>
      <c r="D36" s="1238">
        <f>IFERROR(INDEX(#REF!,MATCH($B36,#REF!,0)),0)</f>
        <v>0</v>
      </c>
      <c r="E36" s="1238">
        <v>0</v>
      </c>
      <c r="F36" s="1238">
        <v>0</v>
      </c>
      <c r="G36" s="885">
        <f t="shared" si="1"/>
        <v>4773.4000000000005</v>
      </c>
      <c r="H36" s="585"/>
      <c r="I36" s="161"/>
      <c r="J36" s="962" t="s">
        <v>1407</v>
      </c>
      <c r="M36" s="161"/>
    </row>
    <row r="37" spans="1:13" s="162" customFormat="1">
      <c r="A37" s="1707">
        <f t="shared" si="0"/>
        <v>1.3000000000000003</v>
      </c>
      <c r="B37" s="161" t="s">
        <v>1599</v>
      </c>
      <c r="C37" s="1238">
        <f>IFERROR(INDEX(#REF!,MATCH($B37,#REF!,0)),0)</f>
        <v>0</v>
      </c>
      <c r="D37" s="1238">
        <f>IFERROR(INDEX(#REF!,MATCH($B37,#REF!,0)),0)</f>
        <v>0</v>
      </c>
      <c r="E37" s="1238">
        <v>-6.63</v>
      </c>
      <c r="F37" s="1238">
        <v>93694.480000000025</v>
      </c>
      <c r="G37" s="885">
        <f t="shared" si="1"/>
        <v>93687.85000000002</v>
      </c>
      <c r="H37" s="585"/>
      <c r="I37" s="161"/>
      <c r="J37" s="962" t="s">
        <v>1408</v>
      </c>
      <c r="M37" s="161"/>
    </row>
    <row r="38" spans="1:13" s="162" customFormat="1">
      <c r="A38" s="1707">
        <f t="shared" si="0"/>
        <v>1.3100000000000003</v>
      </c>
      <c r="B38" s="161" t="s">
        <v>1601</v>
      </c>
      <c r="C38" s="1238">
        <f>IFERROR(INDEX(#REF!,MATCH($B38,#REF!,0)),0)</f>
        <v>0</v>
      </c>
      <c r="D38" s="1238">
        <f>IFERROR(INDEX(#REF!,MATCH($B38,#REF!,0)),0)</f>
        <v>0</v>
      </c>
      <c r="E38" s="1238">
        <v>-3066.57</v>
      </c>
      <c r="F38" s="1238">
        <v>8156.91</v>
      </c>
      <c r="G38" s="885">
        <f t="shared" si="1"/>
        <v>5090.34</v>
      </c>
      <c r="H38" s="585"/>
      <c r="I38" s="161"/>
      <c r="J38" s="962" t="s">
        <v>1409</v>
      </c>
      <c r="M38" s="161"/>
    </row>
    <row r="39" spans="1:13" s="162" customFormat="1" ht="13.8" thickBot="1">
      <c r="A39" s="1171">
        <f>A7+1</f>
        <v>2</v>
      </c>
      <c r="B39" s="610" t="s">
        <v>824</v>
      </c>
      <c r="C39" s="611">
        <f>SUM(C8:C38)</f>
        <v>11266.48</v>
      </c>
      <c r="D39" s="611">
        <f>SUM(D8:D38)</f>
        <v>10368.710000000003</v>
      </c>
      <c r="E39" s="611">
        <f>SUM(E8:E38)</f>
        <v>-479557.56</v>
      </c>
      <c r="F39" s="611">
        <f>SUM(F8:F38)</f>
        <v>1637937.4600000002</v>
      </c>
      <c r="G39" s="611">
        <f>SUM(G8:G38)</f>
        <v>1180015.0900000005</v>
      </c>
      <c r="H39" s="585"/>
    </row>
    <row r="40" spans="1:13" s="162" customFormat="1" ht="13.8" thickTop="1">
      <c r="A40" s="1171">
        <f>A39+1</f>
        <v>3</v>
      </c>
      <c r="B40" s="1298"/>
      <c r="C40" s="1298"/>
      <c r="D40" s="1300"/>
      <c r="E40" s="1300"/>
      <c r="F40" s="1300"/>
      <c r="G40" s="1300"/>
      <c r="H40" s="1300"/>
      <c r="K40" s="1173"/>
      <c r="M40" s="1173"/>
    </row>
    <row r="41" spans="1:13" s="1173" customFormat="1">
      <c r="A41" s="1171">
        <f t="shared" ref="A41:A46" si="2">A40+1</f>
        <v>4</v>
      </c>
      <c r="B41" s="1298" t="s">
        <v>570</v>
      </c>
      <c r="C41" s="1298"/>
      <c r="D41" s="1300"/>
      <c r="E41" s="1300"/>
      <c r="F41" s="1300"/>
      <c r="G41" s="1300"/>
      <c r="H41" s="1300"/>
      <c r="I41" s="1303"/>
      <c r="J41" s="162"/>
    </row>
    <row r="42" spans="1:13" s="1173" customFormat="1">
      <c r="A42" s="1171">
        <f t="shared" si="2"/>
        <v>5</v>
      </c>
      <c r="B42" s="1301" t="s">
        <v>667</v>
      </c>
      <c r="C42" s="1469">
        <f>+C20</f>
        <v>0</v>
      </c>
      <c r="D42" s="1469">
        <f>+D20</f>
        <v>0</v>
      </c>
      <c r="E42" s="1469">
        <v>0</v>
      </c>
      <c r="F42" s="1469">
        <v>0</v>
      </c>
      <c r="G42" s="1469">
        <f>SUM(C42:F42)</f>
        <v>0</v>
      </c>
      <c r="H42" s="1302"/>
      <c r="I42" s="162"/>
      <c r="J42" s="162"/>
    </row>
    <row r="43" spans="1:13" s="1173" customFormat="1" ht="15">
      <c r="A43" s="1171">
        <f t="shared" si="2"/>
        <v>6</v>
      </c>
      <c r="B43" s="1301" t="s">
        <v>513</v>
      </c>
      <c r="C43" s="638">
        <f>+C21</f>
        <v>0</v>
      </c>
      <c r="D43" s="638">
        <f>+D21</f>
        <v>0</v>
      </c>
      <c r="E43" s="638">
        <v>0</v>
      </c>
      <c r="F43" s="638">
        <v>0</v>
      </c>
      <c r="G43" s="638">
        <f>SUM(C43:F43)</f>
        <v>0</v>
      </c>
      <c r="H43" s="638"/>
      <c r="I43" s="162"/>
      <c r="J43" s="162"/>
    </row>
    <row r="44" spans="1:13" s="1173" customFormat="1">
      <c r="A44" s="1171">
        <f t="shared" si="2"/>
        <v>7</v>
      </c>
      <c r="B44" s="1297" t="s">
        <v>799</v>
      </c>
      <c r="C44" s="1469">
        <f>SUM(C42:C43)</f>
        <v>0</v>
      </c>
      <c r="D44" s="1469">
        <f>SUM(D42:D43)</f>
        <v>0</v>
      </c>
      <c r="E44" s="1469">
        <v>0</v>
      </c>
      <c r="F44" s="1469">
        <v>0</v>
      </c>
      <c r="G44" s="1469">
        <f>SUM(C44:F44)</f>
        <v>0</v>
      </c>
      <c r="H44" s="1302"/>
      <c r="I44" s="162"/>
      <c r="J44" s="162"/>
      <c r="M44" s="1174"/>
    </row>
    <row r="45" spans="1:13" s="1174" customFormat="1" ht="15">
      <c r="A45" s="1171">
        <f t="shared" si="2"/>
        <v>8</v>
      </c>
      <c r="B45" s="1298" t="s">
        <v>962</v>
      </c>
      <c r="C45" s="638">
        <f>SUM(C19:C23)-C44</f>
        <v>0</v>
      </c>
      <c r="D45" s="638">
        <f>SUM(D19:D23)-D44</f>
        <v>0</v>
      </c>
      <c r="E45" s="638">
        <v>0</v>
      </c>
      <c r="F45" s="638">
        <v>0</v>
      </c>
      <c r="G45" s="638">
        <f>SUM(C45:F45)</f>
        <v>0</v>
      </c>
      <c r="H45" s="806"/>
      <c r="I45" s="1173"/>
      <c r="J45" s="1173"/>
      <c r="M45" s="1173"/>
    </row>
    <row r="46" spans="1:13" s="1173" customFormat="1">
      <c r="A46" s="1171">
        <f t="shared" si="2"/>
        <v>9</v>
      </c>
      <c r="B46" s="1298" t="s">
        <v>758</v>
      </c>
      <c r="C46" s="1469">
        <f>+C44+C45</f>
        <v>0</v>
      </c>
      <c r="D46" s="1469">
        <f>+D44+D45</f>
        <v>0</v>
      </c>
      <c r="E46" s="1469">
        <v>0</v>
      </c>
      <c r="F46" s="1469">
        <v>0</v>
      </c>
      <c r="G46" s="1469">
        <f>SUM(C46:F46)</f>
        <v>0</v>
      </c>
      <c r="H46" s="1302"/>
    </row>
    <row r="47" spans="1:13" s="1173" customFormat="1">
      <c r="A47" s="1171">
        <f t="shared" ref="A47:A58" si="3">+A46+1</f>
        <v>10</v>
      </c>
      <c r="B47" s="584"/>
      <c r="C47" s="270"/>
      <c r="D47" s="270"/>
      <c r="E47" s="270"/>
      <c r="F47" s="270"/>
      <c r="G47" s="270"/>
      <c r="H47" s="585"/>
      <c r="K47" s="162"/>
      <c r="M47" s="162"/>
    </row>
    <row r="48" spans="1:13" s="162" customFormat="1">
      <c r="A48" s="1171">
        <f t="shared" si="3"/>
        <v>11</v>
      </c>
      <c r="B48" s="1298" t="s">
        <v>51</v>
      </c>
      <c r="C48" s="1474"/>
      <c r="D48" s="1470"/>
      <c r="E48" s="1470"/>
      <c r="F48" s="1470"/>
      <c r="G48" s="1470"/>
      <c r="H48" s="1296"/>
      <c r="I48" s="1173"/>
      <c r="J48" s="1173"/>
    </row>
    <row r="49" spans="1:13" s="162" customFormat="1">
      <c r="A49" s="1171">
        <f t="shared" si="3"/>
        <v>12</v>
      </c>
      <c r="B49" s="1301" t="s">
        <v>690</v>
      </c>
      <c r="C49" s="1471">
        <f>+C8+C9+C14</f>
        <v>112.76999999999998</v>
      </c>
      <c r="D49" s="1471">
        <f>+D8+D9+D14</f>
        <v>104.92999999999998</v>
      </c>
      <c r="E49" s="1471">
        <f>SUM(E14)</f>
        <v>0</v>
      </c>
      <c r="F49" s="1471">
        <f>SUM(F11:F14)</f>
        <v>28548.960000000006</v>
      </c>
      <c r="G49" s="1471">
        <f>SUM(C49:F49)</f>
        <v>28766.660000000007</v>
      </c>
      <c r="I49" s="1173"/>
      <c r="J49" s="1173"/>
    </row>
    <row r="50" spans="1:13" s="162" customFormat="1">
      <c r="A50" s="1171">
        <f t="shared" si="3"/>
        <v>13</v>
      </c>
      <c r="B50" s="1301" t="s">
        <v>689</v>
      </c>
      <c r="C50" s="1472">
        <f>+C10</f>
        <v>2225.9</v>
      </c>
      <c r="D50" s="1472">
        <f>+D10</f>
        <v>0</v>
      </c>
      <c r="E50" s="1472">
        <v>0</v>
      </c>
      <c r="F50" s="1472">
        <v>0</v>
      </c>
      <c r="G50" s="1472">
        <f>SUM(C50:F50)</f>
        <v>2225.9</v>
      </c>
      <c r="I50" s="1174"/>
      <c r="J50" s="1174"/>
    </row>
    <row r="51" spans="1:13" s="162" customFormat="1">
      <c r="A51" s="1171">
        <f t="shared" si="3"/>
        <v>14</v>
      </c>
      <c r="B51" s="1301" t="s">
        <v>688</v>
      </c>
      <c r="C51" s="1472">
        <f>+C13</f>
        <v>541.47</v>
      </c>
      <c r="D51" s="1472">
        <f>+D13</f>
        <v>0</v>
      </c>
      <c r="E51" s="1472">
        <v>0</v>
      </c>
      <c r="F51" s="1472">
        <v>0</v>
      </c>
      <c r="G51" s="1472">
        <f>SUM(C51:F51)</f>
        <v>541.47</v>
      </c>
      <c r="I51" s="1173"/>
      <c r="J51" s="1173"/>
    </row>
    <row r="52" spans="1:13" s="162" customFormat="1">
      <c r="A52" s="1171">
        <f t="shared" si="3"/>
        <v>15</v>
      </c>
      <c r="B52" s="1301" t="s">
        <v>900</v>
      </c>
      <c r="C52" s="1471">
        <f>SUM(C15:C18)</f>
        <v>0</v>
      </c>
      <c r="D52" s="1471">
        <f>SUM(D15:D18)</f>
        <v>0</v>
      </c>
      <c r="E52" s="1471">
        <v>0</v>
      </c>
      <c r="F52" s="1471">
        <v>0</v>
      </c>
      <c r="G52" s="1471">
        <f>SUM(C52:F52)</f>
        <v>0</v>
      </c>
    </row>
    <row r="53" spans="1:13" s="162" customFormat="1">
      <c r="A53" s="1171">
        <f t="shared" si="3"/>
        <v>16</v>
      </c>
      <c r="B53" s="1301" t="s">
        <v>681</v>
      </c>
      <c r="C53" s="1471">
        <f>SUM(C19:C23)</f>
        <v>0</v>
      </c>
      <c r="D53" s="1471">
        <f>SUM(D19:D23)</f>
        <v>0</v>
      </c>
      <c r="E53" s="1471">
        <v>0</v>
      </c>
      <c r="F53" s="1471">
        <v>0</v>
      </c>
      <c r="G53" s="1471">
        <f>SUM(C53:F53)</f>
        <v>0</v>
      </c>
    </row>
    <row r="54" spans="1:13" s="162" customFormat="1">
      <c r="A54" s="1171">
        <f t="shared" si="3"/>
        <v>17</v>
      </c>
      <c r="B54" s="1301" t="s">
        <v>683</v>
      </c>
      <c r="C54" s="1471">
        <v>0</v>
      </c>
      <c r="D54" s="1471">
        <v>0</v>
      </c>
      <c r="E54" s="1471">
        <v>0</v>
      </c>
      <c r="F54" s="1471">
        <v>0</v>
      </c>
      <c r="G54" s="1471">
        <v>0</v>
      </c>
    </row>
    <row r="55" spans="1:13" s="162" customFormat="1">
      <c r="A55" s="1171">
        <f t="shared" si="3"/>
        <v>18</v>
      </c>
      <c r="B55" s="1301" t="s">
        <v>684</v>
      </c>
      <c r="C55" s="1471">
        <f>+SUM(C24:C27)</f>
        <v>0</v>
      </c>
      <c r="D55" s="1471">
        <f>+SUM(D24:D27)</f>
        <v>0</v>
      </c>
      <c r="E55" s="1471">
        <v>0</v>
      </c>
      <c r="F55" s="1471">
        <v>0</v>
      </c>
      <c r="G55" s="1471">
        <f>SUM(C55:F55)</f>
        <v>0</v>
      </c>
    </row>
    <row r="56" spans="1:13" s="162" customFormat="1">
      <c r="A56" s="1171">
        <f t="shared" si="3"/>
        <v>19</v>
      </c>
      <c r="B56" s="1301" t="s">
        <v>685</v>
      </c>
      <c r="C56" s="1471">
        <f>+SUM(C28:C29)</f>
        <v>0</v>
      </c>
      <c r="D56" s="1471">
        <f>+SUM(D28:D29)</f>
        <v>0</v>
      </c>
      <c r="E56" s="1471">
        <v>0</v>
      </c>
      <c r="F56" s="1471">
        <v>0</v>
      </c>
      <c r="G56" s="1471">
        <f>SUM(C56:F56)</f>
        <v>0</v>
      </c>
    </row>
    <row r="57" spans="1:13" s="162" customFormat="1">
      <c r="A57" s="1171">
        <f t="shared" si="3"/>
        <v>20</v>
      </c>
      <c r="B57" s="1301" t="s">
        <v>686</v>
      </c>
      <c r="C57" s="1471">
        <f>+SUM(C30:C32)</f>
        <v>0</v>
      </c>
      <c r="D57" s="1471">
        <f>+SUM(D30:D31)</f>
        <v>0</v>
      </c>
      <c r="E57" s="1471">
        <v>0</v>
      </c>
      <c r="F57" s="1471">
        <v>0</v>
      </c>
      <c r="G57" s="1471">
        <f>SUM(C57:F57)</f>
        <v>0</v>
      </c>
    </row>
    <row r="58" spans="1:13" s="162" customFormat="1">
      <c r="A58" s="1171">
        <f t="shared" si="3"/>
        <v>21</v>
      </c>
      <c r="B58" s="1301" t="s">
        <v>687</v>
      </c>
      <c r="C58" s="1472">
        <f>SUM(C33:C38)</f>
        <v>8386.34</v>
      </c>
      <c r="D58" s="1472">
        <f>SUM(D33:D38)</f>
        <v>10263.780000000002</v>
      </c>
      <c r="E58" s="1472">
        <f>SUM(E35:E38)</f>
        <v>-479557.56</v>
      </c>
      <c r="F58" s="1472">
        <f>SUM(F35:F38)</f>
        <v>1609388.5000000002</v>
      </c>
      <c r="G58" s="1472">
        <f>SUM(C58:F58)</f>
        <v>1148481.0600000003</v>
      </c>
    </row>
    <row r="59" spans="1:13" s="162" customFormat="1" ht="13.8" thickBot="1">
      <c r="A59" s="1171">
        <f>A58+1</f>
        <v>22</v>
      </c>
      <c r="B59" s="1298" t="str">
        <f>B39</f>
        <v>Total  Sum Line 1 Subparts</v>
      </c>
      <c r="C59" s="1473">
        <f>SUM(C49:C58)</f>
        <v>11266.48</v>
      </c>
      <c r="D59" s="1473">
        <f>SUM(D49:D58)</f>
        <v>10368.710000000003</v>
      </c>
      <c r="E59" s="1473">
        <f>SUM(E49:E58)</f>
        <v>-479557.56</v>
      </c>
      <c r="F59" s="1473">
        <f>SUM(F49:F58)</f>
        <v>1637937.4600000002</v>
      </c>
      <c r="G59" s="1473">
        <f>SUM(G49:G58)</f>
        <v>1180015.0900000003</v>
      </c>
    </row>
    <row r="60" spans="1:13" s="162" customFormat="1" ht="13.8" thickTop="1">
      <c r="A60" s="1175">
        <f>A59+1</f>
        <v>23</v>
      </c>
      <c r="B60" s="1298"/>
      <c r="C60" s="1298"/>
      <c r="D60" s="1298"/>
      <c r="E60" s="1298"/>
      <c r="F60" s="1298"/>
      <c r="G60" s="1311"/>
      <c r="H60" s="1308"/>
    </row>
    <row r="61" spans="1:13" s="162" customFormat="1">
      <c r="A61" s="1175">
        <f>A60+1</f>
        <v>24</v>
      </c>
      <c r="B61" s="1297" t="s">
        <v>963</v>
      </c>
      <c r="C61" s="1308">
        <f>SUM(C49:C51)</f>
        <v>2880.1400000000003</v>
      </c>
      <c r="D61" s="1308">
        <f>SUM(D49:D57)</f>
        <v>104.92999999999998</v>
      </c>
      <c r="E61" s="1308"/>
      <c r="F61" s="1308"/>
      <c r="G61" s="1308"/>
      <c r="H61" s="161"/>
    </row>
    <row r="62" spans="1:13" s="162" customFormat="1">
      <c r="A62" s="1175"/>
      <c r="B62" s="1297"/>
      <c r="C62" s="1308"/>
      <c r="D62" s="1308"/>
      <c r="E62" s="1308"/>
      <c r="F62" s="1308"/>
      <c r="G62" s="1308"/>
      <c r="H62" s="161"/>
    </row>
    <row r="63" spans="1:13" s="162" customFormat="1">
      <c r="A63" s="162" t="s">
        <v>190</v>
      </c>
      <c r="B63" s="584"/>
      <c r="C63" s="270"/>
      <c r="D63" s="270"/>
      <c r="E63" s="270"/>
      <c r="F63" s="270"/>
      <c r="G63" s="270"/>
      <c r="H63" s="161"/>
      <c r="K63" s="161"/>
      <c r="M63" s="161"/>
    </row>
    <row r="64" spans="1:13">
      <c r="A64" s="1066" t="s">
        <v>167</v>
      </c>
      <c r="B64" s="610" t="s">
        <v>964</v>
      </c>
      <c r="C64" s="610"/>
      <c r="D64" s="610"/>
      <c r="E64" s="610"/>
      <c r="F64" s="610"/>
      <c r="G64" s="610"/>
      <c r="I64" s="162"/>
      <c r="J64" s="162"/>
    </row>
    <row r="65" spans="1:10">
      <c r="A65" s="1066" t="s">
        <v>320</v>
      </c>
      <c r="B65" s="161" t="s">
        <v>1121</v>
      </c>
      <c r="C65" s="1176"/>
      <c r="D65" s="1176"/>
      <c r="E65" s="1176"/>
      <c r="F65" s="1176"/>
      <c r="G65" s="1176"/>
      <c r="I65" s="162"/>
      <c r="J65" s="162"/>
    </row>
    <row r="66" spans="1:10">
      <c r="A66" s="161"/>
      <c r="I66" s="162"/>
      <c r="J66" s="162"/>
    </row>
    <row r="67" spans="1:10">
      <c r="A67" s="161"/>
      <c r="I67" s="162"/>
      <c r="J67" s="162"/>
    </row>
    <row r="215" spans="7:7">
      <c r="G215" s="162"/>
    </row>
  </sheetData>
  <mergeCells count="3">
    <mergeCell ref="A1:G1"/>
    <mergeCell ref="A2:G2"/>
    <mergeCell ref="A3:G3"/>
  </mergeCells>
  <printOptions horizontalCentered="1"/>
  <pageMargins left="0.7" right="0.7" top="0.7" bottom="0.7" header="0.3" footer="0.5"/>
  <pageSetup scale="80" orientation="portrait" r:id="rId1"/>
  <headerFooter>
    <oddFooter>&amp;R&amp;A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3"/>
  <sheetViews>
    <sheetView workbookViewId="0">
      <selection activeCell="L6" sqref="L6"/>
    </sheetView>
  </sheetViews>
  <sheetFormatPr defaultColWidth="8.88671875" defaultRowHeight="13.2"/>
  <cols>
    <col min="1" max="1" width="5.33203125" style="1177" customWidth="1"/>
    <col min="2" max="2" width="47.6640625" style="161" customWidth="1"/>
    <col min="3" max="3" width="17.6640625" style="161" customWidth="1"/>
    <col min="4" max="4" width="15.33203125" style="161" customWidth="1"/>
    <col min="5" max="5" width="17.109375" style="161" customWidth="1"/>
    <col min="6" max="7" width="8.88671875" style="161"/>
    <col min="8" max="8" width="10.88671875" style="161" bestFit="1" customWidth="1"/>
    <col min="9" max="16384" width="8.88671875" style="161"/>
  </cols>
  <sheetData>
    <row r="1" spans="1:12">
      <c r="A1" s="2390" t="s">
        <v>958</v>
      </c>
      <c r="B1" s="2390"/>
      <c r="C1" s="2390"/>
      <c r="D1" s="2390"/>
      <c r="E1" s="2390"/>
      <c r="F1" s="780"/>
      <c r="H1" s="1295"/>
    </row>
    <row r="2" spans="1:12">
      <c r="A2" s="2327" t="s">
        <v>954</v>
      </c>
      <c r="B2" s="2327"/>
      <c r="C2" s="2327"/>
      <c r="D2" s="2327"/>
      <c r="E2" s="2327"/>
      <c r="F2" s="1170"/>
    </row>
    <row r="3" spans="1:12" ht="13.2" customHeight="1">
      <c r="A3" s="2390" t="s">
        <v>816</v>
      </c>
      <c r="B3" s="2390"/>
      <c r="C3" s="2390"/>
      <c r="D3" s="2390"/>
      <c r="E3" s="2390"/>
      <c r="F3" s="2464" t="s">
        <v>1541</v>
      </c>
      <c r="G3" s="2464"/>
      <c r="H3" s="2464"/>
      <c r="I3" s="2464"/>
    </row>
    <row r="4" spans="1:12">
      <c r="A4" s="171"/>
      <c r="B4" s="171"/>
      <c r="C4" s="171"/>
      <c r="D4" s="171"/>
      <c r="E4" s="171"/>
      <c r="F4" s="2464"/>
      <c r="G4" s="2464"/>
      <c r="H4" s="2464"/>
      <c r="I4" s="2464"/>
    </row>
    <row r="5" spans="1:12">
      <c r="A5" s="1588"/>
      <c r="B5" s="783"/>
      <c r="C5" s="565"/>
      <c r="D5" s="565"/>
      <c r="E5" s="565" t="s">
        <v>668</v>
      </c>
      <c r="F5" s="2464"/>
      <c r="G5" s="2464"/>
      <c r="H5" s="2464"/>
      <c r="I5" s="2464"/>
    </row>
    <row r="6" spans="1:12">
      <c r="A6" s="1709" t="s">
        <v>280</v>
      </c>
      <c r="B6" s="1588" t="s">
        <v>67</v>
      </c>
      <c r="C6" s="1588" t="s">
        <v>114</v>
      </c>
      <c r="D6" s="1588" t="s">
        <v>55</v>
      </c>
      <c r="E6" s="1704" t="s">
        <v>68</v>
      </c>
    </row>
    <row r="7" spans="1:12" ht="13.2" customHeight="1">
      <c r="A7" s="1182">
        <v>1</v>
      </c>
      <c r="B7" s="1083" t="s">
        <v>171</v>
      </c>
      <c r="C7" s="1083" t="s">
        <v>822</v>
      </c>
      <c r="D7" s="1083" t="s">
        <v>823</v>
      </c>
      <c r="E7" s="1083" t="s">
        <v>521</v>
      </c>
    </row>
    <row r="8" spans="1:12">
      <c r="A8" s="1707">
        <f>+A7+0.01</f>
        <v>1.01</v>
      </c>
      <c r="B8" s="545" t="s">
        <v>1603</v>
      </c>
      <c r="C8" s="199">
        <v>0</v>
      </c>
      <c r="D8" s="199">
        <f>IFERROR(INDEX(#REF!,MATCH(B8,#REF!,0)),0)</f>
        <v>0</v>
      </c>
      <c r="E8" s="74">
        <f>+C8+D8</f>
        <v>0</v>
      </c>
      <c r="F8" s="1294"/>
      <c r="H8" s="1294"/>
      <c r="I8" s="1294"/>
      <c r="K8" s="1461" t="s">
        <v>1410</v>
      </c>
    </row>
    <row r="9" spans="1:12" s="1294" customFormat="1">
      <c r="A9" s="1707">
        <f>+A8+0.01</f>
        <v>1.02</v>
      </c>
      <c r="B9" s="545" t="s">
        <v>1604</v>
      </c>
      <c r="C9" s="199">
        <v>0</v>
      </c>
      <c r="D9" s="199">
        <f>IFERROR(INDEX(#REF!,MATCH(B9,#REF!,0)),0)</f>
        <v>0</v>
      </c>
      <c r="E9" s="74">
        <f>+C9+D9</f>
        <v>0</v>
      </c>
      <c r="F9" s="585"/>
      <c r="H9" s="162"/>
      <c r="I9" s="162"/>
      <c r="K9" s="1461" t="s">
        <v>1392</v>
      </c>
      <c r="L9" s="2232"/>
    </row>
    <row r="10" spans="1:12" s="162" customFormat="1">
      <c r="A10" s="1707">
        <f>+A8+0.01</f>
        <v>1.02</v>
      </c>
      <c r="B10" s="545" t="s">
        <v>1636</v>
      </c>
      <c r="C10" s="199">
        <v>0</v>
      </c>
      <c r="D10" s="199">
        <f>IFERROR(INDEX(#REF!,MATCH(B10,#REF!,0)),0)</f>
        <v>0</v>
      </c>
      <c r="E10" s="74">
        <f t="shared" ref="E10:E31" si="0">+C10+D10</f>
        <v>0</v>
      </c>
      <c r="F10" s="585"/>
      <c r="K10" s="1461" t="s">
        <v>1393</v>
      </c>
    </row>
    <row r="11" spans="1:12" s="162" customFormat="1">
      <c r="A11" s="1707">
        <f t="shared" ref="A11:A31" si="1">+A10+0.01</f>
        <v>1.03</v>
      </c>
      <c r="B11" s="545" t="s">
        <v>1637</v>
      </c>
      <c r="C11" s="199">
        <v>0</v>
      </c>
      <c r="D11" s="199">
        <f>IFERROR(INDEX(#REF!,MATCH(B11,#REF!,0)),0)</f>
        <v>0</v>
      </c>
      <c r="E11" s="74">
        <f t="shared" si="0"/>
        <v>0</v>
      </c>
      <c r="F11" s="585"/>
      <c r="K11" s="1461" t="s">
        <v>1394</v>
      </c>
    </row>
    <row r="12" spans="1:12" s="162" customFormat="1">
      <c r="A12" s="1707">
        <f t="shared" si="1"/>
        <v>1.04</v>
      </c>
      <c r="B12" s="545" t="s">
        <v>1607</v>
      </c>
      <c r="C12" s="199">
        <v>0</v>
      </c>
      <c r="D12" s="199">
        <f>IFERROR(INDEX(#REF!,MATCH(B12,#REF!,0)),0)</f>
        <v>0</v>
      </c>
      <c r="E12" s="74">
        <f t="shared" si="0"/>
        <v>0</v>
      </c>
      <c r="F12" s="585"/>
      <c r="K12" s="1461" t="s">
        <v>1421</v>
      </c>
    </row>
    <row r="13" spans="1:12" s="162" customFormat="1">
      <c r="A13" s="1707">
        <f t="shared" si="1"/>
        <v>1.05</v>
      </c>
      <c r="B13" s="545" t="s">
        <v>1608</v>
      </c>
      <c r="C13" s="199">
        <v>0</v>
      </c>
      <c r="D13" s="199">
        <f>IFERROR(INDEX(#REF!,MATCH(B13,#REF!,0)),0)</f>
        <v>0</v>
      </c>
      <c r="E13" s="74">
        <f t="shared" si="0"/>
        <v>0</v>
      </c>
      <c r="F13" s="585"/>
      <c r="K13" s="1461" t="s">
        <v>1422</v>
      </c>
    </row>
    <row r="14" spans="1:12" s="162" customFormat="1">
      <c r="A14" s="1707">
        <f t="shared" si="1"/>
        <v>1.06</v>
      </c>
      <c r="B14" s="545" t="s">
        <v>1609</v>
      </c>
      <c r="C14" s="199">
        <v>0</v>
      </c>
      <c r="D14" s="199">
        <f>IFERROR(INDEX(#REF!,MATCH(B14,#REF!,0)),0)</f>
        <v>0</v>
      </c>
      <c r="E14" s="74">
        <f t="shared" si="0"/>
        <v>0</v>
      </c>
      <c r="F14" s="585"/>
      <c r="K14" s="1461" t="s">
        <v>1423</v>
      </c>
    </row>
    <row r="15" spans="1:12" s="162" customFormat="1">
      <c r="A15" s="1707">
        <f t="shared" si="1"/>
        <v>1.07</v>
      </c>
      <c r="B15" s="545" t="s">
        <v>1610</v>
      </c>
      <c r="C15" s="199">
        <v>0</v>
      </c>
      <c r="D15" s="199">
        <f>IFERROR(INDEX(#REF!,MATCH(B15,#REF!,0)),0)</f>
        <v>0</v>
      </c>
      <c r="E15" s="74">
        <f t="shared" si="0"/>
        <v>0</v>
      </c>
      <c r="F15" s="585"/>
      <c r="K15" s="1461" t="s">
        <v>1424</v>
      </c>
    </row>
    <row r="16" spans="1:12" s="162" customFormat="1">
      <c r="A16" s="1707">
        <f t="shared" si="1"/>
        <v>1.08</v>
      </c>
      <c r="B16" s="545" t="s">
        <v>1567</v>
      </c>
      <c r="C16" s="199">
        <v>0</v>
      </c>
      <c r="D16" s="199">
        <f>IFERROR(INDEX(#REF!,MATCH(B16,#REF!,0)),0)</f>
        <v>0</v>
      </c>
      <c r="E16" s="74">
        <f t="shared" si="0"/>
        <v>0</v>
      </c>
      <c r="F16" s="585"/>
      <c r="K16" s="1461" t="s">
        <v>1425</v>
      </c>
    </row>
    <row r="17" spans="1:11" s="162" customFormat="1">
      <c r="A17" s="1707">
        <f t="shared" si="1"/>
        <v>1.0900000000000001</v>
      </c>
      <c r="B17" s="545" t="s">
        <v>1638</v>
      </c>
      <c r="C17" s="199">
        <v>0</v>
      </c>
      <c r="D17" s="199">
        <f>IFERROR(INDEX(#REF!,MATCH(B17,#REF!,0)),0)</f>
        <v>0</v>
      </c>
      <c r="E17" s="74">
        <f t="shared" si="0"/>
        <v>0</v>
      </c>
      <c r="F17" s="585"/>
      <c r="K17" s="1461" t="s">
        <v>1400</v>
      </c>
    </row>
    <row r="18" spans="1:11" s="162" customFormat="1">
      <c r="A18" s="1707">
        <f t="shared" si="1"/>
        <v>1.1000000000000001</v>
      </c>
      <c r="B18" s="545" t="s">
        <v>1639</v>
      </c>
      <c r="C18" s="199">
        <f>IFERROR(INDEX(#REF!,MATCH($B18,#REF!,0)),0)</f>
        <v>0</v>
      </c>
      <c r="D18" s="199">
        <v>374707</v>
      </c>
      <c r="E18" s="74">
        <f t="shared" si="0"/>
        <v>374707</v>
      </c>
      <c r="F18" s="585" t="s">
        <v>2263</v>
      </c>
      <c r="K18" s="1461" t="s">
        <v>1401</v>
      </c>
    </row>
    <row r="19" spans="1:11" s="162" customFormat="1">
      <c r="A19" s="1707">
        <f t="shared" si="1"/>
        <v>1.1100000000000001</v>
      </c>
      <c r="B19" s="545" t="s">
        <v>1611</v>
      </c>
      <c r="C19" s="199">
        <v>0</v>
      </c>
      <c r="D19" s="199">
        <f>IFERROR(INDEX(#REF!,MATCH(B19,#REF!,0)),0)</f>
        <v>0</v>
      </c>
      <c r="E19" s="74">
        <f t="shared" si="0"/>
        <v>0</v>
      </c>
      <c r="F19" s="585"/>
      <c r="K19" s="1461" t="s">
        <v>1426</v>
      </c>
    </row>
    <row r="20" spans="1:11" s="162" customFormat="1">
      <c r="A20" s="1707">
        <f t="shared" si="1"/>
        <v>1.1200000000000001</v>
      </c>
      <c r="B20" s="545" t="s">
        <v>1612</v>
      </c>
      <c r="C20" s="199">
        <v>0</v>
      </c>
      <c r="D20" s="199">
        <f>IFERROR(INDEX(#REF!,MATCH(B20,#REF!,0)),0)</f>
        <v>0</v>
      </c>
      <c r="E20" s="74">
        <f t="shared" si="0"/>
        <v>0</v>
      </c>
      <c r="F20" s="585"/>
      <c r="K20" s="1461" t="s">
        <v>1427</v>
      </c>
    </row>
    <row r="21" spans="1:11" s="162" customFormat="1">
      <c r="A21" s="1707">
        <f t="shared" si="1"/>
        <v>1.1300000000000001</v>
      </c>
      <c r="B21" s="545" t="s">
        <v>1640</v>
      </c>
      <c r="C21" s="199">
        <v>0</v>
      </c>
      <c r="D21" s="199">
        <f>IFERROR(INDEX(#REF!,MATCH(B21,#REF!,0)),0)</f>
        <v>0</v>
      </c>
      <c r="E21" s="74">
        <f t="shared" si="0"/>
        <v>0</v>
      </c>
      <c r="F21" s="585"/>
      <c r="K21" s="1461" t="s">
        <v>1411</v>
      </c>
    </row>
    <row r="22" spans="1:11" s="162" customFormat="1">
      <c r="A22" s="1707">
        <f t="shared" si="1"/>
        <v>1.1400000000000001</v>
      </c>
      <c r="B22" s="545" t="s">
        <v>1641</v>
      </c>
      <c r="C22" s="199">
        <v>0</v>
      </c>
      <c r="D22" s="199">
        <f>IFERROR(INDEX(#REF!,MATCH(B22,#REF!,0)),0)</f>
        <v>0</v>
      </c>
      <c r="E22" s="74">
        <f t="shared" si="0"/>
        <v>0</v>
      </c>
      <c r="F22" s="585"/>
      <c r="K22" s="1461" t="s">
        <v>1412</v>
      </c>
    </row>
    <row r="23" spans="1:11" s="162" customFormat="1">
      <c r="A23" s="1707">
        <f t="shared" si="1"/>
        <v>1.1500000000000001</v>
      </c>
      <c r="B23" s="545" t="s">
        <v>1642</v>
      </c>
      <c r="C23" s="199">
        <v>0</v>
      </c>
      <c r="D23" s="199">
        <f>IFERROR(INDEX(#REF!,MATCH(B23,#REF!,0)),0)</f>
        <v>0</v>
      </c>
      <c r="E23" s="74">
        <f t="shared" si="0"/>
        <v>0</v>
      </c>
      <c r="F23" s="585"/>
      <c r="H23" s="173"/>
      <c r="K23" s="1461" t="s">
        <v>1413</v>
      </c>
    </row>
    <row r="24" spans="1:11" s="162" customFormat="1">
      <c r="A24" s="1707">
        <f t="shared" si="1"/>
        <v>1.1600000000000001</v>
      </c>
      <c r="B24" s="545" t="s">
        <v>1643</v>
      </c>
      <c r="C24" s="199">
        <v>0</v>
      </c>
      <c r="D24" s="199">
        <f>IFERROR(INDEX(#REF!,MATCH(B24,#REF!,0)),0)</f>
        <v>0</v>
      </c>
      <c r="E24" s="74">
        <f t="shared" si="0"/>
        <v>0</v>
      </c>
      <c r="F24" s="585"/>
      <c r="H24" s="174"/>
      <c r="K24" s="1461" t="s">
        <v>1414</v>
      </c>
    </row>
    <row r="25" spans="1:11" s="162" customFormat="1">
      <c r="A25" s="1707">
        <f t="shared" si="1"/>
        <v>1.1700000000000002</v>
      </c>
      <c r="B25" s="545" t="s">
        <v>1617</v>
      </c>
      <c r="C25" s="199">
        <v>0</v>
      </c>
      <c r="D25" s="199">
        <f>IFERROR(INDEX(#REF!,MATCH(B25,#REF!,0)),0)</f>
        <v>0</v>
      </c>
      <c r="E25" s="74">
        <f t="shared" si="0"/>
        <v>0</v>
      </c>
      <c r="F25" s="585"/>
      <c r="K25" s="1461" t="s">
        <v>1428</v>
      </c>
    </row>
    <row r="26" spans="1:11" s="162" customFormat="1">
      <c r="A26" s="1707">
        <f t="shared" si="1"/>
        <v>1.1800000000000002</v>
      </c>
      <c r="B26" s="545" t="s">
        <v>1618</v>
      </c>
      <c r="C26" s="199">
        <v>0</v>
      </c>
      <c r="D26" s="199">
        <f>IFERROR(INDEX(#REF!,MATCH(B26,#REF!,0)),0)</f>
        <v>0</v>
      </c>
      <c r="E26" s="74">
        <f t="shared" si="0"/>
        <v>0</v>
      </c>
      <c r="F26" s="585"/>
      <c r="K26" s="1461" t="s">
        <v>1404</v>
      </c>
    </row>
    <row r="27" spans="1:11" s="162" customFormat="1">
      <c r="A27" s="1707">
        <f t="shared" si="1"/>
        <v>1.1900000000000002</v>
      </c>
      <c r="B27" s="545" t="s">
        <v>1619</v>
      </c>
      <c r="C27" s="199">
        <v>0</v>
      </c>
      <c r="D27" s="199">
        <f>IFERROR(INDEX(#REF!,MATCH(B27,#REF!,0)),0)</f>
        <v>0</v>
      </c>
      <c r="E27" s="74">
        <f t="shared" si="0"/>
        <v>0</v>
      </c>
      <c r="F27" s="919"/>
      <c r="K27" s="1461" t="s">
        <v>1405</v>
      </c>
    </row>
    <row r="28" spans="1:11" s="162" customFormat="1">
      <c r="A28" s="1707">
        <f t="shared" si="1"/>
        <v>1.2000000000000002</v>
      </c>
      <c r="B28" s="545" t="s">
        <v>1620</v>
      </c>
      <c r="C28" s="199">
        <v>0</v>
      </c>
      <c r="D28" s="199">
        <f>IFERROR(INDEX(#REF!,MATCH(B28,#REF!,0)),0)</f>
        <v>0</v>
      </c>
      <c r="E28" s="74">
        <f t="shared" si="0"/>
        <v>0</v>
      </c>
      <c r="F28" s="919"/>
      <c r="K28" s="1461" t="s">
        <v>1406</v>
      </c>
    </row>
    <row r="29" spans="1:11" s="162" customFormat="1">
      <c r="A29" s="1707">
        <f t="shared" si="1"/>
        <v>1.2100000000000002</v>
      </c>
      <c r="B29" s="545" t="s">
        <v>1621</v>
      </c>
      <c r="C29" s="199">
        <v>0</v>
      </c>
      <c r="D29" s="199">
        <f>IFERROR(INDEX(#REF!,MATCH(B29,#REF!,0)),0)</f>
        <v>0</v>
      </c>
      <c r="E29" s="74">
        <f t="shared" si="0"/>
        <v>0</v>
      </c>
      <c r="F29" s="585"/>
      <c r="K29" s="1461" t="s">
        <v>1407</v>
      </c>
    </row>
    <row r="30" spans="1:11" s="162" customFormat="1">
      <c r="A30" s="1707">
        <f t="shared" si="1"/>
        <v>1.2200000000000002</v>
      </c>
      <c r="B30" s="545" t="s">
        <v>1622</v>
      </c>
      <c r="C30" s="199">
        <v>0</v>
      </c>
      <c r="D30" s="199">
        <f>IFERROR(INDEX(#REF!,MATCH(B30,#REF!,0)),0)</f>
        <v>0</v>
      </c>
      <c r="E30" s="74">
        <f t="shared" si="0"/>
        <v>0</v>
      </c>
      <c r="F30" s="585"/>
      <c r="K30" s="1461" t="s">
        <v>1429</v>
      </c>
    </row>
    <row r="31" spans="1:11" s="162" customFormat="1">
      <c r="A31" s="1172">
        <f t="shared" si="1"/>
        <v>1.2300000000000002</v>
      </c>
      <c r="B31" s="1461" t="s">
        <v>1623</v>
      </c>
      <c r="C31" s="199">
        <v>0</v>
      </c>
      <c r="D31" s="1528">
        <f>IFERROR(INDEX(#REF!,MATCH(B31,#REF!,0)),0)</f>
        <v>0</v>
      </c>
      <c r="E31" s="74">
        <f t="shared" si="0"/>
        <v>0</v>
      </c>
      <c r="F31" s="585"/>
      <c r="K31" s="1461" t="s">
        <v>1430</v>
      </c>
    </row>
    <row r="32" spans="1:11" s="162" customFormat="1" ht="13.8" thickBot="1">
      <c r="A32" s="1297">
        <f>+A7+1</f>
        <v>2</v>
      </c>
      <c r="B32" s="1298" t="str">
        <f>+"Total  (Sum of Line "&amp;A7&amp; " Subparts)"</f>
        <v>Total  (Sum of Line 1 Subparts)</v>
      </c>
      <c r="C32" s="1299">
        <f>SUM(C8:C31)</f>
        <v>0</v>
      </c>
      <c r="D32" s="1299">
        <f>SUM(D8:D31)</f>
        <v>374707</v>
      </c>
      <c r="E32" s="973">
        <f>SUM(E8:E31)</f>
        <v>374707</v>
      </c>
      <c r="F32" s="585"/>
    </row>
    <row r="33" spans="1:9" s="162" customFormat="1" ht="13.8" thickTop="1">
      <c r="A33" s="1175">
        <f t="shared" ref="A33:A52" si="2">+A32+1</f>
        <v>3</v>
      </c>
      <c r="B33" s="1298"/>
      <c r="C33" s="1298"/>
      <c r="D33" s="1298"/>
      <c r="E33" s="1300"/>
      <c r="F33" s="585"/>
    </row>
    <row r="34" spans="1:9" s="162" customFormat="1">
      <c r="A34" s="1175">
        <f t="shared" si="2"/>
        <v>4</v>
      </c>
      <c r="B34" s="1298" t="s">
        <v>570</v>
      </c>
      <c r="C34" s="1298"/>
      <c r="D34" s="1298"/>
      <c r="E34" s="1300"/>
      <c r="F34" s="585"/>
    </row>
    <row r="35" spans="1:9" s="162" customFormat="1">
      <c r="A35" s="1175">
        <f t="shared" si="2"/>
        <v>5</v>
      </c>
      <c r="B35" s="1301" t="s">
        <v>667</v>
      </c>
      <c r="C35" s="1302">
        <v>0</v>
      </c>
      <c r="D35" s="1302">
        <v>0</v>
      </c>
      <c r="E35" s="1302">
        <f>SUM(C35:D35)</f>
        <v>0</v>
      </c>
      <c r="F35" s="585"/>
    </row>
    <row r="36" spans="1:9" s="162" customFormat="1" ht="15">
      <c r="A36" s="1175">
        <f t="shared" si="2"/>
        <v>6</v>
      </c>
      <c r="B36" s="1301" t="s">
        <v>513</v>
      </c>
      <c r="C36" s="638">
        <v>0</v>
      </c>
      <c r="D36" s="638">
        <v>0</v>
      </c>
      <c r="E36" s="638">
        <f>SUM(C36:D36)</f>
        <v>0</v>
      </c>
      <c r="F36" s="585"/>
    </row>
    <row r="37" spans="1:9" s="162" customFormat="1">
      <c r="A37" s="1175">
        <f t="shared" si="2"/>
        <v>7</v>
      </c>
      <c r="B37" s="1297" t="str">
        <f>+"Total Lines "&amp;A35&amp;" + "&amp;A36</f>
        <v>Total Lines 5 + 6</v>
      </c>
      <c r="C37" s="1302">
        <f>SUM(C35:C36)</f>
        <v>0</v>
      </c>
      <c r="D37" s="1302">
        <f>SUM(D35:D36)</f>
        <v>0</v>
      </c>
      <c r="E37" s="1302">
        <f>SUM(E35:E36)</f>
        <v>0</v>
      </c>
      <c r="F37" s="585"/>
    </row>
    <row r="38" spans="1:9" s="162" customFormat="1" ht="15">
      <c r="A38" s="1175">
        <f t="shared" si="2"/>
        <v>8</v>
      </c>
      <c r="B38" s="1298" t="s">
        <v>817</v>
      </c>
      <c r="C38" s="638">
        <f>+SUM(C16:C20)-C37</f>
        <v>0</v>
      </c>
      <c r="D38" s="638">
        <f>+SUM(D16:D20)-D37</f>
        <v>374707</v>
      </c>
      <c r="E38" s="638">
        <f>+C38+D38</f>
        <v>374707</v>
      </c>
      <c r="F38" s="585"/>
      <c r="G38" s="1303"/>
    </row>
    <row r="39" spans="1:9" s="162" customFormat="1">
      <c r="A39" s="1175">
        <f t="shared" si="2"/>
        <v>9</v>
      </c>
      <c r="B39" s="1298" t="s">
        <v>955</v>
      </c>
      <c r="C39" s="1302">
        <f>+C37+C38</f>
        <v>0</v>
      </c>
      <c r="D39" s="1302">
        <f>+D37+D38</f>
        <v>374707</v>
      </c>
      <c r="E39" s="1302">
        <f>+E37+E38</f>
        <v>374707</v>
      </c>
      <c r="F39" s="585"/>
    </row>
    <row r="40" spans="1:9" s="162" customFormat="1">
      <c r="A40" s="1175">
        <f t="shared" si="2"/>
        <v>10</v>
      </c>
      <c r="B40" s="1298"/>
      <c r="C40" s="1304"/>
      <c r="D40" s="1304"/>
      <c r="E40" s="74"/>
      <c r="F40" s="585"/>
    </row>
    <row r="41" spans="1:9" s="162" customFormat="1">
      <c r="A41" s="1175">
        <f t="shared" si="2"/>
        <v>11</v>
      </c>
      <c r="B41" s="1298" t="s">
        <v>51</v>
      </c>
      <c r="C41" s="1302"/>
      <c r="D41" s="1302"/>
      <c r="E41" s="1302"/>
      <c r="F41" s="585"/>
    </row>
    <row r="42" spans="1:9" s="162" customFormat="1">
      <c r="A42" s="1175">
        <f t="shared" si="2"/>
        <v>12</v>
      </c>
      <c r="B42" s="1301" t="s">
        <v>690</v>
      </c>
      <c r="C42" s="1302">
        <f>+C8</f>
        <v>0</v>
      </c>
      <c r="D42" s="1302">
        <f>+D8</f>
        <v>0</v>
      </c>
      <c r="E42" s="1305">
        <f t="shared" ref="E42:E43" si="3">+C42+D42</f>
        <v>0</v>
      </c>
      <c r="F42" s="1300"/>
      <c r="G42" s="1173"/>
      <c r="H42" s="1173"/>
      <c r="I42" s="1173"/>
    </row>
    <row r="43" spans="1:9" s="1173" customFormat="1">
      <c r="A43" s="1175">
        <f t="shared" si="2"/>
        <v>13</v>
      </c>
      <c r="B43" s="1301" t="s">
        <v>689</v>
      </c>
      <c r="C43" s="1305">
        <v>0</v>
      </c>
      <c r="D43" s="1305">
        <v>0</v>
      </c>
      <c r="E43" s="1305">
        <f t="shared" si="3"/>
        <v>0</v>
      </c>
      <c r="F43" s="1300"/>
    </row>
    <row r="44" spans="1:9" s="1173" customFormat="1">
      <c r="A44" s="1175">
        <f t="shared" si="2"/>
        <v>14</v>
      </c>
      <c r="B44" s="1301" t="s">
        <v>688</v>
      </c>
      <c r="C44" s="1305">
        <f>+C8</f>
        <v>0</v>
      </c>
      <c r="D44" s="1305">
        <f>+D8</f>
        <v>0</v>
      </c>
      <c r="E44" s="1305">
        <f>+C44+D44</f>
        <v>0</v>
      </c>
      <c r="F44" s="1302"/>
    </row>
    <row r="45" spans="1:9" s="1173" customFormat="1" ht="15">
      <c r="A45" s="1175">
        <f t="shared" si="2"/>
        <v>15</v>
      </c>
      <c r="B45" s="1301" t="s">
        <v>682</v>
      </c>
      <c r="C45" s="1302">
        <f>+SUM(C10:C15)</f>
        <v>0</v>
      </c>
      <c r="D45" s="1302">
        <f>+SUM(D10:D15)</f>
        <v>0</v>
      </c>
      <c r="E45" s="1305">
        <f t="shared" ref="E45:E51" si="4">+C45+D45</f>
        <v>0</v>
      </c>
      <c r="F45" s="638"/>
    </row>
    <row r="46" spans="1:9" s="1173" customFormat="1">
      <c r="A46" s="1175">
        <f t="shared" si="2"/>
        <v>16</v>
      </c>
      <c r="B46" s="1301" t="s">
        <v>681</v>
      </c>
      <c r="C46" s="1302">
        <f>+SUM(C16:C20)</f>
        <v>0</v>
      </c>
      <c r="D46" s="1302">
        <f>+SUM(D16:D20)</f>
        <v>374707</v>
      </c>
      <c r="E46" s="1305">
        <f t="shared" si="4"/>
        <v>374707</v>
      </c>
      <c r="F46" s="1302"/>
    </row>
    <row r="47" spans="1:9" s="1174" customFormat="1">
      <c r="A47" s="1175">
        <f t="shared" si="2"/>
        <v>17</v>
      </c>
      <c r="B47" s="1301" t="s">
        <v>683</v>
      </c>
      <c r="C47" s="1302"/>
      <c r="D47" s="1302"/>
      <c r="E47" s="1305">
        <f t="shared" si="4"/>
        <v>0</v>
      </c>
      <c r="F47" s="806"/>
    </row>
    <row r="48" spans="1:9" s="1173" customFormat="1">
      <c r="A48" s="1175">
        <f t="shared" si="2"/>
        <v>18</v>
      </c>
      <c r="B48" s="1301" t="s">
        <v>684</v>
      </c>
      <c r="C48" s="1302">
        <f>+SUM(C21:C23)</f>
        <v>0</v>
      </c>
      <c r="D48" s="1302">
        <f>+SUM(D21:D23)</f>
        <v>0</v>
      </c>
      <c r="E48" s="1305">
        <f t="shared" si="4"/>
        <v>0</v>
      </c>
      <c r="F48" s="1302"/>
    </row>
    <row r="49" spans="1:9" s="1173" customFormat="1">
      <c r="A49" s="1175">
        <f t="shared" si="2"/>
        <v>19</v>
      </c>
      <c r="B49" s="1301" t="s">
        <v>685</v>
      </c>
      <c r="C49" s="1302"/>
      <c r="D49" s="1302"/>
      <c r="E49" s="1305">
        <f t="shared" si="4"/>
        <v>0</v>
      </c>
      <c r="F49" s="585"/>
      <c r="G49" s="162"/>
      <c r="H49" s="162"/>
      <c r="I49" s="162"/>
    </row>
    <row r="50" spans="1:9" s="162" customFormat="1">
      <c r="A50" s="1175">
        <f t="shared" si="2"/>
        <v>20</v>
      </c>
      <c r="B50" s="1301" t="s">
        <v>686</v>
      </c>
      <c r="C50" s="1302">
        <f>+SUM(C24:C25)</f>
        <v>0</v>
      </c>
      <c r="D50" s="1302">
        <f>+SUM(D24:D25)</f>
        <v>0</v>
      </c>
      <c r="E50" s="1305">
        <f t="shared" si="4"/>
        <v>0</v>
      </c>
      <c r="F50" s="1296"/>
    </row>
    <row r="51" spans="1:9" s="162" customFormat="1">
      <c r="A51" s="1175">
        <f t="shared" si="2"/>
        <v>21</v>
      </c>
      <c r="B51" s="1301" t="s">
        <v>687</v>
      </c>
      <c r="C51" s="1306">
        <f>+SUM(C26:C31)</f>
        <v>0</v>
      </c>
      <c r="D51" s="1306">
        <f>+SUM(D26:D31)</f>
        <v>0</v>
      </c>
      <c r="E51" s="1306">
        <f t="shared" si="4"/>
        <v>0</v>
      </c>
    </row>
    <row r="52" spans="1:9" s="162" customFormat="1" ht="13.8" thickBot="1">
      <c r="A52" s="1175">
        <f t="shared" si="2"/>
        <v>22</v>
      </c>
      <c r="B52" s="1298" t="s">
        <v>956</v>
      </c>
      <c r="C52" s="1307">
        <f>SUM(C42:C51)</f>
        <v>0</v>
      </c>
      <c r="D52" s="1307">
        <f>SUM(D42:D51)</f>
        <v>374707</v>
      </c>
      <c r="E52" s="1307">
        <f>SUM(E42:E51)</f>
        <v>374707</v>
      </c>
    </row>
    <row r="53" spans="1:9" s="162" customFormat="1" ht="13.8" thickTop="1">
      <c r="A53" s="1175"/>
      <c r="B53" s="1297"/>
      <c r="C53" s="1308"/>
      <c r="D53" s="1308"/>
      <c r="E53" s="1308"/>
      <c r="F53" s="161"/>
    </row>
    <row r="54" spans="1:9" s="162" customFormat="1">
      <c r="A54" s="162" t="s">
        <v>190</v>
      </c>
      <c r="B54" s="584"/>
      <c r="C54" s="270"/>
      <c r="D54" s="270"/>
      <c r="E54" s="270"/>
      <c r="F54" s="161"/>
      <c r="G54" s="161"/>
      <c r="H54" s="161"/>
      <c r="I54" s="161"/>
    </row>
    <row r="55" spans="1:9">
      <c r="A55" s="1066" t="s">
        <v>167</v>
      </c>
      <c r="B55" s="610" t="s">
        <v>957</v>
      </c>
      <c r="C55" s="610"/>
      <c r="D55" s="610"/>
      <c r="E55" s="610"/>
    </row>
    <row r="56" spans="1:9">
      <c r="A56" s="161"/>
      <c r="C56" s="1176"/>
      <c r="D56" s="1176"/>
      <c r="E56" s="1176"/>
    </row>
    <row r="57" spans="1:9">
      <c r="A57" s="161"/>
    </row>
    <row r="58" spans="1:9">
      <c r="A58" s="161"/>
    </row>
    <row r="213" spans="7:7">
      <c r="G213" s="162"/>
    </row>
  </sheetData>
  <mergeCells count="4">
    <mergeCell ref="A1:E1"/>
    <mergeCell ref="A2:E2"/>
    <mergeCell ref="A3:E3"/>
    <mergeCell ref="F3:I5"/>
  </mergeCells>
  <printOptions horizontalCentered="1"/>
  <pageMargins left="0.5" right="0.5" top="0.5" bottom="0.75" header="0.3" footer="0.3"/>
  <pageSetup scale="90" orientation="portrait" r:id="rId1"/>
  <headerFooter>
    <oddFooter>&amp;RWP AJ5 Acadia PB2 Deferral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AL213"/>
  <sheetViews>
    <sheetView zoomScaleNormal="100" zoomScaleSheetLayoutView="80" workbookViewId="0">
      <selection activeCell="L6" sqref="L6"/>
    </sheetView>
  </sheetViews>
  <sheetFormatPr defaultColWidth="9.109375" defaultRowHeight="13.2"/>
  <cols>
    <col min="1" max="1" width="6.44140625" style="40" bestFit="1" customWidth="1"/>
    <col min="2" max="2" width="7.6640625" style="40" customWidth="1"/>
    <col min="3" max="3" width="8.6640625" style="39" customWidth="1"/>
    <col min="4" max="5" width="8.6640625" style="40" customWidth="1"/>
    <col min="6" max="6" width="17.6640625" style="40" customWidth="1"/>
    <col min="7" max="7" width="14.6640625" style="40" customWidth="1"/>
    <col min="8" max="9" width="15.6640625" style="40" customWidth="1"/>
    <col min="10" max="10" width="8.88671875" style="40"/>
    <col min="11" max="12" width="11.6640625" style="40" customWidth="1"/>
    <col min="13" max="13" width="12.44140625" style="40" bestFit="1" customWidth="1"/>
    <col min="14" max="16384" width="9.109375" style="61"/>
  </cols>
  <sheetData>
    <row r="1" spans="1:14">
      <c r="A1" s="2327" t="str">
        <f>+'MISO Cover'!C6</f>
        <v>Entergy Louisiana, LLC</v>
      </c>
      <c r="B1" s="2327"/>
      <c r="C1" s="2327"/>
      <c r="D1" s="2327"/>
      <c r="E1" s="2327"/>
      <c r="F1" s="2327"/>
      <c r="G1" s="2327"/>
      <c r="H1" s="2327"/>
      <c r="I1" s="2327"/>
    </row>
    <row r="2" spans="1:14">
      <c r="A2" s="2328" t="s">
        <v>1554</v>
      </c>
      <c r="B2" s="2328"/>
      <c r="C2" s="2328"/>
      <c r="D2" s="2328"/>
      <c r="E2" s="2328"/>
      <c r="F2" s="2328"/>
      <c r="G2" s="2328"/>
      <c r="H2" s="2328"/>
      <c r="I2" s="2328"/>
      <c r="K2" s="39"/>
      <c r="L2" s="39"/>
    </row>
    <row r="3" spans="1:14" s="75" customFormat="1">
      <c r="A3" s="2329" t="str">
        <f>+'MISO Cover'!K4</f>
        <v>For  the 12 Months Ended 12/31/2017</v>
      </c>
      <c r="B3" s="2329"/>
      <c r="C3" s="2329"/>
      <c r="D3" s="2329"/>
      <c r="E3" s="2329"/>
      <c r="F3" s="2329"/>
      <c r="G3" s="2329"/>
      <c r="H3" s="2329"/>
      <c r="I3" s="2329"/>
      <c r="J3" s="39"/>
      <c r="K3" s="39"/>
      <c r="L3" s="39"/>
      <c r="M3" s="39"/>
    </row>
    <row r="4" spans="1:14">
      <c r="A4" s="2327" t="s">
        <v>425</v>
      </c>
      <c r="B4" s="2327"/>
      <c r="C4" s="2327"/>
      <c r="D4" s="2327"/>
      <c r="E4" s="2327"/>
      <c r="F4" s="2327"/>
      <c r="G4" s="2327"/>
      <c r="H4" s="2327"/>
      <c r="I4" s="2327"/>
    </row>
    <row r="5" spans="1:14">
      <c r="A5" s="1588"/>
      <c r="B5" s="1588"/>
      <c r="C5" s="1588"/>
      <c r="D5" s="1588"/>
      <c r="E5" s="1588"/>
      <c r="F5" s="715"/>
      <c r="G5" s="715"/>
      <c r="H5" s="715"/>
      <c r="I5" s="715"/>
    </row>
    <row r="6" spans="1:14" s="75" customFormat="1">
      <c r="A6" s="467" t="s">
        <v>324</v>
      </c>
      <c r="B6" s="1602" t="s">
        <v>67</v>
      </c>
      <c r="C6" s="1602" t="s">
        <v>114</v>
      </c>
      <c r="D6" s="565" t="s">
        <v>55</v>
      </c>
      <c r="E6" s="1602" t="s">
        <v>68</v>
      </c>
      <c r="F6" s="566" t="s">
        <v>66</v>
      </c>
      <c r="G6" s="719" t="s">
        <v>154</v>
      </c>
      <c r="H6" s="719" t="s">
        <v>69</v>
      </c>
      <c r="I6" s="567" t="s">
        <v>166</v>
      </c>
      <c r="J6" s="40"/>
      <c r="K6" s="40"/>
      <c r="L6" s="40"/>
      <c r="M6" s="40"/>
      <c r="N6" s="211"/>
    </row>
    <row r="7" spans="1:14" s="75" customFormat="1">
      <c r="A7" s="467"/>
      <c r="B7" s="1602"/>
      <c r="C7" s="1602"/>
      <c r="D7" s="565"/>
      <c r="E7" s="1602"/>
      <c r="F7" s="566"/>
      <c r="G7" s="719"/>
      <c r="H7" s="719"/>
      <c r="I7" s="567"/>
      <c r="J7" s="40"/>
      <c r="K7" s="40"/>
      <c r="L7" s="40"/>
      <c r="M7" s="40"/>
      <c r="N7" s="211"/>
    </row>
    <row r="8" spans="1:14">
      <c r="A8" s="61"/>
      <c r="B8" s="39" t="s">
        <v>612</v>
      </c>
      <c r="C8" s="1588"/>
      <c r="D8" s="1588"/>
      <c r="E8" s="1588"/>
      <c r="F8" s="715"/>
      <c r="G8" s="715"/>
      <c r="H8" s="715"/>
      <c r="I8" s="715"/>
    </row>
    <row r="9" spans="1:14" ht="15">
      <c r="A9" s="827">
        <v>1</v>
      </c>
      <c r="B9" s="171" t="s">
        <v>1074</v>
      </c>
      <c r="C9" s="1588"/>
      <c r="D9" s="1588"/>
      <c r="E9" s="1588"/>
      <c r="F9" s="1248"/>
      <c r="G9" s="854" t="s">
        <v>146</v>
      </c>
      <c r="H9" s="2334" t="s">
        <v>139</v>
      </c>
      <c r="I9" s="2334"/>
      <c r="K9" s="466"/>
    </row>
    <row r="10" spans="1:14" s="255" customFormat="1" ht="15">
      <c r="A10" s="827">
        <f>+A9+1</f>
        <v>2</v>
      </c>
      <c r="B10" s="853" t="s">
        <v>27</v>
      </c>
      <c r="C10" s="1588"/>
      <c r="D10" s="1588"/>
      <c r="E10" s="1588"/>
      <c r="F10" s="1248"/>
      <c r="G10" s="199">
        <v>24409366.030000001</v>
      </c>
      <c r="H10" s="669"/>
      <c r="I10" s="669"/>
      <c r="J10" s="40"/>
      <c r="K10" s="466"/>
      <c r="L10" s="40"/>
      <c r="M10" s="40"/>
    </row>
    <row r="11" spans="1:14" s="255" customFormat="1" ht="15">
      <c r="A11" s="827">
        <f t="shared" ref="A11:A33" si="0">+A10+1</f>
        <v>3</v>
      </c>
      <c r="B11" s="853" t="s">
        <v>28</v>
      </c>
      <c r="C11" s="1588"/>
      <c r="D11" s="1588"/>
      <c r="E11" s="1588"/>
      <c r="F11" s="1248"/>
      <c r="G11" s="199">
        <v>18926015.879999999</v>
      </c>
      <c r="H11" s="669"/>
      <c r="I11" s="669"/>
      <c r="J11" s="40"/>
      <c r="K11" s="466"/>
      <c r="L11" s="40"/>
      <c r="M11" s="40"/>
    </row>
    <row r="12" spans="1:14" s="255" customFormat="1" ht="15">
      <c r="A12" s="827">
        <f t="shared" si="0"/>
        <v>4</v>
      </c>
      <c r="B12" s="853" t="s">
        <v>29</v>
      </c>
      <c r="C12" s="1588"/>
      <c r="D12" s="1588"/>
      <c r="E12" s="1588"/>
      <c r="F12" s="1248"/>
      <c r="G12" s="199">
        <v>24752210.98</v>
      </c>
      <c r="H12" s="669"/>
      <c r="I12" s="669"/>
      <c r="J12" s="40"/>
      <c r="K12" s="466"/>
      <c r="L12" s="40"/>
      <c r="M12" s="40"/>
    </row>
    <row r="13" spans="1:14" s="255" customFormat="1" ht="15">
      <c r="A13" s="827">
        <f t="shared" si="0"/>
        <v>5</v>
      </c>
      <c r="B13" s="853" t="s">
        <v>30</v>
      </c>
      <c r="C13" s="1588"/>
      <c r="D13" s="1588"/>
      <c r="E13" s="1588"/>
      <c r="F13" s="1248"/>
      <c r="G13" s="199">
        <v>24591021.140000001</v>
      </c>
      <c r="H13" s="669"/>
      <c r="I13" s="669"/>
      <c r="J13" s="40"/>
      <c r="K13" s="466"/>
      <c r="L13" s="40"/>
      <c r="M13" s="40"/>
    </row>
    <row r="14" spans="1:14" s="255" customFormat="1" ht="15">
      <c r="A14" s="827">
        <f t="shared" si="0"/>
        <v>6</v>
      </c>
      <c r="B14" s="853" t="s">
        <v>26</v>
      </c>
      <c r="C14" s="1588"/>
      <c r="D14" s="1588"/>
      <c r="E14" s="1588"/>
      <c r="F14" s="1248"/>
      <c r="G14" s="199">
        <v>25540908.489999998</v>
      </c>
      <c r="H14" s="669"/>
      <c r="I14" s="669"/>
      <c r="J14" s="40"/>
      <c r="K14" s="466"/>
      <c r="L14" s="40"/>
      <c r="M14" s="40"/>
    </row>
    <row r="15" spans="1:14" s="255" customFormat="1" ht="15">
      <c r="A15" s="827">
        <f t="shared" si="0"/>
        <v>7</v>
      </c>
      <c r="B15" s="853" t="s">
        <v>31</v>
      </c>
      <c r="C15" s="1588"/>
      <c r="D15" s="1588"/>
      <c r="E15" s="1588"/>
      <c r="F15" s="1248"/>
      <c r="G15" s="199">
        <v>22319789.829999998</v>
      </c>
      <c r="H15" s="669"/>
      <c r="I15" s="669"/>
      <c r="J15" s="40"/>
      <c r="K15" s="466"/>
      <c r="L15" s="40"/>
      <c r="M15" s="40"/>
    </row>
    <row r="16" spans="1:14" s="255" customFormat="1" ht="15">
      <c r="A16" s="827">
        <f t="shared" si="0"/>
        <v>8</v>
      </c>
      <c r="B16" s="853" t="s">
        <v>32</v>
      </c>
      <c r="C16" s="1588"/>
      <c r="D16" s="1588"/>
      <c r="E16" s="1588"/>
      <c r="F16" s="1248"/>
      <c r="G16" s="199">
        <v>24643607.899999999</v>
      </c>
      <c r="H16" s="669"/>
      <c r="I16" s="669"/>
      <c r="J16" s="40"/>
      <c r="K16" s="466"/>
      <c r="L16" s="40"/>
      <c r="M16" s="40"/>
    </row>
    <row r="17" spans="1:13" s="255" customFormat="1" ht="15">
      <c r="A17" s="827">
        <f t="shared" si="0"/>
        <v>9</v>
      </c>
      <c r="B17" s="853" t="s">
        <v>33</v>
      </c>
      <c r="C17" s="1588"/>
      <c r="D17" s="1588"/>
      <c r="E17" s="1588"/>
      <c r="F17" s="1248"/>
      <c r="G17" s="199">
        <v>25150135.93</v>
      </c>
      <c r="H17" s="669"/>
      <c r="I17" s="669"/>
      <c r="J17" s="40"/>
      <c r="K17" s="466"/>
      <c r="L17" s="40"/>
      <c r="M17" s="40"/>
    </row>
    <row r="18" spans="1:13" s="255" customFormat="1" ht="15">
      <c r="A18" s="827">
        <f t="shared" si="0"/>
        <v>10</v>
      </c>
      <c r="B18" s="853" t="s">
        <v>34</v>
      </c>
      <c r="C18" s="1588"/>
      <c r="D18" s="1588"/>
      <c r="E18" s="1588"/>
      <c r="F18" s="1248"/>
      <c r="G18" s="199">
        <v>22568938.899999999</v>
      </c>
      <c r="H18" s="669"/>
      <c r="I18" s="669"/>
      <c r="J18" s="40"/>
      <c r="K18" s="466"/>
      <c r="L18" s="40"/>
      <c r="M18" s="40"/>
    </row>
    <row r="19" spans="1:13" s="255" customFormat="1" ht="15">
      <c r="A19" s="827">
        <f t="shared" si="0"/>
        <v>11</v>
      </c>
      <c r="B19" s="853" t="s">
        <v>35</v>
      </c>
      <c r="C19" s="1588"/>
      <c r="D19" s="1588"/>
      <c r="E19" s="1588"/>
      <c r="F19" s="1248"/>
      <c r="G19" s="199">
        <v>22389996.699999999</v>
      </c>
      <c r="H19" s="669"/>
      <c r="I19" s="669"/>
      <c r="J19" s="40"/>
      <c r="K19" s="466"/>
      <c r="L19" s="40"/>
      <c r="M19" s="40"/>
    </row>
    <row r="20" spans="1:13" s="255" customFormat="1" ht="15">
      <c r="A20" s="827">
        <f t="shared" si="0"/>
        <v>12</v>
      </c>
      <c r="B20" s="853" t="s">
        <v>36</v>
      </c>
      <c r="C20" s="1588"/>
      <c r="D20" s="1588"/>
      <c r="E20" s="1588"/>
      <c r="F20" s="1248"/>
      <c r="G20" s="199">
        <v>19356494</v>
      </c>
      <c r="H20" s="669"/>
      <c r="I20" s="669"/>
      <c r="J20" s="40"/>
      <c r="K20" s="466"/>
      <c r="L20" s="40"/>
      <c r="M20" s="40"/>
    </row>
    <row r="21" spans="1:13" s="255" customFormat="1" ht="15">
      <c r="A21" s="827">
        <f t="shared" si="0"/>
        <v>13</v>
      </c>
      <c r="B21" s="853" t="s">
        <v>37</v>
      </c>
      <c r="C21" s="1588"/>
      <c r="D21" s="1588"/>
      <c r="E21" s="1588"/>
      <c r="F21" s="1248"/>
      <c r="G21" s="251">
        <v>20801857.329999998</v>
      </c>
      <c r="H21" s="669"/>
      <c r="I21" s="669"/>
      <c r="J21" s="40"/>
      <c r="K21" s="466"/>
      <c r="L21" s="40"/>
      <c r="M21" s="40"/>
    </row>
    <row r="22" spans="1:13" s="255" customFormat="1">
      <c r="A22" s="827">
        <f t="shared" si="0"/>
        <v>14</v>
      </c>
      <c r="B22" s="171" t="s">
        <v>1075</v>
      </c>
      <c r="D22" s="171"/>
      <c r="E22" s="171"/>
      <c r="G22" s="146">
        <f>SUM(G10:G21)</f>
        <v>275450343.11000001</v>
      </c>
      <c r="H22" s="171" t="str">
        <f>+"Sum (Line "&amp;A10&amp;" to "&amp;A21&amp;")"</f>
        <v>Sum (Line 2 to 13)</v>
      </c>
      <c r="J22" s="40"/>
      <c r="K22" s="466"/>
      <c r="L22" s="40"/>
      <c r="M22" s="40"/>
    </row>
    <row r="23" spans="1:13" s="255" customFormat="1">
      <c r="A23" s="827">
        <f t="shared" si="0"/>
        <v>15</v>
      </c>
      <c r="B23" s="171" t="s">
        <v>551</v>
      </c>
      <c r="D23" s="171"/>
      <c r="E23" s="171"/>
      <c r="G23" s="256">
        <f>+'WP17 Rev'!E65</f>
        <v>72688016.698173165</v>
      </c>
      <c r="H23" s="171" t="str">
        <f>+"WP17 Line "&amp;'WP17 Rev'!A65&amp;" Column "&amp;'WP17 Rev'!E5</f>
        <v>WP17 Line 8 Column D</v>
      </c>
      <c r="J23" s="40"/>
      <c r="K23" s="466"/>
      <c r="L23" s="40"/>
      <c r="M23" s="40"/>
    </row>
    <row r="24" spans="1:13" s="255" customFormat="1" ht="13.2" customHeight="1">
      <c r="A24" s="827">
        <f t="shared" si="0"/>
        <v>16</v>
      </c>
      <c r="B24" s="2331" t="s">
        <v>1092</v>
      </c>
      <c r="C24" s="2331"/>
      <c r="D24" s="2331"/>
      <c r="E24" s="2331"/>
      <c r="F24" s="2331"/>
      <c r="G24" s="251">
        <f>'WP01 TU Support 1'!G69+'WP01 TU Support 2'!G71</f>
        <v>7109742.6465051491</v>
      </c>
      <c r="H24" s="1509"/>
      <c r="I24" s="1332"/>
      <c r="J24" s="40"/>
      <c r="K24" s="466"/>
      <c r="L24" s="40"/>
      <c r="M24" s="40"/>
    </row>
    <row r="25" spans="1:13" s="255" customFormat="1">
      <c r="A25" s="827">
        <f t="shared" si="0"/>
        <v>17</v>
      </c>
      <c r="B25" s="255" t="s">
        <v>1093</v>
      </c>
      <c r="D25" s="172"/>
      <c r="E25" s="172"/>
      <c r="F25" s="39"/>
      <c r="G25" s="1335">
        <f>+G22+G23-G24</f>
        <v>341028617.161668</v>
      </c>
      <c r="H25" s="1309" t="str">
        <f>+"Sum (Line "&amp;A22&amp;" + "&amp;A23&amp;" - "&amp;A24&amp;")"</f>
        <v>Sum (Line 14 + 15 - 16)</v>
      </c>
      <c r="I25" s="1332"/>
      <c r="J25" s="40"/>
      <c r="K25" s="40"/>
      <c r="L25" s="40"/>
      <c r="M25" s="40"/>
    </row>
    <row r="26" spans="1:13" s="255" customFormat="1">
      <c r="A26" s="827">
        <f t="shared" si="0"/>
        <v>18</v>
      </c>
      <c r="B26" s="1309"/>
      <c r="C26" s="1588"/>
      <c r="D26" s="172"/>
      <c r="E26" s="171"/>
      <c r="F26" s="39"/>
      <c r="G26" s="39"/>
      <c r="H26" s="40"/>
      <c r="I26" s="1332"/>
      <c r="J26" s="40"/>
      <c r="K26" s="40"/>
      <c r="L26" s="40"/>
      <c r="M26" s="40"/>
    </row>
    <row r="27" spans="1:13" s="255" customFormat="1">
      <c r="A27" s="827">
        <f t="shared" si="0"/>
        <v>19</v>
      </c>
      <c r="B27" s="39" t="s">
        <v>1094</v>
      </c>
      <c r="D27" s="39"/>
      <c r="E27" s="39"/>
      <c r="F27" s="39"/>
      <c r="G27" s="74">
        <f>+'Appendix A'!G291</f>
        <v>321586957.43350857</v>
      </c>
      <c r="H27" s="1309" t="s">
        <v>2308</v>
      </c>
      <c r="I27" s="1332"/>
      <c r="J27" s="40"/>
      <c r="K27" s="40"/>
      <c r="L27" s="40"/>
      <c r="M27" s="40"/>
    </row>
    <row r="28" spans="1:13" s="255" customFormat="1" ht="15">
      <c r="A28" s="827">
        <f t="shared" si="0"/>
        <v>20</v>
      </c>
      <c r="B28" s="39"/>
      <c r="D28" s="1588"/>
      <c r="E28" s="1588"/>
      <c r="F28" s="1332"/>
      <c r="G28" s="468"/>
      <c r="H28" s="1309"/>
      <c r="I28" s="1332"/>
      <c r="J28" s="40"/>
      <c r="K28" s="40"/>
      <c r="L28" s="40"/>
      <c r="M28" s="40"/>
    </row>
    <row r="29" spans="1:13" s="255" customFormat="1">
      <c r="A29" s="827">
        <f t="shared" si="0"/>
        <v>21</v>
      </c>
      <c r="B29" s="39" t="s">
        <v>922</v>
      </c>
      <c r="D29" s="39"/>
      <c r="E29" s="39"/>
      <c r="F29" s="39"/>
      <c r="G29" s="243">
        <f>+G27-G25</f>
        <v>-19441659.728159428</v>
      </c>
      <c r="H29" s="1309" t="str">
        <f>+"Line "&amp;A27&amp;" - Line "&amp;A25</f>
        <v>Line 19 - Line 17</v>
      </c>
      <c r="I29" s="1332"/>
      <c r="J29" s="40"/>
      <c r="K29" s="40"/>
      <c r="L29" s="40"/>
      <c r="M29" s="40"/>
    </row>
    <row r="30" spans="1:13" s="255" customFormat="1">
      <c r="A30" s="1309">
        <f t="shared" si="0"/>
        <v>22</v>
      </c>
      <c r="B30" s="39"/>
      <c r="D30" s="39"/>
      <c r="E30" s="39"/>
      <c r="F30" s="39"/>
      <c r="G30" s="243"/>
      <c r="H30" s="1309"/>
      <c r="I30" s="1332"/>
      <c r="J30" s="40"/>
      <c r="K30" s="40"/>
      <c r="L30" s="40"/>
      <c r="M30" s="40"/>
    </row>
    <row r="31" spans="1:13" s="255" customFormat="1">
      <c r="A31" s="1309">
        <f t="shared" si="0"/>
        <v>23</v>
      </c>
      <c r="B31" s="39" t="s">
        <v>923</v>
      </c>
      <c r="D31" s="39"/>
      <c r="E31" s="39"/>
      <c r="F31" s="39"/>
      <c r="G31" s="251"/>
      <c r="H31" s="1309" t="s">
        <v>549</v>
      </c>
      <c r="I31" s="1332"/>
      <c r="J31" s="40"/>
      <c r="K31" s="466"/>
      <c r="L31" s="40"/>
      <c r="M31" s="40"/>
    </row>
    <row r="32" spans="1:13" s="255" customFormat="1">
      <c r="A32" s="1309">
        <f t="shared" si="0"/>
        <v>24</v>
      </c>
      <c r="B32" s="39"/>
      <c r="D32" s="39"/>
      <c r="E32" s="39"/>
      <c r="F32" s="39"/>
      <c r="G32" s="74"/>
      <c r="H32" s="1309"/>
      <c r="I32" s="1332"/>
      <c r="J32" s="40"/>
      <c r="K32" s="40"/>
      <c r="L32" s="40"/>
      <c r="M32" s="40"/>
    </row>
    <row r="33" spans="1:13" s="255" customFormat="1">
      <c r="A33" s="1309">
        <f t="shared" si="0"/>
        <v>25</v>
      </c>
      <c r="B33" s="1309" t="s">
        <v>1095</v>
      </c>
      <c r="C33" s="1332"/>
      <c r="D33" s="172"/>
      <c r="E33" s="171"/>
      <c r="F33" s="39"/>
      <c r="G33" s="39"/>
      <c r="H33" s="40"/>
      <c r="I33" s="1332"/>
      <c r="J33" s="40"/>
      <c r="K33" s="40"/>
      <c r="L33" s="40"/>
      <c r="M33" s="40"/>
    </row>
    <row r="34" spans="1:13" s="255" customFormat="1">
      <c r="A34" s="1309"/>
      <c r="B34" s="963"/>
      <c r="C34" s="1332"/>
      <c r="D34" s="172"/>
      <c r="E34" s="171"/>
      <c r="F34" s="39"/>
      <c r="G34" s="39"/>
      <c r="H34" s="40"/>
      <c r="I34" s="1332"/>
      <c r="J34" s="40"/>
      <c r="K34" s="40"/>
      <c r="L34" s="40"/>
      <c r="M34" s="40"/>
    </row>
    <row r="35" spans="1:13" s="255" customFormat="1" ht="54" customHeight="1">
      <c r="A35" s="1309"/>
      <c r="B35" s="1065" t="s">
        <v>426</v>
      </c>
      <c r="C35" s="592" t="s">
        <v>427</v>
      </c>
      <c r="D35" s="592" t="s">
        <v>284</v>
      </c>
      <c r="E35" s="592" t="s">
        <v>943</v>
      </c>
      <c r="F35" s="592" t="s">
        <v>867</v>
      </c>
      <c r="G35" s="592" t="s">
        <v>452</v>
      </c>
      <c r="H35" s="592" t="s">
        <v>428</v>
      </c>
      <c r="I35" s="592" t="s">
        <v>429</v>
      </c>
      <c r="J35" s="40"/>
      <c r="K35" s="40"/>
      <c r="L35" s="40"/>
      <c r="M35" s="40"/>
    </row>
    <row r="36" spans="1:13" s="255" customFormat="1" ht="15" customHeight="1">
      <c r="A36" s="1309">
        <f>+A33+1</f>
        <v>26</v>
      </c>
      <c r="B36" s="1083" t="s">
        <v>67</v>
      </c>
      <c r="C36" s="547" t="s">
        <v>114</v>
      </c>
      <c r="D36" s="547" t="s">
        <v>851</v>
      </c>
      <c r="E36" s="547" t="s">
        <v>852</v>
      </c>
      <c r="F36" s="547" t="s">
        <v>853</v>
      </c>
      <c r="G36" s="1365" t="s">
        <v>1100</v>
      </c>
      <c r="H36" s="1365" t="s">
        <v>1101</v>
      </c>
      <c r="I36" s="547" t="s">
        <v>166</v>
      </c>
      <c r="J36" s="40"/>
      <c r="K36" s="40"/>
      <c r="L36" s="40"/>
      <c r="M36" s="40"/>
    </row>
    <row r="37" spans="1:13" s="255" customFormat="1" ht="15">
      <c r="A37" s="825">
        <f>+A36+0.01</f>
        <v>26.01</v>
      </c>
      <c r="B37" s="39"/>
      <c r="C37" s="1510">
        <v>42736</v>
      </c>
      <c r="D37" s="1511">
        <v>3.5000000000000003E-2</v>
      </c>
      <c r="E37" s="2243">
        <f t="shared" ref="E37:E65" si="1">D37/12</f>
        <v>2.9166666666666668E-3</v>
      </c>
      <c r="F37" s="799">
        <f t="shared" ref="F37:F64" si="2">H37*E37</f>
        <v>-4725.4034061498614</v>
      </c>
      <c r="G37" s="1489">
        <f>+G$29/12</f>
        <v>-1620138.3106799524</v>
      </c>
      <c r="H37" s="1336">
        <f>IF((B37=1),G37,G37)</f>
        <v>-1620138.3106799524</v>
      </c>
      <c r="I37" s="799">
        <f>F37+G37</f>
        <v>-1624863.7140861023</v>
      </c>
      <c r="J37" s="40"/>
      <c r="K37" s="466" t="s">
        <v>1547</v>
      </c>
      <c r="L37" s="473"/>
      <c r="M37" s="474"/>
    </row>
    <row r="38" spans="1:13" s="255" customFormat="1">
      <c r="A38" s="825">
        <f t="shared" ref="A38:A65" si="3">+A37+0.01</f>
        <v>26.020000000000003</v>
      </c>
      <c r="B38" s="39"/>
      <c r="C38" s="1510">
        <v>42767</v>
      </c>
      <c r="D38" s="1511">
        <v>3.5000000000000003E-2</v>
      </c>
      <c r="E38" s="2243">
        <f t="shared" si="1"/>
        <v>2.9166666666666668E-3</v>
      </c>
      <c r="F38" s="799">
        <f t="shared" si="2"/>
        <v>-9450.8068122997229</v>
      </c>
      <c r="G38" s="1489">
        <f t="shared" ref="G38:G48" si="4">+G$29/12</f>
        <v>-1620138.3106799524</v>
      </c>
      <c r="H38" s="1336">
        <f t="shared" ref="H38:H64" si="5">IF((B38=1),I37+G38,+H37+G38)</f>
        <v>-3240276.6213599048</v>
      </c>
      <c r="I38" s="799">
        <f>I37+F38+G38</f>
        <v>-3254452.8315783544</v>
      </c>
      <c r="J38" s="40"/>
    </row>
    <row r="39" spans="1:13" s="255" customFormat="1">
      <c r="A39" s="825">
        <f t="shared" si="3"/>
        <v>26.030000000000005</v>
      </c>
      <c r="B39" s="39"/>
      <c r="C39" s="1510">
        <v>42795</v>
      </c>
      <c r="D39" s="1511">
        <v>3.5000000000000003E-2</v>
      </c>
      <c r="E39" s="2243">
        <f t="shared" si="1"/>
        <v>2.9166666666666668E-3</v>
      </c>
      <c r="F39" s="799">
        <f t="shared" si="2"/>
        <v>-14176.210218449583</v>
      </c>
      <c r="G39" s="1489">
        <f t="shared" si="4"/>
        <v>-1620138.3106799524</v>
      </c>
      <c r="H39" s="1336">
        <f t="shared" si="5"/>
        <v>-4860414.9320398569</v>
      </c>
      <c r="I39" s="799">
        <f t="shared" ref="I39:I65" si="6">I38+F39+G39</f>
        <v>-4888767.3524767561</v>
      </c>
      <c r="J39" s="40"/>
    </row>
    <row r="40" spans="1:13" s="255" customFormat="1">
      <c r="A40" s="825">
        <f t="shared" si="3"/>
        <v>26.040000000000006</v>
      </c>
      <c r="B40" s="39">
        <v>1</v>
      </c>
      <c r="C40" s="1510">
        <v>42826</v>
      </c>
      <c r="D40" s="1511">
        <v>3.7100000000000001E-2</v>
      </c>
      <c r="E40" s="2243">
        <f t="shared" si="1"/>
        <v>3.0916666666666666E-3</v>
      </c>
      <c r="F40" s="799">
        <f t="shared" si="2"/>
        <v>-20123.366675259491</v>
      </c>
      <c r="G40" s="1489">
        <f t="shared" si="4"/>
        <v>-1620138.3106799524</v>
      </c>
      <c r="H40" s="1336">
        <f t="shared" si="5"/>
        <v>-6508905.6631567087</v>
      </c>
      <c r="I40" s="799">
        <f t="shared" si="6"/>
        <v>-6529029.0298319682</v>
      </c>
      <c r="J40" s="40"/>
    </row>
    <row r="41" spans="1:13" s="255" customFormat="1">
      <c r="A41" s="825">
        <f t="shared" si="3"/>
        <v>26.050000000000008</v>
      </c>
      <c r="B41" s="39"/>
      <c r="C41" s="1510">
        <v>42856</v>
      </c>
      <c r="D41" s="1511">
        <v>3.7100000000000001E-2</v>
      </c>
      <c r="E41" s="2243">
        <f t="shared" si="1"/>
        <v>3.0916666666666666E-3</v>
      </c>
      <c r="F41" s="799">
        <f t="shared" si="2"/>
        <v>-25132.294285778346</v>
      </c>
      <c r="G41" s="1489">
        <f t="shared" si="4"/>
        <v>-1620138.3106799524</v>
      </c>
      <c r="H41" s="1336">
        <f t="shared" si="5"/>
        <v>-8129043.9738366613</v>
      </c>
      <c r="I41" s="799">
        <f t="shared" si="6"/>
        <v>-8174299.6347976988</v>
      </c>
      <c r="J41" s="40"/>
      <c r="K41" s="243"/>
      <c r="L41" s="74"/>
      <c r="M41" s="243"/>
    </row>
    <row r="42" spans="1:13" s="255" customFormat="1">
      <c r="A42" s="825">
        <f t="shared" si="3"/>
        <v>26.060000000000009</v>
      </c>
      <c r="B42" s="39"/>
      <c r="C42" s="1510">
        <v>42887</v>
      </c>
      <c r="D42" s="1511">
        <v>3.7100000000000001E-2</v>
      </c>
      <c r="E42" s="2243">
        <f t="shared" si="1"/>
        <v>3.0916666666666666E-3</v>
      </c>
      <c r="F42" s="799">
        <f t="shared" si="2"/>
        <v>-30141.221896297197</v>
      </c>
      <c r="G42" s="1489">
        <f t="shared" si="4"/>
        <v>-1620138.3106799524</v>
      </c>
      <c r="H42" s="1336">
        <f t="shared" si="5"/>
        <v>-9749182.2845166139</v>
      </c>
      <c r="I42" s="799">
        <f t="shared" si="6"/>
        <v>-9824579.1673739478</v>
      </c>
      <c r="J42" s="40"/>
      <c r="K42" s="243"/>
      <c r="L42" s="74"/>
      <c r="M42" s="243"/>
    </row>
    <row r="43" spans="1:13" s="255" customFormat="1">
      <c r="A43" s="825">
        <f t="shared" si="3"/>
        <v>26.070000000000011</v>
      </c>
      <c r="B43" s="39">
        <v>1</v>
      </c>
      <c r="C43" s="1510">
        <v>42917</v>
      </c>
      <c r="D43" s="1511">
        <v>3.9600000000000003E-2</v>
      </c>
      <c r="E43" s="2243">
        <f t="shared" si="1"/>
        <v>3.3000000000000004E-3</v>
      </c>
      <c r="F43" s="799">
        <f t="shared" si="2"/>
        <v>-37767.56767757787</v>
      </c>
      <c r="G43" s="1489">
        <f t="shared" si="4"/>
        <v>-1620138.3106799524</v>
      </c>
      <c r="H43" s="1336">
        <f t="shared" si="5"/>
        <v>-11444717.478053899</v>
      </c>
      <c r="I43" s="799">
        <f t="shared" si="6"/>
        <v>-11482485.045731477</v>
      </c>
      <c r="J43" s="40"/>
      <c r="K43" s="243"/>
      <c r="L43" s="74"/>
      <c r="M43" s="243"/>
    </row>
    <row r="44" spans="1:13" s="255" customFormat="1">
      <c r="A44" s="825">
        <f t="shared" si="3"/>
        <v>26.080000000000013</v>
      </c>
      <c r="B44" s="39"/>
      <c r="C44" s="1510">
        <v>42948</v>
      </c>
      <c r="D44" s="1511">
        <v>3.9600000000000003E-2</v>
      </c>
      <c r="E44" s="2243">
        <f t="shared" si="1"/>
        <v>3.3000000000000004E-3</v>
      </c>
      <c r="F44" s="799">
        <f t="shared" si="2"/>
        <v>-43114.024102821713</v>
      </c>
      <c r="G44" s="1489">
        <f t="shared" si="4"/>
        <v>-1620138.3106799524</v>
      </c>
      <c r="H44" s="1336">
        <f t="shared" si="5"/>
        <v>-13064855.788733851</v>
      </c>
      <c r="I44" s="799">
        <f t="shared" si="6"/>
        <v>-13145737.380514251</v>
      </c>
      <c r="J44" s="40"/>
      <c r="K44" s="243"/>
      <c r="L44" s="74"/>
      <c r="M44" s="243"/>
    </row>
    <row r="45" spans="1:13" s="255" customFormat="1">
      <c r="A45" s="825">
        <f t="shared" si="3"/>
        <v>26.090000000000014</v>
      </c>
      <c r="B45" s="39"/>
      <c r="C45" s="1510">
        <v>42979</v>
      </c>
      <c r="D45" s="1511">
        <v>3.9600000000000003E-2</v>
      </c>
      <c r="E45" s="2243">
        <f t="shared" si="1"/>
        <v>3.3000000000000004E-3</v>
      </c>
      <c r="F45" s="799">
        <f t="shared" si="2"/>
        <v>-48460.480528065556</v>
      </c>
      <c r="G45" s="1489">
        <f t="shared" si="4"/>
        <v>-1620138.3106799524</v>
      </c>
      <c r="H45" s="1336">
        <f t="shared" si="5"/>
        <v>-14684994.099413803</v>
      </c>
      <c r="I45" s="799">
        <f t="shared" si="6"/>
        <v>-14814336.171722269</v>
      </c>
      <c r="J45" s="40"/>
      <c r="K45" s="243"/>
      <c r="L45" s="74"/>
      <c r="M45" s="243"/>
    </row>
    <row r="46" spans="1:13" s="255" customFormat="1">
      <c r="A46" s="825">
        <f t="shared" si="3"/>
        <v>26.100000000000016</v>
      </c>
      <c r="B46" s="39">
        <v>1</v>
      </c>
      <c r="C46" s="1510">
        <v>43009</v>
      </c>
      <c r="D46" s="1511">
        <v>4.2099999999999999E-2</v>
      </c>
      <c r="E46" s="2243">
        <f t="shared" si="1"/>
        <v>3.5083333333333334E-3</v>
      </c>
      <c r="F46" s="799">
        <f t="shared" si="2"/>
        <v>-57657.61464242779</v>
      </c>
      <c r="G46" s="1489">
        <f t="shared" si="4"/>
        <v>-1620138.3106799524</v>
      </c>
      <c r="H46" s="1336">
        <f t="shared" si="5"/>
        <v>-16434474.48240222</v>
      </c>
      <c r="I46" s="799">
        <f t="shared" si="6"/>
        <v>-16492132.097044649</v>
      </c>
      <c r="J46" s="40"/>
      <c r="K46" s="243"/>
      <c r="L46" s="74"/>
      <c r="M46" s="243"/>
    </row>
    <row r="47" spans="1:13" s="255" customFormat="1">
      <c r="A47" s="825">
        <f t="shared" si="3"/>
        <v>26.110000000000017</v>
      </c>
      <c r="B47" s="39"/>
      <c r="C47" s="1510">
        <v>43040</v>
      </c>
      <c r="D47" s="1511">
        <v>4.2099999999999999E-2</v>
      </c>
      <c r="E47" s="2243">
        <f t="shared" si="1"/>
        <v>3.5083333333333334E-3</v>
      </c>
      <c r="F47" s="799">
        <f t="shared" si="2"/>
        <v>-63341.599882396629</v>
      </c>
      <c r="G47" s="1489">
        <f t="shared" si="4"/>
        <v>-1620138.3106799524</v>
      </c>
      <c r="H47" s="1336">
        <f t="shared" si="5"/>
        <v>-18054612.793082174</v>
      </c>
      <c r="I47" s="799">
        <f t="shared" si="6"/>
        <v>-18175612.007606998</v>
      </c>
      <c r="J47" s="40"/>
      <c r="K47" s="243"/>
      <c r="L47" s="74"/>
      <c r="M47" s="243"/>
    </row>
    <row r="48" spans="1:13" s="255" customFormat="1">
      <c r="A48" s="825">
        <f t="shared" si="3"/>
        <v>26.120000000000019</v>
      </c>
      <c r="B48" s="39"/>
      <c r="C48" s="1510">
        <v>43070</v>
      </c>
      <c r="D48" s="1511">
        <v>4.2099999999999999E-2</v>
      </c>
      <c r="E48" s="2243">
        <f t="shared" si="1"/>
        <v>3.5083333333333334E-3</v>
      </c>
      <c r="F48" s="799">
        <f t="shared" si="2"/>
        <v>-69025.585122365461</v>
      </c>
      <c r="G48" s="1489">
        <f t="shared" si="4"/>
        <v>-1620138.3106799524</v>
      </c>
      <c r="H48" s="1336">
        <f t="shared" si="5"/>
        <v>-19674751.103762127</v>
      </c>
      <c r="I48" s="799">
        <f t="shared" si="6"/>
        <v>-19864775.903409317</v>
      </c>
      <c r="J48" s="40"/>
      <c r="K48" s="243"/>
      <c r="L48" s="74"/>
      <c r="M48" s="243"/>
    </row>
    <row r="49" spans="1:13" s="255" customFormat="1" ht="15">
      <c r="A49" s="825">
        <f t="shared" si="3"/>
        <v>26.13000000000002</v>
      </c>
      <c r="B49" s="39">
        <v>1</v>
      </c>
      <c r="C49" s="1510">
        <v>43101</v>
      </c>
      <c r="D49" s="1511">
        <v>4.2500000000000003E-2</v>
      </c>
      <c r="E49" s="2243">
        <f t="shared" si="1"/>
        <v>3.5416666666666669E-3</v>
      </c>
      <c r="F49" s="799">
        <f t="shared" si="2"/>
        <v>-70354.414657907997</v>
      </c>
      <c r="G49" s="1489"/>
      <c r="H49" s="1336">
        <f t="shared" si="5"/>
        <v>-19864775.903409317</v>
      </c>
      <c r="I49" s="799">
        <f t="shared" si="6"/>
        <v>-19935130.318067227</v>
      </c>
      <c r="J49" s="40"/>
      <c r="K49" s="476"/>
      <c r="L49" s="465"/>
      <c r="M49" s="476"/>
    </row>
    <row r="50" spans="1:13" s="255" customFormat="1">
      <c r="A50" s="825">
        <f t="shared" si="3"/>
        <v>26.140000000000022</v>
      </c>
      <c r="B50" s="80"/>
      <c r="C50" s="1510">
        <v>43132</v>
      </c>
      <c r="D50" s="1511">
        <v>4.2500000000000003E-2</v>
      </c>
      <c r="E50" s="2243">
        <f t="shared" si="1"/>
        <v>3.5416666666666669E-3</v>
      </c>
      <c r="F50" s="799">
        <f t="shared" si="2"/>
        <v>-70354.414657907997</v>
      </c>
      <c r="G50" s="1489"/>
      <c r="H50" s="1336">
        <f t="shared" si="5"/>
        <v>-19864775.903409317</v>
      </c>
      <c r="I50" s="799">
        <f t="shared" si="6"/>
        <v>-20005484.732725136</v>
      </c>
      <c r="J50" s="40"/>
      <c r="K50" s="243"/>
      <c r="L50" s="243"/>
      <c r="M50" s="40"/>
    </row>
    <row r="51" spans="1:13" s="255" customFormat="1">
      <c r="A51" s="825">
        <f t="shared" si="3"/>
        <v>26.150000000000023</v>
      </c>
      <c r="B51" s="477"/>
      <c r="C51" s="1510">
        <v>43160</v>
      </c>
      <c r="D51" s="1511">
        <v>4.2500000000000003E-2</v>
      </c>
      <c r="E51" s="2243">
        <f t="shared" si="1"/>
        <v>3.5416666666666669E-3</v>
      </c>
      <c r="F51" s="799">
        <f t="shared" si="2"/>
        <v>-70354.414657907997</v>
      </c>
      <c r="G51" s="1489"/>
      <c r="H51" s="1336">
        <f t="shared" si="5"/>
        <v>-19864775.903409317</v>
      </c>
      <c r="I51" s="799">
        <f t="shared" si="6"/>
        <v>-20075839.147383045</v>
      </c>
      <c r="J51" s="40"/>
      <c r="K51" s="40"/>
      <c r="L51" s="40"/>
      <c r="M51" s="40"/>
    </row>
    <row r="52" spans="1:13" s="255" customFormat="1">
      <c r="A52" s="825">
        <f t="shared" si="3"/>
        <v>26.160000000000025</v>
      </c>
      <c r="B52" s="39">
        <v>1</v>
      </c>
      <c r="C52" s="1510">
        <v>43191</v>
      </c>
      <c r="D52" s="1511">
        <v>4.4699999999999997E-2</v>
      </c>
      <c r="E52" s="2243">
        <f t="shared" si="1"/>
        <v>3.7249999999999996E-3</v>
      </c>
      <c r="F52" s="799">
        <f t="shared" si="2"/>
        <v>-74782.500824001836</v>
      </c>
      <c r="G52" s="1489"/>
      <c r="H52" s="1336">
        <f t="shared" si="5"/>
        <v>-20075839.147383045</v>
      </c>
      <c r="I52" s="799">
        <f t="shared" si="6"/>
        <v>-20150621.648207046</v>
      </c>
      <c r="J52" s="40"/>
      <c r="K52" s="40"/>
      <c r="L52" s="40"/>
      <c r="M52" s="40"/>
    </row>
    <row r="53" spans="1:13" s="255" customFormat="1">
      <c r="A53" s="825">
        <f t="shared" si="3"/>
        <v>26.170000000000027</v>
      </c>
      <c r="B53" s="477"/>
      <c r="C53" s="1510">
        <v>43221</v>
      </c>
      <c r="D53" s="1511">
        <v>4.4699999999999997E-2</v>
      </c>
      <c r="E53" s="2243">
        <f t="shared" si="1"/>
        <v>3.7249999999999996E-3</v>
      </c>
      <c r="F53" s="799">
        <f t="shared" si="2"/>
        <v>-74782.500824001836</v>
      </c>
      <c r="G53" s="1489"/>
      <c r="H53" s="1336">
        <f t="shared" si="5"/>
        <v>-20075839.147383045</v>
      </c>
      <c r="I53" s="799">
        <f t="shared" si="6"/>
        <v>-20225404.149031047</v>
      </c>
      <c r="J53" s="40"/>
      <c r="K53" s="39"/>
      <c r="L53" s="39"/>
      <c r="M53" s="39"/>
    </row>
    <row r="54" spans="1:13" s="255" customFormat="1">
      <c r="A54" s="825">
        <f t="shared" si="3"/>
        <v>26.180000000000028</v>
      </c>
      <c r="B54" s="477"/>
      <c r="C54" s="1510">
        <v>43252</v>
      </c>
      <c r="D54" s="1511">
        <v>4.4699999999999997E-2</v>
      </c>
      <c r="E54" s="2243">
        <f t="shared" si="1"/>
        <v>3.7249999999999996E-3</v>
      </c>
      <c r="F54" s="799">
        <f t="shared" si="2"/>
        <v>-68375.628935137982</v>
      </c>
      <c r="G54" s="1204">
        <v>1719965.6077486873</v>
      </c>
      <c r="H54" s="1336">
        <f>IF((B54=1),I53+G54,+H53+G54)</f>
        <v>-18355873.539634358</v>
      </c>
      <c r="I54" s="799">
        <f>I53+F54+G54</f>
        <v>-18573814.170217499</v>
      </c>
      <c r="J54" s="40"/>
      <c r="K54" s="466"/>
      <c r="L54" s="39"/>
      <c r="M54" s="39"/>
    </row>
    <row r="55" spans="1:13" s="255" customFormat="1">
      <c r="A55" s="825">
        <f t="shared" si="3"/>
        <v>26.19000000000003</v>
      </c>
      <c r="B55" s="39">
        <v>1</v>
      </c>
      <c r="C55" s="1510">
        <v>43282</v>
      </c>
      <c r="D55" s="1511">
        <v>4.4699999999999997E-2</v>
      </c>
      <c r="E55" s="2243">
        <f t="shared" si="1"/>
        <v>3.7249999999999996E-3</v>
      </c>
      <c r="F55" s="799">
        <f t="shared" si="2"/>
        <v>-62780.585895196316</v>
      </c>
      <c r="G55" s="1489">
        <f>+G54</f>
        <v>1719965.6077486873</v>
      </c>
      <c r="H55" s="1336">
        <f t="shared" si="5"/>
        <v>-16853848.562468812</v>
      </c>
      <c r="I55" s="799">
        <f t="shared" si="6"/>
        <v>-16916629.148364007</v>
      </c>
      <c r="J55" s="40"/>
      <c r="K55" s="39"/>
      <c r="L55" s="39"/>
      <c r="M55" s="39"/>
    </row>
    <row r="56" spans="1:13" s="255" customFormat="1">
      <c r="A56" s="825">
        <f t="shared" si="3"/>
        <v>26.200000000000031</v>
      </c>
      <c r="B56" s="40"/>
      <c r="C56" s="1510">
        <v>43313</v>
      </c>
      <c r="D56" s="1511">
        <v>4.4699999999999997E-2</v>
      </c>
      <c r="E56" s="2243">
        <f t="shared" si="1"/>
        <v>3.7249999999999996E-3</v>
      </c>
      <c r="F56" s="799">
        <f t="shared" si="2"/>
        <v>-56373.714006332455</v>
      </c>
      <c r="G56" s="1489">
        <f>+G55</f>
        <v>1719965.6077486873</v>
      </c>
      <c r="H56" s="1336">
        <f t="shared" si="5"/>
        <v>-15133882.954720125</v>
      </c>
      <c r="I56" s="799">
        <f t="shared" si="6"/>
        <v>-15253037.254621651</v>
      </c>
      <c r="J56" s="40"/>
      <c r="K56" s="39"/>
      <c r="L56" s="39"/>
      <c r="M56" s="39"/>
    </row>
    <row r="57" spans="1:13" s="255" customFormat="1">
      <c r="A57" s="825">
        <f t="shared" si="3"/>
        <v>26.210000000000033</v>
      </c>
      <c r="B57" s="40"/>
      <c r="C57" s="1510">
        <v>43344</v>
      </c>
      <c r="D57" s="1511">
        <v>4.4699999999999997E-2</v>
      </c>
      <c r="E57" s="2243">
        <f t="shared" si="1"/>
        <v>3.7249999999999996E-3</v>
      </c>
      <c r="F57" s="799">
        <f t="shared" si="2"/>
        <v>-49966.842117468601</v>
      </c>
      <c r="G57" s="1489">
        <f t="shared" ref="G57:G65" si="7">+G56</f>
        <v>1719965.6077486873</v>
      </c>
      <c r="H57" s="1336">
        <f t="shared" si="5"/>
        <v>-13413917.346971437</v>
      </c>
      <c r="I57" s="799">
        <f t="shared" si="6"/>
        <v>-13583038.488990432</v>
      </c>
      <c r="J57" s="40"/>
      <c r="K57" s="39"/>
      <c r="L57" s="39"/>
      <c r="M57" s="39"/>
    </row>
    <row r="58" spans="1:13" s="255" customFormat="1">
      <c r="A58" s="825">
        <f t="shared" si="3"/>
        <v>26.220000000000034</v>
      </c>
      <c r="B58" s="39">
        <v>1</v>
      </c>
      <c r="C58" s="1510">
        <v>43374</v>
      </c>
      <c r="D58" s="1511">
        <v>4.4699999999999997E-2</v>
      </c>
      <c r="E58" s="2243">
        <f t="shared" si="1"/>
        <v>3.7249999999999996E-3</v>
      </c>
      <c r="F58" s="799">
        <f t="shared" si="2"/>
        <v>-44189.946482625492</v>
      </c>
      <c r="G58" s="1489">
        <f t="shared" si="7"/>
        <v>1719965.6077486873</v>
      </c>
      <c r="H58" s="1336">
        <f t="shared" si="5"/>
        <v>-11863072.881241744</v>
      </c>
      <c r="I58" s="799">
        <f t="shared" si="6"/>
        <v>-11907262.827724369</v>
      </c>
      <c r="J58" s="40"/>
      <c r="K58" s="39" t="s">
        <v>430</v>
      </c>
      <c r="L58" s="39"/>
      <c r="M58" s="39"/>
    </row>
    <row r="59" spans="1:13" s="255" customFormat="1">
      <c r="A59" s="825">
        <f t="shared" si="3"/>
        <v>26.230000000000036</v>
      </c>
      <c r="B59" s="40"/>
      <c r="C59" s="1510">
        <v>43405</v>
      </c>
      <c r="D59" s="1511">
        <v>4.4699999999999997E-2</v>
      </c>
      <c r="E59" s="2243">
        <f t="shared" si="1"/>
        <v>3.7249999999999996E-3</v>
      </c>
      <c r="F59" s="799">
        <f t="shared" si="2"/>
        <v>-37783.07459376163</v>
      </c>
      <c r="G59" s="1489">
        <f t="shared" si="7"/>
        <v>1719965.6077486873</v>
      </c>
      <c r="H59" s="1336">
        <f t="shared" si="5"/>
        <v>-10143107.273493057</v>
      </c>
      <c r="I59" s="799">
        <f t="shared" si="6"/>
        <v>-10225080.294569444</v>
      </c>
      <c r="J59" s="40"/>
      <c r="K59" s="39" t="s">
        <v>431</v>
      </c>
      <c r="L59" s="39"/>
      <c r="M59" s="39"/>
    </row>
    <row r="60" spans="1:13" s="255" customFormat="1">
      <c r="A60" s="825">
        <f t="shared" si="3"/>
        <v>26.240000000000038</v>
      </c>
      <c r="B60" s="40"/>
      <c r="C60" s="1510">
        <v>43435</v>
      </c>
      <c r="D60" s="1511">
        <v>4.4699999999999997E-2</v>
      </c>
      <c r="E60" s="2243">
        <f t="shared" si="1"/>
        <v>3.7249999999999996E-3</v>
      </c>
      <c r="F60" s="799">
        <f t="shared" si="2"/>
        <v>-31376.202704897772</v>
      </c>
      <c r="G60" s="1489">
        <f t="shared" si="7"/>
        <v>1719965.6077486873</v>
      </c>
      <c r="H60" s="1336">
        <f t="shared" si="5"/>
        <v>-8423141.6657443698</v>
      </c>
      <c r="I60" s="799">
        <f t="shared" si="6"/>
        <v>-8536490.8895256538</v>
      </c>
      <c r="J60" s="40"/>
      <c r="K60" s="39"/>
      <c r="L60" s="39"/>
      <c r="M60" s="39"/>
    </row>
    <row r="61" spans="1:13" s="255" customFormat="1">
      <c r="A61" s="825">
        <f t="shared" si="3"/>
        <v>26.250000000000039</v>
      </c>
      <c r="B61" s="39">
        <v>1</v>
      </c>
      <c r="C61" s="1510">
        <v>43466</v>
      </c>
      <c r="D61" s="1511">
        <v>4.4699999999999997E-2</v>
      </c>
      <c r="E61" s="2243">
        <f t="shared" si="1"/>
        <v>3.7249999999999996E-3</v>
      </c>
      <c r="F61" s="799">
        <f t="shared" si="2"/>
        <v>-25391.556674619198</v>
      </c>
      <c r="G61" s="1489">
        <f t="shared" si="7"/>
        <v>1719965.6077486873</v>
      </c>
      <c r="H61" s="1336">
        <f t="shared" si="5"/>
        <v>-6816525.2817769665</v>
      </c>
      <c r="I61" s="799">
        <f t="shared" si="6"/>
        <v>-6841916.8384515848</v>
      </c>
      <c r="J61" s="39"/>
      <c r="K61" s="39" t="s">
        <v>432</v>
      </c>
      <c r="L61" s="39"/>
      <c r="M61" s="39"/>
    </row>
    <row r="62" spans="1:13" s="255" customFormat="1">
      <c r="A62" s="825">
        <f t="shared" si="3"/>
        <v>26.260000000000041</v>
      </c>
      <c r="B62" s="80"/>
      <c r="C62" s="1510">
        <v>43497</v>
      </c>
      <c r="D62" s="1511">
        <v>4.4699999999999997E-2</v>
      </c>
      <c r="E62" s="2243">
        <f t="shared" si="1"/>
        <v>3.7249999999999996E-3</v>
      </c>
      <c r="F62" s="799">
        <f t="shared" si="2"/>
        <v>-18984.684785755337</v>
      </c>
      <c r="G62" s="1489">
        <f t="shared" si="7"/>
        <v>1719965.6077486873</v>
      </c>
      <c r="H62" s="1336">
        <f t="shared" si="5"/>
        <v>-5096559.6740282793</v>
      </c>
      <c r="I62" s="799">
        <f t="shared" si="6"/>
        <v>-5140935.9154886529</v>
      </c>
      <c r="J62" s="39"/>
      <c r="K62" s="39"/>
      <c r="L62" s="855" t="s">
        <v>433</v>
      </c>
      <c r="M62" s="856" t="str">
        <f ca="1">CELL("address",I65)</f>
        <v>$I$65</v>
      </c>
    </row>
    <row r="63" spans="1:13" s="255" customFormat="1">
      <c r="A63" s="825">
        <f t="shared" si="3"/>
        <v>26.270000000000042</v>
      </c>
      <c r="B63" s="477"/>
      <c r="C63" s="1510">
        <v>43525</v>
      </c>
      <c r="D63" s="1511">
        <v>4.4699999999999997E-2</v>
      </c>
      <c r="E63" s="2243">
        <f t="shared" si="1"/>
        <v>3.7249999999999996E-3</v>
      </c>
      <c r="F63" s="799">
        <f t="shared" si="2"/>
        <v>-12577.812896891479</v>
      </c>
      <c r="G63" s="1489">
        <f t="shared" si="7"/>
        <v>1719965.6077486873</v>
      </c>
      <c r="H63" s="1336">
        <f t="shared" si="5"/>
        <v>-3376594.066279592</v>
      </c>
      <c r="I63" s="799">
        <f t="shared" si="6"/>
        <v>-3433548.1206368571</v>
      </c>
      <c r="J63" s="39"/>
      <c r="K63" s="39"/>
      <c r="L63" s="855" t="s">
        <v>434</v>
      </c>
      <c r="M63" s="855">
        <v>0</v>
      </c>
    </row>
    <row r="64" spans="1:13" s="255" customFormat="1">
      <c r="A64" s="825">
        <f t="shared" si="3"/>
        <v>26.280000000000044</v>
      </c>
      <c r="B64" s="39">
        <v>1</v>
      </c>
      <c r="C64" s="1510">
        <v>43556</v>
      </c>
      <c r="D64" s="1511">
        <v>4.4699999999999997E-2</v>
      </c>
      <c r="E64" s="2243">
        <f t="shared" si="1"/>
        <v>3.7249999999999996E-3</v>
      </c>
      <c r="F64" s="799">
        <f t="shared" si="2"/>
        <v>-6383.0948605084322</v>
      </c>
      <c r="G64" s="1489">
        <f t="shared" si="7"/>
        <v>1719965.6077486873</v>
      </c>
      <c r="H64" s="1336">
        <f t="shared" si="5"/>
        <v>-1713582.5128881698</v>
      </c>
      <c r="I64" s="799">
        <f t="shared" si="6"/>
        <v>-1719965.6077486784</v>
      </c>
      <c r="J64" s="39"/>
      <c r="K64" s="39"/>
      <c r="L64" s="855" t="s">
        <v>435</v>
      </c>
      <c r="M64" s="856" t="str">
        <f ca="1">CELL("address",G54)</f>
        <v>$G$54</v>
      </c>
    </row>
    <row r="65" spans="1:21" s="255" customFormat="1" ht="15">
      <c r="A65" s="825">
        <f t="shared" si="3"/>
        <v>26.290000000000045</v>
      </c>
      <c r="B65" s="39"/>
      <c r="C65" s="1510">
        <v>43586</v>
      </c>
      <c r="D65" s="1511">
        <v>4.4699999999999997E-2</v>
      </c>
      <c r="E65" s="2243">
        <f t="shared" si="1"/>
        <v>3.7249999999999996E-3</v>
      </c>
      <c r="F65" s="1518">
        <f>H65*E65</f>
        <v>0</v>
      </c>
      <c r="G65" s="1489">
        <f t="shared" si="7"/>
        <v>1719965.6077486873</v>
      </c>
      <c r="H65" s="1336"/>
      <c r="I65" s="1204">
        <f t="shared" si="6"/>
        <v>8.8475644588470459E-9</v>
      </c>
      <c r="J65" s="39"/>
      <c r="K65" s="39"/>
      <c r="L65" s="39"/>
      <c r="M65" s="39"/>
    </row>
    <row r="66" spans="1:21" s="255" customFormat="1">
      <c r="A66" s="827">
        <f>+A36+1</f>
        <v>27</v>
      </c>
      <c r="B66" s="39" t="s">
        <v>841</v>
      </c>
      <c r="C66" s="469"/>
      <c r="D66" s="475"/>
      <c r="E66" s="1084"/>
      <c r="F66" s="799">
        <f>SUM(F37:F65)</f>
        <v>-1197927.5648248116</v>
      </c>
      <c r="G66" s="857"/>
      <c r="H66" s="471" t="str">
        <f>+"Col. "&amp;F6&amp;" Sum of Line "&amp;A36&amp;" Subparts"</f>
        <v>Col. E Sum of Line 26 Subparts</v>
      </c>
      <c r="I66" s="858"/>
      <c r="J66" s="39"/>
      <c r="K66" s="39"/>
      <c r="L66" s="39"/>
      <c r="M66" s="39"/>
    </row>
    <row r="67" spans="1:21" s="255" customFormat="1" ht="13.8" thickBot="1">
      <c r="A67" s="1309">
        <f>A66+1</f>
        <v>28</v>
      </c>
      <c r="B67" s="1366" t="s">
        <v>1102</v>
      </c>
      <c r="C67" s="469"/>
      <c r="D67" s="475"/>
      <c r="E67" s="1084"/>
      <c r="F67" s="1367">
        <f>+G29+G31</f>
        <v>-19441659.728159428</v>
      </c>
      <c r="G67" s="479"/>
      <c r="H67" s="2332" t="str">
        <f>+"Col. "&amp;G6&amp;" Line "&amp;A29&amp;" + Line "&amp;A31</f>
        <v>Col. F Line 21 + Line 23</v>
      </c>
      <c r="I67" s="2332"/>
      <c r="J67" s="39"/>
      <c r="K67" s="39"/>
      <c r="L67" s="39"/>
      <c r="M67" s="39"/>
    </row>
    <row r="68" spans="1:21" s="255" customFormat="1" ht="13.8" thickBot="1">
      <c r="A68" s="1309">
        <f>A67+1</f>
        <v>29</v>
      </c>
      <c r="B68" s="39" t="s">
        <v>1103</v>
      </c>
      <c r="C68" s="469"/>
      <c r="D68" s="475"/>
      <c r="E68" s="1084"/>
      <c r="F68" s="1368">
        <f>SUM(F66:F67)</f>
        <v>-20639587.29298424</v>
      </c>
      <c r="G68" s="471"/>
      <c r="H68" s="471" t="str">
        <f>+"Col. "&amp;F6&amp;" Line "&amp;A66&amp;" + "&amp;A67</f>
        <v>Col. E Line 27 + 28</v>
      </c>
      <c r="I68" s="471"/>
      <c r="J68" s="39"/>
      <c r="K68" s="39"/>
      <c r="L68" s="39"/>
      <c r="M68" s="39"/>
    </row>
    <row r="69" spans="1:21" s="255" customFormat="1">
      <c r="A69" s="40"/>
      <c r="B69" s="39"/>
      <c r="C69" s="39"/>
      <c r="D69" s="39"/>
      <c r="E69" s="39"/>
      <c r="F69" s="39"/>
      <c r="G69" s="39"/>
      <c r="H69" s="39"/>
      <c r="I69" s="39"/>
      <c r="J69" s="39"/>
      <c r="K69" s="39"/>
      <c r="L69" s="39"/>
      <c r="M69" s="39"/>
    </row>
    <row r="70" spans="1:21" s="40" customFormat="1">
      <c r="B70" s="39"/>
      <c r="C70" s="469"/>
      <c r="D70" s="475"/>
      <c r="E70" s="1084"/>
      <c r="F70" s="471"/>
      <c r="G70" s="472"/>
      <c r="H70" s="478"/>
      <c r="I70" s="471"/>
      <c r="J70" s="39"/>
      <c r="K70" s="39"/>
      <c r="L70" s="39"/>
      <c r="M70" s="39"/>
    </row>
    <row r="71" spans="1:21" s="255" customFormat="1">
      <c r="A71" s="40" t="s">
        <v>299</v>
      </c>
      <c r="B71" s="39"/>
      <c r="C71" s="469"/>
      <c r="D71" s="475"/>
      <c r="E71" s="1084"/>
      <c r="F71" s="471"/>
      <c r="G71" s="472"/>
      <c r="H71" s="478"/>
      <c r="I71" s="471"/>
      <c r="J71" s="40"/>
      <c r="K71" s="40"/>
      <c r="L71" s="40"/>
      <c r="M71" s="40"/>
    </row>
    <row r="72" spans="1:21" s="255" customFormat="1" ht="39.6" customHeight="1">
      <c r="A72" s="660">
        <v>1</v>
      </c>
      <c r="B72" s="2330" t="s">
        <v>1076</v>
      </c>
      <c r="C72" s="2330"/>
      <c r="D72" s="2330"/>
      <c r="E72" s="2330"/>
      <c r="F72" s="2330"/>
      <c r="G72" s="2330"/>
      <c r="H72" s="2330"/>
      <c r="I72" s="2330"/>
      <c r="J72" s="40"/>
      <c r="K72" s="40"/>
      <c r="L72" s="40"/>
      <c r="M72" s="40"/>
    </row>
    <row r="73" spans="1:21" s="255" customFormat="1" ht="27" customHeight="1">
      <c r="A73" s="826">
        <v>2</v>
      </c>
      <c r="B73" s="2324" t="s">
        <v>1096</v>
      </c>
      <c r="C73" s="2324"/>
      <c r="D73" s="2324"/>
      <c r="E73" s="2324"/>
      <c r="F73" s="2324"/>
      <c r="G73" s="2324"/>
      <c r="H73" s="2324"/>
      <c r="I73" s="2324"/>
      <c r="J73" s="40"/>
      <c r="K73" s="2333"/>
      <c r="L73" s="2333"/>
      <c r="M73" s="2333"/>
      <c r="N73" s="2333"/>
      <c r="O73" s="2333"/>
      <c r="P73" s="2333"/>
      <c r="Q73" s="2333"/>
      <c r="R73" s="2333"/>
      <c r="S73" s="2333"/>
      <c r="T73" s="2333"/>
      <c r="U73" s="2333"/>
    </row>
    <row r="74" spans="1:21" s="255" customFormat="1" ht="27" customHeight="1">
      <c r="A74" s="660">
        <v>3</v>
      </c>
      <c r="B74" s="2324" t="s">
        <v>456</v>
      </c>
      <c r="C74" s="2324"/>
      <c r="D74" s="2324"/>
      <c r="E74" s="2324"/>
      <c r="F74" s="2324"/>
      <c r="G74" s="2324"/>
      <c r="H74" s="2324"/>
      <c r="I74" s="2324"/>
      <c r="J74" s="40"/>
      <c r="K74" s="40"/>
      <c r="L74" s="40"/>
      <c r="M74" s="40"/>
    </row>
    <row r="75" spans="1:21" s="255" customFormat="1" ht="66" customHeight="1">
      <c r="A75" s="660">
        <v>4</v>
      </c>
      <c r="B75" s="2324" t="s">
        <v>1104</v>
      </c>
      <c r="C75" s="2324"/>
      <c r="D75" s="2324"/>
      <c r="E75" s="2324"/>
      <c r="F75" s="2324"/>
      <c r="G75" s="2324"/>
      <c r="H75" s="2324"/>
      <c r="I75" s="2324"/>
      <c r="J75" s="40"/>
      <c r="K75" s="40"/>
      <c r="L75" s="40"/>
      <c r="M75" s="40"/>
    </row>
    <row r="76" spans="1:21" s="255" customFormat="1" ht="30.6" customHeight="1">
      <c r="A76" s="533">
        <v>5</v>
      </c>
      <c r="B76" s="2324" t="s">
        <v>1105</v>
      </c>
      <c r="C76" s="2324"/>
      <c r="D76" s="2324"/>
      <c r="E76" s="2324"/>
      <c r="F76" s="2324"/>
      <c r="G76" s="2324"/>
      <c r="H76" s="2324"/>
      <c r="I76" s="2324"/>
      <c r="J76" s="40"/>
      <c r="K76" s="40"/>
      <c r="L76" s="40"/>
      <c r="M76" s="40"/>
    </row>
    <row r="77" spans="1:21" s="255" customFormat="1" ht="79.95" customHeight="1">
      <c r="A77" s="533">
        <v>6</v>
      </c>
      <c r="B77" s="2324" t="s">
        <v>1106</v>
      </c>
      <c r="C77" s="2324"/>
      <c r="D77" s="2324"/>
      <c r="E77" s="2324"/>
      <c r="F77" s="2324"/>
      <c r="G77" s="2324"/>
      <c r="H77" s="2324"/>
      <c r="I77" s="2324"/>
      <c r="J77" s="40"/>
      <c r="K77" s="40"/>
      <c r="L77" s="40"/>
      <c r="M77" s="40"/>
    </row>
    <row r="78" spans="1:21" s="255" customFormat="1" ht="54.6" customHeight="1">
      <c r="A78" s="1364">
        <v>7</v>
      </c>
      <c r="B78" s="2324" t="s">
        <v>1107</v>
      </c>
      <c r="C78" s="2324"/>
      <c r="D78" s="2324"/>
      <c r="E78" s="2324"/>
      <c r="F78" s="2324"/>
      <c r="G78" s="2324"/>
      <c r="H78" s="2324"/>
      <c r="I78" s="2324"/>
      <c r="J78" s="40"/>
      <c r="K78" s="40"/>
      <c r="L78" s="40"/>
      <c r="M78" s="40"/>
    </row>
    <row r="79" spans="1:21" s="255" customFormat="1">
      <c r="A79" s="693"/>
      <c r="B79" s="720"/>
      <c r="C79" s="489"/>
      <c r="D79" s="490"/>
      <c r="E79" s="491"/>
      <c r="F79" s="471"/>
      <c r="G79" s="472"/>
      <c r="H79" s="478"/>
      <c r="I79" s="471"/>
      <c r="J79" s="40"/>
      <c r="K79" s="40"/>
      <c r="L79" s="40"/>
      <c r="M79" s="40"/>
    </row>
    <row r="80" spans="1:21" s="255" customFormat="1">
      <c r="A80" s="693"/>
      <c r="B80" s="39"/>
      <c r="C80" s="469"/>
      <c r="D80" s="480"/>
      <c r="E80" s="470"/>
      <c r="F80" s="471"/>
      <c r="G80" s="472"/>
      <c r="H80" s="478"/>
      <c r="I80" s="471"/>
      <c r="J80" s="40"/>
      <c r="K80" s="40"/>
      <c r="L80" s="40"/>
      <c r="M80" s="40"/>
    </row>
    <row r="81" spans="1:13" s="255" customFormat="1">
      <c r="A81" s="40"/>
      <c r="B81" s="39"/>
      <c r="C81" s="469"/>
      <c r="D81" s="480"/>
      <c r="E81" s="470"/>
      <c r="F81" s="471"/>
      <c r="G81" s="472"/>
      <c r="H81" s="478"/>
      <c r="I81" s="471"/>
      <c r="J81" s="40"/>
      <c r="K81" s="40"/>
      <c r="L81" s="40"/>
      <c r="M81" s="40"/>
    </row>
    <row r="82" spans="1:13" s="255" customFormat="1">
      <c r="A82" s="40"/>
      <c r="B82" s="39"/>
      <c r="C82" s="469"/>
      <c r="D82" s="480"/>
      <c r="E82" s="470"/>
      <c r="F82" s="471"/>
      <c r="G82" s="472"/>
      <c r="H82" s="478"/>
      <c r="I82" s="471"/>
      <c r="J82" s="40"/>
      <c r="K82" s="40"/>
      <c r="L82" s="40"/>
      <c r="M82" s="40"/>
    </row>
    <row r="83" spans="1:13" s="255" customFormat="1">
      <c r="A83" s="40"/>
      <c r="B83" s="39"/>
      <c r="C83" s="469"/>
      <c r="D83" s="480"/>
      <c r="E83" s="470"/>
      <c r="F83" s="471"/>
      <c r="G83" s="472"/>
      <c r="H83" s="478"/>
      <c r="I83" s="471"/>
      <c r="J83" s="40"/>
      <c r="K83" s="40"/>
      <c r="L83" s="40"/>
      <c r="M83" s="40"/>
    </row>
    <row r="84" spans="1:13" s="255" customFormat="1">
      <c r="A84" s="40"/>
      <c r="B84" s="39"/>
      <c r="C84" s="469"/>
      <c r="D84" s="480"/>
      <c r="E84" s="470"/>
      <c r="F84" s="471"/>
      <c r="G84" s="472"/>
      <c r="H84" s="478"/>
      <c r="I84" s="471"/>
      <c r="J84" s="40"/>
      <c r="K84" s="40"/>
      <c r="L84" s="40"/>
      <c r="M84" s="40"/>
    </row>
    <row r="85" spans="1:13" s="255" customFormat="1">
      <c r="A85" s="40"/>
      <c r="B85" s="39"/>
      <c r="C85" s="469"/>
      <c r="D85" s="480"/>
      <c r="E85" s="470"/>
      <c r="F85" s="471"/>
      <c r="G85" s="472"/>
      <c r="H85" s="478"/>
      <c r="I85" s="471"/>
      <c r="J85" s="40"/>
      <c r="K85" s="40"/>
      <c r="L85" s="40"/>
      <c r="M85" s="40"/>
    </row>
    <row r="86" spans="1:13" s="255" customFormat="1">
      <c r="A86" s="40"/>
      <c r="B86" s="40"/>
      <c r="C86" s="469"/>
      <c r="D86" s="480"/>
      <c r="E86" s="470"/>
      <c r="F86" s="471"/>
      <c r="G86" s="472"/>
      <c r="H86" s="478"/>
      <c r="I86" s="471"/>
      <c r="J86" s="40"/>
      <c r="K86" s="40"/>
      <c r="L86" s="40"/>
      <c r="M86" s="40"/>
    </row>
    <row r="87" spans="1:13" s="255" customFormat="1">
      <c r="A87" s="40"/>
      <c r="B87" s="40"/>
      <c r="C87" s="469"/>
      <c r="D87" s="480"/>
      <c r="E87" s="470"/>
      <c r="F87" s="471"/>
      <c r="G87" s="472"/>
      <c r="H87" s="478"/>
      <c r="I87" s="471"/>
      <c r="J87" s="40"/>
      <c r="K87" s="40"/>
      <c r="L87" s="40"/>
      <c r="M87" s="40"/>
    </row>
    <row r="88" spans="1:13" s="255" customFormat="1">
      <c r="A88" s="40"/>
      <c r="B88" s="40"/>
      <c r="C88" s="469"/>
      <c r="D88" s="480"/>
      <c r="E88" s="470"/>
      <c r="F88" s="471"/>
      <c r="G88" s="472"/>
      <c r="H88" s="478"/>
      <c r="I88" s="471"/>
      <c r="J88" s="40"/>
      <c r="K88" s="40"/>
      <c r="L88" s="40"/>
      <c r="M88" s="40"/>
    </row>
    <row r="89" spans="1:13" s="255" customFormat="1">
      <c r="A89" s="40"/>
      <c r="B89" s="40"/>
      <c r="C89" s="469"/>
      <c r="D89" s="480"/>
      <c r="E89" s="470"/>
      <c r="F89" s="471"/>
      <c r="G89" s="472"/>
      <c r="H89" s="478"/>
      <c r="I89" s="471"/>
      <c r="J89" s="40"/>
      <c r="K89" s="40"/>
      <c r="L89" s="40"/>
      <c r="M89" s="40"/>
    </row>
    <row r="90" spans="1:13" s="255" customFormat="1">
      <c r="A90" s="40"/>
      <c r="B90" s="40"/>
      <c r="C90" s="469"/>
      <c r="D90" s="480"/>
      <c r="E90" s="470"/>
      <c r="F90" s="471"/>
      <c r="G90" s="472"/>
      <c r="H90" s="478"/>
      <c r="I90" s="471"/>
      <c r="J90" s="40"/>
      <c r="K90" s="40"/>
      <c r="L90" s="40"/>
      <c r="M90" s="40"/>
    </row>
    <row r="91" spans="1:13" s="255" customFormat="1">
      <c r="A91" s="40"/>
      <c r="B91" s="40"/>
      <c r="C91" s="469"/>
      <c r="D91" s="480"/>
      <c r="E91" s="470"/>
      <c r="F91" s="471"/>
      <c r="G91" s="472"/>
      <c r="H91" s="478"/>
      <c r="I91" s="471"/>
      <c r="J91" s="40"/>
      <c r="K91" s="40"/>
      <c r="L91" s="40"/>
      <c r="M91" s="40"/>
    </row>
    <row r="92" spans="1:13" s="255" customFormat="1">
      <c r="A92" s="40"/>
      <c r="B92" s="40"/>
      <c r="C92" s="469"/>
      <c r="D92" s="480"/>
      <c r="E92" s="470"/>
      <c r="F92" s="471"/>
      <c r="G92" s="472"/>
      <c r="H92" s="478"/>
      <c r="I92" s="471"/>
      <c r="J92" s="40"/>
      <c r="K92" s="40"/>
      <c r="L92" s="40"/>
      <c r="M92" s="40"/>
    </row>
    <row r="93" spans="1:13" s="255" customFormat="1">
      <c r="A93" s="40"/>
      <c r="B93" s="40"/>
      <c r="C93" s="469"/>
      <c r="D93" s="480"/>
      <c r="E93" s="470"/>
      <c r="F93" s="471"/>
      <c r="G93" s="472"/>
      <c r="H93" s="478"/>
      <c r="I93" s="471"/>
      <c r="J93" s="40"/>
      <c r="K93" s="40"/>
      <c r="L93" s="40"/>
      <c r="M93" s="40"/>
    </row>
    <row r="94" spans="1:13" s="255" customFormat="1">
      <c r="A94" s="40"/>
      <c r="B94" s="40"/>
      <c r="C94" s="469"/>
      <c r="D94" s="480"/>
      <c r="E94" s="470"/>
      <c r="F94" s="471"/>
      <c r="G94" s="472"/>
      <c r="H94" s="478"/>
      <c r="I94" s="471"/>
      <c r="J94" s="40"/>
      <c r="K94" s="40"/>
      <c r="L94" s="40"/>
      <c r="M94" s="40"/>
    </row>
    <row r="95" spans="1:13" s="255" customFormat="1">
      <c r="A95" s="40"/>
      <c r="B95" s="40"/>
      <c r="C95" s="469"/>
      <c r="D95" s="480"/>
      <c r="E95" s="470"/>
      <c r="F95" s="471"/>
      <c r="G95" s="472"/>
      <c r="H95" s="478"/>
      <c r="I95" s="471"/>
      <c r="J95" s="40"/>
      <c r="K95" s="40"/>
      <c r="L95" s="40"/>
      <c r="M95" s="40"/>
    </row>
    <row r="96" spans="1:13" s="255" customFormat="1">
      <c r="A96" s="40"/>
      <c r="B96" s="40"/>
      <c r="C96" s="469"/>
      <c r="D96" s="480"/>
      <c r="E96" s="470"/>
      <c r="F96" s="471"/>
      <c r="G96" s="472"/>
      <c r="H96" s="478"/>
      <c r="I96" s="471"/>
      <c r="J96" s="40"/>
      <c r="K96" s="40"/>
      <c r="L96" s="40"/>
      <c r="M96" s="40"/>
    </row>
    <row r="97" spans="1:38" s="255" customFormat="1">
      <c r="A97" s="40"/>
      <c r="B97" s="40"/>
      <c r="C97" s="469"/>
      <c r="D97" s="480"/>
      <c r="E97" s="470"/>
      <c r="F97" s="471"/>
      <c r="G97" s="472"/>
      <c r="H97" s="478"/>
      <c r="I97" s="471"/>
      <c r="J97" s="40"/>
      <c r="K97" s="40"/>
      <c r="L97" s="40"/>
      <c r="M97" s="40"/>
    </row>
    <row r="98" spans="1:38" s="255" customFormat="1">
      <c r="A98" s="40"/>
      <c r="B98" s="40"/>
      <c r="C98" s="469"/>
      <c r="D98" s="480"/>
      <c r="E98" s="470"/>
      <c r="F98" s="471"/>
      <c r="G98" s="472"/>
      <c r="H98" s="478"/>
      <c r="I98" s="471"/>
      <c r="J98" s="40"/>
      <c r="K98" s="40"/>
      <c r="L98" s="40"/>
      <c r="M98" s="40"/>
    </row>
    <row r="99" spans="1:38" s="255" customFormat="1">
      <c r="A99" s="40"/>
      <c r="B99" s="40"/>
      <c r="C99" s="469"/>
      <c r="D99" s="480"/>
      <c r="E99" s="470"/>
      <c r="F99" s="471"/>
      <c r="G99" s="472"/>
      <c r="H99" s="478"/>
      <c r="I99" s="471"/>
      <c r="J99" s="40"/>
      <c r="K99" s="40"/>
      <c r="L99" s="40"/>
      <c r="M99" s="40"/>
    </row>
    <row r="100" spans="1:38" s="255" customFormat="1">
      <c r="A100" s="40"/>
      <c r="B100" s="40"/>
      <c r="C100" s="469"/>
      <c r="D100" s="480"/>
      <c r="E100" s="470"/>
      <c r="F100" s="471"/>
      <c r="G100" s="472"/>
      <c r="H100" s="478"/>
      <c r="I100" s="471"/>
      <c r="J100" s="40"/>
      <c r="K100" s="40"/>
      <c r="L100" s="40"/>
      <c r="M100" s="40"/>
    </row>
    <row r="101" spans="1:38" s="255" customFormat="1">
      <c r="A101" s="40"/>
      <c r="B101" s="40"/>
      <c r="C101" s="469"/>
      <c r="D101" s="480"/>
      <c r="E101" s="470"/>
      <c r="F101" s="471"/>
      <c r="G101" s="472"/>
      <c r="H101" s="478"/>
      <c r="I101" s="471"/>
      <c r="J101" s="40"/>
      <c r="K101" s="40"/>
      <c r="L101" s="40"/>
      <c r="M101" s="40"/>
    </row>
    <row r="102" spans="1:38">
      <c r="C102" s="469"/>
      <c r="D102" s="480"/>
      <c r="E102" s="470"/>
      <c r="F102" s="471"/>
      <c r="G102" s="472"/>
      <c r="H102" s="478"/>
      <c r="I102" s="471"/>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row>
    <row r="103" spans="1:38">
      <c r="C103" s="469"/>
      <c r="D103" s="480"/>
      <c r="E103" s="470"/>
      <c r="F103" s="471"/>
      <c r="G103" s="472"/>
      <c r="H103" s="478"/>
      <c r="I103" s="471"/>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row>
    <row r="104" spans="1:38">
      <c r="C104" s="469"/>
      <c r="D104" s="480"/>
      <c r="E104" s="470"/>
      <c r="F104" s="471"/>
      <c r="G104" s="472"/>
      <c r="H104" s="478"/>
      <c r="I104" s="471"/>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row>
    <row r="105" spans="1:38">
      <c r="C105" s="469"/>
      <c r="D105" s="480"/>
      <c r="E105" s="470"/>
      <c r="F105" s="471"/>
      <c r="G105" s="472"/>
      <c r="H105" s="478"/>
      <c r="I105" s="471"/>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row>
    <row r="106" spans="1:38">
      <c r="C106" s="469"/>
      <c r="D106" s="480"/>
      <c r="E106" s="470"/>
      <c r="F106" s="471"/>
      <c r="G106" s="472"/>
      <c r="H106" s="478"/>
      <c r="I106" s="471"/>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row>
    <row r="107" spans="1:38">
      <c r="C107" s="469"/>
      <c r="D107" s="480"/>
      <c r="E107" s="470"/>
      <c r="F107" s="471"/>
      <c r="G107" s="472"/>
      <c r="H107" s="478"/>
      <c r="I107" s="471"/>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row>
    <row r="108" spans="1:38">
      <c r="C108" s="469"/>
      <c r="D108" s="480"/>
      <c r="E108" s="470"/>
      <c r="F108" s="471"/>
      <c r="G108" s="472"/>
      <c r="H108" s="478"/>
      <c r="I108" s="471"/>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row>
    <row r="109" spans="1:38">
      <c r="C109" s="469"/>
      <c r="D109" s="480"/>
      <c r="E109" s="470"/>
      <c r="F109" s="471"/>
      <c r="G109" s="472"/>
      <c r="H109" s="478"/>
      <c r="I109" s="471"/>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row>
    <row r="110" spans="1:38">
      <c r="B110" s="61"/>
      <c r="C110" s="469"/>
      <c r="D110" s="480"/>
      <c r="E110" s="470"/>
      <c r="F110" s="471"/>
      <c r="G110" s="472"/>
      <c r="H110" s="478"/>
      <c r="I110" s="471"/>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row>
    <row r="111" spans="1:38">
      <c r="A111" s="61"/>
      <c r="B111" s="61"/>
      <c r="C111" s="469"/>
      <c r="D111" s="480"/>
      <c r="E111" s="470"/>
      <c r="F111" s="471"/>
      <c r="G111" s="472"/>
      <c r="H111" s="478"/>
      <c r="I111" s="471"/>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row>
    <row r="112" spans="1:38">
      <c r="A112" s="61"/>
      <c r="B112" s="61"/>
      <c r="C112" s="469"/>
      <c r="D112" s="480"/>
      <c r="E112" s="470"/>
      <c r="F112" s="471"/>
      <c r="G112" s="472"/>
      <c r="H112" s="478"/>
      <c r="I112" s="471"/>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row>
    <row r="113" spans="1:38">
      <c r="A113" s="61"/>
      <c r="B113" s="61"/>
      <c r="C113" s="469"/>
      <c r="D113" s="480"/>
      <c r="E113" s="470"/>
      <c r="F113" s="471"/>
      <c r="G113" s="472"/>
      <c r="H113" s="478"/>
      <c r="I113" s="471"/>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row>
    <row r="114" spans="1:38">
      <c r="A114" s="61"/>
      <c r="B114" s="61"/>
      <c r="C114" s="469"/>
      <c r="D114" s="480"/>
      <c r="E114" s="470"/>
      <c r="F114" s="471"/>
      <c r="G114" s="472"/>
      <c r="H114" s="478"/>
      <c r="I114" s="471"/>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row>
    <row r="115" spans="1:38">
      <c r="A115" s="61"/>
      <c r="B115" s="61"/>
      <c r="C115" s="469"/>
      <c r="D115" s="480"/>
      <c r="E115" s="470"/>
      <c r="F115" s="471"/>
      <c r="G115" s="472"/>
      <c r="H115" s="478"/>
      <c r="I115" s="471"/>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row>
    <row r="116" spans="1:38">
      <c r="A116" s="61"/>
      <c r="B116" s="61"/>
      <c r="C116" s="469"/>
      <c r="D116" s="480"/>
      <c r="E116" s="470"/>
      <c r="F116" s="471"/>
      <c r="G116" s="472"/>
      <c r="H116" s="478"/>
      <c r="I116" s="471"/>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row>
    <row r="117" spans="1:38">
      <c r="A117" s="61"/>
      <c r="B117" s="61"/>
      <c r="C117" s="469"/>
      <c r="D117" s="480"/>
      <c r="E117" s="470"/>
      <c r="F117" s="471"/>
      <c r="G117" s="472"/>
      <c r="H117" s="478"/>
      <c r="I117" s="471"/>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row>
    <row r="118" spans="1:38">
      <c r="A118" s="61"/>
      <c r="B118" s="61"/>
      <c r="C118" s="469"/>
      <c r="D118" s="480"/>
      <c r="E118" s="470"/>
      <c r="F118" s="471"/>
      <c r="G118" s="472"/>
      <c r="H118" s="478"/>
      <c r="I118" s="471"/>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row>
    <row r="119" spans="1:38">
      <c r="A119" s="61"/>
      <c r="B119" s="61"/>
      <c r="C119" s="469"/>
      <c r="D119" s="480"/>
      <c r="E119" s="470"/>
      <c r="F119" s="471"/>
      <c r="G119" s="472"/>
      <c r="H119" s="478"/>
      <c r="I119" s="471"/>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row>
    <row r="120" spans="1:38">
      <c r="A120" s="61"/>
      <c r="B120" s="61"/>
      <c r="C120" s="469"/>
      <c r="D120" s="480"/>
      <c r="E120" s="470"/>
      <c r="F120" s="471"/>
      <c r="G120" s="472"/>
      <c r="H120" s="478"/>
      <c r="I120" s="471"/>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row>
    <row r="121" spans="1:38">
      <c r="A121" s="61"/>
      <c r="B121" s="61"/>
      <c r="C121" s="469"/>
      <c r="D121" s="480"/>
      <c r="E121" s="470"/>
      <c r="F121" s="471"/>
      <c r="G121" s="472"/>
      <c r="H121" s="478"/>
      <c r="I121" s="471"/>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row>
    <row r="122" spans="1:38">
      <c r="A122" s="61"/>
      <c r="B122" s="61"/>
      <c r="C122" s="469"/>
      <c r="D122" s="480"/>
      <c r="E122" s="470"/>
      <c r="F122" s="471"/>
      <c r="G122" s="472"/>
      <c r="H122" s="478"/>
      <c r="I122" s="471"/>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row>
    <row r="123" spans="1:38">
      <c r="A123" s="61"/>
      <c r="B123" s="61"/>
      <c r="F123" s="481"/>
      <c r="G123" s="481"/>
      <c r="H123" s="481"/>
      <c r="I123" s="481"/>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row>
    <row r="124" spans="1:38">
      <c r="A124" s="61"/>
      <c r="B124" s="61"/>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row>
    <row r="125" spans="1:38">
      <c r="A125" s="61"/>
      <c r="B125" s="61"/>
      <c r="F125" s="482"/>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row>
    <row r="126" spans="1:38">
      <c r="A126" s="61"/>
      <c r="B126" s="61"/>
      <c r="C126" s="61"/>
      <c r="D126" s="61"/>
      <c r="E126" s="61"/>
      <c r="F126" s="482"/>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row>
    <row r="127" spans="1:38">
      <c r="A127" s="61"/>
      <c r="B127" s="61"/>
      <c r="C127" s="61"/>
      <c r="D127" s="61"/>
      <c r="E127" s="61"/>
      <c r="F127" s="481"/>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row>
    <row r="128" spans="1:38">
      <c r="A128" s="61"/>
      <c r="B128" s="61"/>
      <c r="C128" s="61"/>
      <c r="D128" s="61"/>
      <c r="E128" s="61"/>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row>
    <row r="129" spans="1:38">
      <c r="A129" s="61"/>
      <c r="B129" s="61"/>
      <c r="C129" s="61"/>
      <c r="D129" s="61"/>
      <c r="E129" s="61"/>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row>
    <row r="130" spans="1:38">
      <c r="A130" s="61"/>
      <c r="B130" s="61"/>
      <c r="C130" s="61"/>
      <c r="D130" s="61"/>
      <c r="E130" s="61"/>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row>
    <row r="131" spans="1:38">
      <c r="A131" s="61"/>
      <c r="B131" s="61"/>
      <c r="C131" s="61"/>
      <c r="D131" s="61"/>
      <c r="E131" s="61"/>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row>
    <row r="132" spans="1:38">
      <c r="A132" s="61"/>
      <c r="B132" s="61"/>
      <c r="C132" s="61"/>
      <c r="D132" s="61"/>
      <c r="E132" s="61"/>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row>
    <row r="133" spans="1:38">
      <c r="A133" s="61"/>
      <c r="B133" s="61"/>
      <c r="C133" s="61"/>
      <c r="D133" s="61"/>
      <c r="E133" s="61"/>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row>
    <row r="134" spans="1:38">
      <c r="A134" s="61"/>
      <c r="B134" s="61"/>
      <c r="C134" s="61"/>
      <c r="D134" s="61"/>
      <c r="E134" s="61"/>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row>
    <row r="135" spans="1:38">
      <c r="A135" s="61"/>
      <c r="B135" s="61"/>
      <c r="C135" s="61"/>
      <c r="D135" s="61"/>
      <c r="E135" s="61"/>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row>
    <row r="136" spans="1:38">
      <c r="A136" s="61"/>
      <c r="B136" s="61"/>
      <c r="C136" s="61"/>
      <c r="D136" s="61"/>
      <c r="E136" s="61"/>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row>
    <row r="137" spans="1:38">
      <c r="A137" s="61"/>
      <c r="B137" s="61"/>
      <c r="C137" s="61"/>
      <c r="D137" s="61"/>
      <c r="E137" s="61"/>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row>
    <row r="138" spans="1:38">
      <c r="A138" s="61"/>
      <c r="B138" s="61"/>
      <c r="C138" s="61"/>
      <c r="D138" s="61"/>
      <c r="E138" s="61"/>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row>
    <row r="139" spans="1:38">
      <c r="A139" s="61"/>
      <c r="B139" s="61"/>
      <c r="C139" s="61"/>
      <c r="D139" s="61"/>
      <c r="E139" s="61"/>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row>
    <row r="140" spans="1:38">
      <c r="A140" s="61"/>
      <c r="B140" s="61"/>
      <c r="C140" s="61"/>
      <c r="D140" s="61"/>
      <c r="E140" s="61"/>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row>
    <row r="141" spans="1:38">
      <c r="A141" s="61"/>
      <c r="B141" s="61"/>
      <c r="C141" s="61"/>
      <c r="D141" s="61"/>
      <c r="E141" s="61"/>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row>
    <row r="142" spans="1:38">
      <c r="A142" s="61"/>
      <c r="B142" s="61"/>
      <c r="C142" s="61"/>
      <c r="D142" s="61"/>
      <c r="E142" s="61"/>
      <c r="F142" s="61"/>
      <c r="G142" s="61"/>
      <c r="H142" s="61"/>
      <c r="I142" s="61"/>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row>
    <row r="143" spans="1:38">
      <c r="A143" s="61"/>
      <c r="B143" s="61"/>
      <c r="C143" s="61"/>
      <c r="D143" s="61"/>
      <c r="E143" s="61"/>
      <c r="F143" s="61"/>
      <c r="G143" s="61"/>
      <c r="H143" s="61"/>
      <c r="I143" s="61"/>
      <c r="J143" s="61"/>
      <c r="K143" s="61"/>
      <c r="L143" s="61"/>
      <c r="M143" s="61"/>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row>
    <row r="144" spans="1:38">
      <c r="A144" s="61"/>
      <c r="B144" s="61"/>
      <c r="C144" s="61"/>
      <c r="D144" s="61"/>
      <c r="E144" s="61"/>
      <c r="F144" s="61"/>
      <c r="G144" s="61"/>
      <c r="H144" s="61"/>
      <c r="I144" s="61"/>
      <c r="J144" s="61"/>
      <c r="K144" s="61"/>
      <c r="L144" s="61"/>
      <c r="M144" s="61"/>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row>
    <row r="145" spans="1:38">
      <c r="A145" s="61"/>
      <c r="B145" s="61"/>
      <c r="C145" s="61"/>
      <c r="D145" s="61"/>
      <c r="E145" s="61"/>
      <c r="F145" s="61"/>
      <c r="G145" s="61"/>
      <c r="H145" s="61"/>
      <c r="I145" s="61"/>
      <c r="J145" s="61"/>
      <c r="K145" s="61"/>
      <c r="L145" s="61"/>
      <c r="M145" s="61"/>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row>
    <row r="146" spans="1:38">
      <c r="A146" s="61"/>
      <c r="B146" s="61"/>
      <c r="C146" s="61"/>
      <c r="D146" s="61"/>
      <c r="E146" s="61"/>
      <c r="F146" s="61"/>
      <c r="G146" s="61"/>
      <c r="H146" s="61"/>
      <c r="I146" s="61"/>
      <c r="J146" s="61"/>
      <c r="K146" s="61"/>
      <c r="L146" s="61"/>
      <c r="M146" s="61"/>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row>
    <row r="147" spans="1:38">
      <c r="A147" s="61"/>
      <c r="B147" s="61"/>
      <c r="C147" s="61"/>
      <c r="D147" s="61"/>
      <c r="E147" s="61"/>
      <c r="F147" s="61"/>
      <c r="G147" s="61"/>
      <c r="H147" s="61"/>
      <c r="I147" s="61"/>
      <c r="J147" s="61"/>
      <c r="K147" s="61"/>
      <c r="L147" s="61"/>
      <c r="M147" s="61"/>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row>
    <row r="148" spans="1:38">
      <c r="A148" s="61"/>
      <c r="B148" s="61"/>
      <c r="C148" s="61"/>
      <c r="D148" s="61"/>
      <c r="E148" s="61"/>
      <c r="F148" s="61"/>
      <c r="G148" s="61"/>
      <c r="H148" s="61"/>
      <c r="I148" s="61"/>
      <c r="J148" s="61"/>
      <c r="K148" s="61"/>
      <c r="L148" s="61"/>
      <c r="M148" s="61"/>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row>
    <row r="149" spans="1:38">
      <c r="A149" s="61"/>
      <c r="B149" s="61"/>
      <c r="C149" s="61"/>
      <c r="D149" s="61"/>
      <c r="E149" s="61"/>
      <c r="F149" s="61"/>
      <c r="G149" s="61"/>
      <c r="H149" s="61"/>
      <c r="I149" s="61"/>
      <c r="J149" s="61"/>
      <c r="K149" s="61"/>
      <c r="L149" s="61"/>
      <c r="M149" s="61"/>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row>
    <row r="150" spans="1:38">
      <c r="A150" s="61"/>
      <c r="B150" s="61"/>
      <c r="C150" s="61"/>
      <c r="D150" s="61"/>
      <c r="E150" s="61"/>
      <c r="F150" s="61"/>
      <c r="G150" s="61"/>
      <c r="H150" s="61"/>
      <c r="I150" s="61"/>
      <c r="J150" s="61"/>
      <c r="K150" s="61"/>
      <c r="L150" s="61"/>
      <c r="M150" s="61"/>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row>
    <row r="151" spans="1:38">
      <c r="A151" s="61"/>
      <c r="B151" s="61"/>
      <c r="C151" s="61"/>
      <c r="D151" s="61"/>
      <c r="E151" s="61"/>
      <c r="F151" s="61"/>
      <c r="G151" s="61"/>
      <c r="H151" s="61"/>
      <c r="I151" s="61"/>
      <c r="J151" s="61"/>
      <c r="K151" s="61"/>
      <c r="L151" s="61"/>
      <c r="M151" s="61"/>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row>
    <row r="152" spans="1:38">
      <c r="A152" s="61"/>
      <c r="B152" s="61"/>
      <c r="C152" s="61"/>
      <c r="D152" s="61"/>
      <c r="E152" s="61"/>
      <c r="F152" s="61"/>
      <c r="G152" s="61"/>
      <c r="H152" s="61"/>
      <c r="I152" s="61"/>
      <c r="J152" s="61"/>
      <c r="K152" s="61"/>
      <c r="L152" s="61"/>
      <c r="M152" s="61"/>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row>
    <row r="153" spans="1:38">
      <c r="A153" s="61"/>
      <c r="B153" s="61"/>
      <c r="C153" s="61"/>
      <c r="D153" s="61"/>
      <c r="E153" s="61"/>
      <c r="F153" s="61"/>
      <c r="G153" s="61"/>
      <c r="H153" s="61"/>
      <c r="I153" s="61"/>
      <c r="J153" s="61"/>
      <c r="K153" s="61"/>
      <c r="L153" s="61"/>
      <c r="M153" s="61"/>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row>
    <row r="154" spans="1:38">
      <c r="A154" s="61"/>
      <c r="B154" s="61"/>
      <c r="C154" s="61"/>
      <c r="D154" s="61"/>
      <c r="E154" s="61"/>
      <c r="F154" s="61"/>
      <c r="G154" s="61"/>
      <c r="H154" s="61"/>
      <c r="I154" s="61"/>
      <c r="J154" s="61"/>
      <c r="K154" s="61"/>
      <c r="L154" s="61"/>
      <c r="M154" s="61"/>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row>
    <row r="155" spans="1:38">
      <c r="A155" s="61"/>
      <c r="B155" s="61"/>
      <c r="C155" s="61"/>
      <c r="D155" s="61"/>
      <c r="E155" s="61"/>
      <c r="F155" s="61"/>
      <c r="G155" s="61"/>
      <c r="H155" s="61"/>
      <c r="I155" s="61"/>
      <c r="J155" s="61"/>
      <c r="K155" s="61"/>
      <c r="L155" s="61"/>
      <c r="M155" s="61"/>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row>
    <row r="156" spans="1:38">
      <c r="A156" s="61"/>
      <c r="B156" s="61"/>
      <c r="C156" s="61"/>
      <c r="D156" s="61"/>
      <c r="E156" s="61"/>
      <c r="F156" s="61"/>
      <c r="G156" s="61"/>
      <c r="H156" s="61"/>
      <c r="I156" s="61"/>
      <c r="J156" s="61"/>
      <c r="K156" s="61"/>
      <c r="L156" s="61"/>
      <c r="M156" s="61"/>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row>
    <row r="157" spans="1:38">
      <c r="A157" s="61"/>
      <c r="B157" s="61"/>
      <c r="C157" s="61"/>
      <c r="D157" s="61"/>
      <c r="E157" s="61"/>
      <c r="F157" s="61"/>
      <c r="G157" s="61"/>
      <c r="H157" s="61"/>
      <c r="I157" s="61"/>
      <c r="J157" s="61"/>
      <c r="K157" s="61"/>
      <c r="L157" s="61"/>
      <c r="M157" s="61"/>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row>
    <row r="158" spans="1:38">
      <c r="A158" s="61"/>
      <c r="J158" s="61"/>
      <c r="K158" s="61"/>
      <c r="L158" s="61"/>
      <c r="M158" s="61"/>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row>
    <row r="159" spans="1:38" s="220" customFormat="1">
      <c r="A159" s="40"/>
      <c r="B159" s="40"/>
      <c r="C159" s="39"/>
      <c r="D159" s="40"/>
      <c r="E159" s="40"/>
      <c r="F159" s="40"/>
      <c r="G159" s="40"/>
      <c r="H159" s="40"/>
      <c r="I159" s="40"/>
      <c r="J159" s="40"/>
      <c r="K159" s="40"/>
      <c r="L159" s="40"/>
      <c r="M159" s="40"/>
      <c r="N159" s="228"/>
      <c r="O159" s="228"/>
      <c r="P159" s="228"/>
      <c r="Q159" s="228"/>
      <c r="R159" s="228"/>
      <c r="S159" s="228"/>
      <c r="T159" s="228"/>
      <c r="U159" s="228"/>
      <c r="V159" s="228"/>
      <c r="W159" s="228"/>
      <c r="X159" s="228"/>
      <c r="Y159" s="228"/>
      <c r="Z159" s="228"/>
      <c r="AA159" s="228"/>
      <c r="AB159" s="228"/>
      <c r="AC159" s="228"/>
      <c r="AD159" s="228"/>
      <c r="AE159" s="228"/>
      <c r="AF159" s="228"/>
      <c r="AG159" s="228"/>
      <c r="AH159" s="228"/>
      <c r="AI159" s="228"/>
      <c r="AJ159" s="228"/>
      <c r="AK159" s="228"/>
      <c r="AL159" s="228"/>
    </row>
    <row r="160" spans="1:38">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row>
    <row r="161" spans="1:38">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row>
    <row r="162" spans="1:38">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row>
    <row r="163" spans="1:38">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row>
    <row r="164" spans="1:38">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row>
    <row r="165" spans="1:38">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row>
    <row r="166" spans="1:38">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row>
    <row r="167" spans="1:38">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row>
    <row r="168" spans="1:38">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row>
    <row r="169" spans="1:38">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row>
    <row r="170" spans="1:38">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row>
    <row r="171" spans="1:38">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row>
    <row r="172" spans="1:38">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row>
    <row r="173" spans="1:38">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row>
    <row r="174" spans="1:38">
      <c r="B174" s="61"/>
      <c r="C174" s="61"/>
      <c r="D174" s="61"/>
      <c r="E174" s="61"/>
      <c r="F174" s="61"/>
      <c r="G174" s="61"/>
      <c r="H174" s="61"/>
      <c r="I174" s="61"/>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row>
    <row r="175" spans="1:38">
      <c r="A175" s="61"/>
      <c r="B175" s="61"/>
      <c r="C175" s="61"/>
      <c r="D175" s="61"/>
      <c r="E175" s="61"/>
      <c r="F175" s="61"/>
      <c r="G175" s="61"/>
      <c r="H175" s="61"/>
      <c r="I175" s="61"/>
      <c r="J175" s="61"/>
      <c r="K175" s="61"/>
      <c r="L175" s="61"/>
      <c r="M175" s="61"/>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row>
    <row r="176" spans="1:38">
      <c r="A176" s="61"/>
      <c r="B176" s="61"/>
      <c r="C176" s="61"/>
      <c r="D176" s="61"/>
      <c r="E176" s="61"/>
      <c r="F176" s="61"/>
      <c r="G176" s="61"/>
      <c r="H176" s="61"/>
      <c r="I176" s="61"/>
      <c r="J176" s="61"/>
      <c r="K176" s="61"/>
      <c r="L176" s="61"/>
      <c r="M176" s="61"/>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row>
    <row r="177" spans="1:38">
      <c r="A177" s="61"/>
      <c r="B177" s="61"/>
      <c r="C177" s="61"/>
      <c r="D177" s="61"/>
      <c r="E177" s="61"/>
      <c r="F177" s="61"/>
      <c r="G177" s="61"/>
      <c r="H177" s="61"/>
      <c r="I177" s="61"/>
      <c r="J177" s="61"/>
      <c r="K177" s="61"/>
      <c r="L177" s="61"/>
      <c r="M177" s="61"/>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row>
    <row r="178" spans="1:38">
      <c r="A178" s="61"/>
      <c r="B178" s="61"/>
      <c r="C178" s="61"/>
      <c r="D178" s="61"/>
      <c r="E178" s="61"/>
      <c r="F178" s="61"/>
      <c r="G178" s="61"/>
      <c r="H178" s="61"/>
      <c r="I178" s="61"/>
      <c r="J178" s="61"/>
      <c r="K178" s="61"/>
      <c r="L178" s="61"/>
      <c r="M178" s="61"/>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row>
    <row r="179" spans="1:38">
      <c r="A179" s="61"/>
      <c r="J179" s="61"/>
      <c r="K179" s="61"/>
      <c r="L179" s="61"/>
      <c r="M179" s="61"/>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row>
    <row r="213" spans="7:7">
      <c r="G213" s="39"/>
    </row>
  </sheetData>
  <mergeCells count="15">
    <mergeCell ref="B77:I77"/>
    <mergeCell ref="B78:I78"/>
    <mergeCell ref="K73:U73"/>
    <mergeCell ref="B76:I76"/>
    <mergeCell ref="H9:I9"/>
    <mergeCell ref="B75:I75"/>
    <mergeCell ref="A1:I1"/>
    <mergeCell ref="A2:I2"/>
    <mergeCell ref="A4:I4"/>
    <mergeCell ref="A3:I3"/>
    <mergeCell ref="B74:I74"/>
    <mergeCell ref="B72:I72"/>
    <mergeCell ref="B73:I73"/>
    <mergeCell ref="B24:F24"/>
    <mergeCell ref="H67:I67"/>
  </mergeCells>
  <printOptions horizontalCentered="1"/>
  <pageMargins left="0.7" right="0.7" top="0.7" bottom="0.7" header="0.3" footer="0.5"/>
  <pageSetup scale="89" fitToHeight="2" orientation="portrait" r:id="rId1"/>
  <headerFooter>
    <oddFooter>&amp;R&amp;A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3"/>
  <sheetViews>
    <sheetView workbookViewId="0">
      <selection activeCell="L6" sqref="L6"/>
    </sheetView>
  </sheetViews>
  <sheetFormatPr defaultColWidth="8.88671875" defaultRowHeight="13.2"/>
  <cols>
    <col min="1" max="1" width="5.33203125" style="1491" customWidth="1"/>
    <col min="2" max="2" width="25.6640625" style="161" customWidth="1"/>
    <col min="3" max="5" width="18.6640625" style="161" customWidth="1"/>
    <col min="6" max="6" width="8.88671875" style="161"/>
    <col min="7" max="8" width="10.44140625" style="161" bestFit="1" customWidth="1"/>
    <col min="9" max="16384" width="8.88671875" style="161"/>
  </cols>
  <sheetData>
    <row r="1" spans="1:10">
      <c r="A1" s="2390" t="str">
        <f>+'MISO Cover'!C6</f>
        <v>Entergy Louisiana, LLC</v>
      </c>
      <c r="B1" s="2390"/>
      <c r="C1" s="2390"/>
      <c r="D1" s="2390"/>
      <c r="E1" s="2390"/>
    </row>
    <row r="2" spans="1:10">
      <c r="A2" s="2327" t="s">
        <v>1432</v>
      </c>
      <c r="B2" s="2327"/>
      <c r="C2" s="2327"/>
      <c r="D2" s="2327"/>
      <c r="E2" s="2327"/>
    </row>
    <row r="3" spans="1:10">
      <c r="A3" s="2390" t="str">
        <f>+'MISO Cover'!K4</f>
        <v>For  the 12 Months Ended 12/31/2017</v>
      </c>
      <c r="B3" s="2390"/>
      <c r="C3" s="2390"/>
      <c r="D3" s="2390"/>
      <c r="E3" s="2390"/>
    </row>
    <row r="4" spans="1:10">
      <c r="A4" s="1599"/>
      <c r="B4" s="1599"/>
      <c r="C4" s="1599"/>
      <c r="D4" s="1599"/>
      <c r="E4" s="1604"/>
    </row>
    <row r="5" spans="1:10">
      <c r="A5" s="1703" t="s">
        <v>280</v>
      </c>
      <c r="B5" s="1588" t="s">
        <v>67</v>
      </c>
      <c r="C5" s="1588" t="s">
        <v>114</v>
      </c>
      <c r="D5" s="1588" t="s">
        <v>55</v>
      </c>
      <c r="E5" s="1704" t="s">
        <v>1433</v>
      </c>
    </row>
    <row r="6" spans="1:10">
      <c r="A6" s="171"/>
      <c r="B6" s="171"/>
      <c r="C6" s="2466" t="s">
        <v>1434</v>
      </c>
      <c r="D6" s="2466"/>
      <c r="E6" s="1705" t="s">
        <v>1435</v>
      </c>
    </row>
    <row r="7" spans="1:10">
      <c r="A7" s="1706">
        <v>1</v>
      </c>
      <c r="B7" s="565" t="s">
        <v>1436</v>
      </c>
      <c r="C7" s="1604" t="s">
        <v>1437</v>
      </c>
      <c r="D7" s="721" t="s">
        <v>1438</v>
      </c>
      <c r="E7" s="1604" t="s">
        <v>1439</v>
      </c>
    </row>
    <row r="8" spans="1:10">
      <c r="A8" s="1707">
        <f>+A7+0.01</f>
        <v>1.01</v>
      </c>
      <c r="B8" s="565">
        <v>2016</v>
      </c>
      <c r="C8" s="1773">
        <v>132845637</v>
      </c>
      <c r="D8" s="1773">
        <f t="shared" ref="D8:D22" si="0">+C8-E8</f>
        <v>123989261.2</v>
      </c>
      <c r="E8" s="1689">
        <f>+C8/15</f>
        <v>8856375.8000000007</v>
      </c>
      <c r="G8" s="2465" t="s">
        <v>1556</v>
      </c>
      <c r="H8" s="2465"/>
      <c r="I8" s="2465"/>
      <c r="J8" s="2465"/>
    </row>
    <row r="9" spans="1:10">
      <c r="A9" s="1707">
        <f t="shared" ref="A9:A22" si="1">+A8+0.01</f>
        <v>1.02</v>
      </c>
      <c r="B9" s="565">
        <f>+B8+1</f>
        <v>2017</v>
      </c>
      <c r="C9" s="1773">
        <f t="shared" ref="C9:C22" si="2">+D8</f>
        <v>123989261.2</v>
      </c>
      <c r="D9" s="1773">
        <f t="shared" si="0"/>
        <v>115132885.40000001</v>
      </c>
      <c r="E9" s="1689">
        <f>+E8</f>
        <v>8856375.8000000007</v>
      </c>
    </row>
    <row r="10" spans="1:10">
      <c r="A10" s="1707">
        <f t="shared" si="1"/>
        <v>1.03</v>
      </c>
      <c r="B10" s="565">
        <f t="shared" ref="B10:B22" si="3">+B9+1</f>
        <v>2018</v>
      </c>
      <c r="C10" s="1773">
        <f t="shared" si="2"/>
        <v>115132885.40000001</v>
      </c>
      <c r="D10" s="1773">
        <f t="shared" si="0"/>
        <v>106276509.60000001</v>
      </c>
      <c r="E10" s="1689">
        <f t="shared" ref="E10:E22" si="4">+E9</f>
        <v>8856375.8000000007</v>
      </c>
    </row>
    <row r="11" spans="1:10">
      <c r="A11" s="1707">
        <f t="shared" si="1"/>
        <v>1.04</v>
      </c>
      <c r="B11" s="565">
        <f t="shared" si="3"/>
        <v>2019</v>
      </c>
      <c r="C11" s="1773">
        <f t="shared" si="2"/>
        <v>106276509.60000001</v>
      </c>
      <c r="D11" s="1773">
        <f t="shared" si="0"/>
        <v>97420133.800000012</v>
      </c>
      <c r="E11" s="1689">
        <f t="shared" si="4"/>
        <v>8856375.8000000007</v>
      </c>
    </row>
    <row r="12" spans="1:10">
      <c r="A12" s="1707">
        <f t="shared" si="1"/>
        <v>1.05</v>
      </c>
      <c r="B12" s="565">
        <f t="shared" si="3"/>
        <v>2020</v>
      </c>
      <c r="C12" s="1773">
        <f t="shared" si="2"/>
        <v>97420133.800000012</v>
      </c>
      <c r="D12" s="1773">
        <f t="shared" si="0"/>
        <v>88563758.000000015</v>
      </c>
      <c r="E12" s="1689">
        <f t="shared" si="4"/>
        <v>8856375.8000000007</v>
      </c>
    </row>
    <row r="13" spans="1:10">
      <c r="A13" s="1707">
        <f t="shared" si="1"/>
        <v>1.06</v>
      </c>
      <c r="B13" s="565">
        <f t="shared" si="3"/>
        <v>2021</v>
      </c>
      <c r="C13" s="1773">
        <f t="shared" si="2"/>
        <v>88563758.000000015</v>
      </c>
      <c r="D13" s="1773">
        <f t="shared" si="0"/>
        <v>79707382.200000018</v>
      </c>
      <c r="E13" s="1689">
        <f t="shared" si="4"/>
        <v>8856375.8000000007</v>
      </c>
    </row>
    <row r="14" spans="1:10">
      <c r="A14" s="1707">
        <f t="shared" si="1"/>
        <v>1.07</v>
      </c>
      <c r="B14" s="565">
        <f t="shared" si="3"/>
        <v>2022</v>
      </c>
      <c r="C14" s="1773">
        <f t="shared" si="2"/>
        <v>79707382.200000018</v>
      </c>
      <c r="D14" s="1773">
        <f t="shared" si="0"/>
        <v>70851006.400000021</v>
      </c>
      <c r="E14" s="1689">
        <f t="shared" si="4"/>
        <v>8856375.8000000007</v>
      </c>
    </row>
    <row r="15" spans="1:10">
      <c r="A15" s="1707">
        <f t="shared" si="1"/>
        <v>1.08</v>
      </c>
      <c r="B15" s="565">
        <f t="shared" si="3"/>
        <v>2023</v>
      </c>
      <c r="C15" s="1773">
        <f t="shared" si="2"/>
        <v>70851006.400000021</v>
      </c>
      <c r="D15" s="1773">
        <f t="shared" si="0"/>
        <v>61994630.600000024</v>
      </c>
      <c r="E15" s="1689">
        <f t="shared" si="4"/>
        <v>8856375.8000000007</v>
      </c>
    </row>
    <row r="16" spans="1:10">
      <c r="A16" s="1707">
        <f t="shared" si="1"/>
        <v>1.0900000000000001</v>
      </c>
      <c r="B16" s="565">
        <f t="shared" si="3"/>
        <v>2024</v>
      </c>
      <c r="C16" s="1773">
        <f t="shared" si="2"/>
        <v>61994630.600000024</v>
      </c>
      <c r="D16" s="1773">
        <f t="shared" si="0"/>
        <v>53138254.800000027</v>
      </c>
      <c r="E16" s="1689">
        <f t="shared" si="4"/>
        <v>8856375.8000000007</v>
      </c>
    </row>
    <row r="17" spans="1:8">
      <c r="A17" s="1707">
        <f t="shared" si="1"/>
        <v>1.1000000000000001</v>
      </c>
      <c r="B17" s="565">
        <f t="shared" si="3"/>
        <v>2025</v>
      </c>
      <c r="C17" s="1773">
        <f t="shared" si="2"/>
        <v>53138254.800000027</v>
      </c>
      <c r="D17" s="1773">
        <f t="shared" si="0"/>
        <v>44281879.00000003</v>
      </c>
      <c r="E17" s="1689">
        <f t="shared" si="4"/>
        <v>8856375.8000000007</v>
      </c>
    </row>
    <row r="18" spans="1:8">
      <c r="A18" s="1707">
        <f t="shared" si="1"/>
        <v>1.1100000000000001</v>
      </c>
      <c r="B18" s="565">
        <f t="shared" si="3"/>
        <v>2026</v>
      </c>
      <c r="C18" s="1773">
        <f t="shared" si="2"/>
        <v>44281879.00000003</v>
      </c>
      <c r="D18" s="1773">
        <f t="shared" si="0"/>
        <v>35425503.200000033</v>
      </c>
      <c r="E18" s="1689">
        <f t="shared" si="4"/>
        <v>8856375.8000000007</v>
      </c>
    </row>
    <row r="19" spans="1:8">
      <c r="A19" s="1707">
        <f t="shared" si="1"/>
        <v>1.1200000000000001</v>
      </c>
      <c r="B19" s="565">
        <f t="shared" si="3"/>
        <v>2027</v>
      </c>
      <c r="C19" s="1773">
        <f t="shared" si="2"/>
        <v>35425503.200000033</v>
      </c>
      <c r="D19" s="1773">
        <f t="shared" si="0"/>
        <v>26569127.400000032</v>
      </c>
      <c r="E19" s="1689">
        <f t="shared" si="4"/>
        <v>8856375.8000000007</v>
      </c>
    </row>
    <row r="20" spans="1:8">
      <c r="A20" s="1707">
        <f t="shared" si="1"/>
        <v>1.1300000000000001</v>
      </c>
      <c r="B20" s="565">
        <f t="shared" si="3"/>
        <v>2028</v>
      </c>
      <c r="C20" s="1773">
        <f t="shared" si="2"/>
        <v>26569127.400000032</v>
      </c>
      <c r="D20" s="1773">
        <f t="shared" si="0"/>
        <v>17712751.600000031</v>
      </c>
      <c r="E20" s="1689">
        <f t="shared" si="4"/>
        <v>8856375.8000000007</v>
      </c>
    </row>
    <row r="21" spans="1:8">
      <c r="A21" s="1707">
        <f t="shared" si="1"/>
        <v>1.1400000000000001</v>
      </c>
      <c r="B21" s="565">
        <f>+B20+1</f>
        <v>2029</v>
      </c>
      <c r="C21" s="1773">
        <f t="shared" si="2"/>
        <v>17712751.600000031</v>
      </c>
      <c r="D21" s="1773">
        <f t="shared" si="0"/>
        <v>8856375.8000000305</v>
      </c>
      <c r="E21" s="1689">
        <f t="shared" si="4"/>
        <v>8856375.8000000007</v>
      </c>
    </row>
    <row r="22" spans="1:8">
      <c r="A22" s="1707">
        <f t="shared" si="1"/>
        <v>1.1500000000000001</v>
      </c>
      <c r="B22" s="565">
        <f t="shared" si="3"/>
        <v>2030</v>
      </c>
      <c r="C22" s="1773">
        <f t="shared" si="2"/>
        <v>8856375.8000000305</v>
      </c>
      <c r="D22" s="1773">
        <f t="shared" si="0"/>
        <v>2.9802322387695313E-8</v>
      </c>
      <c r="E22" s="1689">
        <f t="shared" si="4"/>
        <v>8856375.8000000007</v>
      </c>
    </row>
    <row r="23" spans="1:8">
      <c r="A23" s="1588"/>
      <c r="B23" s="610"/>
      <c r="C23" s="1604"/>
      <c r="D23" s="1604"/>
      <c r="E23" s="1604"/>
    </row>
    <row r="24" spans="1:8">
      <c r="A24" s="1588"/>
      <c r="B24" s="610"/>
      <c r="C24" s="1604"/>
      <c r="D24" s="1604"/>
    </row>
    <row r="25" spans="1:8">
      <c r="A25" s="1706">
        <f>+A7+1</f>
        <v>2</v>
      </c>
      <c r="B25" s="1309" t="s">
        <v>1440</v>
      </c>
      <c r="C25" s="1604"/>
      <c r="D25" s="1604"/>
      <c r="E25" s="1489">
        <f>+E8</f>
        <v>8856375.8000000007</v>
      </c>
    </row>
    <row r="26" spans="1:8" s="162" customFormat="1">
      <c r="A26" s="1182"/>
      <c r="B26" s="1309"/>
      <c r="C26" s="799"/>
      <c r="D26" s="799"/>
      <c r="E26" s="799"/>
      <c r="F26" s="657"/>
      <c r="G26" s="1488"/>
      <c r="H26" s="243"/>
    </row>
    <row r="27" spans="1:8" s="162" customFormat="1">
      <c r="A27" s="162" t="s">
        <v>190</v>
      </c>
      <c r="B27" s="584"/>
      <c r="C27" s="270"/>
      <c r="D27" s="270"/>
      <c r="E27" s="270"/>
      <c r="G27" s="1488"/>
      <c r="H27" s="1488"/>
    </row>
    <row r="28" spans="1:8" s="162" customFormat="1" ht="42" customHeight="1">
      <c r="A28" s="1066" t="s">
        <v>167</v>
      </c>
      <c r="B28" s="2363" t="s">
        <v>1441</v>
      </c>
      <c r="C28" s="2363"/>
      <c r="D28" s="2363"/>
      <c r="E28" s="2363"/>
    </row>
    <row r="29" spans="1:8" s="1490" customFormat="1">
      <c r="A29" s="1708" t="s">
        <v>320</v>
      </c>
      <c r="B29" s="161" t="s">
        <v>1442</v>
      </c>
      <c r="C29" s="161"/>
      <c r="D29" s="161"/>
      <c r="E29" s="161"/>
    </row>
    <row r="30" spans="1:8" s="1490" customFormat="1" ht="26.4" customHeight="1">
      <c r="A30" s="1066" t="s">
        <v>321</v>
      </c>
      <c r="B30" s="2363" t="s">
        <v>1443</v>
      </c>
      <c r="C30" s="2363"/>
      <c r="D30" s="2363"/>
      <c r="E30" s="2363"/>
    </row>
    <row r="31" spans="1:8" s="1490" customFormat="1">
      <c r="A31" s="1491"/>
      <c r="B31" s="161"/>
      <c r="C31" s="161"/>
      <c r="D31" s="161"/>
      <c r="E31" s="161"/>
    </row>
    <row r="32" spans="1:8" s="1490" customFormat="1">
      <c r="A32" s="1491"/>
      <c r="B32" s="161"/>
      <c r="C32" s="161"/>
      <c r="D32" s="161"/>
      <c r="E32" s="161"/>
    </row>
    <row r="33" spans="1:5" s="1492" customFormat="1">
      <c r="A33" s="1491"/>
      <c r="B33" s="161"/>
      <c r="C33" s="161"/>
      <c r="D33" s="161"/>
      <c r="E33" s="161"/>
    </row>
    <row r="34" spans="1:5" s="1490" customFormat="1">
      <c r="A34" s="1491"/>
      <c r="B34" s="161"/>
      <c r="C34" s="161"/>
      <c r="D34" s="161"/>
      <c r="E34" s="161"/>
    </row>
    <row r="35" spans="1:5" s="1490" customFormat="1">
      <c r="A35" s="1491"/>
      <c r="B35" s="161"/>
      <c r="C35" s="161"/>
      <c r="D35" s="161"/>
      <c r="E35" s="161"/>
    </row>
    <row r="36" spans="1:5" s="162" customFormat="1">
      <c r="A36" s="1491"/>
      <c r="B36" s="161"/>
      <c r="C36" s="161"/>
      <c r="D36" s="161"/>
      <c r="E36" s="161"/>
    </row>
    <row r="37" spans="1:5" s="162" customFormat="1">
      <c r="A37" s="1491"/>
      <c r="B37" s="161"/>
      <c r="C37" s="161"/>
      <c r="D37" s="161"/>
      <c r="E37" s="161"/>
    </row>
    <row r="38" spans="1:5" s="162" customFormat="1">
      <c r="A38" s="1491"/>
      <c r="B38" s="161"/>
      <c r="C38" s="161"/>
      <c r="D38" s="161"/>
      <c r="E38" s="161"/>
    </row>
    <row r="39" spans="1:5" s="162" customFormat="1">
      <c r="A39" s="1491"/>
      <c r="B39" s="161"/>
      <c r="C39" s="161"/>
      <c r="D39" s="161"/>
      <c r="E39" s="161"/>
    </row>
    <row r="40" spans="1:5" s="162" customFormat="1">
      <c r="A40" s="1491"/>
      <c r="B40" s="161"/>
      <c r="C40" s="161"/>
      <c r="D40" s="161"/>
      <c r="E40" s="161"/>
    </row>
    <row r="41" spans="1:5" s="162" customFormat="1">
      <c r="A41" s="1491"/>
      <c r="B41" s="161"/>
      <c r="C41" s="161"/>
      <c r="D41" s="161"/>
      <c r="E41" s="161"/>
    </row>
    <row r="42" spans="1:5" s="162" customFormat="1">
      <c r="A42" s="1491"/>
      <c r="B42" s="161"/>
      <c r="C42" s="161"/>
      <c r="D42" s="161"/>
      <c r="E42" s="161"/>
    </row>
    <row r="43" spans="1:5" s="162" customFormat="1">
      <c r="A43" s="1491"/>
      <c r="B43" s="161"/>
      <c r="C43" s="161"/>
      <c r="D43" s="161"/>
      <c r="E43" s="161"/>
    </row>
    <row r="44" spans="1:5" s="162" customFormat="1">
      <c r="A44" s="1491"/>
      <c r="B44" s="161"/>
      <c r="C44" s="161"/>
      <c r="D44" s="161"/>
      <c r="E44" s="161"/>
    </row>
    <row r="45" spans="1:5" s="162" customFormat="1">
      <c r="A45" s="1491"/>
      <c r="B45" s="161"/>
      <c r="C45" s="161"/>
      <c r="D45" s="161"/>
      <c r="E45" s="161"/>
    </row>
    <row r="46" spans="1:5" s="162" customFormat="1">
      <c r="A46" s="1491"/>
      <c r="B46" s="161"/>
      <c r="C46" s="161"/>
      <c r="D46" s="161"/>
      <c r="E46" s="161"/>
    </row>
    <row r="47" spans="1:5" s="162" customFormat="1">
      <c r="A47" s="1491"/>
      <c r="B47" s="161"/>
      <c r="C47" s="161"/>
      <c r="D47" s="161"/>
      <c r="E47" s="161"/>
    </row>
    <row r="48" spans="1:5" s="162" customFormat="1">
      <c r="A48" s="1491"/>
      <c r="B48" s="161"/>
      <c r="C48" s="161"/>
      <c r="D48" s="161"/>
      <c r="E48" s="161"/>
    </row>
    <row r="49" spans="1:5" s="162" customFormat="1">
      <c r="A49" s="1491"/>
      <c r="B49" s="161"/>
      <c r="C49" s="161"/>
      <c r="D49" s="161"/>
      <c r="E49" s="161"/>
    </row>
    <row r="50" spans="1:5" s="162" customFormat="1">
      <c r="A50" s="1491"/>
      <c r="B50" s="161"/>
      <c r="C50" s="161"/>
      <c r="D50" s="161"/>
      <c r="E50" s="161"/>
    </row>
    <row r="51" spans="1:5" s="162" customFormat="1">
      <c r="A51" s="1491"/>
      <c r="B51" s="161"/>
      <c r="C51" s="161"/>
      <c r="D51" s="161"/>
      <c r="E51" s="161"/>
    </row>
    <row r="52" spans="1:5" ht="26.4" customHeight="1"/>
    <row r="213" spans="7:7">
      <c r="G213" s="162"/>
    </row>
  </sheetData>
  <mergeCells count="7">
    <mergeCell ref="G8:J8"/>
    <mergeCell ref="B30:E30"/>
    <mergeCell ref="A1:E1"/>
    <mergeCell ref="A2:E2"/>
    <mergeCell ref="A3:E3"/>
    <mergeCell ref="C6:D6"/>
    <mergeCell ref="B28:E28"/>
  </mergeCells>
  <printOptions horizontalCentered="1"/>
  <pageMargins left="0.7" right="0.7" top="0.75" bottom="0.75" header="0.3" footer="0.5"/>
  <pageSetup orientation="portrait" r:id="rId1"/>
  <headerFooter>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79"/>
  <sheetViews>
    <sheetView topLeftCell="A40" zoomScaleNormal="100" workbookViewId="0">
      <selection activeCell="L6" sqref="L6"/>
    </sheetView>
  </sheetViews>
  <sheetFormatPr defaultColWidth="9.109375" defaultRowHeight="13.2"/>
  <cols>
    <col min="1" max="1" width="6.44140625" style="40" bestFit="1" customWidth="1"/>
    <col min="2" max="2" width="7.6640625" style="40" customWidth="1"/>
    <col min="3" max="3" width="8.6640625" style="39" customWidth="1"/>
    <col min="4" max="5" width="8.6640625" style="40" customWidth="1"/>
    <col min="6" max="6" width="17.6640625" style="40" customWidth="1"/>
    <col min="7" max="7" width="14.6640625" style="40" customWidth="1"/>
    <col min="8" max="9" width="15.6640625" style="40" customWidth="1"/>
    <col min="10" max="10" width="9.109375" style="40"/>
    <col min="11" max="12" width="11.6640625" style="40" customWidth="1"/>
    <col min="13" max="13" width="12.44140625" style="40" bestFit="1" customWidth="1"/>
    <col min="14" max="16384" width="9.109375" style="61"/>
  </cols>
  <sheetData>
    <row r="1" spans="1:14">
      <c r="A1" s="2327" t="s">
        <v>958</v>
      </c>
      <c r="B1" s="2327"/>
      <c r="C1" s="2327"/>
      <c r="D1" s="2327"/>
      <c r="E1" s="2327"/>
      <c r="F1" s="2327"/>
      <c r="G1" s="2327"/>
      <c r="H1" s="2327"/>
      <c r="I1" s="2327"/>
    </row>
    <row r="2" spans="1:14">
      <c r="A2" s="2328" t="s">
        <v>1073</v>
      </c>
      <c r="B2" s="2328"/>
      <c r="C2" s="2328"/>
      <c r="D2" s="2328"/>
      <c r="E2" s="2328"/>
      <c r="F2" s="2328"/>
      <c r="G2" s="2328"/>
      <c r="H2" s="2328"/>
      <c r="I2" s="2328"/>
    </row>
    <row r="3" spans="1:14" s="75" customFormat="1">
      <c r="A3" s="2329" t="s">
        <v>2193</v>
      </c>
      <c r="B3" s="2329"/>
      <c r="C3" s="2329"/>
      <c r="D3" s="2329"/>
      <c r="E3" s="2329"/>
      <c r="F3" s="2329"/>
      <c r="G3" s="2329"/>
      <c r="H3" s="2329"/>
      <c r="I3" s="2329"/>
      <c r="J3" s="39"/>
      <c r="K3" s="39"/>
      <c r="L3" s="39"/>
      <c r="M3" s="39"/>
    </row>
    <row r="4" spans="1:14">
      <c r="A4" s="2327" t="s">
        <v>425</v>
      </c>
      <c r="B4" s="2327"/>
      <c r="C4" s="2327"/>
      <c r="D4" s="2327"/>
      <c r="E4" s="2327"/>
      <c r="F4" s="2327"/>
      <c r="G4" s="2327"/>
      <c r="H4" s="2327"/>
      <c r="I4" s="2327"/>
    </row>
    <row r="5" spans="1:14">
      <c r="A5" s="1504"/>
      <c r="B5" s="1504"/>
      <c r="C5" s="1504"/>
      <c r="D5" s="1504"/>
      <c r="E5" s="1504"/>
      <c r="F5" s="1504"/>
      <c r="G5" s="1504"/>
      <c r="H5" s="1504"/>
      <c r="I5" s="1504"/>
    </row>
    <row r="6" spans="1:14" s="75" customFormat="1">
      <c r="A6" s="467" t="s">
        <v>324</v>
      </c>
      <c r="B6" s="1507" t="s">
        <v>67</v>
      </c>
      <c r="C6" s="1507" t="s">
        <v>114</v>
      </c>
      <c r="D6" s="565" t="s">
        <v>55</v>
      </c>
      <c r="E6" s="1507" t="s">
        <v>68</v>
      </c>
      <c r="F6" s="566" t="s">
        <v>66</v>
      </c>
      <c r="G6" s="1507" t="s">
        <v>154</v>
      </c>
      <c r="H6" s="1507" t="s">
        <v>69</v>
      </c>
      <c r="I6" s="567" t="s">
        <v>166</v>
      </c>
      <c r="J6" s="40"/>
      <c r="K6" s="40"/>
      <c r="L6" s="40"/>
      <c r="M6" s="40"/>
      <c r="N6" s="211"/>
    </row>
    <row r="7" spans="1:14" s="75" customFormat="1">
      <c r="A7" s="467"/>
      <c r="B7" s="1507"/>
      <c r="C7" s="1507"/>
      <c r="D7" s="565"/>
      <c r="E7" s="1507"/>
      <c r="F7" s="566"/>
      <c r="G7" s="1507"/>
      <c r="H7" s="1507"/>
      <c r="I7" s="567"/>
      <c r="J7" s="40"/>
      <c r="K7" s="40"/>
      <c r="L7" s="40"/>
      <c r="M7" s="40"/>
      <c r="N7" s="211"/>
    </row>
    <row r="8" spans="1:14">
      <c r="A8" s="61"/>
      <c r="B8" s="964" t="s">
        <v>612</v>
      </c>
      <c r="C8" s="1504"/>
      <c r="D8" s="1504"/>
      <c r="E8" s="1504"/>
      <c r="F8" s="1504"/>
      <c r="G8" s="1512" t="s">
        <v>1087</v>
      </c>
      <c r="H8" s="1504"/>
      <c r="I8" s="1504"/>
    </row>
    <row r="9" spans="1:14" ht="15">
      <c r="A9" s="827">
        <v>1</v>
      </c>
      <c r="B9" s="171" t="s">
        <v>1074</v>
      </c>
      <c r="C9" s="1504"/>
      <c r="D9" s="1504"/>
      <c r="E9" s="1504"/>
      <c r="F9" s="1504"/>
      <c r="G9" s="854" t="s">
        <v>146</v>
      </c>
      <c r="H9" s="2334" t="s">
        <v>139</v>
      </c>
      <c r="I9" s="2334"/>
      <c r="K9" s="466"/>
    </row>
    <row r="10" spans="1:14" s="255" customFormat="1" ht="15">
      <c r="A10" s="827">
        <f>+A9+1</f>
        <v>2</v>
      </c>
      <c r="B10" s="853" t="s">
        <v>27</v>
      </c>
      <c r="C10" s="1504"/>
      <c r="D10" s="1504"/>
      <c r="E10" s="1504"/>
      <c r="F10" s="1504"/>
      <c r="G10" s="199">
        <v>17501218.59</v>
      </c>
      <c r="H10" s="1505"/>
      <c r="I10" s="1505"/>
      <c r="J10" s="40"/>
      <c r="K10" s="466"/>
      <c r="L10" s="40"/>
      <c r="M10" s="40"/>
    </row>
    <row r="11" spans="1:14" s="255" customFormat="1" ht="15">
      <c r="A11" s="827">
        <f t="shared" ref="A11:A33" si="0">+A10+1</f>
        <v>3</v>
      </c>
      <c r="B11" s="853" t="s">
        <v>28</v>
      </c>
      <c r="C11" s="1504"/>
      <c r="D11" s="1504"/>
      <c r="E11" s="1504"/>
      <c r="F11" s="1504"/>
      <c r="G11" s="199">
        <v>16123477.91</v>
      </c>
      <c r="H11" s="1505"/>
      <c r="I11" s="1505"/>
      <c r="J11" s="40"/>
      <c r="K11" s="466"/>
      <c r="L11" s="40"/>
      <c r="M11" s="40"/>
    </row>
    <row r="12" spans="1:14" s="255" customFormat="1" ht="15">
      <c r="A12" s="827">
        <f t="shared" si="0"/>
        <v>4</v>
      </c>
      <c r="B12" s="853" t="s">
        <v>29</v>
      </c>
      <c r="C12" s="1504"/>
      <c r="D12" s="1504"/>
      <c r="E12" s="1504"/>
      <c r="F12" s="1504"/>
      <c r="G12" s="199">
        <v>16785656.219999999</v>
      </c>
      <c r="H12" s="1505"/>
      <c r="I12" s="1505"/>
      <c r="J12" s="40"/>
      <c r="K12" s="466"/>
      <c r="L12" s="40"/>
      <c r="M12" s="40"/>
    </row>
    <row r="13" spans="1:14" s="255" customFormat="1" ht="15">
      <c r="A13" s="827">
        <f t="shared" si="0"/>
        <v>5</v>
      </c>
      <c r="B13" s="853" t="s">
        <v>30</v>
      </c>
      <c r="C13" s="1504"/>
      <c r="D13" s="1504"/>
      <c r="E13" s="1504"/>
      <c r="F13" s="1504"/>
      <c r="G13" s="199">
        <v>17134308.23</v>
      </c>
      <c r="H13" s="1505"/>
      <c r="I13" s="1505"/>
      <c r="J13" s="40"/>
      <c r="K13" s="466"/>
      <c r="L13" s="40"/>
      <c r="M13" s="40"/>
    </row>
    <row r="14" spans="1:14" s="255" customFormat="1" ht="15">
      <c r="A14" s="827">
        <f t="shared" si="0"/>
        <v>6</v>
      </c>
      <c r="B14" s="853" t="s">
        <v>26</v>
      </c>
      <c r="C14" s="1504"/>
      <c r="D14" s="1504"/>
      <c r="E14" s="1504"/>
      <c r="F14" s="1504"/>
      <c r="G14" s="199">
        <v>21560389.48</v>
      </c>
      <c r="H14" s="1505"/>
      <c r="I14" s="1505"/>
      <c r="J14" s="40"/>
      <c r="K14" s="466"/>
      <c r="L14" s="40"/>
      <c r="M14" s="40"/>
    </row>
    <row r="15" spans="1:14" s="255" customFormat="1" ht="15">
      <c r="A15" s="827">
        <f t="shared" si="0"/>
        <v>7</v>
      </c>
      <c r="B15" s="853" t="s">
        <v>31</v>
      </c>
      <c r="C15" s="1504"/>
      <c r="D15" s="1504"/>
      <c r="E15" s="1504"/>
      <c r="F15" s="1504"/>
      <c r="G15" s="199">
        <v>28443637.52</v>
      </c>
      <c r="H15" s="1505"/>
      <c r="I15" s="1505"/>
      <c r="J15" s="40"/>
      <c r="K15" s="466"/>
      <c r="L15" s="40"/>
      <c r="M15" s="40"/>
    </row>
    <row r="16" spans="1:14" s="255" customFormat="1" ht="15">
      <c r="A16" s="827">
        <f t="shared" si="0"/>
        <v>8</v>
      </c>
      <c r="B16" s="853" t="s">
        <v>32</v>
      </c>
      <c r="C16" s="1504"/>
      <c r="D16" s="1504"/>
      <c r="E16" s="1504"/>
      <c r="F16" s="1504"/>
      <c r="G16" s="199">
        <v>29539825</v>
      </c>
      <c r="H16" s="1505"/>
      <c r="I16" s="1505"/>
      <c r="J16" s="40"/>
      <c r="K16" s="466"/>
      <c r="L16" s="40"/>
      <c r="M16" s="40"/>
    </row>
    <row r="17" spans="1:13" s="255" customFormat="1" ht="15">
      <c r="A17" s="827">
        <f t="shared" si="0"/>
        <v>9</v>
      </c>
      <c r="B17" s="853" t="s">
        <v>33</v>
      </c>
      <c r="C17" s="1504"/>
      <c r="D17" s="1504"/>
      <c r="E17" s="1504"/>
      <c r="F17" s="1504"/>
      <c r="G17" s="199">
        <v>28802395.149999999</v>
      </c>
      <c r="H17" s="1505"/>
      <c r="I17" s="1505"/>
      <c r="J17" s="40"/>
      <c r="K17" s="466"/>
      <c r="L17" s="40"/>
      <c r="M17" s="40"/>
    </row>
    <row r="18" spans="1:13" s="255" customFormat="1" ht="15">
      <c r="A18" s="827">
        <f t="shared" si="0"/>
        <v>10</v>
      </c>
      <c r="B18" s="853" t="s">
        <v>34</v>
      </c>
      <c r="C18" s="1504"/>
      <c r="D18" s="1504"/>
      <c r="E18" s="1504"/>
      <c r="F18" s="1504"/>
      <c r="G18" s="199">
        <v>28751509.870000001</v>
      </c>
      <c r="H18" s="1505"/>
      <c r="I18" s="1505"/>
      <c r="J18" s="40"/>
      <c r="K18" s="466"/>
      <c r="L18" s="40"/>
      <c r="M18" s="40"/>
    </row>
    <row r="19" spans="1:13" s="255" customFormat="1" ht="15">
      <c r="A19" s="827">
        <f t="shared" si="0"/>
        <v>11</v>
      </c>
      <c r="B19" s="853" t="s">
        <v>35</v>
      </c>
      <c r="C19" s="1504"/>
      <c r="D19" s="1504"/>
      <c r="E19" s="1504"/>
      <c r="F19" s="1504"/>
      <c r="G19" s="199">
        <v>25210256.170000002</v>
      </c>
      <c r="H19" s="1505"/>
      <c r="I19" s="1505"/>
      <c r="J19" s="40"/>
      <c r="K19" s="466"/>
      <c r="L19" s="40"/>
      <c r="M19" s="40"/>
    </row>
    <row r="20" spans="1:13" s="255" customFormat="1" ht="15">
      <c r="A20" s="827">
        <f t="shared" si="0"/>
        <v>12</v>
      </c>
      <c r="B20" s="853" t="s">
        <v>36</v>
      </c>
      <c r="C20" s="1504"/>
      <c r="D20" s="1504"/>
      <c r="E20" s="1504"/>
      <c r="F20" s="1504"/>
      <c r="G20" s="199">
        <v>20819128.050000001</v>
      </c>
      <c r="H20" s="1505"/>
      <c r="I20" s="1505"/>
      <c r="J20" s="40"/>
      <c r="K20" s="466"/>
      <c r="L20" s="40"/>
      <c r="M20" s="40"/>
    </row>
    <row r="21" spans="1:13" s="255" customFormat="1" ht="15">
      <c r="A21" s="827">
        <f t="shared" si="0"/>
        <v>13</v>
      </c>
      <c r="B21" s="853" t="s">
        <v>37</v>
      </c>
      <c r="C21" s="1504"/>
      <c r="D21" s="1504"/>
      <c r="E21" s="1504"/>
      <c r="F21" s="1504"/>
      <c r="G21" s="1508">
        <v>23297885.640000001</v>
      </c>
      <c r="H21" s="1505"/>
      <c r="I21" s="1505"/>
      <c r="J21" s="40"/>
      <c r="K21" s="466"/>
      <c r="L21" s="40"/>
      <c r="M21" s="40"/>
    </row>
    <row r="22" spans="1:13" s="255" customFormat="1">
      <c r="A22" s="827">
        <f t="shared" si="0"/>
        <v>14</v>
      </c>
      <c r="B22" s="171" t="s">
        <v>1075</v>
      </c>
      <c r="D22" s="171"/>
      <c r="E22" s="171"/>
      <c r="G22" s="146">
        <f>SUM(G10:G21)</f>
        <v>273969687.82999998</v>
      </c>
      <c r="H22" s="171" t="str">
        <f>+"Sum (Line "&amp;A10&amp;" to "&amp;A21&amp;")"</f>
        <v>Sum (Line 2 to 13)</v>
      </c>
      <c r="J22" s="40"/>
      <c r="K22" s="466"/>
      <c r="L22" s="40"/>
      <c r="M22" s="40"/>
    </row>
    <row r="23" spans="1:13" s="255" customFormat="1">
      <c r="A23" s="827">
        <f t="shared" si="0"/>
        <v>15</v>
      </c>
      <c r="B23" s="171" t="s">
        <v>551</v>
      </c>
      <c r="D23" s="171"/>
      <c r="E23" s="171"/>
      <c r="G23" s="256">
        <v>67238687.344148561</v>
      </c>
      <c r="H23" s="171" t="s">
        <v>1511</v>
      </c>
      <c r="J23" s="40"/>
      <c r="K23" s="1404"/>
      <c r="L23" s="40"/>
      <c r="M23" s="40"/>
    </row>
    <row r="24" spans="1:13" s="255" customFormat="1" ht="13.2" customHeight="1">
      <c r="A24" s="827">
        <f t="shared" si="0"/>
        <v>16</v>
      </c>
      <c r="B24" s="2331" t="s">
        <v>1092</v>
      </c>
      <c r="C24" s="2331"/>
      <c r="D24" s="2331"/>
      <c r="E24" s="2331"/>
      <c r="F24" s="2331"/>
      <c r="G24" s="251">
        <v>23501886.307912026</v>
      </c>
      <c r="H24" s="1334"/>
      <c r="I24" s="1504"/>
      <c r="J24" s="40"/>
      <c r="K24" s="466"/>
      <c r="L24" s="40"/>
      <c r="M24" s="40"/>
    </row>
    <row r="25" spans="1:13" s="255" customFormat="1">
      <c r="A25" s="827">
        <f t="shared" si="0"/>
        <v>17</v>
      </c>
      <c r="B25" s="255" t="s">
        <v>1093</v>
      </c>
      <c r="D25" s="172"/>
      <c r="E25" s="172"/>
      <c r="F25" s="39"/>
      <c r="G25" s="1513">
        <f>+G22+G23-G24</f>
        <v>317706488.86623651</v>
      </c>
      <c r="H25" s="1309" t="str">
        <f>+"Sum (Line "&amp;A22&amp;" + "&amp;A23&amp;" - "&amp;A24&amp;")"</f>
        <v>Sum (Line 14 + 15 - 16)</v>
      </c>
      <c r="I25" s="1504"/>
      <c r="J25" s="40"/>
      <c r="K25" s="40"/>
      <c r="L25" s="40"/>
      <c r="M25" s="40"/>
    </row>
    <row r="26" spans="1:13" s="255" customFormat="1">
      <c r="A26" s="827">
        <f t="shared" si="0"/>
        <v>18</v>
      </c>
      <c r="B26" s="963"/>
      <c r="C26" s="1504"/>
      <c r="D26" s="172"/>
      <c r="E26" s="171"/>
      <c r="F26" s="39"/>
      <c r="G26" s="39"/>
      <c r="H26" s="40"/>
      <c r="I26" s="1504"/>
      <c r="J26" s="40"/>
      <c r="K26" s="40"/>
      <c r="L26" s="40"/>
      <c r="M26" s="40"/>
    </row>
    <row r="27" spans="1:13" s="255" customFormat="1">
      <c r="A27" s="827">
        <f t="shared" si="0"/>
        <v>19</v>
      </c>
      <c r="B27" s="39" t="s">
        <v>1094</v>
      </c>
      <c r="D27" s="39"/>
      <c r="E27" s="39"/>
      <c r="F27" s="39"/>
      <c r="G27" s="74">
        <v>301956966.29272014</v>
      </c>
      <c r="H27" s="1309" t="s">
        <v>1083</v>
      </c>
      <c r="I27" s="1504"/>
      <c r="J27" s="40"/>
      <c r="K27" s="40"/>
      <c r="L27" s="40"/>
      <c r="M27" s="40"/>
    </row>
    <row r="28" spans="1:13" s="255" customFormat="1" ht="15">
      <c r="A28" s="827">
        <f t="shared" si="0"/>
        <v>20</v>
      </c>
      <c r="B28" s="39"/>
      <c r="D28" s="1504"/>
      <c r="E28" s="1504"/>
      <c r="F28" s="1504"/>
      <c r="G28" s="468"/>
      <c r="H28" s="1309"/>
      <c r="I28" s="1504"/>
      <c r="J28" s="40"/>
      <c r="K28" s="40"/>
      <c r="L28" s="40"/>
      <c r="M28" s="40"/>
    </row>
    <row r="29" spans="1:13" s="255" customFormat="1">
      <c r="A29" s="827">
        <f t="shared" si="0"/>
        <v>21</v>
      </c>
      <c r="B29" s="39" t="s">
        <v>922</v>
      </c>
      <c r="D29" s="39"/>
      <c r="E29" s="39"/>
      <c r="F29" s="39"/>
      <c r="G29" s="243">
        <f>+G27-G25</f>
        <v>-15749522.573516369</v>
      </c>
      <c r="H29" s="1309" t="str">
        <f>+"Line "&amp;A27&amp;" - Line "&amp;A25</f>
        <v>Line 19 - Line 17</v>
      </c>
      <c r="I29" s="1504"/>
      <c r="J29" s="40"/>
      <c r="K29" s="40"/>
      <c r="L29" s="40"/>
      <c r="M29" s="40"/>
    </row>
    <row r="30" spans="1:13" s="255" customFormat="1">
      <c r="A30" s="1309">
        <f t="shared" si="0"/>
        <v>22</v>
      </c>
      <c r="B30" s="39"/>
      <c r="D30" s="39"/>
      <c r="E30" s="39"/>
      <c r="F30" s="39"/>
      <c r="G30" s="243"/>
      <c r="H30" s="1309"/>
      <c r="I30" s="1504"/>
      <c r="J30" s="40"/>
      <c r="K30" s="40"/>
      <c r="L30" s="40"/>
      <c r="M30" s="40"/>
    </row>
    <row r="31" spans="1:13" s="255" customFormat="1">
      <c r="A31" s="1309">
        <f t="shared" si="0"/>
        <v>23</v>
      </c>
      <c r="B31" s="39" t="s">
        <v>923</v>
      </c>
      <c r="D31" s="39"/>
      <c r="E31" s="39"/>
      <c r="F31" s="39"/>
      <c r="G31" s="251">
        <v>0</v>
      </c>
      <c r="H31" s="1309" t="s">
        <v>549</v>
      </c>
      <c r="I31" s="1504"/>
      <c r="J31" s="40"/>
      <c r="K31" s="466"/>
      <c r="L31" s="40"/>
      <c r="M31" s="40"/>
    </row>
    <row r="32" spans="1:13" s="255" customFormat="1">
      <c r="A32" s="1309">
        <f t="shared" si="0"/>
        <v>24</v>
      </c>
      <c r="B32" s="39"/>
      <c r="D32" s="39"/>
      <c r="E32" s="39"/>
      <c r="F32" s="39"/>
      <c r="G32" s="74"/>
      <c r="H32" s="1309"/>
      <c r="I32" s="1504"/>
      <c r="J32" s="40"/>
      <c r="K32" s="40"/>
      <c r="L32" s="40"/>
      <c r="M32" s="40"/>
    </row>
    <row r="33" spans="1:13" s="255" customFormat="1">
      <c r="A33" s="1309">
        <f t="shared" si="0"/>
        <v>25</v>
      </c>
      <c r="B33" s="1309" t="s">
        <v>1095</v>
      </c>
      <c r="C33" s="1504"/>
      <c r="D33" s="172"/>
      <c r="E33" s="171"/>
      <c r="F33" s="39"/>
      <c r="G33" s="39"/>
      <c r="H33" s="40"/>
      <c r="I33" s="1504"/>
      <c r="J33" s="40"/>
      <c r="K33" s="40"/>
      <c r="L33" s="40"/>
      <c r="M33" s="40"/>
    </row>
    <row r="34" spans="1:13" s="255" customFormat="1">
      <c r="A34" s="1309"/>
      <c r="B34" s="963"/>
      <c r="C34" s="1504"/>
      <c r="D34" s="1514" t="s">
        <v>1512</v>
      </c>
      <c r="E34" s="171"/>
      <c r="F34" s="39"/>
      <c r="G34" s="39"/>
      <c r="H34" s="40"/>
      <c r="I34" s="1504"/>
      <c r="J34" s="40"/>
      <c r="K34" s="40"/>
      <c r="L34" s="40"/>
      <c r="M34" s="40"/>
    </row>
    <row r="35" spans="1:13" s="255" customFormat="1" ht="54" customHeight="1">
      <c r="A35" s="1309"/>
      <c r="B35" s="1065" t="s">
        <v>426</v>
      </c>
      <c r="C35" s="592" t="s">
        <v>427</v>
      </c>
      <c r="D35" s="592" t="s">
        <v>284</v>
      </c>
      <c r="E35" s="592" t="s">
        <v>943</v>
      </c>
      <c r="F35" s="592" t="s">
        <v>867</v>
      </c>
      <c r="G35" s="592" t="s">
        <v>452</v>
      </c>
      <c r="H35" s="592" t="s">
        <v>428</v>
      </c>
      <c r="I35" s="592" t="s">
        <v>429</v>
      </c>
      <c r="J35" s="40"/>
      <c r="K35" s="40"/>
      <c r="L35" s="40"/>
      <c r="M35" s="40"/>
    </row>
    <row r="36" spans="1:13" s="255" customFormat="1" ht="15" customHeight="1">
      <c r="A36" s="1309">
        <f>+A33+1</f>
        <v>26</v>
      </c>
      <c r="B36" s="1083" t="s">
        <v>67</v>
      </c>
      <c r="C36" s="547" t="s">
        <v>114</v>
      </c>
      <c r="D36" s="547" t="s">
        <v>851</v>
      </c>
      <c r="E36" s="547" t="s">
        <v>852</v>
      </c>
      <c r="F36" s="547" t="s">
        <v>853</v>
      </c>
      <c r="G36" s="1365" t="s">
        <v>1100</v>
      </c>
      <c r="H36" s="1365" t="s">
        <v>1101</v>
      </c>
      <c r="I36" s="547" t="s">
        <v>166</v>
      </c>
      <c r="J36" s="40"/>
      <c r="K36" s="40"/>
      <c r="L36" s="40"/>
      <c r="M36" s="40"/>
    </row>
    <row r="37" spans="1:13" s="255" customFormat="1" ht="15">
      <c r="A37" s="825">
        <f>+A36+0.01</f>
        <v>26.01</v>
      </c>
      <c r="B37" s="39"/>
      <c r="C37" s="1510">
        <v>42370</v>
      </c>
      <c r="D37" s="1511">
        <v>3.2500000000000001E-2</v>
      </c>
      <c r="E37" s="470">
        <f t="shared" ref="E37:E46" si="1">D37/12</f>
        <v>2.7083333333333334E-3</v>
      </c>
      <c r="F37" s="799">
        <f t="shared" ref="F37:F64" si="2">H37*E37</f>
        <v>-3554.5797474950141</v>
      </c>
      <c r="G37" s="1489">
        <f>+G$29/12</f>
        <v>-1312460.2144596975</v>
      </c>
      <c r="H37" s="1336">
        <f>IF((B37=1),G37,G37)</f>
        <v>-1312460.2144596975</v>
      </c>
      <c r="I37" s="799">
        <f>F37+G37</f>
        <v>-1316014.7942071925</v>
      </c>
      <c r="J37" s="40"/>
      <c r="K37" s="40" t="s">
        <v>1513</v>
      </c>
      <c r="L37" s="473"/>
      <c r="M37" s="474"/>
    </row>
    <row r="38" spans="1:13" s="255" customFormat="1">
      <c r="A38" s="825">
        <f t="shared" ref="A38:A65" si="3">+A37+0.01</f>
        <v>26.020000000000003</v>
      </c>
      <c r="B38" s="39"/>
      <c r="C38" s="1510">
        <v>42401</v>
      </c>
      <c r="D38" s="1511">
        <v>3.2500000000000001E-2</v>
      </c>
      <c r="E38" s="470">
        <f t="shared" si="1"/>
        <v>2.7083333333333334E-3</v>
      </c>
      <c r="F38" s="799">
        <f t="shared" si="2"/>
        <v>-7109.1594949900282</v>
      </c>
      <c r="G38" s="1489">
        <f t="shared" ref="G38:G48" si="4">+G$29/12</f>
        <v>-1312460.2144596975</v>
      </c>
      <c r="H38" s="1336">
        <f t="shared" ref="H38:H64" si="5">IF((B38=1),I37+G38,+H37+G38)</f>
        <v>-2624920.428919395</v>
      </c>
      <c r="I38" s="799">
        <f>I37+F38+G38</f>
        <v>-2635584.1681618802</v>
      </c>
      <c r="J38" s="40"/>
      <c r="K38" s="255" t="s">
        <v>1514</v>
      </c>
    </row>
    <row r="39" spans="1:13" s="255" customFormat="1">
      <c r="A39" s="825">
        <f t="shared" si="3"/>
        <v>26.030000000000005</v>
      </c>
      <c r="B39" s="39"/>
      <c r="C39" s="1510">
        <v>42430</v>
      </c>
      <c r="D39" s="1511">
        <v>3.2500000000000001E-2</v>
      </c>
      <c r="E39" s="470">
        <f t="shared" si="1"/>
        <v>2.7083333333333334E-3</v>
      </c>
      <c r="F39" s="799">
        <f t="shared" si="2"/>
        <v>-10663.739242485042</v>
      </c>
      <c r="G39" s="1489">
        <f t="shared" si="4"/>
        <v>-1312460.2144596975</v>
      </c>
      <c r="H39" s="1336">
        <f t="shared" si="5"/>
        <v>-3937380.6433790922</v>
      </c>
      <c r="I39" s="799">
        <f t="shared" ref="I39:I65" si="6">I38+F39+G39</f>
        <v>-3958708.1218640627</v>
      </c>
      <c r="J39" s="40"/>
      <c r="K39" s="255" t="s">
        <v>1515</v>
      </c>
    </row>
    <row r="40" spans="1:13" s="255" customFormat="1">
      <c r="A40" s="825">
        <f t="shared" si="3"/>
        <v>26.040000000000006</v>
      </c>
      <c r="B40" s="39">
        <v>1</v>
      </c>
      <c r="C40" s="1510">
        <v>42461</v>
      </c>
      <c r="D40" s="1511">
        <v>3.4599999999999999E-2</v>
      </c>
      <c r="E40" s="470">
        <f t="shared" si="1"/>
        <v>2.8833333333333332E-3</v>
      </c>
      <c r="F40" s="799">
        <f t="shared" si="2"/>
        <v>-15198.535369733509</v>
      </c>
      <c r="G40" s="1489">
        <f t="shared" si="4"/>
        <v>-1312460.2144596975</v>
      </c>
      <c r="H40" s="1336">
        <f t="shared" si="5"/>
        <v>-5271168.3363237604</v>
      </c>
      <c r="I40" s="799">
        <f t="shared" si="6"/>
        <v>-5286366.8716934938</v>
      </c>
      <c r="J40" s="40"/>
      <c r="K40" s="255" t="s">
        <v>1516</v>
      </c>
    </row>
    <row r="41" spans="1:13" s="255" customFormat="1">
      <c r="A41" s="825">
        <f t="shared" si="3"/>
        <v>26.050000000000008</v>
      </c>
      <c r="B41" s="39"/>
      <c r="C41" s="1510">
        <v>42491</v>
      </c>
      <c r="D41" s="1511">
        <v>3.4599999999999999E-2</v>
      </c>
      <c r="E41" s="470">
        <f t="shared" si="1"/>
        <v>2.8833333333333332E-3</v>
      </c>
      <c r="F41" s="799">
        <f t="shared" si="2"/>
        <v>-18982.795654758971</v>
      </c>
      <c r="G41" s="1489">
        <f t="shared" si="4"/>
        <v>-1312460.2144596975</v>
      </c>
      <c r="H41" s="1336">
        <f t="shared" si="5"/>
        <v>-6583628.5507834582</v>
      </c>
      <c r="I41" s="799">
        <f t="shared" si="6"/>
        <v>-6617809.8818079503</v>
      </c>
      <c r="J41" s="40"/>
      <c r="K41" s="243"/>
      <c r="L41" s="74"/>
      <c r="M41" s="243"/>
    </row>
    <row r="42" spans="1:13" s="255" customFormat="1">
      <c r="A42" s="825">
        <f t="shared" si="3"/>
        <v>26.060000000000009</v>
      </c>
      <c r="B42" s="39"/>
      <c r="C42" s="1510">
        <v>42522</v>
      </c>
      <c r="D42" s="1511">
        <v>3.4599999999999999E-2</v>
      </c>
      <c r="E42" s="470">
        <f t="shared" si="1"/>
        <v>2.8833333333333332E-3</v>
      </c>
      <c r="F42" s="799">
        <f t="shared" si="2"/>
        <v>-22767.055939784434</v>
      </c>
      <c r="G42" s="1489">
        <f t="shared" si="4"/>
        <v>-1312460.2144596975</v>
      </c>
      <c r="H42" s="1336">
        <f t="shared" si="5"/>
        <v>-7896088.7652431559</v>
      </c>
      <c r="I42" s="799">
        <f t="shared" si="6"/>
        <v>-7953037.1522074323</v>
      </c>
      <c r="J42" s="40"/>
      <c r="K42" s="243"/>
      <c r="L42" s="74"/>
      <c r="M42" s="243"/>
    </row>
    <row r="43" spans="1:13" s="255" customFormat="1">
      <c r="A43" s="825">
        <f t="shared" si="3"/>
        <v>26.070000000000011</v>
      </c>
      <c r="B43" s="39">
        <v>1</v>
      </c>
      <c r="C43" s="1510">
        <v>42552</v>
      </c>
      <c r="D43" s="1511">
        <v>3.5000000000000003E-2</v>
      </c>
      <c r="E43" s="470">
        <f t="shared" si="1"/>
        <v>2.9166666666666668E-3</v>
      </c>
      <c r="F43" s="799">
        <f t="shared" si="2"/>
        <v>-27024.367319445795</v>
      </c>
      <c r="G43" s="1489">
        <f t="shared" si="4"/>
        <v>-1312460.2144596975</v>
      </c>
      <c r="H43" s="1336">
        <f t="shared" si="5"/>
        <v>-9265497.3666671291</v>
      </c>
      <c r="I43" s="799">
        <f t="shared" si="6"/>
        <v>-9292521.7339865752</v>
      </c>
      <c r="J43" s="40"/>
      <c r="K43" s="243"/>
      <c r="L43" s="74"/>
      <c r="M43" s="243"/>
    </row>
    <row r="44" spans="1:13" s="255" customFormat="1">
      <c r="A44" s="825">
        <f t="shared" si="3"/>
        <v>26.080000000000013</v>
      </c>
      <c r="B44" s="39"/>
      <c r="C44" s="1510">
        <v>42583</v>
      </c>
      <c r="D44" s="1511">
        <v>3.5000000000000003E-2</v>
      </c>
      <c r="E44" s="470">
        <f t="shared" si="1"/>
        <v>2.9166666666666668E-3</v>
      </c>
      <c r="F44" s="799">
        <f t="shared" si="2"/>
        <v>-30852.376278286578</v>
      </c>
      <c r="G44" s="1489">
        <f t="shared" si="4"/>
        <v>-1312460.2144596975</v>
      </c>
      <c r="H44" s="1336">
        <f t="shared" si="5"/>
        <v>-10577957.581126826</v>
      </c>
      <c r="I44" s="799">
        <f t="shared" si="6"/>
        <v>-10635834.324724559</v>
      </c>
      <c r="J44" s="40"/>
      <c r="K44" s="243"/>
      <c r="L44" s="74"/>
      <c r="M44" s="243"/>
    </row>
    <row r="45" spans="1:13" s="255" customFormat="1">
      <c r="A45" s="825">
        <f t="shared" si="3"/>
        <v>26.090000000000014</v>
      </c>
      <c r="B45" s="39"/>
      <c r="C45" s="1510">
        <v>42614</v>
      </c>
      <c r="D45" s="1511">
        <v>3.5000000000000003E-2</v>
      </c>
      <c r="E45" s="470">
        <f t="shared" si="1"/>
        <v>2.9166666666666668E-3</v>
      </c>
      <c r="F45" s="799">
        <f t="shared" si="2"/>
        <v>-34680.385237127361</v>
      </c>
      <c r="G45" s="1489">
        <f t="shared" si="4"/>
        <v>-1312460.2144596975</v>
      </c>
      <c r="H45" s="1336">
        <f t="shared" si="5"/>
        <v>-11890417.795586523</v>
      </c>
      <c r="I45" s="799">
        <f t="shared" si="6"/>
        <v>-11982974.924421383</v>
      </c>
      <c r="J45" s="40"/>
      <c r="K45" s="243"/>
      <c r="L45" s="74"/>
      <c r="M45" s="243"/>
    </row>
    <row r="46" spans="1:13" s="255" customFormat="1">
      <c r="A46" s="825">
        <f t="shared" si="3"/>
        <v>26.100000000000016</v>
      </c>
      <c r="B46" s="39">
        <v>1</v>
      </c>
      <c r="C46" s="1510">
        <v>42644</v>
      </c>
      <c r="D46" s="1511">
        <v>3.5000000000000003E-2</v>
      </c>
      <c r="E46" s="470">
        <f t="shared" si="1"/>
        <v>2.9166666666666668E-3</v>
      </c>
      <c r="F46" s="799">
        <f t="shared" si="2"/>
        <v>-38778.35248840315</v>
      </c>
      <c r="G46" s="1489">
        <f t="shared" si="4"/>
        <v>-1312460.2144596975</v>
      </c>
      <c r="H46" s="1336">
        <f t="shared" si="5"/>
        <v>-13295435.13888108</v>
      </c>
      <c r="I46" s="799">
        <f t="shared" si="6"/>
        <v>-13334213.491369482</v>
      </c>
      <c r="J46" s="40"/>
      <c r="K46" s="243"/>
      <c r="L46" s="74"/>
      <c r="M46" s="243"/>
    </row>
    <row r="47" spans="1:13" s="255" customFormat="1">
      <c r="A47" s="825">
        <f t="shared" si="3"/>
        <v>26.110000000000017</v>
      </c>
      <c r="B47" s="39"/>
      <c r="C47" s="1510">
        <v>42675</v>
      </c>
      <c r="D47" s="1511">
        <v>3.5000000000000003E-2</v>
      </c>
      <c r="E47" s="470">
        <f>+D47/12</f>
        <v>2.9166666666666668E-3</v>
      </c>
      <c r="F47" s="799">
        <f t="shared" si="2"/>
        <v>-42606.361447243937</v>
      </c>
      <c r="G47" s="1489">
        <f t="shared" si="4"/>
        <v>-1312460.2144596975</v>
      </c>
      <c r="H47" s="1336">
        <f t="shared" si="5"/>
        <v>-14607895.353340777</v>
      </c>
      <c r="I47" s="799">
        <f t="shared" si="6"/>
        <v>-14689280.067276422</v>
      </c>
      <c r="J47" s="40"/>
      <c r="K47" s="243"/>
      <c r="L47" s="74"/>
      <c r="M47" s="243"/>
    </row>
    <row r="48" spans="1:13" s="255" customFormat="1">
      <c r="A48" s="825">
        <f t="shared" si="3"/>
        <v>26.120000000000019</v>
      </c>
      <c r="B48" s="39"/>
      <c r="C48" s="1510">
        <v>42705</v>
      </c>
      <c r="D48" s="1511">
        <v>3.5000000000000003E-2</v>
      </c>
      <c r="E48" s="470">
        <f t="shared" ref="E48:E65" si="7">+D48/12</f>
        <v>2.9166666666666668E-3</v>
      </c>
      <c r="F48" s="799">
        <f t="shared" si="2"/>
        <v>-46434.370406084716</v>
      </c>
      <c r="G48" s="1489">
        <f t="shared" si="4"/>
        <v>-1312460.2144596975</v>
      </c>
      <c r="H48" s="1336">
        <f t="shared" si="5"/>
        <v>-15920355.567800473</v>
      </c>
      <c r="I48" s="799">
        <f t="shared" si="6"/>
        <v>-16048174.652142204</v>
      </c>
      <c r="J48" s="40"/>
      <c r="K48" s="243"/>
      <c r="L48" s="74"/>
      <c r="M48" s="243"/>
    </row>
    <row r="49" spans="1:13" s="255" customFormat="1" ht="15">
      <c r="A49" s="825">
        <f t="shared" si="3"/>
        <v>26.13000000000002</v>
      </c>
      <c r="B49" s="39">
        <v>1</v>
      </c>
      <c r="C49" s="1510">
        <v>42736</v>
      </c>
      <c r="D49" s="1511">
        <v>3.5000000000000003E-2</v>
      </c>
      <c r="E49" s="470">
        <f t="shared" si="7"/>
        <v>2.9166666666666668E-3</v>
      </c>
      <c r="F49" s="799">
        <f t="shared" si="2"/>
        <v>-46807.1760687481</v>
      </c>
      <c r="G49" s="1489"/>
      <c r="H49" s="1336">
        <f t="shared" si="5"/>
        <v>-16048174.652142204</v>
      </c>
      <c r="I49" s="799">
        <f t="shared" si="6"/>
        <v>-16094981.828210952</v>
      </c>
      <c r="J49" s="40"/>
      <c r="K49" s="476"/>
      <c r="L49" s="465"/>
      <c r="M49" s="476"/>
    </row>
    <row r="50" spans="1:13" s="255" customFormat="1">
      <c r="A50" s="825">
        <f t="shared" si="3"/>
        <v>26.140000000000022</v>
      </c>
      <c r="B50" s="80"/>
      <c r="C50" s="1510">
        <v>42767</v>
      </c>
      <c r="D50" s="1511">
        <v>3.5000000000000003E-2</v>
      </c>
      <c r="E50" s="470">
        <f t="shared" si="7"/>
        <v>2.9166666666666668E-3</v>
      </c>
      <c r="F50" s="799">
        <f t="shared" si="2"/>
        <v>-46807.1760687481</v>
      </c>
      <c r="G50" s="1489"/>
      <c r="H50" s="1336">
        <f t="shared" si="5"/>
        <v>-16048174.652142204</v>
      </c>
      <c r="I50" s="799">
        <f t="shared" si="6"/>
        <v>-16141789.004279699</v>
      </c>
      <c r="J50" s="40"/>
      <c r="K50" s="243"/>
      <c r="L50" s="243"/>
      <c r="M50" s="40"/>
    </row>
    <row r="51" spans="1:13" s="255" customFormat="1">
      <c r="A51" s="825">
        <f t="shared" si="3"/>
        <v>26.150000000000023</v>
      </c>
      <c r="B51" s="477"/>
      <c r="C51" s="1510">
        <v>42795</v>
      </c>
      <c r="D51" s="1511">
        <v>3.5000000000000003E-2</v>
      </c>
      <c r="E51" s="470">
        <f t="shared" si="7"/>
        <v>2.9166666666666668E-3</v>
      </c>
      <c r="F51" s="799">
        <f t="shared" si="2"/>
        <v>-46807.1760687481</v>
      </c>
      <c r="G51" s="1489"/>
      <c r="H51" s="1336">
        <f t="shared" si="5"/>
        <v>-16048174.652142204</v>
      </c>
      <c r="I51" s="799">
        <f t="shared" si="6"/>
        <v>-16188596.180348447</v>
      </c>
      <c r="J51" s="40"/>
      <c r="K51" s="40"/>
      <c r="L51" s="40"/>
      <c r="M51" s="40"/>
    </row>
    <row r="52" spans="1:13" s="255" customFormat="1">
      <c r="A52" s="825">
        <f t="shared" si="3"/>
        <v>26.160000000000025</v>
      </c>
      <c r="B52" s="39">
        <v>1</v>
      </c>
      <c r="C52" s="1510">
        <v>42826</v>
      </c>
      <c r="D52" s="1511">
        <v>3.7100000000000001E-2</v>
      </c>
      <c r="E52" s="470">
        <f t="shared" si="7"/>
        <v>3.0916666666666666E-3</v>
      </c>
      <c r="F52" s="799">
        <f t="shared" si="2"/>
        <v>-50049.743190910616</v>
      </c>
      <c r="G52" s="1489"/>
      <c r="H52" s="1336">
        <f t="shared" si="5"/>
        <v>-16188596.180348447</v>
      </c>
      <c r="I52" s="799">
        <f t="shared" si="6"/>
        <v>-16238645.923539357</v>
      </c>
      <c r="J52" s="40"/>
      <c r="K52" s="40"/>
      <c r="L52" s="40"/>
      <c r="M52" s="40"/>
    </row>
    <row r="53" spans="1:13" s="255" customFormat="1" ht="13.8" thickBot="1">
      <c r="A53" s="825">
        <f t="shared" si="3"/>
        <v>26.170000000000027</v>
      </c>
      <c r="B53" s="477"/>
      <c r="C53" s="1510">
        <v>42856</v>
      </c>
      <c r="D53" s="1511">
        <v>3.7100000000000001E-2</v>
      </c>
      <c r="E53" s="470">
        <f t="shared" si="7"/>
        <v>3.0916666666666666E-3</v>
      </c>
      <c r="F53" s="799">
        <f t="shared" si="2"/>
        <v>-50049.743190910616</v>
      </c>
      <c r="G53" s="1489"/>
      <c r="H53" s="1336">
        <f t="shared" si="5"/>
        <v>-16188596.180348447</v>
      </c>
      <c r="I53" s="799">
        <f t="shared" si="6"/>
        <v>-16288695.666730268</v>
      </c>
      <c r="J53" s="40"/>
      <c r="K53" s="39"/>
      <c r="L53" s="39"/>
      <c r="M53" s="39"/>
    </row>
    <row r="54" spans="1:13" s="255" customFormat="1">
      <c r="A54" s="825">
        <f t="shared" si="3"/>
        <v>26.180000000000028</v>
      </c>
      <c r="B54" s="477"/>
      <c r="C54" s="1510">
        <v>42887</v>
      </c>
      <c r="D54" s="1511">
        <v>3.7100000000000001E-2</v>
      </c>
      <c r="E54" s="470">
        <f t="shared" si="7"/>
        <v>3.0916666666666666E-3</v>
      </c>
      <c r="F54" s="799">
        <f t="shared" si="2"/>
        <v>-45775.593965025764</v>
      </c>
      <c r="G54" s="1515">
        <v>1382474.1431433489</v>
      </c>
      <c r="H54" s="1336">
        <f>IF((B54=1),I53+G54,+H53+G54)</f>
        <v>-14806122.037205098</v>
      </c>
      <c r="I54" s="799">
        <f>I53+F54+G54</f>
        <v>-14951997.117551945</v>
      </c>
      <c r="J54" s="40"/>
      <c r="K54" s="466"/>
      <c r="L54" s="39"/>
      <c r="M54" s="39"/>
    </row>
    <row r="55" spans="1:13" s="255" customFormat="1">
      <c r="A55" s="825">
        <f t="shared" si="3"/>
        <v>26.19000000000003</v>
      </c>
      <c r="B55" s="39">
        <v>1</v>
      </c>
      <c r="C55" s="1510">
        <v>42917</v>
      </c>
      <c r="D55" s="1511">
        <v>3.9600000000000003E-2</v>
      </c>
      <c r="E55" s="470">
        <f t="shared" si="7"/>
        <v>3.3000000000000004E-3</v>
      </c>
      <c r="F55" s="799">
        <f t="shared" si="2"/>
        <v>-44779.425815548377</v>
      </c>
      <c r="G55" s="1516">
        <f>+G54</f>
        <v>1382474.1431433489</v>
      </c>
      <c r="H55" s="1336">
        <f t="shared" si="5"/>
        <v>-13569522.974408597</v>
      </c>
      <c r="I55" s="799">
        <f t="shared" si="6"/>
        <v>-13614302.400224146</v>
      </c>
      <c r="J55" s="40"/>
      <c r="K55" s="39"/>
      <c r="L55" s="39"/>
      <c r="M55" s="39"/>
    </row>
    <row r="56" spans="1:13" s="255" customFormat="1">
      <c r="A56" s="825">
        <f t="shared" si="3"/>
        <v>26.200000000000031</v>
      </c>
      <c r="B56" s="40"/>
      <c r="C56" s="1510">
        <v>42948</v>
      </c>
      <c r="D56" s="1511">
        <v>3.9600000000000003E-2</v>
      </c>
      <c r="E56" s="470">
        <f t="shared" si="7"/>
        <v>3.3000000000000004E-3</v>
      </c>
      <c r="F56" s="799">
        <f t="shared" si="2"/>
        <v>-40217.261143175325</v>
      </c>
      <c r="G56" s="1516">
        <f>+G55</f>
        <v>1382474.1431433489</v>
      </c>
      <c r="H56" s="1336">
        <f t="shared" si="5"/>
        <v>-12187048.831265248</v>
      </c>
      <c r="I56" s="799">
        <f t="shared" si="6"/>
        <v>-12272045.518223973</v>
      </c>
      <c r="J56" s="40"/>
      <c r="K56" s="39"/>
      <c r="L56" s="39"/>
      <c r="M56" s="39"/>
    </row>
    <row r="57" spans="1:13" s="255" customFormat="1">
      <c r="A57" s="825">
        <f t="shared" si="3"/>
        <v>26.210000000000033</v>
      </c>
      <c r="B57" s="40"/>
      <c r="C57" s="1510">
        <v>42979</v>
      </c>
      <c r="D57" s="1511">
        <v>3.9600000000000003E-2</v>
      </c>
      <c r="E57" s="470">
        <f t="shared" si="7"/>
        <v>3.3000000000000004E-3</v>
      </c>
      <c r="F57" s="799">
        <f t="shared" si="2"/>
        <v>-35655.096470802273</v>
      </c>
      <c r="G57" s="1516">
        <f t="shared" ref="G57:G65" si="8">+G56</f>
        <v>1382474.1431433489</v>
      </c>
      <c r="H57" s="1336">
        <f t="shared" si="5"/>
        <v>-10804574.6881219</v>
      </c>
      <c r="I57" s="799">
        <f t="shared" si="6"/>
        <v>-10925226.471551428</v>
      </c>
      <c r="J57" s="40"/>
      <c r="K57" s="39"/>
      <c r="L57" s="39"/>
      <c r="M57" s="39"/>
    </row>
    <row r="58" spans="1:13" s="255" customFormat="1">
      <c r="A58" s="825">
        <f t="shared" si="3"/>
        <v>26.220000000000034</v>
      </c>
      <c r="B58" s="39">
        <v>1</v>
      </c>
      <c r="C58" s="1510">
        <v>43009</v>
      </c>
      <c r="D58" s="1511">
        <v>4.2099999999999999E-2</v>
      </c>
      <c r="E58" s="470">
        <f t="shared" si="7"/>
        <v>3.5083333333333334E-3</v>
      </c>
      <c r="F58" s="799">
        <f t="shared" si="2"/>
        <v>-33479.156085498347</v>
      </c>
      <c r="G58" s="1516">
        <f t="shared" si="8"/>
        <v>1382474.1431433489</v>
      </c>
      <c r="H58" s="1336">
        <f t="shared" si="5"/>
        <v>-9542752.3284080792</v>
      </c>
      <c r="I58" s="799">
        <f t="shared" si="6"/>
        <v>-9576231.4844935779</v>
      </c>
      <c r="J58" s="40"/>
      <c r="K58" s="39" t="s">
        <v>430</v>
      </c>
      <c r="L58" s="39"/>
      <c r="M58" s="39"/>
    </row>
    <row r="59" spans="1:13" s="255" customFormat="1">
      <c r="A59" s="825">
        <f t="shared" si="3"/>
        <v>26.230000000000036</v>
      </c>
      <c r="B59" s="40"/>
      <c r="C59" s="1510">
        <v>43040</v>
      </c>
      <c r="D59" s="1511">
        <v>4.2099999999999999E-2</v>
      </c>
      <c r="E59" s="470">
        <f t="shared" si="7"/>
        <v>3.5083333333333334E-3</v>
      </c>
      <c r="F59" s="799">
        <f t="shared" si="2"/>
        <v>-28628.975966637099</v>
      </c>
      <c r="G59" s="1516">
        <f t="shared" si="8"/>
        <v>1382474.1431433489</v>
      </c>
      <c r="H59" s="1336">
        <f t="shared" si="5"/>
        <v>-8160278.1852647308</v>
      </c>
      <c r="I59" s="799">
        <f t="shared" si="6"/>
        <v>-8222386.3173168674</v>
      </c>
      <c r="J59" s="40"/>
      <c r="K59" s="39" t="s">
        <v>431</v>
      </c>
      <c r="L59" s="39"/>
      <c r="M59" s="39"/>
    </row>
    <row r="60" spans="1:13" s="255" customFormat="1" ht="13.8" thickBot="1">
      <c r="A60" s="825">
        <f t="shared" si="3"/>
        <v>26.240000000000038</v>
      </c>
      <c r="B60" s="40"/>
      <c r="C60" s="1510">
        <v>43070</v>
      </c>
      <c r="D60" s="1511">
        <v>4.2099999999999999E-2</v>
      </c>
      <c r="E60" s="470">
        <f t="shared" si="7"/>
        <v>3.5083333333333334E-3</v>
      </c>
      <c r="F60" s="799">
        <f t="shared" si="2"/>
        <v>-23778.795847775851</v>
      </c>
      <c r="G60" s="1517">
        <f t="shared" si="8"/>
        <v>1382474.1431433489</v>
      </c>
      <c r="H60" s="1336">
        <f t="shared" si="5"/>
        <v>-6777804.0421213824</v>
      </c>
      <c r="I60" s="799">
        <f t="shared" si="6"/>
        <v>-6863690.9700212944</v>
      </c>
      <c r="J60" s="40"/>
      <c r="K60" s="39"/>
      <c r="L60" s="39"/>
      <c r="M60" s="39"/>
    </row>
    <row r="61" spans="1:13" s="255" customFormat="1">
      <c r="A61" s="825">
        <f t="shared" si="3"/>
        <v>26.250000000000039</v>
      </c>
      <c r="B61" s="39">
        <v>1</v>
      </c>
      <c r="C61" s="1510">
        <v>43101</v>
      </c>
      <c r="D61" s="1511">
        <v>4.2500000000000003E-2</v>
      </c>
      <c r="E61" s="470">
        <f t="shared" si="7"/>
        <v>3.5416666666666669E-3</v>
      </c>
      <c r="F61" s="799">
        <f t="shared" si="2"/>
        <v>-19412.64292852606</v>
      </c>
      <c r="G61" s="1489">
        <f t="shared" si="8"/>
        <v>1382474.1431433489</v>
      </c>
      <c r="H61" s="1336">
        <f t="shared" si="5"/>
        <v>-5481216.826877946</v>
      </c>
      <c r="I61" s="799">
        <f t="shared" si="6"/>
        <v>-5500629.4698064718</v>
      </c>
      <c r="J61" s="39"/>
      <c r="K61" s="39" t="s">
        <v>432</v>
      </c>
      <c r="L61" s="39"/>
      <c r="M61" s="39"/>
    </row>
    <row r="62" spans="1:13" s="255" customFormat="1">
      <c r="A62" s="825">
        <f t="shared" si="3"/>
        <v>26.260000000000041</v>
      </c>
      <c r="B62" s="80"/>
      <c r="C62" s="1510">
        <v>43132</v>
      </c>
      <c r="D62" s="1511">
        <v>4.2500000000000003E-2</v>
      </c>
      <c r="E62" s="470">
        <f t="shared" si="7"/>
        <v>3.5416666666666669E-3</v>
      </c>
      <c r="F62" s="799">
        <f t="shared" si="2"/>
        <v>-14516.3803382267</v>
      </c>
      <c r="G62" s="1489">
        <f t="shared" si="8"/>
        <v>1382474.1431433489</v>
      </c>
      <c r="H62" s="1336">
        <f t="shared" si="5"/>
        <v>-4098742.6837345972</v>
      </c>
      <c r="I62" s="799">
        <f t="shared" si="6"/>
        <v>-4132671.7070013494</v>
      </c>
      <c r="J62" s="39"/>
      <c r="K62" s="39"/>
      <c r="L62" s="855" t="s">
        <v>433</v>
      </c>
      <c r="M62" s="856" t="str">
        <f ca="1">CELL("address",I65)</f>
        <v>$I$65</v>
      </c>
    </row>
    <row r="63" spans="1:13" s="255" customFormat="1">
      <c r="A63" s="825">
        <f t="shared" si="3"/>
        <v>26.270000000000042</v>
      </c>
      <c r="B63" s="477"/>
      <c r="C63" s="1510">
        <v>43160</v>
      </c>
      <c r="D63" s="1511">
        <v>4.2500000000000003E-2</v>
      </c>
      <c r="E63" s="470">
        <f t="shared" si="7"/>
        <v>3.5416666666666669E-3</v>
      </c>
      <c r="F63" s="799">
        <f t="shared" si="2"/>
        <v>-9620.1177479273392</v>
      </c>
      <c r="G63" s="1489">
        <f t="shared" si="8"/>
        <v>1382474.1431433489</v>
      </c>
      <c r="H63" s="1336">
        <f t="shared" si="5"/>
        <v>-2716268.5405912483</v>
      </c>
      <c r="I63" s="799">
        <f t="shared" si="6"/>
        <v>-2759817.6816059281</v>
      </c>
      <c r="J63" s="39"/>
      <c r="K63" s="39"/>
      <c r="L63" s="855" t="s">
        <v>434</v>
      </c>
      <c r="M63" s="855">
        <v>0</v>
      </c>
    </row>
    <row r="64" spans="1:13" s="255" customFormat="1">
      <c r="A64" s="825">
        <f t="shared" si="3"/>
        <v>26.280000000000044</v>
      </c>
      <c r="B64" s="39">
        <v>1</v>
      </c>
      <c r="C64" s="1510">
        <v>43191</v>
      </c>
      <c r="D64" s="1511">
        <v>4.4699999999999997E-2</v>
      </c>
      <c r="E64" s="470">
        <f t="shared" si="7"/>
        <v>3.7249999999999996E-3</v>
      </c>
      <c r="F64" s="799">
        <f t="shared" si="2"/>
        <v>-5130.6046807731072</v>
      </c>
      <c r="G64" s="1489">
        <f t="shared" si="8"/>
        <v>1382474.1431433489</v>
      </c>
      <c r="H64" s="1336">
        <f t="shared" si="5"/>
        <v>-1377343.5384625793</v>
      </c>
      <c r="I64" s="799">
        <f t="shared" si="6"/>
        <v>-1382474.1431433526</v>
      </c>
      <c r="J64" s="39"/>
      <c r="K64" s="39"/>
      <c r="L64" s="855" t="s">
        <v>435</v>
      </c>
      <c r="M64" s="856" t="str">
        <f ca="1">CELL("address",G54)</f>
        <v>$G$54</v>
      </c>
    </row>
    <row r="65" spans="1:21" s="255" customFormat="1" ht="15">
      <c r="A65" s="825">
        <f t="shared" si="3"/>
        <v>26.290000000000045</v>
      </c>
      <c r="B65" s="39"/>
      <c r="C65" s="1510">
        <v>43221</v>
      </c>
      <c r="D65" s="1511">
        <v>4.4699999999999997E-2</v>
      </c>
      <c r="E65" s="470">
        <f t="shared" si="7"/>
        <v>3.7249999999999996E-3</v>
      </c>
      <c r="F65" s="1518">
        <f>H65*E65</f>
        <v>0</v>
      </c>
      <c r="G65" s="1489">
        <f t="shared" si="8"/>
        <v>1382474.1431433489</v>
      </c>
      <c r="H65" s="1336"/>
      <c r="I65" s="1204">
        <f t="shared" si="6"/>
        <v>-3.7252902984619141E-9</v>
      </c>
      <c r="J65" s="39"/>
      <c r="K65" s="39"/>
      <c r="L65" s="39"/>
      <c r="M65" s="39"/>
    </row>
    <row r="66" spans="1:21" s="255" customFormat="1">
      <c r="A66" s="827">
        <f>+A36+1</f>
        <v>27</v>
      </c>
      <c r="B66" s="39" t="s">
        <v>841</v>
      </c>
      <c r="C66" s="469"/>
      <c r="D66" s="475"/>
      <c r="E66" s="1084"/>
      <c r="F66" s="799">
        <f>SUM(F37:F65)</f>
        <v>-840167.14420382038</v>
      </c>
      <c r="G66" s="857"/>
      <c r="H66" s="471" t="str">
        <f>+"Col. "&amp;F6&amp;" Sum of Line "&amp;A36&amp;" Subparts"</f>
        <v>Col. E Sum of Line 26 Subparts</v>
      </c>
      <c r="I66" s="858"/>
      <c r="J66" s="39"/>
      <c r="K66" s="39"/>
      <c r="L66" s="39"/>
      <c r="M66" s="39"/>
    </row>
    <row r="67" spans="1:21" s="255" customFormat="1" ht="13.8" thickBot="1">
      <c r="A67" s="1309">
        <f>A66+1</f>
        <v>28</v>
      </c>
      <c r="B67" s="1366" t="s">
        <v>1102</v>
      </c>
      <c r="C67" s="469"/>
      <c r="D67" s="475"/>
      <c r="E67" s="1084"/>
      <c r="F67" s="1367">
        <f>+G29+G31</f>
        <v>-15749522.573516369</v>
      </c>
      <c r="G67" s="479"/>
      <c r="H67" s="2332" t="str">
        <f>+"Col. "&amp;G6&amp;" Line "&amp;A29&amp;" + Line "&amp;A31</f>
        <v>Col. F Line 21 + Line 23</v>
      </c>
      <c r="I67" s="2332"/>
      <c r="J67" s="39"/>
      <c r="K67" s="39"/>
      <c r="L67" s="39"/>
      <c r="M67" s="39"/>
    </row>
    <row r="68" spans="1:21" s="255" customFormat="1" ht="13.8" thickBot="1">
      <c r="A68" s="1309">
        <f>A67+1</f>
        <v>29</v>
      </c>
      <c r="B68" s="39" t="s">
        <v>1103</v>
      </c>
      <c r="C68" s="469"/>
      <c r="D68" s="475"/>
      <c r="E68" s="1084"/>
      <c r="F68" s="1368">
        <f>SUM(F66:F67)</f>
        <v>-16589689.71772019</v>
      </c>
      <c r="G68" s="471"/>
      <c r="H68" s="471" t="str">
        <f>+"Col. "&amp;F6&amp;" Line "&amp;A66&amp;" + "&amp;A67</f>
        <v>Col. E Line 27 + 28</v>
      </c>
      <c r="I68" s="471"/>
      <c r="J68" s="39"/>
      <c r="K68" s="39"/>
      <c r="L68" s="39"/>
      <c r="M68" s="39"/>
    </row>
    <row r="69" spans="1:21" s="255" customFormat="1" ht="13.8" thickBot="1">
      <c r="A69" s="40"/>
      <c r="B69" s="39"/>
      <c r="C69" s="39"/>
      <c r="D69" s="39"/>
      <c r="E69" s="39"/>
      <c r="F69" s="39"/>
      <c r="G69" s="1519">
        <f>-SUM(G54:G60)</f>
        <v>-9677319.0020034406</v>
      </c>
      <c r="H69" s="1520" t="s">
        <v>1517</v>
      </c>
      <c r="I69" s="1521"/>
      <c r="J69" s="39"/>
      <c r="K69" s="39"/>
      <c r="L69" s="39"/>
      <c r="M69" s="39"/>
    </row>
    <row r="70" spans="1:21" s="40" customFormat="1">
      <c r="B70" s="39"/>
      <c r="C70" s="469"/>
      <c r="D70" s="475"/>
      <c r="E70" s="1084"/>
      <c r="F70" s="471"/>
      <c r="G70" s="472"/>
      <c r="H70" s="478"/>
      <c r="I70" s="471"/>
      <c r="J70" s="39"/>
      <c r="K70" s="39"/>
      <c r="L70" s="39"/>
      <c r="M70" s="39"/>
    </row>
    <row r="71" spans="1:21" s="255" customFormat="1">
      <c r="A71" s="40" t="s">
        <v>299</v>
      </c>
      <c r="B71" s="39"/>
      <c r="C71" s="469"/>
      <c r="D71" s="475"/>
      <c r="E71" s="1084"/>
      <c r="F71" s="471"/>
      <c r="G71" s="472"/>
      <c r="H71" s="478"/>
      <c r="I71" s="471"/>
      <c r="J71" s="40"/>
      <c r="K71" s="40"/>
      <c r="L71" s="40"/>
      <c r="M71" s="40"/>
    </row>
    <row r="72" spans="1:21" s="255" customFormat="1" ht="39.6" customHeight="1">
      <c r="A72" s="660">
        <v>1</v>
      </c>
      <c r="B72" s="2330" t="s">
        <v>1076</v>
      </c>
      <c r="C72" s="2330"/>
      <c r="D72" s="2330"/>
      <c r="E72" s="2330"/>
      <c r="F72" s="2330"/>
      <c r="G72" s="2330"/>
      <c r="H72" s="2330"/>
      <c r="I72" s="2330"/>
      <c r="J72" s="40"/>
      <c r="K72" s="40"/>
      <c r="L72" s="40"/>
      <c r="M72" s="40"/>
    </row>
    <row r="73" spans="1:21" s="255" customFormat="1" ht="27" customHeight="1">
      <c r="A73" s="826">
        <v>2</v>
      </c>
      <c r="B73" s="2324" t="s">
        <v>1096</v>
      </c>
      <c r="C73" s="2324"/>
      <c r="D73" s="2324"/>
      <c r="E73" s="2324"/>
      <c r="F73" s="2324"/>
      <c r="G73" s="2324"/>
      <c r="H73" s="2324"/>
      <c r="I73" s="2324"/>
      <c r="J73" s="40"/>
      <c r="K73" s="2333"/>
      <c r="L73" s="2333"/>
      <c r="M73" s="2333"/>
      <c r="N73" s="2333"/>
      <c r="O73" s="2333"/>
      <c r="P73" s="2333"/>
      <c r="Q73" s="2333"/>
      <c r="R73" s="2333"/>
      <c r="S73" s="2333"/>
      <c r="T73" s="2333"/>
      <c r="U73" s="2333"/>
    </row>
    <row r="74" spans="1:21" s="255" customFormat="1" ht="27" customHeight="1">
      <c r="A74" s="660">
        <v>3</v>
      </c>
      <c r="B74" s="2324" t="s">
        <v>456</v>
      </c>
      <c r="C74" s="2324"/>
      <c r="D74" s="2324"/>
      <c r="E74" s="2324"/>
      <c r="F74" s="2324"/>
      <c r="G74" s="2324"/>
      <c r="H74" s="2324"/>
      <c r="I74" s="2324"/>
      <c r="J74" s="40"/>
      <c r="K74" s="40"/>
      <c r="L74" s="40"/>
      <c r="M74" s="40"/>
    </row>
    <row r="75" spans="1:21" s="255" customFormat="1" ht="66" customHeight="1">
      <c r="A75" s="660">
        <v>4</v>
      </c>
      <c r="B75" s="2324" t="s">
        <v>1104</v>
      </c>
      <c r="C75" s="2324"/>
      <c r="D75" s="2324"/>
      <c r="E75" s="2324"/>
      <c r="F75" s="2324"/>
      <c r="G75" s="2324"/>
      <c r="H75" s="2324"/>
      <c r="I75" s="2324"/>
      <c r="J75" s="40"/>
      <c r="K75" s="40"/>
      <c r="L75" s="40"/>
      <c r="M75" s="40"/>
    </row>
    <row r="76" spans="1:21" s="255" customFormat="1" ht="30.6" customHeight="1">
      <c r="A76" s="533">
        <v>5</v>
      </c>
      <c r="B76" s="2324" t="s">
        <v>1105</v>
      </c>
      <c r="C76" s="2324"/>
      <c r="D76" s="2324"/>
      <c r="E76" s="2324"/>
      <c r="F76" s="2324"/>
      <c r="G76" s="2324"/>
      <c r="H76" s="2324"/>
      <c r="I76" s="2324"/>
      <c r="J76" s="40"/>
      <c r="K76" s="40"/>
      <c r="L76" s="40"/>
      <c r="M76" s="40"/>
    </row>
    <row r="77" spans="1:21" s="255" customFormat="1" ht="79.95" customHeight="1">
      <c r="A77" s="533">
        <v>6</v>
      </c>
      <c r="B77" s="2324" t="s">
        <v>1106</v>
      </c>
      <c r="C77" s="2324"/>
      <c r="D77" s="2324"/>
      <c r="E77" s="2324"/>
      <c r="F77" s="2324"/>
      <c r="G77" s="2324"/>
      <c r="H77" s="2324"/>
      <c r="I77" s="2324"/>
      <c r="J77" s="40"/>
      <c r="K77" s="40"/>
      <c r="L77" s="40"/>
      <c r="M77" s="40"/>
    </row>
    <row r="78" spans="1:21" s="255" customFormat="1" ht="54.6" customHeight="1">
      <c r="A78" s="1506">
        <v>7</v>
      </c>
      <c r="B78" s="2324" t="s">
        <v>1107</v>
      </c>
      <c r="C78" s="2324"/>
      <c r="D78" s="2324"/>
      <c r="E78" s="2324"/>
      <c r="F78" s="2324"/>
      <c r="G78" s="2324"/>
      <c r="H78" s="2324"/>
      <c r="I78" s="2324"/>
      <c r="J78" s="40"/>
      <c r="K78" s="40"/>
      <c r="L78" s="40"/>
      <c r="M78" s="40"/>
    </row>
    <row r="79" spans="1:21" s="255" customFormat="1">
      <c r="A79" s="1522">
        <v>8</v>
      </c>
      <c r="B79" s="1523" t="s">
        <v>1518</v>
      </c>
      <c r="C79" s="489"/>
      <c r="D79" s="490"/>
      <c r="E79" s="491"/>
      <c r="F79" s="471"/>
      <c r="G79" s="472"/>
      <c r="H79" s="478"/>
      <c r="I79" s="471"/>
      <c r="J79" s="40"/>
      <c r="K79" s="40"/>
      <c r="L79" s="40"/>
      <c r="M79" s="40"/>
    </row>
    <row r="80" spans="1:21" s="255" customFormat="1">
      <c r="A80" s="1522">
        <v>9</v>
      </c>
      <c r="B80" s="1524" t="s">
        <v>1519</v>
      </c>
      <c r="C80" s="469"/>
      <c r="D80" s="480"/>
      <c r="E80" s="470"/>
      <c r="F80" s="471"/>
      <c r="G80" s="472"/>
      <c r="H80" s="478"/>
      <c r="I80" s="471"/>
      <c r="J80" s="40"/>
      <c r="K80" s="40"/>
      <c r="L80" s="40"/>
      <c r="M80" s="40"/>
    </row>
    <row r="81" spans="1:13" s="255" customFormat="1">
      <c r="A81" s="40"/>
      <c r="B81" s="39"/>
      <c r="C81" s="469"/>
      <c r="D81" s="480"/>
      <c r="E81" s="470"/>
      <c r="F81" s="471"/>
      <c r="G81" s="472"/>
      <c r="H81" s="478"/>
      <c r="I81" s="471"/>
      <c r="J81" s="40"/>
      <c r="K81" s="40"/>
      <c r="L81" s="40"/>
      <c r="M81" s="40"/>
    </row>
    <row r="82" spans="1:13" s="255" customFormat="1">
      <c r="A82" s="40"/>
      <c r="B82" s="39"/>
      <c r="C82" s="469"/>
      <c r="D82" s="480"/>
      <c r="E82" s="470"/>
      <c r="F82" s="471"/>
      <c r="G82" s="472"/>
      <c r="H82" s="478"/>
      <c r="I82" s="471"/>
      <c r="J82" s="40"/>
      <c r="K82" s="40"/>
      <c r="L82" s="40"/>
      <c r="M82" s="40"/>
    </row>
    <row r="83" spans="1:13" s="255" customFormat="1">
      <c r="A83" s="40"/>
      <c r="B83" s="39"/>
      <c r="C83" s="469"/>
      <c r="D83" s="480"/>
      <c r="E83" s="470"/>
      <c r="F83" s="471"/>
      <c r="G83" s="472"/>
      <c r="H83" s="478"/>
      <c r="I83" s="471"/>
      <c r="J83" s="40"/>
      <c r="K83" s="40"/>
      <c r="L83" s="40"/>
      <c r="M83" s="40"/>
    </row>
    <row r="84" spans="1:13" s="255" customFormat="1">
      <c r="A84" s="40"/>
      <c r="B84" s="39"/>
      <c r="C84" s="469"/>
      <c r="D84" s="480"/>
      <c r="E84" s="470"/>
      <c r="F84" s="471"/>
      <c r="G84" s="472"/>
      <c r="H84" s="478"/>
      <c r="I84" s="471"/>
      <c r="J84" s="40"/>
      <c r="K84" s="40"/>
      <c r="L84" s="40"/>
      <c r="M84" s="40"/>
    </row>
    <row r="85" spans="1:13" s="255" customFormat="1">
      <c r="A85" s="40"/>
      <c r="B85" s="39"/>
      <c r="C85" s="469"/>
      <c r="D85" s="480"/>
      <c r="E85" s="470"/>
      <c r="F85" s="471"/>
      <c r="G85" s="472"/>
      <c r="H85" s="478"/>
      <c r="I85" s="471"/>
      <c r="J85" s="40"/>
      <c r="K85" s="40"/>
      <c r="L85" s="40"/>
      <c r="M85" s="40"/>
    </row>
    <row r="86" spans="1:13" s="255" customFormat="1">
      <c r="A86" s="40"/>
      <c r="B86" s="40"/>
      <c r="C86" s="469"/>
      <c r="D86" s="480"/>
      <c r="E86" s="470"/>
      <c r="F86" s="471"/>
      <c r="G86" s="472"/>
      <c r="H86" s="478"/>
      <c r="I86" s="471"/>
      <c r="J86" s="40"/>
      <c r="K86" s="40"/>
      <c r="L86" s="40"/>
      <c r="M86" s="40"/>
    </row>
    <row r="87" spans="1:13" s="255" customFormat="1">
      <c r="A87" s="40"/>
      <c r="B87" s="40"/>
      <c r="C87" s="469"/>
      <c r="D87" s="480"/>
      <c r="E87" s="470"/>
      <c r="F87" s="471"/>
      <c r="G87" s="472"/>
      <c r="H87" s="478"/>
      <c r="I87" s="471"/>
      <c r="J87" s="40"/>
      <c r="K87" s="40"/>
      <c r="L87" s="40"/>
      <c r="M87" s="40"/>
    </row>
    <row r="88" spans="1:13" s="255" customFormat="1">
      <c r="A88" s="40"/>
      <c r="B88" s="40"/>
      <c r="C88" s="469"/>
      <c r="D88" s="480"/>
      <c r="E88" s="470"/>
      <c r="F88" s="471"/>
      <c r="G88" s="472"/>
      <c r="H88" s="478"/>
      <c r="I88" s="471"/>
      <c r="J88" s="40"/>
      <c r="K88" s="40"/>
      <c r="L88" s="40"/>
      <c r="M88" s="40"/>
    </row>
    <row r="89" spans="1:13" s="255" customFormat="1">
      <c r="A89" s="40"/>
      <c r="B89" s="40"/>
      <c r="C89" s="469"/>
      <c r="D89" s="480"/>
      <c r="E89" s="470"/>
      <c r="F89" s="471"/>
      <c r="G89" s="472"/>
      <c r="H89" s="478"/>
      <c r="I89" s="471"/>
      <c r="J89" s="40"/>
      <c r="K89" s="40"/>
      <c r="L89" s="40"/>
      <c r="M89" s="40"/>
    </row>
    <row r="90" spans="1:13" s="255" customFormat="1">
      <c r="A90" s="40"/>
      <c r="B90" s="40"/>
      <c r="C90" s="469"/>
      <c r="D90" s="480"/>
      <c r="E90" s="470"/>
      <c r="F90" s="471"/>
      <c r="G90" s="472"/>
      <c r="H90" s="478"/>
      <c r="I90" s="471"/>
      <c r="J90" s="40"/>
      <c r="K90" s="40"/>
      <c r="L90" s="40"/>
      <c r="M90" s="40"/>
    </row>
    <row r="91" spans="1:13" s="255" customFormat="1">
      <c r="A91" s="40"/>
      <c r="B91" s="40"/>
      <c r="C91" s="469"/>
      <c r="D91" s="480"/>
      <c r="E91" s="470"/>
      <c r="F91" s="471"/>
      <c r="G91" s="472"/>
      <c r="H91" s="478"/>
      <c r="I91" s="471"/>
      <c r="J91" s="40"/>
      <c r="K91" s="40"/>
      <c r="L91" s="40"/>
      <c r="M91" s="40"/>
    </row>
    <row r="92" spans="1:13" s="255" customFormat="1">
      <c r="A92" s="40"/>
      <c r="B92" s="40"/>
      <c r="C92" s="469"/>
      <c r="D92" s="480"/>
      <c r="E92" s="470"/>
      <c r="F92" s="471"/>
      <c r="G92" s="472"/>
      <c r="H92" s="478"/>
      <c r="I92" s="471"/>
      <c r="J92" s="40"/>
      <c r="K92" s="40"/>
      <c r="L92" s="40"/>
      <c r="M92" s="40"/>
    </row>
    <row r="93" spans="1:13" s="255" customFormat="1">
      <c r="A93" s="40"/>
      <c r="B93" s="40"/>
      <c r="C93" s="469"/>
      <c r="D93" s="480"/>
      <c r="E93" s="470"/>
      <c r="F93" s="471"/>
      <c r="G93" s="472"/>
      <c r="H93" s="478"/>
      <c r="I93" s="471"/>
      <c r="J93" s="40"/>
      <c r="K93" s="40"/>
      <c r="L93" s="40"/>
      <c r="M93" s="40"/>
    </row>
    <row r="94" spans="1:13" s="255" customFormat="1">
      <c r="A94" s="40"/>
      <c r="B94" s="40"/>
      <c r="C94" s="469"/>
      <c r="D94" s="480"/>
      <c r="E94" s="470"/>
      <c r="F94" s="471"/>
      <c r="G94" s="472"/>
      <c r="H94" s="478"/>
      <c r="I94" s="471"/>
      <c r="J94" s="40"/>
      <c r="K94" s="40"/>
      <c r="L94" s="40"/>
      <c r="M94" s="40"/>
    </row>
    <row r="95" spans="1:13" s="255" customFormat="1">
      <c r="A95" s="40"/>
      <c r="B95" s="40"/>
      <c r="C95" s="469"/>
      <c r="D95" s="480"/>
      <c r="E95" s="470"/>
      <c r="F95" s="471"/>
      <c r="G95" s="472"/>
      <c r="H95" s="478"/>
      <c r="I95" s="471"/>
      <c r="J95" s="40"/>
      <c r="K95" s="40"/>
      <c r="L95" s="40"/>
      <c r="M95" s="40"/>
    </row>
    <row r="96" spans="1:13" s="255" customFormat="1">
      <c r="A96" s="40"/>
      <c r="B96" s="40"/>
      <c r="C96" s="469"/>
      <c r="D96" s="480"/>
      <c r="E96" s="470"/>
      <c r="F96" s="471"/>
      <c r="G96" s="472"/>
      <c r="H96" s="478"/>
      <c r="I96" s="471"/>
      <c r="J96" s="40"/>
      <c r="K96" s="40"/>
      <c r="L96" s="40"/>
      <c r="M96" s="40"/>
    </row>
    <row r="97" spans="1:38" s="255" customFormat="1">
      <c r="A97" s="40"/>
      <c r="B97" s="40"/>
      <c r="C97" s="469"/>
      <c r="D97" s="480"/>
      <c r="E97" s="470"/>
      <c r="F97" s="471"/>
      <c r="G97" s="472"/>
      <c r="H97" s="478"/>
      <c r="I97" s="471"/>
      <c r="J97" s="40"/>
      <c r="K97" s="40"/>
      <c r="L97" s="40"/>
      <c r="M97" s="40"/>
    </row>
    <row r="98" spans="1:38" s="255" customFormat="1">
      <c r="A98" s="40"/>
      <c r="B98" s="40"/>
      <c r="C98" s="469"/>
      <c r="D98" s="480"/>
      <c r="E98" s="470"/>
      <c r="F98" s="471"/>
      <c r="G98" s="472"/>
      <c r="H98" s="478"/>
      <c r="I98" s="471"/>
      <c r="J98" s="40"/>
      <c r="K98" s="40"/>
      <c r="L98" s="40"/>
      <c r="M98" s="40"/>
    </row>
    <row r="99" spans="1:38" s="255" customFormat="1">
      <c r="A99" s="40"/>
      <c r="B99" s="40"/>
      <c r="C99" s="469"/>
      <c r="D99" s="480"/>
      <c r="E99" s="470"/>
      <c r="F99" s="471"/>
      <c r="G99" s="472"/>
      <c r="H99" s="478"/>
      <c r="I99" s="471"/>
      <c r="J99" s="40"/>
      <c r="K99" s="40"/>
      <c r="L99" s="40"/>
      <c r="M99" s="40"/>
    </row>
    <row r="100" spans="1:38" s="255" customFormat="1">
      <c r="A100" s="40"/>
      <c r="B100" s="40"/>
      <c r="C100" s="469"/>
      <c r="D100" s="480"/>
      <c r="E100" s="470"/>
      <c r="F100" s="471"/>
      <c r="G100" s="472"/>
      <c r="H100" s="478"/>
      <c r="I100" s="471"/>
      <c r="J100" s="40"/>
      <c r="K100" s="40"/>
      <c r="L100" s="40"/>
      <c r="M100" s="40"/>
    </row>
    <row r="101" spans="1:38" s="255" customFormat="1">
      <c r="A101" s="40"/>
      <c r="B101" s="40"/>
      <c r="C101" s="469"/>
      <c r="D101" s="480"/>
      <c r="E101" s="470"/>
      <c r="F101" s="471"/>
      <c r="G101" s="472"/>
      <c r="H101" s="478"/>
      <c r="I101" s="471"/>
      <c r="J101" s="40"/>
      <c r="K101" s="40"/>
      <c r="L101" s="40"/>
      <c r="M101" s="40"/>
    </row>
    <row r="102" spans="1:38">
      <c r="C102" s="469"/>
      <c r="D102" s="480"/>
      <c r="E102" s="470"/>
      <c r="F102" s="471"/>
      <c r="G102" s="472"/>
      <c r="H102" s="478"/>
      <c r="I102" s="471"/>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row>
    <row r="103" spans="1:38">
      <c r="C103" s="469"/>
      <c r="D103" s="480"/>
      <c r="E103" s="470"/>
      <c r="F103" s="471"/>
      <c r="G103" s="472"/>
      <c r="H103" s="478"/>
      <c r="I103" s="471"/>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row>
    <row r="104" spans="1:38">
      <c r="C104" s="469"/>
      <c r="D104" s="480"/>
      <c r="E104" s="470"/>
      <c r="F104" s="471"/>
      <c r="G104" s="472"/>
      <c r="H104" s="478"/>
      <c r="I104" s="471"/>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row>
    <row r="105" spans="1:38">
      <c r="C105" s="469"/>
      <c r="D105" s="480"/>
      <c r="E105" s="470"/>
      <c r="F105" s="471"/>
      <c r="G105" s="472"/>
      <c r="H105" s="478"/>
      <c r="I105" s="471"/>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row>
    <row r="106" spans="1:38">
      <c r="C106" s="469"/>
      <c r="D106" s="480"/>
      <c r="E106" s="470"/>
      <c r="F106" s="471"/>
      <c r="G106" s="472"/>
      <c r="H106" s="478"/>
      <c r="I106" s="471"/>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row>
    <row r="107" spans="1:38">
      <c r="C107" s="469"/>
      <c r="D107" s="480"/>
      <c r="E107" s="470"/>
      <c r="F107" s="471"/>
      <c r="G107" s="472"/>
      <c r="H107" s="478"/>
      <c r="I107" s="471"/>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row>
    <row r="108" spans="1:38">
      <c r="C108" s="469"/>
      <c r="D108" s="480"/>
      <c r="E108" s="470"/>
      <c r="F108" s="471"/>
      <c r="G108" s="472"/>
      <c r="H108" s="478"/>
      <c r="I108" s="471"/>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row>
    <row r="109" spans="1:38">
      <c r="C109" s="469"/>
      <c r="D109" s="480"/>
      <c r="E109" s="470"/>
      <c r="F109" s="471"/>
      <c r="G109" s="472"/>
      <c r="H109" s="478"/>
      <c r="I109" s="471"/>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row>
    <row r="110" spans="1:38">
      <c r="B110" s="61"/>
      <c r="C110" s="469"/>
      <c r="D110" s="480"/>
      <c r="E110" s="470"/>
      <c r="F110" s="471"/>
      <c r="G110" s="472"/>
      <c r="H110" s="478"/>
      <c r="I110" s="471"/>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row>
    <row r="111" spans="1:38">
      <c r="A111" s="61"/>
      <c r="B111" s="61"/>
      <c r="C111" s="469"/>
      <c r="D111" s="480"/>
      <c r="E111" s="470"/>
      <c r="F111" s="471"/>
      <c r="G111" s="472"/>
      <c r="H111" s="478"/>
      <c r="I111" s="471"/>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row>
    <row r="112" spans="1:38">
      <c r="A112" s="61"/>
      <c r="B112" s="61"/>
      <c r="C112" s="469"/>
      <c r="D112" s="480"/>
      <c r="E112" s="470"/>
      <c r="F112" s="471"/>
      <c r="G112" s="472"/>
      <c r="H112" s="478"/>
      <c r="I112" s="471"/>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row>
    <row r="113" spans="1:38">
      <c r="A113" s="61"/>
      <c r="B113" s="61"/>
      <c r="C113" s="469"/>
      <c r="D113" s="480"/>
      <c r="E113" s="470"/>
      <c r="F113" s="471"/>
      <c r="G113" s="472"/>
      <c r="H113" s="478"/>
      <c r="I113" s="471"/>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row>
    <row r="114" spans="1:38">
      <c r="A114" s="61"/>
      <c r="B114" s="61"/>
      <c r="C114" s="469"/>
      <c r="D114" s="480"/>
      <c r="E114" s="470"/>
      <c r="F114" s="471"/>
      <c r="G114" s="472"/>
      <c r="H114" s="478"/>
      <c r="I114" s="471"/>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row>
    <row r="115" spans="1:38">
      <c r="A115" s="61"/>
      <c r="B115" s="61"/>
      <c r="C115" s="469"/>
      <c r="D115" s="480"/>
      <c r="E115" s="470"/>
      <c r="F115" s="471"/>
      <c r="G115" s="472"/>
      <c r="H115" s="478"/>
      <c r="I115" s="471"/>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row>
    <row r="116" spans="1:38">
      <c r="A116" s="61"/>
      <c r="B116" s="61"/>
      <c r="C116" s="469"/>
      <c r="D116" s="480"/>
      <c r="E116" s="470"/>
      <c r="F116" s="471"/>
      <c r="G116" s="472"/>
      <c r="H116" s="478"/>
      <c r="I116" s="471"/>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row>
    <row r="117" spans="1:38">
      <c r="A117" s="61"/>
      <c r="B117" s="61"/>
      <c r="C117" s="469"/>
      <c r="D117" s="480"/>
      <c r="E117" s="470"/>
      <c r="F117" s="471"/>
      <c r="G117" s="472"/>
      <c r="H117" s="478"/>
      <c r="I117" s="471"/>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row>
    <row r="118" spans="1:38">
      <c r="A118" s="61"/>
      <c r="B118" s="61"/>
      <c r="C118" s="469"/>
      <c r="D118" s="480"/>
      <c r="E118" s="470"/>
      <c r="F118" s="471"/>
      <c r="G118" s="472"/>
      <c r="H118" s="478"/>
      <c r="I118" s="471"/>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row>
    <row r="119" spans="1:38">
      <c r="A119" s="61"/>
      <c r="B119" s="61"/>
      <c r="C119" s="469"/>
      <c r="D119" s="480"/>
      <c r="E119" s="470"/>
      <c r="F119" s="471"/>
      <c r="G119" s="472"/>
      <c r="H119" s="478"/>
      <c r="I119" s="471"/>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row>
    <row r="120" spans="1:38">
      <c r="A120" s="61"/>
      <c r="B120" s="61"/>
      <c r="C120" s="469"/>
      <c r="D120" s="480"/>
      <c r="E120" s="470"/>
      <c r="F120" s="471"/>
      <c r="G120" s="472"/>
      <c r="H120" s="478"/>
      <c r="I120" s="471"/>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row>
    <row r="121" spans="1:38">
      <c r="A121" s="61"/>
      <c r="B121" s="61"/>
      <c r="C121" s="469"/>
      <c r="D121" s="480"/>
      <c r="E121" s="470"/>
      <c r="F121" s="471"/>
      <c r="G121" s="472"/>
      <c r="H121" s="478"/>
      <c r="I121" s="471"/>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row>
    <row r="122" spans="1:38">
      <c r="A122" s="61"/>
      <c r="B122" s="61"/>
      <c r="C122" s="469"/>
      <c r="D122" s="480"/>
      <c r="E122" s="470"/>
      <c r="F122" s="471"/>
      <c r="G122" s="472"/>
      <c r="H122" s="478"/>
      <c r="I122" s="471"/>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row>
    <row r="123" spans="1:38">
      <c r="A123" s="61"/>
      <c r="B123" s="61"/>
      <c r="F123" s="481"/>
      <c r="G123" s="481"/>
      <c r="H123" s="481"/>
      <c r="I123" s="481"/>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row>
    <row r="124" spans="1:38">
      <c r="A124" s="61"/>
      <c r="B124" s="61"/>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row>
    <row r="125" spans="1:38">
      <c r="A125" s="61"/>
      <c r="B125" s="61"/>
      <c r="F125" s="482"/>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row>
    <row r="126" spans="1:38">
      <c r="A126" s="61"/>
      <c r="B126" s="61"/>
      <c r="C126" s="61"/>
      <c r="D126" s="61"/>
      <c r="E126" s="61"/>
      <c r="F126" s="482"/>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row>
    <row r="127" spans="1:38">
      <c r="A127" s="61"/>
      <c r="B127" s="61"/>
      <c r="C127" s="61"/>
      <c r="D127" s="61"/>
      <c r="E127" s="61"/>
      <c r="F127" s="481"/>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row>
    <row r="128" spans="1:38">
      <c r="A128" s="61"/>
      <c r="B128" s="61"/>
      <c r="C128" s="61"/>
      <c r="D128" s="61"/>
      <c r="E128" s="61"/>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row>
    <row r="129" spans="1:38">
      <c r="A129" s="61"/>
      <c r="B129" s="61"/>
      <c r="C129" s="61"/>
      <c r="D129" s="61"/>
      <c r="E129" s="61"/>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row>
    <row r="130" spans="1:38">
      <c r="A130" s="61"/>
      <c r="B130" s="61"/>
      <c r="C130" s="61"/>
      <c r="D130" s="61"/>
      <c r="E130" s="61"/>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row>
    <row r="131" spans="1:38">
      <c r="A131" s="61"/>
      <c r="B131" s="61"/>
      <c r="C131" s="61"/>
      <c r="D131" s="61"/>
      <c r="E131" s="61"/>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row>
    <row r="132" spans="1:38">
      <c r="A132" s="61"/>
      <c r="B132" s="61"/>
      <c r="C132" s="61"/>
      <c r="D132" s="61"/>
      <c r="E132" s="61"/>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row>
    <row r="133" spans="1:38">
      <c r="A133" s="61"/>
      <c r="B133" s="61"/>
      <c r="C133" s="61"/>
      <c r="D133" s="61"/>
      <c r="E133" s="61"/>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row>
    <row r="134" spans="1:38">
      <c r="A134" s="61"/>
      <c r="B134" s="61"/>
      <c r="C134" s="61"/>
      <c r="D134" s="61"/>
      <c r="E134" s="61"/>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row>
    <row r="135" spans="1:38">
      <c r="A135" s="61"/>
      <c r="B135" s="61"/>
      <c r="C135" s="61"/>
      <c r="D135" s="61"/>
      <c r="E135" s="61"/>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row>
    <row r="136" spans="1:38">
      <c r="A136" s="61"/>
      <c r="B136" s="61"/>
      <c r="C136" s="61"/>
      <c r="D136" s="61"/>
      <c r="E136" s="61"/>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row>
    <row r="137" spans="1:38">
      <c r="A137" s="61"/>
      <c r="B137" s="61"/>
      <c r="C137" s="61"/>
      <c r="D137" s="61"/>
      <c r="E137" s="61"/>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row>
    <row r="138" spans="1:38">
      <c r="A138" s="61"/>
      <c r="B138" s="61"/>
      <c r="C138" s="61"/>
      <c r="D138" s="61"/>
      <c r="E138" s="61"/>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row>
    <row r="139" spans="1:38">
      <c r="A139" s="61"/>
      <c r="B139" s="61"/>
      <c r="C139" s="61"/>
      <c r="D139" s="61"/>
      <c r="E139" s="61"/>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row>
    <row r="140" spans="1:38">
      <c r="A140" s="61"/>
      <c r="B140" s="61"/>
      <c r="C140" s="61"/>
      <c r="D140" s="61"/>
      <c r="E140" s="61"/>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row>
    <row r="141" spans="1:38">
      <c r="A141" s="61"/>
      <c r="B141" s="61"/>
      <c r="C141" s="61"/>
      <c r="D141" s="61"/>
      <c r="E141" s="61"/>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row>
    <row r="142" spans="1:38">
      <c r="A142" s="61"/>
      <c r="B142" s="61"/>
      <c r="C142" s="61"/>
      <c r="D142" s="61"/>
      <c r="E142" s="61"/>
      <c r="F142" s="61"/>
      <c r="G142" s="61"/>
      <c r="H142" s="61"/>
      <c r="I142" s="61"/>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row>
    <row r="143" spans="1:38">
      <c r="A143" s="61"/>
      <c r="B143" s="61"/>
      <c r="C143" s="61"/>
      <c r="D143" s="61"/>
      <c r="E143" s="61"/>
      <c r="F143" s="61"/>
      <c r="G143" s="61"/>
      <c r="H143" s="61"/>
      <c r="I143" s="61"/>
      <c r="J143" s="61"/>
      <c r="K143" s="61"/>
      <c r="L143" s="61"/>
      <c r="M143" s="61"/>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row>
    <row r="144" spans="1:38">
      <c r="A144" s="61"/>
      <c r="B144" s="61"/>
      <c r="C144" s="61"/>
      <c r="D144" s="61"/>
      <c r="E144" s="61"/>
      <c r="F144" s="61"/>
      <c r="G144" s="61"/>
      <c r="H144" s="61"/>
      <c r="I144" s="61"/>
      <c r="J144" s="61"/>
      <c r="K144" s="61"/>
      <c r="L144" s="61"/>
      <c r="M144" s="61"/>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row>
    <row r="145" spans="1:38">
      <c r="A145" s="61"/>
      <c r="B145" s="61"/>
      <c r="C145" s="61"/>
      <c r="D145" s="61"/>
      <c r="E145" s="61"/>
      <c r="F145" s="61"/>
      <c r="G145" s="61"/>
      <c r="H145" s="61"/>
      <c r="I145" s="61"/>
      <c r="J145" s="61"/>
      <c r="K145" s="61"/>
      <c r="L145" s="61"/>
      <c r="M145" s="61"/>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row>
    <row r="146" spans="1:38">
      <c r="A146" s="61"/>
      <c r="B146" s="61"/>
      <c r="C146" s="61"/>
      <c r="D146" s="61"/>
      <c r="E146" s="61"/>
      <c r="F146" s="61"/>
      <c r="G146" s="61"/>
      <c r="H146" s="61"/>
      <c r="I146" s="61"/>
      <c r="J146" s="61"/>
      <c r="K146" s="61"/>
      <c r="L146" s="61"/>
      <c r="M146" s="61"/>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row>
    <row r="147" spans="1:38">
      <c r="A147" s="61"/>
      <c r="B147" s="61"/>
      <c r="C147" s="61"/>
      <c r="D147" s="61"/>
      <c r="E147" s="61"/>
      <c r="F147" s="61"/>
      <c r="G147" s="61"/>
      <c r="H147" s="61"/>
      <c r="I147" s="61"/>
      <c r="J147" s="61"/>
      <c r="K147" s="61"/>
      <c r="L147" s="61"/>
      <c r="M147" s="61"/>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row>
    <row r="148" spans="1:38">
      <c r="A148" s="61"/>
      <c r="B148" s="61"/>
      <c r="C148" s="61"/>
      <c r="D148" s="61"/>
      <c r="E148" s="61"/>
      <c r="F148" s="61"/>
      <c r="G148" s="61"/>
      <c r="H148" s="61"/>
      <c r="I148" s="61"/>
      <c r="J148" s="61"/>
      <c r="K148" s="61"/>
      <c r="L148" s="61"/>
      <c r="M148" s="61"/>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row>
    <row r="149" spans="1:38">
      <c r="A149" s="61"/>
      <c r="B149" s="61"/>
      <c r="C149" s="61"/>
      <c r="D149" s="61"/>
      <c r="E149" s="61"/>
      <c r="F149" s="61"/>
      <c r="G149" s="61"/>
      <c r="H149" s="61"/>
      <c r="I149" s="61"/>
      <c r="J149" s="61"/>
      <c r="K149" s="61"/>
      <c r="L149" s="61"/>
      <c r="M149" s="61"/>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row>
    <row r="150" spans="1:38">
      <c r="A150" s="61"/>
      <c r="B150" s="61"/>
      <c r="C150" s="61"/>
      <c r="D150" s="61"/>
      <c r="E150" s="61"/>
      <c r="F150" s="61"/>
      <c r="G150" s="61"/>
      <c r="H150" s="61"/>
      <c r="I150" s="61"/>
      <c r="J150" s="61"/>
      <c r="K150" s="61"/>
      <c r="L150" s="61"/>
      <c r="M150" s="61"/>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row>
    <row r="151" spans="1:38">
      <c r="A151" s="61"/>
      <c r="B151" s="61"/>
      <c r="C151" s="61"/>
      <c r="D151" s="61"/>
      <c r="E151" s="61"/>
      <c r="F151" s="61"/>
      <c r="G151" s="61"/>
      <c r="H151" s="61"/>
      <c r="I151" s="61"/>
      <c r="J151" s="61"/>
      <c r="K151" s="61"/>
      <c r="L151" s="61"/>
      <c r="M151" s="61"/>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row>
    <row r="152" spans="1:38">
      <c r="A152" s="61"/>
      <c r="B152" s="61"/>
      <c r="C152" s="61"/>
      <c r="D152" s="61"/>
      <c r="E152" s="61"/>
      <c r="F152" s="61"/>
      <c r="G152" s="61"/>
      <c r="H152" s="61"/>
      <c r="I152" s="61"/>
      <c r="J152" s="61"/>
      <c r="K152" s="61"/>
      <c r="L152" s="61"/>
      <c r="M152" s="61"/>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row>
    <row r="153" spans="1:38">
      <c r="A153" s="61"/>
      <c r="B153" s="61"/>
      <c r="C153" s="61"/>
      <c r="D153" s="61"/>
      <c r="E153" s="61"/>
      <c r="F153" s="61"/>
      <c r="G153" s="61"/>
      <c r="H153" s="61"/>
      <c r="I153" s="61"/>
      <c r="J153" s="61"/>
      <c r="K153" s="61"/>
      <c r="L153" s="61"/>
      <c r="M153" s="61"/>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row>
    <row r="154" spans="1:38">
      <c r="A154" s="61"/>
      <c r="B154" s="61"/>
      <c r="C154" s="61"/>
      <c r="D154" s="61"/>
      <c r="E154" s="61"/>
      <c r="F154" s="61"/>
      <c r="G154" s="61"/>
      <c r="H154" s="61"/>
      <c r="I154" s="61"/>
      <c r="J154" s="61"/>
      <c r="K154" s="61"/>
      <c r="L154" s="61"/>
      <c r="M154" s="61"/>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row>
    <row r="155" spans="1:38">
      <c r="A155" s="61"/>
      <c r="B155" s="61"/>
      <c r="C155" s="61"/>
      <c r="D155" s="61"/>
      <c r="E155" s="61"/>
      <c r="F155" s="61"/>
      <c r="G155" s="61"/>
      <c r="H155" s="61"/>
      <c r="I155" s="61"/>
      <c r="J155" s="61"/>
      <c r="K155" s="61"/>
      <c r="L155" s="61"/>
      <c r="M155" s="61"/>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row>
    <row r="156" spans="1:38">
      <c r="A156" s="61"/>
      <c r="B156" s="61"/>
      <c r="C156" s="61"/>
      <c r="D156" s="61"/>
      <c r="E156" s="61"/>
      <c r="F156" s="61"/>
      <c r="G156" s="61"/>
      <c r="H156" s="61"/>
      <c r="I156" s="61"/>
      <c r="J156" s="61"/>
      <c r="K156" s="61"/>
      <c r="L156" s="61"/>
      <c r="M156" s="61"/>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row>
    <row r="157" spans="1:38">
      <c r="A157" s="61"/>
      <c r="B157" s="61"/>
      <c r="C157" s="61"/>
      <c r="D157" s="61"/>
      <c r="E157" s="61"/>
      <c r="F157" s="61"/>
      <c r="G157" s="61"/>
      <c r="H157" s="61"/>
      <c r="I157" s="61"/>
      <c r="J157" s="61"/>
      <c r="K157" s="61"/>
      <c r="L157" s="61"/>
      <c r="M157" s="61"/>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row>
    <row r="158" spans="1:38">
      <c r="A158" s="61"/>
      <c r="J158" s="61"/>
      <c r="K158" s="61"/>
      <c r="L158" s="61"/>
      <c r="M158" s="61"/>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row>
    <row r="159" spans="1:38" s="220" customFormat="1">
      <c r="A159" s="40"/>
      <c r="B159" s="40"/>
      <c r="C159" s="39"/>
      <c r="D159" s="40"/>
      <c r="E159" s="40"/>
      <c r="F159" s="40"/>
      <c r="G159" s="40"/>
      <c r="H159" s="40"/>
      <c r="I159" s="40"/>
      <c r="J159" s="40"/>
      <c r="K159" s="40"/>
      <c r="L159" s="40"/>
      <c r="M159" s="40"/>
      <c r="N159" s="228"/>
      <c r="O159" s="228"/>
      <c r="P159" s="228"/>
      <c r="Q159" s="228"/>
      <c r="R159" s="228"/>
      <c r="S159" s="228"/>
      <c r="T159" s="228"/>
      <c r="U159" s="228"/>
      <c r="V159" s="228"/>
      <c r="W159" s="228"/>
      <c r="X159" s="228"/>
      <c r="Y159" s="228"/>
      <c r="Z159" s="228"/>
      <c r="AA159" s="228"/>
      <c r="AB159" s="228"/>
      <c r="AC159" s="228"/>
      <c r="AD159" s="228"/>
      <c r="AE159" s="228"/>
      <c r="AF159" s="228"/>
      <c r="AG159" s="228"/>
      <c r="AH159" s="228"/>
      <c r="AI159" s="228"/>
      <c r="AJ159" s="228"/>
      <c r="AK159" s="228"/>
      <c r="AL159" s="228"/>
    </row>
    <row r="160" spans="1:38">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row>
    <row r="161" spans="1:38">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row>
    <row r="162" spans="1:38">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row>
    <row r="163" spans="1:38">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row>
    <row r="164" spans="1:38">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row>
    <row r="165" spans="1:38">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row>
    <row r="166" spans="1:38">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row>
    <row r="167" spans="1:38">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row>
    <row r="168" spans="1:38">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row>
    <row r="169" spans="1:38">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row>
    <row r="170" spans="1:38">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row>
    <row r="171" spans="1:38">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row>
    <row r="172" spans="1:38">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row>
    <row r="173" spans="1:38">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row>
    <row r="174" spans="1:38">
      <c r="B174" s="61"/>
      <c r="C174" s="61"/>
      <c r="D174" s="61"/>
      <c r="E174" s="61"/>
      <c r="F174" s="61"/>
      <c r="G174" s="61"/>
      <c r="H174" s="61"/>
      <c r="I174" s="61"/>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row>
    <row r="175" spans="1:38">
      <c r="A175" s="61"/>
      <c r="B175" s="61"/>
      <c r="C175" s="61"/>
      <c r="D175" s="61"/>
      <c r="E175" s="61"/>
      <c r="F175" s="61"/>
      <c r="G175" s="61"/>
      <c r="H175" s="61"/>
      <c r="I175" s="61"/>
      <c r="J175" s="61"/>
      <c r="K175" s="61"/>
      <c r="L175" s="61"/>
      <c r="M175" s="61"/>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row>
    <row r="176" spans="1:38">
      <c r="A176" s="61"/>
      <c r="B176" s="61"/>
      <c r="C176" s="61"/>
      <c r="D176" s="61"/>
      <c r="E176" s="61"/>
      <c r="F176" s="61"/>
      <c r="G176" s="61"/>
      <c r="H176" s="61"/>
      <c r="I176" s="61"/>
      <c r="J176" s="61"/>
      <c r="K176" s="61"/>
      <c r="L176" s="61"/>
      <c r="M176" s="61"/>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row>
    <row r="177" spans="1:38">
      <c r="A177" s="61"/>
      <c r="B177" s="61"/>
      <c r="C177" s="61"/>
      <c r="D177" s="61"/>
      <c r="E177" s="61"/>
      <c r="F177" s="61"/>
      <c r="G177" s="61"/>
      <c r="H177" s="61"/>
      <c r="I177" s="61"/>
      <c r="J177" s="61"/>
      <c r="K177" s="61"/>
      <c r="L177" s="61"/>
      <c r="M177" s="61"/>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row>
    <row r="178" spans="1:38">
      <c r="A178" s="61"/>
      <c r="B178" s="61"/>
      <c r="C178" s="61"/>
      <c r="D178" s="61"/>
      <c r="E178" s="61"/>
      <c r="F178" s="61"/>
      <c r="G178" s="61"/>
      <c r="H178" s="61"/>
      <c r="I178" s="61"/>
      <c r="J178" s="61"/>
      <c r="K178" s="61"/>
      <c r="L178" s="61"/>
      <c r="M178" s="61"/>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row>
    <row r="179" spans="1:38">
      <c r="A179" s="61"/>
      <c r="J179" s="61"/>
      <c r="K179" s="61"/>
      <c r="L179" s="61"/>
      <c r="M179" s="61"/>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row>
  </sheetData>
  <mergeCells count="15">
    <mergeCell ref="A1:I1"/>
    <mergeCell ref="B76:I76"/>
    <mergeCell ref="B77:I77"/>
    <mergeCell ref="B78:I78"/>
    <mergeCell ref="H67:I67"/>
    <mergeCell ref="B72:I72"/>
    <mergeCell ref="B73:I73"/>
    <mergeCell ref="B74:I74"/>
    <mergeCell ref="B75:I75"/>
    <mergeCell ref="K73:U73"/>
    <mergeCell ref="A2:I2"/>
    <mergeCell ref="A3:I3"/>
    <mergeCell ref="A4:I4"/>
    <mergeCell ref="H9:I9"/>
    <mergeCell ref="B24:F24"/>
  </mergeCells>
  <pageMargins left="0.7" right="0.7" top="0.75" bottom="0.75" header="0.3" footer="0.3"/>
  <pageSetup scale="89" fitToHeight="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81"/>
  <sheetViews>
    <sheetView topLeftCell="B43" zoomScaleNormal="100" zoomScaleSheetLayoutView="100" workbookViewId="0">
      <selection activeCell="L6" sqref="L6"/>
    </sheetView>
  </sheetViews>
  <sheetFormatPr defaultColWidth="9.109375" defaultRowHeight="13.2"/>
  <cols>
    <col min="1" max="1" width="6.44140625" style="2159" bestFit="1" customWidth="1"/>
    <col min="2" max="2" width="7.6640625" style="2159" customWidth="1"/>
    <col min="3" max="3" width="8.6640625" style="2160" customWidth="1"/>
    <col min="4" max="5" width="8.6640625" style="2159" customWidth="1"/>
    <col min="6" max="6" width="17.6640625" style="2159" customWidth="1"/>
    <col min="7" max="7" width="14.6640625" style="2159" customWidth="1"/>
    <col min="8" max="9" width="15.6640625" style="2159" customWidth="1"/>
    <col min="10" max="10" width="9.109375" style="2159"/>
    <col min="11" max="12" width="11.6640625" style="2159" customWidth="1"/>
    <col min="13" max="13" width="12.44140625" style="2159" bestFit="1" customWidth="1"/>
    <col min="14" max="16384" width="9.109375" style="61"/>
  </cols>
  <sheetData>
    <row r="1" spans="1:17">
      <c r="A1" s="2340" t="s">
        <v>958</v>
      </c>
      <c r="B1" s="2340"/>
      <c r="C1" s="2340"/>
      <c r="D1" s="2340"/>
      <c r="E1" s="2340"/>
      <c r="F1" s="2340"/>
      <c r="G1" s="2340"/>
      <c r="H1" s="2340"/>
      <c r="I1" s="2340"/>
    </row>
    <row r="2" spans="1:17" ht="13.2" customHeight="1">
      <c r="A2" s="2341" t="s">
        <v>1073</v>
      </c>
      <c r="B2" s="2341"/>
      <c r="C2" s="2341"/>
      <c r="D2" s="2341"/>
      <c r="E2" s="2341"/>
      <c r="F2" s="2341"/>
      <c r="G2" s="2341"/>
      <c r="H2" s="2341"/>
      <c r="I2" s="2341"/>
      <c r="K2" s="2342" t="s">
        <v>2243</v>
      </c>
      <c r="L2" s="2342"/>
      <c r="M2" s="2342"/>
      <c r="N2" s="2342"/>
      <c r="O2" s="2342"/>
      <c r="P2" s="2342"/>
      <c r="Q2" s="2342"/>
    </row>
    <row r="3" spans="1:17" s="75" customFormat="1" ht="13.2" customHeight="1">
      <c r="A3" s="2343" t="s">
        <v>2244</v>
      </c>
      <c r="B3" s="2343"/>
      <c r="C3" s="2343"/>
      <c r="D3" s="2343"/>
      <c r="E3" s="2343"/>
      <c r="F3" s="2343"/>
      <c r="G3" s="2343"/>
      <c r="H3" s="2343"/>
      <c r="I3" s="2343"/>
      <c r="J3" s="2160"/>
      <c r="K3" s="2342"/>
      <c r="L3" s="2342"/>
      <c r="M3" s="2342"/>
      <c r="N3" s="2342"/>
      <c r="O3" s="2342"/>
      <c r="P3" s="2342"/>
      <c r="Q3" s="2342"/>
    </row>
    <row r="4" spans="1:17">
      <c r="A4" s="2340" t="s">
        <v>425</v>
      </c>
      <c r="B4" s="2340"/>
      <c r="C4" s="2340"/>
      <c r="D4" s="2340"/>
      <c r="E4" s="2340"/>
      <c r="F4" s="2340"/>
      <c r="G4" s="2340"/>
      <c r="H4" s="2340"/>
      <c r="I4" s="2340"/>
    </row>
    <row r="5" spans="1:17">
      <c r="A5" s="2161"/>
      <c r="B5" s="2161"/>
      <c r="C5" s="2161"/>
      <c r="D5" s="2161"/>
      <c r="E5" s="2161"/>
      <c r="F5" s="2161"/>
      <c r="G5" s="2161"/>
      <c r="H5" s="2161"/>
      <c r="I5" s="2161"/>
    </row>
    <row r="6" spans="1:17" s="75" customFormat="1">
      <c r="A6" s="2162" t="s">
        <v>324</v>
      </c>
      <c r="B6" s="2163" t="s">
        <v>67</v>
      </c>
      <c r="C6" s="2163" t="s">
        <v>114</v>
      </c>
      <c r="D6" s="2164" t="s">
        <v>55</v>
      </c>
      <c r="E6" s="2163" t="s">
        <v>68</v>
      </c>
      <c r="F6" s="2165" t="s">
        <v>66</v>
      </c>
      <c r="G6" s="2163" t="s">
        <v>154</v>
      </c>
      <c r="H6" s="2163" t="s">
        <v>69</v>
      </c>
      <c r="I6" s="567" t="s">
        <v>166</v>
      </c>
      <c r="J6" s="2159"/>
      <c r="K6" s="2159"/>
      <c r="L6" s="2159"/>
      <c r="M6" s="2159"/>
      <c r="N6" s="211"/>
    </row>
    <row r="7" spans="1:17" s="75" customFormat="1">
      <c r="A7" s="2162"/>
      <c r="B7" s="2163"/>
      <c r="C7" s="2163"/>
      <c r="D7" s="2164"/>
      <c r="E7" s="2163"/>
      <c r="F7" s="2165"/>
      <c r="G7" s="2163"/>
      <c r="H7" s="2163"/>
      <c r="I7" s="567"/>
      <c r="J7" s="2159"/>
      <c r="K7" s="2159"/>
      <c r="L7" s="2159"/>
      <c r="M7" s="2159"/>
      <c r="N7" s="211"/>
    </row>
    <row r="8" spans="1:17">
      <c r="A8" s="61"/>
      <c r="B8" s="2166" t="s">
        <v>612</v>
      </c>
      <c r="C8" s="2161"/>
      <c r="D8" s="2161"/>
      <c r="E8" s="2161"/>
      <c r="F8" s="2161"/>
      <c r="G8" s="2167"/>
      <c r="H8" s="2161"/>
      <c r="I8" s="2161"/>
    </row>
    <row r="9" spans="1:17" ht="15">
      <c r="A9" s="2168">
        <v>1</v>
      </c>
      <c r="B9" s="2169" t="s">
        <v>1074</v>
      </c>
      <c r="C9" s="2161"/>
      <c r="D9" s="2161"/>
      <c r="E9" s="2161"/>
      <c r="F9" s="2161"/>
      <c r="G9" s="854" t="s">
        <v>146</v>
      </c>
      <c r="H9" s="2334" t="s">
        <v>139</v>
      </c>
      <c r="I9" s="2334"/>
      <c r="K9" s="2170"/>
    </row>
    <row r="10" spans="1:17" s="255" customFormat="1" ht="15">
      <c r="A10" s="2168">
        <f>+A9+1</f>
        <v>2</v>
      </c>
      <c r="B10" s="853" t="s">
        <v>27</v>
      </c>
      <c r="C10" s="2161"/>
      <c r="D10" s="2161"/>
      <c r="E10" s="2161"/>
      <c r="F10" s="2161"/>
      <c r="G10" s="2171">
        <v>16405402.289999999</v>
      </c>
      <c r="H10" s="2172" t="s">
        <v>1087</v>
      </c>
      <c r="I10" s="2152"/>
      <c r="J10" s="2159"/>
      <c r="K10" s="2170"/>
      <c r="L10" s="2159"/>
      <c r="M10" s="2159"/>
    </row>
    <row r="11" spans="1:17" s="255" customFormat="1" ht="15">
      <c r="A11" s="2168">
        <f t="shared" ref="A11:A35" si="0">+A10+1</f>
        <v>3</v>
      </c>
      <c r="B11" s="853" t="s">
        <v>28</v>
      </c>
      <c r="C11" s="2161"/>
      <c r="D11" s="2161"/>
      <c r="E11" s="2161"/>
      <c r="F11" s="2161"/>
      <c r="G11" s="2171">
        <v>13720305.93</v>
      </c>
      <c r="H11" s="2172" t="s">
        <v>1087</v>
      </c>
      <c r="I11" s="2152"/>
      <c r="J11" s="2159"/>
      <c r="K11" s="2170"/>
      <c r="L11" s="2159"/>
      <c r="M11" s="2159"/>
    </row>
    <row r="12" spans="1:17" s="255" customFormat="1" ht="15">
      <c r="A12" s="2168">
        <f t="shared" si="0"/>
        <v>4</v>
      </c>
      <c r="B12" s="853" t="s">
        <v>29</v>
      </c>
      <c r="C12" s="2161"/>
      <c r="D12" s="2161"/>
      <c r="E12" s="2161"/>
      <c r="F12" s="2161"/>
      <c r="G12" s="199">
        <v>16704424.739999998</v>
      </c>
      <c r="H12" s="2152"/>
      <c r="I12" s="2152"/>
      <c r="J12" s="2159"/>
      <c r="K12" s="2170"/>
      <c r="L12" s="2159"/>
      <c r="M12" s="2159"/>
    </row>
    <row r="13" spans="1:17" s="255" customFormat="1" ht="15">
      <c r="A13" s="2168">
        <f t="shared" si="0"/>
        <v>5</v>
      </c>
      <c r="B13" s="853" t="s">
        <v>30</v>
      </c>
      <c r="C13" s="2161"/>
      <c r="D13" s="2161"/>
      <c r="E13" s="2161"/>
      <c r="F13" s="2161"/>
      <c r="G13" s="199">
        <v>14500580.449999999</v>
      </c>
      <c r="H13" s="2152"/>
      <c r="I13" s="2152"/>
      <c r="J13" s="2159"/>
      <c r="K13" s="2170"/>
      <c r="L13" s="2159"/>
      <c r="M13" s="2159"/>
    </row>
    <row r="14" spans="1:17" s="255" customFormat="1" ht="15">
      <c r="A14" s="2168">
        <f t="shared" si="0"/>
        <v>6</v>
      </c>
      <c r="B14" s="853" t="s">
        <v>26</v>
      </c>
      <c r="C14" s="2161"/>
      <c r="D14" s="2161"/>
      <c r="E14" s="2161"/>
      <c r="F14" s="2161"/>
      <c r="G14" s="199">
        <v>16793611.16</v>
      </c>
      <c r="H14" s="2152"/>
      <c r="I14" s="2152"/>
      <c r="J14" s="2159"/>
      <c r="K14" s="2170"/>
      <c r="L14" s="2159"/>
      <c r="M14" s="2159"/>
    </row>
    <row r="15" spans="1:17" s="255" customFormat="1" ht="15">
      <c r="A15" s="2168">
        <f t="shared" si="0"/>
        <v>7</v>
      </c>
      <c r="B15" s="853" t="s">
        <v>31</v>
      </c>
      <c r="C15" s="2161"/>
      <c r="D15" s="2161"/>
      <c r="E15" s="2161"/>
      <c r="F15" s="2161"/>
      <c r="G15" s="199">
        <v>17891245.210000001</v>
      </c>
      <c r="H15" s="2152"/>
      <c r="I15" s="2152"/>
      <c r="J15" s="2159"/>
      <c r="K15" s="2170"/>
      <c r="L15" s="2159"/>
      <c r="M15" s="2159"/>
    </row>
    <row r="16" spans="1:17" s="255" customFormat="1" ht="15">
      <c r="A16" s="2168">
        <f t="shared" si="0"/>
        <v>8</v>
      </c>
      <c r="B16" s="853" t="s">
        <v>32</v>
      </c>
      <c r="C16" s="2161"/>
      <c r="D16" s="2161"/>
      <c r="E16" s="2161"/>
      <c r="F16" s="2161"/>
      <c r="G16" s="199">
        <v>19399430.539999999</v>
      </c>
      <c r="H16" s="2152"/>
      <c r="I16" s="2152"/>
      <c r="J16" s="2159"/>
      <c r="K16" s="2170"/>
      <c r="L16" s="2159"/>
      <c r="M16" s="2159"/>
    </row>
    <row r="17" spans="1:13" s="255" customFormat="1">
      <c r="A17" s="2168">
        <f t="shared" si="0"/>
        <v>9</v>
      </c>
      <c r="B17" s="853" t="s">
        <v>33</v>
      </c>
      <c r="C17" s="2161"/>
      <c r="D17" s="2161"/>
      <c r="E17" s="2161"/>
      <c r="F17" s="2161"/>
      <c r="G17" s="199">
        <v>19835493.120000001</v>
      </c>
      <c r="H17" s="2173"/>
      <c r="I17" s="2173"/>
      <c r="J17" s="2159"/>
      <c r="K17" s="2159"/>
      <c r="L17" s="2159"/>
      <c r="M17" s="2159"/>
    </row>
    <row r="18" spans="1:13" s="255" customFormat="1" ht="15">
      <c r="A18" s="2168">
        <f t="shared" si="0"/>
        <v>10</v>
      </c>
      <c r="B18" s="853" t="s">
        <v>34</v>
      </c>
      <c r="C18" s="2161"/>
      <c r="D18" s="2161"/>
      <c r="E18" s="2161"/>
      <c r="F18" s="2161"/>
      <c r="G18" s="199">
        <v>16941359.27</v>
      </c>
      <c r="H18" s="2152"/>
      <c r="I18" s="2152"/>
      <c r="J18" s="2159"/>
      <c r="K18" s="2170"/>
      <c r="L18" s="2159"/>
      <c r="M18" s="2159"/>
    </row>
    <row r="19" spans="1:13" s="255" customFormat="1" ht="15">
      <c r="A19" s="2168">
        <f t="shared" si="0"/>
        <v>11</v>
      </c>
      <c r="B19" s="853" t="s">
        <v>35</v>
      </c>
      <c r="C19" s="2161"/>
      <c r="D19" s="2161"/>
      <c r="E19" s="2161"/>
      <c r="F19" s="2161"/>
      <c r="G19" s="199">
        <v>15693970.66</v>
      </c>
      <c r="H19" s="2152"/>
      <c r="I19" s="2152"/>
      <c r="J19" s="2159"/>
      <c r="K19" s="2170"/>
      <c r="L19" s="2159"/>
      <c r="M19" s="2159"/>
    </row>
    <row r="20" spans="1:13" s="255" customFormat="1" ht="15">
      <c r="A20" s="2168">
        <f t="shared" si="0"/>
        <v>12</v>
      </c>
      <c r="B20" s="853" t="s">
        <v>36</v>
      </c>
      <c r="C20" s="2161"/>
      <c r="D20" s="2161"/>
      <c r="E20" s="2161"/>
      <c r="F20" s="2161"/>
      <c r="G20" s="199">
        <v>15936307.15</v>
      </c>
      <c r="H20" s="2152"/>
      <c r="I20" s="2152"/>
      <c r="J20" s="2159"/>
      <c r="K20" s="2170"/>
      <c r="L20" s="2159"/>
      <c r="M20" s="2159"/>
    </row>
    <row r="21" spans="1:13" s="255" customFormat="1" ht="15">
      <c r="A21" s="2168">
        <f t="shared" si="0"/>
        <v>13</v>
      </c>
      <c r="B21" s="853" t="s">
        <v>37</v>
      </c>
      <c r="C21" s="2161"/>
      <c r="D21" s="2161"/>
      <c r="E21" s="2161"/>
      <c r="F21" s="2161"/>
      <c r="G21" s="1508">
        <v>15671470.75</v>
      </c>
      <c r="H21" s="2152"/>
      <c r="I21" s="2152"/>
      <c r="J21" s="2159"/>
      <c r="K21" s="2170"/>
      <c r="L21" s="2159"/>
      <c r="M21" s="2159"/>
    </row>
    <row r="22" spans="1:13" s="255" customFormat="1">
      <c r="A22" s="2168">
        <f t="shared" si="0"/>
        <v>14</v>
      </c>
      <c r="B22" s="2169" t="s">
        <v>1075</v>
      </c>
      <c r="D22" s="2169"/>
      <c r="E22" s="2169"/>
      <c r="G22" s="146">
        <f>SUM(G10:G21)</f>
        <v>199493601.27000001</v>
      </c>
      <c r="H22" s="2169" t="str">
        <f>+"Sum (Line "&amp;A10&amp;" to "&amp;A21&amp;")"</f>
        <v>Sum (Line 2 to 13)</v>
      </c>
      <c r="J22" s="2159"/>
      <c r="K22" s="2170"/>
      <c r="L22" s="2159"/>
      <c r="M22" s="2159"/>
    </row>
    <row r="23" spans="1:13" s="255" customFormat="1">
      <c r="A23" s="2168">
        <f t="shared" si="0"/>
        <v>15</v>
      </c>
      <c r="B23" s="2169" t="s">
        <v>551</v>
      </c>
      <c r="D23" s="2169"/>
      <c r="E23" s="2169"/>
      <c r="G23" s="256">
        <v>54487372.370989062</v>
      </c>
      <c r="H23" s="2174" t="s">
        <v>2245</v>
      </c>
      <c r="I23" s="2175"/>
      <c r="J23" s="2159"/>
      <c r="K23" s="2176"/>
      <c r="L23" s="2159"/>
      <c r="M23" s="2159"/>
    </row>
    <row r="24" spans="1:13" s="255" customFormat="1" ht="13.2" customHeight="1">
      <c r="A24" s="2168">
        <f t="shared" si="0"/>
        <v>16</v>
      </c>
      <c r="B24" s="2336" t="s">
        <v>1092</v>
      </c>
      <c r="C24" s="2336"/>
      <c r="D24" s="2336"/>
      <c r="E24" s="2336"/>
      <c r="F24" s="2336"/>
      <c r="G24" s="251">
        <v>0</v>
      </c>
      <c r="H24" s="2177"/>
      <c r="I24" s="2161"/>
      <c r="J24" s="2159"/>
      <c r="K24" s="2170"/>
      <c r="L24" s="2159"/>
      <c r="M24" s="2159"/>
    </row>
    <row r="25" spans="1:13" s="255" customFormat="1">
      <c r="A25" s="2168">
        <f t="shared" si="0"/>
        <v>17</v>
      </c>
      <c r="B25" s="255" t="s">
        <v>1093</v>
      </c>
      <c r="D25" s="172"/>
      <c r="E25" s="172"/>
      <c r="F25" s="2160"/>
      <c r="G25" s="74">
        <f>+G22+G23-G24</f>
        <v>253980973.64098907</v>
      </c>
      <c r="H25" s="2178" t="str">
        <f>+"Sum (Line "&amp;A22&amp;" + "&amp;A23&amp;" - "&amp;A24&amp;")"</f>
        <v>Sum (Line 14 + 15 - 16)</v>
      </c>
      <c r="I25" s="2161"/>
      <c r="J25" s="2159"/>
      <c r="K25" s="2159"/>
      <c r="L25" s="2159"/>
      <c r="M25" s="2159"/>
    </row>
    <row r="26" spans="1:13" s="255" customFormat="1">
      <c r="A26" s="2168">
        <f t="shared" si="0"/>
        <v>18</v>
      </c>
      <c r="B26" s="2179"/>
      <c r="C26" s="2161"/>
      <c r="D26" s="172"/>
      <c r="E26" s="2169"/>
      <c r="F26" s="2160"/>
      <c r="G26" s="2160"/>
      <c r="H26" s="2159"/>
      <c r="I26" s="2161"/>
      <c r="J26" s="2159"/>
      <c r="K26" s="2159"/>
      <c r="L26" s="2159"/>
      <c r="M26" s="2159"/>
    </row>
    <row r="27" spans="1:13" s="255" customFormat="1">
      <c r="A27" s="2180" t="s">
        <v>642</v>
      </c>
      <c r="B27" s="2181"/>
      <c r="C27" s="2182"/>
      <c r="D27" s="2183"/>
      <c r="E27" s="2184"/>
      <c r="F27" s="2185"/>
      <c r="G27" s="2186">
        <v>295419104.37603158</v>
      </c>
      <c r="H27" s="2187" t="s">
        <v>1083</v>
      </c>
      <c r="I27" s="2182"/>
      <c r="J27" s="2159"/>
      <c r="K27" s="2159"/>
      <c r="L27" s="2159"/>
      <c r="M27" s="2159"/>
    </row>
    <row r="28" spans="1:13" s="255" customFormat="1">
      <c r="A28" s="2180" t="s">
        <v>2246</v>
      </c>
      <c r="B28" s="2181"/>
      <c r="C28" s="2182"/>
      <c r="D28" s="2183"/>
      <c r="E28" s="2184"/>
      <c r="F28" s="2185"/>
      <c r="G28" s="2188">
        <v>-2531522.1844252944</v>
      </c>
      <c r="H28" s="2185" t="s">
        <v>2247</v>
      </c>
      <c r="I28" s="2182"/>
      <c r="J28" s="2159"/>
      <c r="K28" s="2159"/>
      <c r="L28" s="2159"/>
      <c r="M28" s="2159"/>
    </row>
    <row r="29" spans="1:13" s="255" customFormat="1">
      <c r="A29" s="2180">
        <f>+A26+1</f>
        <v>19</v>
      </c>
      <c r="B29" s="2185" t="s">
        <v>1094</v>
      </c>
      <c r="C29" s="2189"/>
      <c r="D29" s="2185"/>
      <c r="E29" s="2185"/>
      <c r="F29" s="2185"/>
      <c r="G29" s="2186">
        <f>+G27+G28</f>
        <v>292887582.19160628</v>
      </c>
      <c r="H29" s="2187" t="s">
        <v>2248</v>
      </c>
      <c r="I29" s="2182"/>
      <c r="J29" s="2159"/>
      <c r="K29" s="2159"/>
      <c r="L29" s="2159"/>
      <c r="M29" s="2159"/>
    </row>
    <row r="30" spans="1:13" s="255" customFormat="1" ht="15">
      <c r="A30" s="2168">
        <f t="shared" si="0"/>
        <v>20</v>
      </c>
      <c r="B30" s="2160"/>
      <c r="D30" s="2161"/>
      <c r="E30" s="2161"/>
      <c r="F30" s="2161"/>
      <c r="G30" s="468"/>
      <c r="H30" s="2190" t="s">
        <v>2249</v>
      </c>
      <c r="I30" s="2161"/>
      <c r="J30" s="2159"/>
      <c r="K30" s="2159"/>
      <c r="L30" s="2159"/>
      <c r="M30" s="2159"/>
    </row>
    <row r="31" spans="1:13" s="255" customFormat="1">
      <c r="A31" s="2168">
        <f t="shared" si="0"/>
        <v>21</v>
      </c>
      <c r="B31" s="2160" t="s">
        <v>922</v>
      </c>
      <c r="D31" s="2160"/>
      <c r="E31" s="2160"/>
      <c r="F31" s="2160"/>
      <c r="G31" s="243">
        <f>+G29-G25</f>
        <v>38906608.550617218</v>
      </c>
      <c r="H31" s="2178" t="str">
        <f>+"Ln "&amp;A29&amp;" - Ln "&amp;A25</f>
        <v>Ln 19 - Ln 17</v>
      </c>
      <c r="I31" s="2161"/>
      <c r="J31" s="2159"/>
      <c r="K31" s="2159"/>
      <c r="L31" s="2159"/>
      <c r="M31" s="2159"/>
    </row>
    <row r="32" spans="1:13" s="255" customFormat="1">
      <c r="A32" s="2178">
        <f t="shared" si="0"/>
        <v>22</v>
      </c>
      <c r="B32" s="2160"/>
      <c r="D32" s="2160"/>
      <c r="E32" s="2160"/>
      <c r="F32" s="2160"/>
      <c r="G32" s="243"/>
      <c r="H32" s="2178"/>
      <c r="I32" s="2161"/>
      <c r="J32" s="2159"/>
      <c r="K32" s="2159"/>
      <c r="L32" s="2159"/>
      <c r="M32" s="2159"/>
    </row>
    <row r="33" spans="1:13" s="255" customFormat="1">
      <c r="A33" s="2178">
        <f t="shared" si="0"/>
        <v>23</v>
      </c>
      <c r="B33" s="2160" t="s">
        <v>923</v>
      </c>
      <c r="D33" s="2160"/>
      <c r="E33" s="2160"/>
      <c r="F33" s="2160"/>
      <c r="G33" s="251">
        <v>0</v>
      </c>
      <c r="H33" s="2178" t="s">
        <v>549</v>
      </c>
      <c r="I33" s="2161"/>
      <c r="J33" s="2159"/>
      <c r="K33" s="2170"/>
      <c r="L33" s="2159"/>
      <c r="M33" s="2159"/>
    </row>
    <row r="34" spans="1:13" s="255" customFormat="1">
      <c r="A34" s="2178">
        <f t="shared" si="0"/>
        <v>24</v>
      </c>
      <c r="B34" s="2160"/>
      <c r="D34" s="2160"/>
      <c r="E34" s="2160"/>
      <c r="F34" s="2160"/>
      <c r="G34" s="74"/>
      <c r="H34" s="2178"/>
      <c r="I34" s="2161"/>
      <c r="J34" s="2159"/>
      <c r="K34" s="2159"/>
      <c r="L34" s="2159"/>
      <c r="M34" s="2159"/>
    </row>
    <row r="35" spans="1:13" s="255" customFormat="1">
      <c r="A35" s="2178">
        <f t="shared" si="0"/>
        <v>25</v>
      </c>
      <c r="B35" s="2178" t="s">
        <v>1095</v>
      </c>
      <c r="C35" s="2161"/>
      <c r="D35" s="172"/>
      <c r="E35" s="2169"/>
      <c r="F35" s="2160"/>
      <c r="G35" s="2160"/>
      <c r="H35" s="2159"/>
      <c r="I35" s="2161"/>
      <c r="J35" s="2159"/>
      <c r="K35" s="2159"/>
      <c r="L35" s="2159"/>
      <c r="M35" s="2159"/>
    </row>
    <row r="36" spans="1:13" s="255" customFormat="1">
      <c r="A36" s="2178"/>
      <c r="B36" s="2179"/>
      <c r="C36" s="2161"/>
      <c r="D36" s="1514" t="s">
        <v>1512</v>
      </c>
      <c r="E36" s="2169"/>
      <c r="F36" s="2160"/>
      <c r="G36" s="2160"/>
      <c r="H36" s="2159"/>
      <c r="I36" s="2161"/>
      <c r="J36" s="2159"/>
      <c r="K36" s="2159"/>
      <c r="L36" s="2159"/>
      <c r="M36" s="2159"/>
    </row>
    <row r="37" spans="1:13" s="255" customFormat="1" ht="54" customHeight="1">
      <c r="A37" s="2178"/>
      <c r="B37" s="1065" t="s">
        <v>426</v>
      </c>
      <c r="C37" s="592" t="s">
        <v>427</v>
      </c>
      <c r="D37" s="592" t="s">
        <v>284</v>
      </c>
      <c r="E37" s="592" t="s">
        <v>943</v>
      </c>
      <c r="F37" s="592" t="s">
        <v>867</v>
      </c>
      <c r="G37" s="592" t="s">
        <v>452</v>
      </c>
      <c r="H37" s="592" t="s">
        <v>428</v>
      </c>
      <c r="I37" s="592" t="s">
        <v>429</v>
      </c>
      <c r="J37" s="2159"/>
      <c r="K37" s="2159"/>
      <c r="L37" s="2159"/>
      <c r="M37" s="2159"/>
    </row>
    <row r="38" spans="1:13" s="255" customFormat="1" ht="15" customHeight="1">
      <c r="A38" s="2178">
        <f>+A35+1</f>
        <v>26</v>
      </c>
      <c r="B38" s="2153" t="s">
        <v>67</v>
      </c>
      <c r="C38" s="547" t="s">
        <v>114</v>
      </c>
      <c r="D38" s="547" t="s">
        <v>851</v>
      </c>
      <c r="E38" s="547" t="s">
        <v>852</v>
      </c>
      <c r="F38" s="547" t="s">
        <v>853</v>
      </c>
      <c r="G38" s="1365" t="s">
        <v>1100</v>
      </c>
      <c r="H38" s="1365" t="s">
        <v>1101</v>
      </c>
      <c r="I38" s="547" t="s">
        <v>166</v>
      </c>
      <c r="J38" s="2159"/>
      <c r="K38" s="2159"/>
      <c r="L38" s="2159"/>
      <c r="M38" s="2159"/>
    </row>
    <row r="39" spans="1:13" s="255" customFormat="1" ht="15">
      <c r="A39" s="2191">
        <f>+A38+0.01</f>
        <v>26.01</v>
      </c>
      <c r="B39" s="2160"/>
      <c r="C39" s="2192">
        <v>42005</v>
      </c>
      <c r="D39" s="1511">
        <v>0</v>
      </c>
      <c r="E39" s="470">
        <f t="shared" ref="E39:E48" si="1">D39/12</f>
        <v>0</v>
      </c>
      <c r="F39" s="2193">
        <f t="shared" ref="F39:F66" si="2">H39*E39</f>
        <v>0</v>
      </c>
      <c r="G39" s="2194">
        <f>+G$31/12</f>
        <v>3242217.3792181015</v>
      </c>
      <c r="H39" s="1336">
        <f>IF((B39=1),G39,G39)</f>
        <v>3242217.3792181015</v>
      </c>
      <c r="I39" s="2193">
        <f>F39+G39</f>
        <v>3242217.3792181015</v>
      </c>
      <c r="J39" s="2159"/>
      <c r="K39" s="2159" t="s">
        <v>1513</v>
      </c>
      <c r="L39" s="2195"/>
      <c r="M39" s="474"/>
    </row>
    <row r="40" spans="1:13" s="255" customFormat="1">
      <c r="A40" s="2191">
        <f t="shared" ref="A40:A67" si="3">+A39+0.01</f>
        <v>26.020000000000003</v>
      </c>
      <c r="B40" s="2160"/>
      <c r="C40" s="2192">
        <v>42036</v>
      </c>
      <c r="D40" s="1511">
        <v>0</v>
      </c>
      <c r="E40" s="470">
        <f t="shared" si="1"/>
        <v>0</v>
      </c>
      <c r="F40" s="2193">
        <f t="shared" si="2"/>
        <v>0</v>
      </c>
      <c r="G40" s="2194">
        <f t="shared" ref="G40:G50" si="4">+G$31/12</f>
        <v>3242217.3792181015</v>
      </c>
      <c r="H40" s="1336">
        <f t="shared" ref="H40:H66" si="5">IF((B40=1),I39+G40,+H39+G40)</f>
        <v>6484434.758436203</v>
      </c>
      <c r="I40" s="2193">
        <f>I39+F40+G40</f>
        <v>6484434.758436203</v>
      </c>
      <c r="J40" s="2159"/>
      <c r="K40" s="255" t="s">
        <v>1514</v>
      </c>
    </row>
    <row r="41" spans="1:13" s="255" customFormat="1">
      <c r="A41" s="2191">
        <f t="shared" si="3"/>
        <v>26.030000000000005</v>
      </c>
      <c r="B41" s="2160"/>
      <c r="C41" s="2192">
        <v>42064</v>
      </c>
      <c r="D41" s="1511">
        <v>0</v>
      </c>
      <c r="E41" s="470">
        <f t="shared" si="1"/>
        <v>0</v>
      </c>
      <c r="F41" s="2193">
        <f t="shared" si="2"/>
        <v>0</v>
      </c>
      <c r="G41" s="2194">
        <f t="shared" si="4"/>
        <v>3242217.3792181015</v>
      </c>
      <c r="H41" s="1336">
        <f t="shared" si="5"/>
        <v>9726652.1376543045</v>
      </c>
      <c r="I41" s="2193">
        <f t="shared" ref="I41:I67" si="6">I40+F41+G41</f>
        <v>9726652.1376543045</v>
      </c>
      <c r="J41" s="2159"/>
      <c r="K41" s="255" t="s">
        <v>1515</v>
      </c>
    </row>
    <row r="42" spans="1:13" s="255" customFormat="1">
      <c r="A42" s="2191">
        <f t="shared" si="3"/>
        <v>26.040000000000006</v>
      </c>
      <c r="B42" s="2160">
        <v>1</v>
      </c>
      <c r="C42" s="2192">
        <v>42095</v>
      </c>
      <c r="D42" s="1511">
        <v>0</v>
      </c>
      <c r="E42" s="470">
        <f t="shared" si="1"/>
        <v>0</v>
      </c>
      <c r="F42" s="2193">
        <f t="shared" si="2"/>
        <v>0</v>
      </c>
      <c r="G42" s="2194">
        <f t="shared" si="4"/>
        <v>3242217.3792181015</v>
      </c>
      <c r="H42" s="1336">
        <f t="shared" si="5"/>
        <v>12968869.516872406</v>
      </c>
      <c r="I42" s="2193">
        <f t="shared" si="6"/>
        <v>12968869.516872406</v>
      </c>
      <c r="J42" s="2159"/>
      <c r="K42" s="255" t="s">
        <v>1516</v>
      </c>
    </row>
    <row r="43" spans="1:13" s="255" customFormat="1">
      <c r="A43" s="2191">
        <f t="shared" si="3"/>
        <v>26.050000000000008</v>
      </c>
      <c r="B43" s="2160"/>
      <c r="C43" s="2192">
        <v>42125</v>
      </c>
      <c r="D43" s="1511">
        <v>0</v>
      </c>
      <c r="E43" s="470">
        <f t="shared" si="1"/>
        <v>0</v>
      </c>
      <c r="F43" s="2193">
        <f t="shared" si="2"/>
        <v>0</v>
      </c>
      <c r="G43" s="2194">
        <f t="shared" si="4"/>
        <v>3242217.3792181015</v>
      </c>
      <c r="H43" s="1336">
        <f t="shared" si="5"/>
        <v>16211086.896090508</v>
      </c>
      <c r="I43" s="2193">
        <f t="shared" si="6"/>
        <v>16211086.896090508</v>
      </c>
      <c r="J43" s="2159"/>
      <c r="K43" s="243"/>
      <c r="L43" s="74"/>
      <c r="M43" s="243"/>
    </row>
    <row r="44" spans="1:13" s="255" customFormat="1">
      <c r="A44" s="2191">
        <f t="shared" si="3"/>
        <v>26.060000000000009</v>
      </c>
      <c r="B44" s="2160"/>
      <c r="C44" s="2192">
        <v>42156</v>
      </c>
      <c r="D44" s="1511">
        <v>0</v>
      </c>
      <c r="E44" s="470">
        <f t="shared" si="1"/>
        <v>0</v>
      </c>
      <c r="F44" s="2193">
        <f t="shared" si="2"/>
        <v>0</v>
      </c>
      <c r="G44" s="2194">
        <f t="shared" si="4"/>
        <v>3242217.3792181015</v>
      </c>
      <c r="H44" s="1336">
        <f t="shared" si="5"/>
        <v>19453304.275308609</v>
      </c>
      <c r="I44" s="2193">
        <f t="shared" si="6"/>
        <v>19453304.275308609</v>
      </c>
      <c r="J44" s="2159"/>
      <c r="K44" s="243"/>
      <c r="L44" s="74"/>
      <c r="M44" s="243"/>
    </row>
    <row r="45" spans="1:13" s="255" customFormat="1">
      <c r="A45" s="2191">
        <f t="shared" si="3"/>
        <v>26.070000000000011</v>
      </c>
      <c r="B45" s="2160">
        <v>1</v>
      </c>
      <c r="C45" s="2192">
        <v>42186</v>
      </c>
      <c r="D45" s="1511">
        <v>0</v>
      </c>
      <c r="E45" s="470">
        <f t="shared" si="1"/>
        <v>0</v>
      </c>
      <c r="F45" s="2193">
        <f t="shared" si="2"/>
        <v>0</v>
      </c>
      <c r="G45" s="2194">
        <f t="shared" si="4"/>
        <v>3242217.3792181015</v>
      </c>
      <c r="H45" s="1336">
        <f t="shared" si="5"/>
        <v>22695521.654526711</v>
      </c>
      <c r="I45" s="2193">
        <f t="shared" si="6"/>
        <v>22695521.654526711</v>
      </c>
      <c r="J45" s="2159"/>
      <c r="K45" s="243"/>
      <c r="L45" s="74"/>
      <c r="M45" s="243"/>
    </row>
    <row r="46" spans="1:13" s="255" customFormat="1">
      <c r="A46" s="2191">
        <f t="shared" si="3"/>
        <v>26.080000000000013</v>
      </c>
      <c r="B46" s="2160"/>
      <c r="C46" s="2192">
        <v>42217</v>
      </c>
      <c r="D46" s="1511">
        <v>0</v>
      </c>
      <c r="E46" s="470">
        <f t="shared" si="1"/>
        <v>0</v>
      </c>
      <c r="F46" s="2193">
        <f t="shared" si="2"/>
        <v>0</v>
      </c>
      <c r="G46" s="2194">
        <f t="shared" si="4"/>
        <v>3242217.3792181015</v>
      </c>
      <c r="H46" s="1336">
        <f t="shared" si="5"/>
        <v>25937739.033744812</v>
      </c>
      <c r="I46" s="2193">
        <f t="shared" si="6"/>
        <v>25937739.033744812</v>
      </c>
      <c r="J46" s="2159"/>
      <c r="K46" s="243"/>
      <c r="L46" s="74"/>
      <c r="M46" s="243"/>
    </row>
    <row r="47" spans="1:13" s="255" customFormat="1">
      <c r="A47" s="2191">
        <f t="shared" si="3"/>
        <v>26.090000000000014</v>
      </c>
      <c r="B47" s="2160"/>
      <c r="C47" s="2192">
        <v>42248</v>
      </c>
      <c r="D47" s="1511">
        <v>0</v>
      </c>
      <c r="E47" s="470">
        <f t="shared" si="1"/>
        <v>0</v>
      </c>
      <c r="F47" s="2193">
        <f t="shared" si="2"/>
        <v>0</v>
      </c>
      <c r="G47" s="2194">
        <f t="shared" si="4"/>
        <v>3242217.3792181015</v>
      </c>
      <c r="H47" s="1336">
        <f t="shared" si="5"/>
        <v>29179956.412962914</v>
      </c>
      <c r="I47" s="2193">
        <f t="shared" si="6"/>
        <v>29179956.412962914</v>
      </c>
      <c r="J47" s="2159"/>
      <c r="K47" s="243"/>
      <c r="L47" s="74"/>
      <c r="M47" s="243"/>
    </row>
    <row r="48" spans="1:13" s="255" customFormat="1">
      <c r="A48" s="2191">
        <f t="shared" si="3"/>
        <v>26.100000000000016</v>
      </c>
      <c r="B48" s="2160">
        <v>1</v>
      </c>
      <c r="C48" s="2192">
        <v>42278</v>
      </c>
      <c r="D48" s="1511">
        <v>0</v>
      </c>
      <c r="E48" s="470">
        <f t="shared" si="1"/>
        <v>0</v>
      </c>
      <c r="F48" s="2193">
        <f t="shared" si="2"/>
        <v>0</v>
      </c>
      <c r="G48" s="2194">
        <f t="shared" si="4"/>
        <v>3242217.3792181015</v>
      </c>
      <c r="H48" s="1336">
        <f t="shared" si="5"/>
        <v>32422173.792181015</v>
      </c>
      <c r="I48" s="2193">
        <f t="shared" si="6"/>
        <v>32422173.792181015</v>
      </c>
      <c r="J48" s="2159"/>
      <c r="K48" s="243"/>
      <c r="L48" s="74"/>
      <c r="M48" s="243"/>
    </row>
    <row r="49" spans="1:13" s="255" customFormat="1">
      <c r="A49" s="2191">
        <f t="shared" si="3"/>
        <v>26.110000000000017</v>
      </c>
      <c r="B49" s="2160"/>
      <c r="C49" s="2192">
        <v>42309</v>
      </c>
      <c r="D49" s="1511">
        <v>3.2500000000000001E-2</v>
      </c>
      <c r="E49" s="470">
        <f>+D49/12</f>
        <v>2.7083333333333334E-3</v>
      </c>
      <c r="F49" s="2193">
        <f t="shared" si="2"/>
        <v>96591.059422539271</v>
      </c>
      <c r="G49" s="2194">
        <f t="shared" si="4"/>
        <v>3242217.3792181015</v>
      </c>
      <c r="H49" s="1336">
        <f t="shared" si="5"/>
        <v>35664391.171399117</v>
      </c>
      <c r="I49" s="2193">
        <f t="shared" si="6"/>
        <v>35760982.230821654</v>
      </c>
      <c r="J49" s="2159"/>
      <c r="K49" s="243"/>
      <c r="L49" s="74"/>
      <c r="M49" s="243"/>
    </row>
    <row r="50" spans="1:13" s="255" customFormat="1">
      <c r="A50" s="2191">
        <f t="shared" si="3"/>
        <v>26.120000000000019</v>
      </c>
      <c r="B50" s="2160"/>
      <c r="C50" s="2192">
        <v>42339</v>
      </c>
      <c r="D50" s="1511">
        <v>3.2500000000000001E-2</v>
      </c>
      <c r="E50" s="470">
        <f t="shared" ref="E50:E67" si="7">+D50/12</f>
        <v>2.7083333333333334E-3</v>
      </c>
      <c r="F50" s="2193">
        <f t="shared" si="2"/>
        <v>105372.06482458831</v>
      </c>
      <c r="G50" s="2194">
        <f t="shared" si="4"/>
        <v>3242217.3792181015</v>
      </c>
      <c r="H50" s="1336">
        <f t="shared" si="5"/>
        <v>38906608.550617218</v>
      </c>
      <c r="I50" s="2193">
        <f t="shared" si="6"/>
        <v>39108571.674864344</v>
      </c>
      <c r="J50" s="2159"/>
      <c r="K50" s="243"/>
      <c r="L50" s="74"/>
      <c r="M50" s="243"/>
    </row>
    <row r="51" spans="1:13" s="255" customFormat="1" ht="15">
      <c r="A51" s="2191">
        <f t="shared" si="3"/>
        <v>26.13000000000002</v>
      </c>
      <c r="B51" s="2160">
        <v>1</v>
      </c>
      <c r="C51" s="2192">
        <v>42370</v>
      </c>
      <c r="D51" s="1511">
        <v>3.2500000000000001E-2</v>
      </c>
      <c r="E51" s="470">
        <f t="shared" si="7"/>
        <v>2.7083333333333334E-3</v>
      </c>
      <c r="F51" s="2193">
        <f t="shared" si="2"/>
        <v>105919.04828609094</v>
      </c>
      <c r="G51" s="2194"/>
      <c r="H51" s="1336">
        <f t="shared" si="5"/>
        <v>39108571.674864344</v>
      </c>
      <c r="I51" s="2193">
        <f t="shared" si="6"/>
        <v>39214490.723150432</v>
      </c>
      <c r="J51" s="2159"/>
      <c r="K51" s="476"/>
      <c r="L51" s="465"/>
      <c r="M51" s="476"/>
    </row>
    <row r="52" spans="1:13" s="255" customFormat="1">
      <c r="A52" s="2191">
        <f t="shared" si="3"/>
        <v>26.140000000000022</v>
      </c>
      <c r="B52" s="2196"/>
      <c r="C52" s="2192">
        <v>42401</v>
      </c>
      <c r="D52" s="1511">
        <v>3.2500000000000001E-2</v>
      </c>
      <c r="E52" s="470">
        <f t="shared" si="7"/>
        <v>2.7083333333333334E-3</v>
      </c>
      <c r="F52" s="2193">
        <f t="shared" si="2"/>
        <v>105919.04828609094</v>
      </c>
      <c r="G52" s="2194"/>
      <c r="H52" s="1336">
        <f t="shared" si="5"/>
        <v>39108571.674864344</v>
      </c>
      <c r="I52" s="2193">
        <f t="shared" si="6"/>
        <v>39320409.77143652</v>
      </c>
      <c r="J52" s="2159"/>
      <c r="K52" s="243"/>
      <c r="L52" s="243"/>
      <c r="M52" s="2159"/>
    </row>
    <row r="53" spans="1:13" s="255" customFormat="1">
      <c r="A53" s="2191">
        <f t="shared" si="3"/>
        <v>26.150000000000023</v>
      </c>
      <c r="B53" s="2197"/>
      <c r="C53" s="2192">
        <v>42430</v>
      </c>
      <c r="D53" s="1511">
        <v>3.2500000000000001E-2</v>
      </c>
      <c r="E53" s="470">
        <f t="shared" si="7"/>
        <v>2.7083333333333334E-3</v>
      </c>
      <c r="F53" s="2193">
        <f t="shared" si="2"/>
        <v>105919.04828609094</v>
      </c>
      <c r="G53" s="2194"/>
      <c r="H53" s="1336">
        <f t="shared" si="5"/>
        <v>39108571.674864344</v>
      </c>
      <c r="I53" s="2193">
        <f t="shared" si="6"/>
        <v>39426328.819722608</v>
      </c>
      <c r="J53" s="2159"/>
      <c r="K53" s="2159"/>
      <c r="L53" s="2159"/>
      <c r="M53" s="2159"/>
    </row>
    <row r="54" spans="1:13" s="255" customFormat="1">
      <c r="A54" s="2191">
        <f t="shared" si="3"/>
        <v>26.160000000000025</v>
      </c>
      <c r="B54" s="2160">
        <v>1</v>
      </c>
      <c r="C54" s="2192">
        <v>42461</v>
      </c>
      <c r="D54" s="2198">
        <v>3.4599999999999999E-2</v>
      </c>
      <c r="E54" s="470">
        <f t="shared" si="7"/>
        <v>2.8833333333333332E-3</v>
      </c>
      <c r="F54" s="2193">
        <f t="shared" si="2"/>
        <v>113679.24809686685</v>
      </c>
      <c r="G54" s="2194"/>
      <c r="H54" s="1336">
        <f t="shared" si="5"/>
        <v>39426328.819722608</v>
      </c>
      <c r="I54" s="2193">
        <f t="shared" si="6"/>
        <v>39540008.067819476</v>
      </c>
      <c r="J54" s="2159"/>
      <c r="K54" s="2159"/>
      <c r="L54" s="2159"/>
      <c r="M54" s="2159"/>
    </row>
    <row r="55" spans="1:13" s="255" customFormat="1">
      <c r="A55" s="2191">
        <f t="shared" si="3"/>
        <v>26.170000000000027</v>
      </c>
      <c r="B55" s="2197"/>
      <c r="C55" s="2192">
        <v>42491</v>
      </c>
      <c r="D55" s="2198">
        <v>3.4599999999999999E-2</v>
      </c>
      <c r="E55" s="470">
        <f t="shared" si="7"/>
        <v>2.8833333333333332E-3</v>
      </c>
      <c r="F55" s="2193">
        <f t="shared" si="2"/>
        <v>113679.24809686685</v>
      </c>
      <c r="G55" s="2194"/>
      <c r="H55" s="1336">
        <f t="shared" si="5"/>
        <v>39426328.819722608</v>
      </c>
      <c r="I55" s="2193">
        <f t="shared" si="6"/>
        <v>39653687.315916345</v>
      </c>
      <c r="J55" s="2159"/>
      <c r="K55" s="2160"/>
      <c r="L55" s="2160"/>
      <c r="M55" s="2160"/>
    </row>
    <row r="56" spans="1:13" s="255" customFormat="1">
      <c r="A56" s="2191">
        <f t="shared" si="3"/>
        <v>26.180000000000028</v>
      </c>
      <c r="B56" s="2197"/>
      <c r="C56" s="2192">
        <v>42522</v>
      </c>
      <c r="D56" s="2198">
        <v>3.4599999999999999E-2</v>
      </c>
      <c r="E56" s="470">
        <f t="shared" si="7"/>
        <v>2.8833333333333332E-3</v>
      </c>
      <c r="F56" s="2193">
        <f t="shared" si="2"/>
        <v>103998.70921289355</v>
      </c>
      <c r="G56" s="146">
        <v>-3357412.3297017179</v>
      </c>
      <c r="H56" s="194">
        <f>IF((B56=1),I55+G56,+H55+G56)</f>
        <v>36068916.490020886</v>
      </c>
      <c r="I56" s="2193">
        <f>I55+F56+G56</f>
        <v>36400273.695427522</v>
      </c>
      <c r="J56" s="2159"/>
      <c r="K56" s="2170"/>
      <c r="L56" s="2160"/>
      <c r="M56" s="2160"/>
    </row>
    <row r="57" spans="1:13" s="255" customFormat="1">
      <c r="A57" s="2191">
        <f t="shared" si="3"/>
        <v>26.19000000000003</v>
      </c>
      <c r="B57" s="2160">
        <v>1</v>
      </c>
      <c r="C57" s="2192">
        <v>42552</v>
      </c>
      <c r="D57" s="2198">
        <v>3.5000000000000003E-2</v>
      </c>
      <c r="E57" s="470">
        <f t="shared" si="7"/>
        <v>2.9166666666666668E-3</v>
      </c>
      <c r="F57" s="2193">
        <f t="shared" si="2"/>
        <v>96375.01231670026</v>
      </c>
      <c r="G57" s="2194">
        <f>+G56</f>
        <v>-3357412.3297017179</v>
      </c>
      <c r="H57" s="194">
        <f t="shared" si="5"/>
        <v>33042861.365725804</v>
      </c>
      <c r="I57" s="2193">
        <f t="shared" si="6"/>
        <v>33139236.378042508</v>
      </c>
      <c r="J57" s="2159"/>
      <c r="K57" s="2160"/>
      <c r="L57" s="2160"/>
      <c r="M57" s="2160"/>
    </row>
    <row r="58" spans="1:13" s="255" customFormat="1">
      <c r="A58" s="2191">
        <f t="shared" si="3"/>
        <v>26.200000000000031</v>
      </c>
      <c r="B58" s="2159"/>
      <c r="C58" s="2192">
        <v>42583</v>
      </c>
      <c r="D58" s="2198">
        <v>3.5000000000000003E-2</v>
      </c>
      <c r="E58" s="470">
        <f t="shared" si="7"/>
        <v>2.9166666666666668E-3</v>
      </c>
      <c r="F58" s="2193">
        <f t="shared" si="2"/>
        <v>86582.559688403591</v>
      </c>
      <c r="G58" s="2194">
        <f>+G57</f>
        <v>-3357412.3297017179</v>
      </c>
      <c r="H58" s="194">
        <f t="shared" si="5"/>
        <v>29685449.036024086</v>
      </c>
      <c r="I58" s="2193">
        <f t="shared" si="6"/>
        <v>29868406.608029194</v>
      </c>
      <c r="J58" s="2159"/>
      <c r="K58" s="2160"/>
      <c r="L58" s="2160"/>
      <c r="M58" s="2160"/>
    </row>
    <row r="59" spans="1:13" s="255" customFormat="1">
      <c r="A59" s="2191">
        <f t="shared" si="3"/>
        <v>26.210000000000033</v>
      </c>
      <c r="B59" s="2159"/>
      <c r="C59" s="2192">
        <v>42614</v>
      </c>
      <c r="D59" s="2198">
        <v>3.5000000000000003E-2</v>
      </c>
      <c r="E59" s="470">
        <f t="shared" si="7"/>
        <v>2.9166666666666668E-3</v>
      </c>
      <c r="F59" s="2193">
        <f t="shared" si="2"/>
        <v>76790.107060106908</v>
      </c>
      <c r="G59" s="2194">
        <f t="shared" ref="G59:G67" si="8">+G58</f>
        <v>-3357412.3297017179</v>
      </c>
      <c r="H59" s="194">
        <f t="shared" si="5"/>
        <v>26328036.706322368</v>
      </c>
      <c r="I59" s="2193">
        <f t="shared" si="6"/>
        <v>26587784.385387585</v>
      </c>
      <c r="J59" s="2159"/>
      <c r="K59" s="2160"/>
      <c r="L59" s="2160"/>
      <c r="M59" s="2160"/>
    </row>
    <row r="60" spans="1:13" s="255" customFormat="1">
      <c r="A60" s="2191">
        <f t="shared" si="3"/>
        <v>26.220000000000034</v>
      </c>
      <c r="B60" s="2160">
        <v>1</v>
      </c>
      <c r="C60" s="2192">
        <v>42644</v>
      </c>
      <c r="D60" s="2198">
        <v>3.5000000000000003E-2</v>
      </c>
      <c r="E60" s="470">
        <f t="shared" si="7"/>
        <v>2.9166666666666668E-3</v>
      </c>
      <c r="F60" s="2194">
        <f t="shared" si="2"/>
        <v>67755.251829083776</v>
      </c>
      <c r="G60" s="2194">
        <f t="shared" si="8"/>
        <v>-3357412.3297017179</v>
      </c>
      <c r="H60" s="194">
        <f t="shared" si="5"/>
        <v>23230372.055685867</v>
      </c>
      <c r="I60" s="2193">
        <f t="shared" si="6"/>
        <v>23298127.307514951</v>
      </c>
      <c r="J60" s="2159"/>
      <c r="K60" s="2160" t="s">
        <v>430</v>
      </c>
      <c r="L60" s="2160"/>
      <c r="M60" s="2160"/>
    </row>
    <row r="61" spans="1:13" s="255" customFormat="1">
      <c r="A61" s="2191">
        <f t="shared" si="3"/>
        <v>26.230000000000036</v>
      </c>
      <c r="B61" s="2159"/>
      <c r="C61" s="2192">
        <v>42675</v>
      </c>
      <c r="D61" s="2198">
        <v>3.5000000000000003E-2</v>
      </c>
      <c r="E61" s="470">
        <f t="shared" si="7"/>
        <v>2.9166666666666668E-3</v>
      </c>
      <c r="F61" s="2194">
        <f t="shared" si="2"/>
        <v>57962.7992007871</v>
      </c>
      <c r="G61" s="2194">
        <f t="shared" si="8"/>
        <v>-3357412.3297017179</v>
      </c>
      <c r="H61" s="194">
        <f t="shared" si="5"/>
        <v>19872959.725984149</v>
      </c>
      <c r="I61" s="2193">
        <f t="shared" si="6"/>
        <v>19998677.777014021</v>
      </c>
      <c r="J61" s="2159"/>
      <c r="K61" s="2160" t="s">
        <v>431</v>
      </c>
      <c r="L61" s="2160"/>
      <c r="M61" s="2160"/>
    </row>
    <row r="62" spans="1:13" s="255" customFormat="1" ht="13.8" thickBot="1">
      <c r="A62" s="2191">
        <f t="shared" si="3"/>
        <v>26.240000000000038</v>
      </c>
      <c r="B62" s="2159"/>
      <c r="C62" s="2192">
        <v>42705</v>
      </c>
      <c r="D62" s="2198">
        <v>3.5000000000000003E-2</v>
      </c>
      <c r="E62" s="470">
        <f t="shared" si="7"/>
        <v>2.9166666666666668E-3</v>
      </c>
      <c r="F62" s="2194">
        <f t="shared" si="2"/>
        <v>48170.346572490424</v>
      </c>
      <c r="G62" s="2199">
        <f t="shared" si="8"/>
        <v>-3357412.3297017179</v>
      </c>
      <c r="H62" s="1336">
        <f t="shared" si="5"/>
        <v>16515547.396282431</v>
      </c>
      <c r="I62" s="2193">
        <f t="shared" si="6"/>
        <v>16689435.793884795</v>
      </c>
      <c r="J62" s="2159"/>
      <c r="K62" s="2160"/>
      <c r="L62" s="2160"/>
      <c r="M62" s="2160"/>
    </row>
    <row r="63" spans="1:13" s="255" customFormat="1">
      <c r="A63" s="2191">
        <f t="shared" si="3"/>
        <v>26.250000000000039</v>
      </c>
      <c r="B63" s="2160">
        <v>1</v>
      </c>
      <c r="C63" s="2192">
        <v>42736</v>
      </c>
      <c r="D63" s="2198">
        <v>3.5000000000000003E-2</v>
      </c>
      <c r="E63" s="470">
        <f t="shared" si="7"/>
        <v>2.9166666666666668E-3</v>
      </c>
      <c r="F63" s="2193">
        <f t="shared" si="2"/>
        <v>38885.068437200644</v>
      </c>
      <c r="G63" s="1515">
        <f t="shared" si="8"/>
        <v>-3357412.3297017179</v>
      </c>
      <c r="H63" s="1336">
        <f t="shared" si="5"/>
        <v>13332023.464183077</v>
      </c>
      <c r="I63" s="2193">
        <f t="shared" si="6"/>
        <v>13370908.532620277</v>
      </c>
      <c r="J63" s="2160"/>
      <c r="K63" s="2160" t="s">
        <v>432</v>
      </c>
      <c r="L63" s="2160"/>
      <c r="M63" s="2160"/>
    </row>
    <row r="64" spans="1:13" s="255" customFormat="1">
      <c r="A64" s="2191">
        <f t="shared" si="3"/>
        <v>26.260000000000041</v>
      </c>
      <c r="B64" s="2196"/>
      <c r="C64" s="2192">
        <v>42767</v>
      </c>
      <c r="D64" s="2198">
        <v>3.5000000000000003E-2</v>
      </c>
      <c r="E64" s="470">
        <f t="shared" si="7"/>
        <v>2.9166666666666668E-3</v>
      </c>
      <c r="F64" s="2193">
        <f t="shared" si="2"/>
        <v>29092.615808903967</v>
      </c>
      <c r="G64" s="2200">
        <f t="shared" si="8"/>
        <v>-3357412.3297017179</v>
      </c>
      <c r="H64" s="1336">
        <f t="shared" si="5"/>
        <v>9974611.1344813593</v>
      </c>
      <c r="I64" s="2193">
        <f t="shared" si="6"/>
        <v>10042588.818727463</v>
      </c>
      <c r="J64" s="2160"/>
      <c r="K64" s="2160"/>
      <c r="L64" s="2201" t="s">
        <v>433</v>
      </c>
      <c r="M64" s="2202" t="str">
        <f ca="1">CELL("address",I67)</f>
        <v>$I$67</v>
      </c>
    </row>
    <row r="65" spans="1:21" s="255" customFormat="1">
      <c r="A65" s="2191">
        <f t="shared" si="3"/>
        <v>26.270000000000042</v>
      </c>
      <c r="B65" s="2197"/>
      <c r="C65" s="2192">
        <v>42795</v>
      </c>
      <c r="D65" s="2198">
        <v>3.5000000000000003E-2</v>
      </c>
      <c r="E65" s="470">
        <f t="shared" si="7"/>
        <v>2.9166666666666668E-3</v>
      </c>
      <c r="F65" s="2193">
        <f t="shared" si="2"/>
        <v>19300.163180607287</v>
      </c>
      <c r="G65" s="2200">
        <f t="shared" si="8"/>
        <v>-3357412.3297017179</v>
      </c>
      <c r="H65" s="1336">
        <f t="shared" si="5"/>
        <v>6617198.8047796413</v>
      </c>
      <c r="I65" s="2193">
        <f t="shared" si="6"/>
        <v>6704476.652206352</v>
      </c>
      <c r="J65" s="2160"/>
      <c r="K65" s="2160"/>
      <c r="L65" s="2201" t="s">
        <v>434</v>
      </c>
      <c r="M65" s="2201">
        <v>0</v>
      </c>
    </row>
    <row r="66" spans="1:21" s="255" customFormat="1">
      <c r="A66" s="2191">
        <f t="shared" si="3"/>
        <v>26.280000000000044</v>
      </c>
      <c r="B66" s="2160">
        <v>1</v>
      </c>
      <c r="C66" s="2192">
        <v>42826</v>
      </c>
      <c r="D66" s="2198">
        <v>3.7100000000000001E-2</v>
      </c>
      <c r="E66" s="470">
        <f t="shared" si="7"/>
        <v>3.0916666666666666E-3</v>
      </c>
      <c r="F66" s="2193">
        <f t="shared" si="2"/>
        <v>10348.007197076826</v>
      </c>
      <c r="G66" s="2200">
        <f t="shared" si="8"/>
        <v>-3357412.3297017179</v>
      </c>
      <c r="H66" s="1336">
        <f t="shared" si="5"/>
        <v>3347064.322504634</v>
      </c>
      <c r="I66" s="2193">
        <f t="shared" si="6"/>
        <v>3357412.3297017105</v>
      </c>
      <c r="J66" s="2160"/>
      <c r="K66" s="2160"/>
      <c r="L66" s="2201" t="s">
        <v>435</v>
      </c>
      <c r="M66" s="2202" t="str">
        <f ca="1">CELL("address",G56)</f>
        <v>$G$56</v>
      </c>
    </row>
    <row r="67" spans="1:21" s="255" customFormat="1" ht="15.6" thickBot="1">
      <c r="A67" s="2191">
        <f t="shared" si="3"/>
        <v>26.290000000000045</v>
      </c>
      <c r="B67" s="2160"/>
      <c r="C67" s="2192">
        <v>42856</v>
      </c>
      <c r="D67" s="2198">
        <v>3.7100000000000001E-2</v>
      </c>
      <c r="E67" s="470">
        <f t="shared" si="7"/>
        <v>3.0916666666666666E-3</v>
      </c>
      <c r="F67" s="2203">
        <f>H67*E67</f>
        <v>0</v>
      </c>
      <c r="G67" s="2204">
        <f t="shared" si="8"/>
        <v>-3357412.3297017179</v>
      </c>
      <c r="H67" s="1336"/>
      <c r="I67" s="1204">
        <f t="shared" si="6"/>
        <v>-7.4505805969238281E-9</v>
      </c>
      <c r="J67" s="2160"/>
      <c r="K67" s="2160"/>
      <c r="L67" s="2160"/>
      <c r="M67" s="2160"/>
    </row>
    <row r="68" spans="1:21" s="255" customFormat="1">
      <c r="A68" s="2168">
        <f>+A38+1</f>
        <v>27</v>
      </c>
      <c r="B68" s="2160" t="s">
        <v>841</v>
      </c>
      <c r="C68" s="2205"/>
      <c r="D68" s="475"/>
      <c r="E68" s="1084"/>
      <c r="F68" s="2193">
        <f>SUM(F39:F67)</f>
        <v>1382339.4058033889</v>
      </c>
      <c r="G68" s="857"/>
      <c r="H68" s="2206" t="str">
        <f>+"Col. "&amp;F6&amp;" Sum of Line "&amp;A38&amp;" Subparts"</f>
        <v>Col. E Sum of Line 26 Subparts</v>
      </c>
      <c r="I68" s="858"/>
      <c r="J68" s="2160"/>
      <c r="K68" s="2160"/>
      <c r="L68" s="2160"/>
      <c r="M68" s="2160"/>
    </row>
    <row r="69" spans="1:21" s="255" customFormat="1" ht="13.8" thickBot="1">
      <c r="A69" s="2178">
        <f>A68+1</f>
        <v>28</v>
      </c>
      <c r="B69" s="2207" t="s">
        <v>2250</v>
      </c>
      <c r="C69" s="2205"/>
      <c r="D69" s="475"/>
      <c r="E69" s="1084"/>
      <c r="F69" s="1367">
        <f>+G31+G33</f>
        <v>38906608.550617218</v>
      </c>
      <c r="G69" s="479"/>
      <c r="H69" s="2337" t="str">
        <f>+"Col. "&amp;G6&amp;" Line "&amp;A31&amp;" + Line "&amp;A33</f>
        <v>Col. F Line 21 + Line 23</v>
      </c>
      <c r="I69" s="2337"/>
      <c r="J69" s="2160"/>
      <c r="K69" s="2160"/>
      <c r="L69" s="2160"/>
      <c r="M69" s="2160"/>
    </row>
    <row r="70" spans="1:21" s="255" customFormat="1" ht="13.8" thickBot="1">
      <c r="A70" s="2178">
        <f>A69+1</f>
        <v>29</v>
      </c>
      <c r="B70" s="2160" t="s">
        <v>1103</v>
      </c>
      <c r="C70" s="2205"/>
      <c r="D70" s="475"/>
      <c r="E70" s="1084"/>
      <c r="F70" s="2208">
        <f>SUM(F68:F69)</f>
        <v>40288947.956420608</v>
      </c>
      <c r="G70" s="2206"/>
      <c r="H70" s="2206" t="str">
        <f>+"Col. "&amp;F6&amp;" Line "&amp;A68&amp;" + "&amp;A69</f>
        <v>Col. E Line 27 + 28</v>
      </c>
      <c r="I70" s="2206"/>
      <c r="J70" s="2160"/>
      <c r="K70" s="2160"/>
      <c r="L70" s="2160"/>
      <c r="M70" s="2160"/>
    </row>
    <row r="71" spans="1:21" s="255" customFormat="1" ht="13.8" thickBot="1">
      <c r="A71" s="2159"/>
      <c r="B71" s="2160"/>
      <c r="C71" s="2160"/>
      <c r="D71" s="2160"/>
      <c r="E71" s="2160"/>
      <c r="F71" s="2160"/>
      <c r="G71" s="2209">
        <f>-SUM(G63:G67)</f>
        <v>16787061.64850859</v>
      </c>
      <c r="H71" s="2210" t="s">
        <v>2251</v>
      </c>
      <c r="I71" s="2211"/>
      <c r="J71" s="2160"/>
      <c r="K71" s="2160"/>
      <c r="L71" s="2160"/>
      <c r="M71" s="2160"/>
    </row>
    <row r="72" spans="1:21" s="2159" customFormat="1">
      <c r="B72" s="2160"/>
      <c r="C72" s="2205"/>
      <c r="D72" s="475"/>
      <c r="E72" s="1084"/>
      <c r="F72" s="2206"/>
      <c r="G72" s="2212"/>
      <c r="H72" s="478"/>
      <c r="I72" s="2206"/>
      <c r="J72" s="2160"/>
      <c r="K72" s="2160"/>
      <c r="L72" s="2160"/>
      <c r="M72" s="2160"/>
    </row>
    <row r="73" spans="1:21" s="255" customFormat="1">
      <c r="A73" s="2159" t="s">
        <v>299</v>
      </c>
      <c r="B73" s="2160"/>
      <c r="C73" s="2205"/>
      <c r="D73" s="475"/>
      <c r="E73" s="1084"/>
      <c r="F73" s="2206"/>
      <c r="G73" s="2212"/>
      <c r="H73" s="478"/>
      <c r="I73" s="2206"/>
      <c r="J73" s="2159"/>
      <c r="K73" s="2159"/>
      <c r="L73" s="2159"/>
      <c r="M73" s="2159"/>
    </row>
    <row r="74" spans="1:21" s="255" customFormat="1" ht="39.6" customHeight="1">
      <c r="A74" s="660">
        <v>1</v>
      </c>
      <c r="B74" s="2330" t="s">
        <v>1076</v>
      </c>
      <c r="C74" s="2330"/>
      <c r="D74" s="2330"/>
      <c r="E74" s="2330"/>
      <c r="F74" s="2330"/>
      <c r="G74" s="2330"/>
      <c r="H74" s="2330"/>
      <c r="I74" s="2330"/>
      <c r="J74" s="2159"/>
      <c r="K74" s="2159"/>
      <c r="L74" s="2159"/>
      <c r="M74" s="2159"/>
    </row>
    <row r="75" spans="1:21" s="255" customFormat="1" ht="27" customHeight="1">
      <c r="A75" s="2213">
        <v>2</v>
      </c>
      <c r="B75" s="2338" t="s">
        <v>1096</v>
      </c>
      <c r="C75" s="2338"/>
      <c r="D75" s="2338"/>
      <c r="E75" s="2338"/>
      <c r="F75" s="2338"/>
      <c r="G75" s="2338"/>
      <c r="H75" s="2338"/>
      <c r="I75" s="2338"/>
      <c r="J75" s="2159"/>
      <c r="K75" s="2339"/>
      <c r="L75" s="2339"/>
      <c r="M75" s="2339"/>
      <c r="N75" s="2339"/>
      <c r="O75" s="2339"/>
      <c r="P75" s="2339"/>
      <c r="Q75" s="2339"/>
      <c r="R75" s="2339"/>
      <c r="S75" s="2339"/>
      <c r="T75" s="2339"/>
      <c r="U75" s="2339"/>
    </row>
    <row r="76" spans="1:21" s="255" customFormat="1" ht="27" customHeight="1">
      <c r="A76" s="660">
        <v>3</v>
      </c>
      <c r="B76" s="2338" t="s">
        <v>456</v>
      </c>
      <c r="C76" s="2338"/>
      <c r="D76" s="2338"/>
      <c r="E76" s="2338"/>
      <c r="F76" s="2338"/>
      <c r="G76" s="2338"/>
      <c r="H76" s="2338"/>
      <c r="I76" s="2338"/>
      <c r="J76" s="2159"/>
      <c r="K76" s="2159"/>
      <c r="L76" s="2159"/>
      <c r="M76" s="2159"/>
    </row>
    <row r="77" spans="1:21" s="255" customFormat="1" ht="66" customHeight="1">
      <c r="A77" s="660">
        <v>4</v>
      </c>
      <c r="B77" s="2338" t="s">
        <v>1104</v>
      </c>
      <c r="C77" s="2338"/>
      <c r="D77" s="2338"/>
      <c r="E77" s="2338"/>
      <c r="F77" s="2338"/>
      <c r="G77" s="2338"/>
      <c r="H77" s="2338"/>
      <c r="I77" s="2338"/>
      <c r="J77" s="2159"/>
      <c r="K77" s="2159"/>
      <c r="L77" s="2159"/>
      <c r="M77" s="2159"/>
    </row>
    <row r="78" spans="1:21" s="255" customFormat="1" ht="42" customHeight="1">
      <c r="A78" s="2214">
        <v>5</v>
      </c>
      <c r="B78" s="2338" t="s">
        <v>1105</v>
      </c>
      <c r="C78" s="2338"/>
      <c r="D78" s="2338"/>
      <c r="E78" s="2338"/>
      <c r="F78" s="2338"/>
      <c r="G78" s="2338"/>
      <c r="H78" s="2338"/>
      <c r="I78" s="2338"/>
      <c r="J78" s="2159"/>
      <c r="K78" s="2159"/>
      <c r="L78" s="2159"/>
      <c r="M78" s="2159"/>
    </row>
    <row r="79" spans="1:21" s="255" customFormat="1" ht="79.95" customHeight="1">
      <c r="A79" s="2214">
        <v>6</v>
      </c>
      <c r="B79" s="2338" t="s">
        <v>1106</v>
      </c>
      <c r="C79" s="2338"/>
      <c r="D79" s="2338"/>
      <c r="E79" s="2338"/>
      <c r="F79" s="2338"/>
      <c r="G79" s="2338"/>
      <c r="H79" s="2338"/>
      <c r="I79" s="2338"/>
      <c r="J79" s="2159"/>
      <c r="K79" s="2159"/>
      <c r="L79" s="2159"/>
      <c r="M79" s="2159"/>
    </row>
    <row r="80" spans="1:21" s="255" customFormat="1" ht="54.6" customHeight="1">
      <c r="A80" s="2215">
        <v>7</v>
      </c>
      <c r="B80" s="2338" t="s">
        <v>1107</v>
      </c>
      <c r="C80" s="2338"/>
      <c r="D80" s="2338"/>
      <c r="E80" s="2338"/>
      <c r="F80" s="2338"/>
      <c r="G80" s="2338"/>
      <c r="H80" s="2338"/>
      <c r="I80" s="2338"/>
      <c r="J80" s="2159"/>
      <c r="K80" s="2159"/>
      <c r="L80" s="2159"/>
      <c r="M80" s="2159"/>
    </row>
    <row r="81" spans="1:13" s="255" customFormat="1">
      <c r="A81" s="2216">
        <v>8</v>
      </c>
      <c r="B81" s="2217" t="s">
        <v>1518</v>
      </c>
      <c r="C81" s="2218"/>
      <c r="D81" s="490"/>
      <c r="E81" s="491"/>
      <c r="F81" s="2206"/>
      <c r="G81" s="2212"/>
      <c r="H81" s="478"/>
      <c r="I81" s="2206"/>
      <c r="J81" s="2159"/>
      <c r="K81" s="2159"/>
      <c r="L81" s="2159"/>
      <c r="M81" s="2159"/>
    </row>
    <row r="82" spans="1:13" s="255" customFormat="1">
      <c r="A82" s="2216">
        <v>9</v>
      </c>
      <c r="B82" s="2219" t="s">
        <v>1519</v>
      </c>
      <c r="C82" s="2205"/>
      <c r="D82" s="480"/>
      <c r="E82" s="470"/>
      <c r="F82" s="2206"/>
      <c r="G82" s="2212"/>
      <c r="H82" s="478"/>
      <c r="I82" s="2206"/>
      <c r="J82" s="2159"/>
      <c r="K82" s="2159"/>
      <c r="L82" s="2159"/>
      <c r="M82" s="2159"/>
    </row>
    <row r="83" spans="1:13" s="255" customFormat="1" ht="39" customHeight="1">
      <c r="A83" s="2220">
        <v>10</v>
      </c>
      <c r="B83" s="2335" t="s">
        <v>2252</v>
      </c>
      <c r="C83" s="2335"/>
      <c r="D83" s="2335"/>
      <c r="E83" s="2335"/>
      <c r="F83" s="2335"/>
      <c r="G83" s="2335"/>
      <c r="H83" s="2335"/>
      <c r="I83" s="2335"/>
      <c r="J83" s="2159"/>
      <c r="K83" s="2159"/>
      <c r="L83" s="2159"/>
      <c r="M83" s="2159"/>
    </row>
    <row r="84" spans="1:13" s="255" customFormat="1" ht="30.6" customHeight="1">
      <c r="A84" s="2220">
        <v>11</v>
      </c>
      <c r="B84" s="2335" t="s">
        <v>2253</v>
      </c>
      <c r="C84" s="2335"/>
      <c r="D84" s="2335"/>
      <c r="E84" s="2335"/>
      <c r="F84" s="2335"/>
      <c r="G84" s="2335"/>
      <c r="H84" s="2335"/>
      <c r="I84" s="2335"/>
      <c r="J84" s="2159"/>
      <c r="K84" s="2159"/>
      <c r="L84" s="2159"/>
      <c r="M84" s="2159"/>
    </row>
    <row r="85" spans="1:13" s="255" customFormat="1">
      <c r="A85" s="2159"/>
      <c r="B85" s="2160"/>
      <c r="C85" s="2205"/>
      <c r="D85" s="480"/>
      <c r="E85" s="470"/>
      <c r="F85" s="2206"/>
      <c r="G85" s="2212"/>
      <c r="H85" s="478"/>
      <c r="I85" s="2206"/>
      <c r="J85" s="2159"/>
      <c r="K85" s="2159"/>
      <c r="L85" s="2159"/>
      <c r="M85" s="2159"/>
    </row>
    <row r="86" spans="1:13" s="255" customFormat="1">
      <c r="A86" s="2159"/>
      <c r="B86" s="2160"/>
      <c r="C86" s="2205"/>
      <c r="D86" s="480"/>
      <c r="E86" s="470"/>
      <c r="F86" s="2206"/>
      <c r="G86" s="2212"/>
      <c r="H86" s="478"/>
      <c r="I86" s="2206"/>
      <c r="J86" s="2159"/>
      <c r="K86" s="2159"/>
      <c r="L86" s="2159"/>
      <c r="M86" s="2159"/>
    </row>
    <row r="87" spans="1:13" s="255" customFormat="1">
      <c r="A87" s="2159"/>
      <c r="B87" s="2160"/>
      <c r="C87" s="2205"/>
      <c r="D87" s="480"/>
      <c r="E87" s="470"/>
      <c r="F87" s="2206"/>
      <c r="G87" s="2212"/>
      <c r="H87" s="478"/>
      <c r="I87" s="2206"/>
      <c r="J87" s="2159"/>
      <c r="K87" s="2159"/>
      <c r="L87" s="2159"/>
      <c r="M87" s="2159"/>
    </row>
    <row r="88" spans="1:13" s="255" customFormat="1">
      <c r="A88" s="2159"/>
      <c r="B88" s="2159"/>
      <c r="C88" s="2205"/>
      <c r="D88" s="480"/>
      <c r="E88" s="470"/>
      <c r="F88" s="2206"/>
      <c r="G88" s="2212"/>
      <c r="H88" s="478"/>
      <c r="I88" s="2206"/>
      <c r="J88" s="2159"/>
      <c r="K88" s="2159"/>
      <c r="L88" s="2159"/>
      <c r="M88" s="2159"/>
    </row>
    <row r="89" spans="1:13" s="255" customFormat="1">
      <c r="A89" s="2159"/>
      <c r="B89" s="2159"/>
      <c r="C89" s="2205"/>
      <c r="D89" s="480"/>
      <c r="E89" s="470"/>
      <c r="F89" s="2206"/>
      <c r="G89" s="2212"/>
      <c r="H89" s="478"/>
      <c r="I89" s="2206"/>
      <c r="J89" s="2159"/>
      <c r="K89" s="2159"/>
      <c r="L89" s="2159"/>
      <c r="M89" s="2159"/>
    </row>
    <row r="90" spans="1:13" s="255" customFormat="1">
      <c r="A90" s="2159"/>
      <c r="B90" s="2159"/>
      <c r="C90" s="2205"/>
      <c r="D90" s="480"/>
      <c r="E90" s="470"/>
      <c r="F90" s="2206"/>
      <c r="G90" s="2212"/>
      <c r="H90" s="478"/>
      <c r="I90" s="2206"/>
      <c r="J90" s="2159"/>
      <c r="K90" s="2159"/>
      <c r="L90" s="2159"/>
      <c r="M90" s="2159"/>
    </row>
    <row r="91" spans="1:13" s="255" customFormat="1">
      <c r="A91" s="2159"/>
      <c r="B91" s="2159"/>
      <c r="C91" s="2205"/>
      <c r="D91" s="480"/>
      <c r="E91" s="470"/>
      <c r="F91" s="2206"/>
      <c r="G91" s="2212"/>
      <c r="H91" s="478"/>
      <c r="I91" s="2206"/>
      <c r="J91" s="2159"/>
      <c r="K91" s="2159"/>
      <c r="L91" s="2159"/>
      <c r="M91" s="2159"/>
    </row>
    <row r="92" spans="1:13" s="255" customFormat="1">
      <c r="A92" s="2159"/>
      <c r="B92" s="2159"/>
      <c r="C92" s="2205"/>
      <c r="D92" s="480"/>
      <c r="E92" s="470"/>
      <c r="F92" s="2206"/>
      <c r="G92" s="2212"/>
      <c r="H92" s="478"/>
      <c r="I92" s="2206"/>
      <c r="J92" s="2159"/>
      <c r="K92" s="2159"/>
      <c r="L92" s="2159"/>
      <c r="M92" s="2159"/>
    </row>
    <row r="93" spans="1:13" s="255" customFormat="1">
      <c r="A93" s="2159"/>
      <c r="B93" s="2159"/>
      <c r="C93" s="2205"/>
      <c r="D93" s="480"/>
      <c r="E93" s="470"/>
      <c r="F93" s="2206"/>
      <c r="G93" s="2212"/>
      <c r="H93" s="478"/>
      <c r="I93" s="2206"/>
      <c r="J93" s="2159"/>
      <c r="K93" s="2159"/>
      <c r="L93" s="2159"/>
      <c r="M93" s="2159"/>
    </row>
    <row r="94" spans="1:13" s="255" customFormat="1">
      <c r="A94" s="2159"/>
      <c r="B94" s="2159"/>
      <c r="C94" s="2205"/>
      <c r="D94" s="480"/>
      <c r="E94" s="470"/>
      <c r="F94" s="2206"/>
      <c r="G94" s="2212"/>
      <c r="H94" s="478"/>
      <c r="I94" s="2206"/>
      <c r="J94" s="2159"/>
      <c r="K94" s="2159"/>
      <c r="L94" s="2159"/>
      <c r="M94" s="2159"/>
    </row>
    <row r="95" spans="1:13" s="255" customFormat="1">
      <c r="A95" s="2159"/>
      <c r="B95" s="2159"/>
      <c r="C95" s="2205"/>
      <c r="D95" s="480"/>
      <c r="E95" s="470"/>
      <c r="F95" s="2206"/>
      <c r="G95" s="2212"/>
      <c r="H95" s="478"/>
      <c r="I95" s="2206"/>
      <c r="J95" s="2159"/>
      <c r="K95" s="2159"/>
      <c r="L95" s="2159"/>
      <c r="M95" s="2159"/>
    </row>
    <row r="96" spans="1:13" s="255" customFormat="1">
      <c r="A96" s="2159"/>
      <c r="B96" s="2159"/>
      <c r="C96" s="2205"/>
      <c r="D96" s="480"/>
      <c r="E96" s="470"/>
      <c r="F96" s="2206"/>
      <c r="G96" s="2212"/>
      <c r="H96" s="478"/>
      <c r="I96" s="2206"/>
      <c r="J96" s="2159"/>
      <c r="K96" s="2159"/>
      <c r="L96" s="2159"/>
      <c r="M96" s="2159"/>
    </row>
    <row r="97" spans="1:38" s="255" customFormat="1">
      <c r="A97" s="2159"/>
      <c r="B97" s="2159"/>
      <c r="C97" s="2205"/>
      <c r="D97" s="480"/>
      <c r="E97" s="470"/>
      <c r="F97" s="2206"/>
      <c r="G97" s="2212"/>
      <c r="H97" s="478"/>
      <c r="I97" s="2206"/>
      <c r="J97" s="2159"/>
      <c r="K97" s="2159"/>
      <c r="L97" s="2159"/>
      <c r="M97" s="2159"/>
    </row>
    <row r="98" spans="1:38" s="255" customFormat="1">
      <c r="A98" s="2159"/>
      <c r="B98" s="2159"/>
      <c r="C98" s="2205"/>
      <c r="D98" s="480"/>
      <c r="E98" s="470"/>
      <c r="F98" s="2206"/>
      <c r="G98" s="2212"/>
      <c r="H98" s="478"/>
      <c r="I98" s="2206"/>
      <c r="J98" s="2159"/>
      <c r="K98" s="2159"/>
      <c r="L98" s="2159"/>
      <c r="M98" s="2159"/>
    </row>
    <row r="99" spans="1:38" s="255" customFormat="1">
      <c r="A99" s="2159"/>
      <c r="B99" s="2159"/>
      <c r="C99" s="2205"/>
      <c r="D99" s="480"/>
      <c r="E99" s="470"/>
      <c r="F99" s="2206"/>
      <c r="G99" s="2212"/>
      <c r="H99" s="478"/>
      <c r="I99" s="2206"/>
      <c r="J99" s="2159"/>
      <c r="K99" s="2159"/>
      <c r="L99" s="2159"/>
      <c r="M99" s="2159"/>
    </row>
    <row r="100" spans="1:38" s="255" customFormat="1">
      <c r="A100" s="2159"/>
      <c r="B100" s="2159"/>
      <c r="C100" s="2205"/>
      <c r="D100" s="480"/>
      <c r="E100" s="470"/>
      <c r="F100" s="2206"/>
      <c r="G100" s="2212"/>
      <c r="H100" s="478"/>
      <c r="I100" s="2206"/>
      <c r="J100" s="2159"/>
      <c r="K100" s="2159"/>
      <c r="L100" s="2159"/>
      <c r="M100" s="2159"/>
    </row>
    <row r="101" spans="1:38" s="255" customFormat="1">
      <c r="A101" s="2159"/>
      <c r="B101" s="2159"/>
      <c r="C101" s="2205"/>
      <c r="D101" s="480"/>
      <c r="E101" s="470"/>
      <c r="F101" s="2206"/>
      <c r="G101" s="2212"/>
      <c r="H101" s="478"/>
      <c r="I101" s="2206"/>
      <c r="J101" s="2159"/>
      <c r="K101" s="2159"/>
      <c r="L101" s="2159"/>
      <c r="M101" s="2159"/>
    </row>
    <row r="102" spans="1:38" s="255" customFormat="1">
      <c r="A102" s="2159"/>
      <c r="B102" s="2159"/>
      <c r="C102" s="2205"/>
      <c r="D102" s="480"/>
      <c r="E102" s="470"/>
      <c r="F102" s="2206"/>
      <c r="G102" s="2212"/>
      <c r="H102" s="478"/>
      <c r="I102" s="2206"/>
      <c r="J102" s="2159"/>
      <c r="K102" s="2159"/>
      <c r="L102" s="2159"/>
      <c r="M102" s="2159"/>
    </row>
    <row r="103" spans="1:38" s="255" customFormat="1">
      <c r="A103" s="2159"/>
      <c r="B103" s="2159"/>
      <c r="C103" s="2205"/>
      <c r="D103" s="480"/>
      <c r="E103" s="470"/>
      <c r="F103" s="2206"/>
      <c r="G103" s="2212"/>
      <c r="H103" s="478"/>
      <c r="I103" s="2206"/>
      <c r="J103" s="2159"/>
      <c r="K103" s="2159"/>
      <c r="L103" s="2159"/>
      <c r="M103" s="2159"/>
    </row>
    <row r="104" spans="1:38">
      <c r="C104" s="2205"/>
      <c r="D104" s="480"/>
      <c r="E104" s="470"/>
      <c r="F104" s="2206"/>
      <c r="G104" s="2212"/>
      <c r="H104" s="478"/>
      <c r="I104" s="220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row>
    <row r="105" spans="1:38">
      <c r="C105" s="2205"/>
      <c r="D105" s="480"/>
      <c r="E105" s="470"/>
      <c r="F105" s="2206"/>
      <c r="G105" s="2212"/>
      <c r="H105" s="478"/>
      <c r="I105" s="220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row>
    <row r="106" spans="1:38">
      <c r="C106" s="2205"/>
      <c r="D106" s="480"/>
      <c r="E106" s="470"/>
      <c r="F106" s="2206"/>
      <c r="G106" s="2212"/>
      <c r="H106" s="478"/>
      <c r="I106" s="220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row>
    <row r="107" spans="1:38">
      <c r="C107" s="2205"/>
      <c r="D107" s="480"/>
      <c r="E107" s="470"/>
      <c r="F107" s="2206"/>
      <c r="G107" s="2212"/>
      <c r="H107" s="478"/>
      <c r="I107" s="220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row>
    <row r="108" spans="1:38">
      <c r="C108" s="2205"/>
      <c r="D108" s="480"/>
      <c r="E108" s="470"/>
      <c r="F108" s="2206"/>
      <c r="G108" s="2212"/>
      <c r="H108" s="478"/>
      <c r="I108" s="220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row>
    <row r="109" spans="1:38">
      <c r="C109" s="2205"/>
      <c r="D109" s="480"/>
      <c r="E109" s="470"/>
      <c r="F109" s="2206"/>
      <c r="G109" s="2212"/>
      <c r="H109" s="478"/>
      <c r="I109" s="220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row>
    <row r="110" spans="1:38">
      <c r="C110" s="2205"/>
      <c r="D110" s="480"/>
      <c r="E110" s="470"/>
      <c r="F110" s="2206"/>
      <c r="G110" s="2212"/>
      <c r="H110" s="478"/>
      <c r="I110" s="220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row>
    <row r="111" spans="1:38">
      <c r="C111" s="2205"/>
      <c r="D111" s="480"/>
      <c r="E111" s="470"/>
      <c r="F111" s="2206"/>
      <c r="G111" s="2212"/>
      <c r="H111" s="478"/>
      <c r="I111" s="220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row>
    <row r="112" spans="1:38">
      <c r="B112" s="61"/>
      <c r="C112" s="2205"/>
      <c r="D112" s="480"/>
      <c r="E112" s="470"/>
      <c r="F112" s="2206"/>
      <c r="G112" s="2212"/>
      <c r="H112" s="478"/>
      <c r="I112" s="220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row>
    <row r="113" spans="1:38">
      <c r="A113" s="61"/>
      <c r="B113" s="61"/>
      <c r="C113" s="2205"/>
      <c r="D113" s="480"/>
      <c r="E113" s="470"/>
      <c r="F113" s="2206"/>
      <c r="G113" s="2212"/>
      <c r="H113" s="478"/>
      <c r="I113" s="220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row>
    <row r="114" spans="1:38">
      <c r="A114" s="61"/>
      <c r="B114" s="61"/>
      <c r="C114" s="2205"/>
      <c r="D114" s="480"/>
      <c r="E114" s="470"/>
      <c r="F114" s="2206"/>
      <c r="G114" s="2212"/>
      <c r="H114" s="478"/>
      <c r="I114" s="220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row>
    <row r="115" spans="1:38">
      <c r="A115" s="61"/>
      <c r="B115" s="61"/>
      <c r="C115" s="2205"/>
      <c r="D115" s="480"/>
      <c r="E115" s="470"/>
      <c r="F115" s="2206"/>
      <c r="G115" s="2212"/>
      <c r="H115" s="478"/>
      <c r="I115" s="220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row>
    <row r="116" spans="1:38">
      <c r="A116" s="61"/>
      <c r="B116" s="61"/>
      <c r="C116" s="2205"/>
      <c r="D116" s="480"/>
      <c r="E116" s="470"/>
      <c r="F116" s="2206"/>
      <c r="G116" s="2212"/>
      <c r="H116" s="478"/>
      <c r="I116" s="220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row>
    <row r="117" spans="1:38">
      <c r="A117" s="61"/>
      <c r="B117" s="61"/>
      <c r="C117" s="2205"/>
      <c r="D117" s="480"/>
      <c r="E117" s="470"/>
      <c r="F117" s="2206"/>
      <c r="G117" s="2212"/>
      <c r="H117" s="478"/>
      <c r="I117" s="220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row>
    <row r="118" spans="1:38">
      <c r="A118" s="61"/>
      <c r="B118" s="61"/>
      <c r="C118" s="2205"/>
      <c r="D118" s="480"/>
      <c r="E118" s="470"/>
      <c r="F118" s="2206"/>
      <c r="G118" s="2212"/>
      <c r="H118" s="478"/>
      <c r="I118" s="220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row>
    <row r="119" spans="1:38">
      <c r="A119" s="61"/>
      <c r="B119" s="61"/>
      <c r="C119" s="2205"/>
      <c r="D119" s="480"/>
      <c r="E119" s="470"/>
      <c r="F119" s="2206"/>
      <c r="G119" s="2212"/>
      <c r="H119" s="478"/>
      <c r="I119" s="220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row>
    <row r="120" spans="1:38">
      <c r="A120" s="61"/>
      <c r="B120" s="61"/>
      <c r="C120" s="2205"/>
      <c r="D120" s="480"/>
      <c r="E120" s="470"/>
      <c r="F120" s="2206"/>
      <c r="G120" s="2212"/>
      <c r="H120" s="478"/>
      <c r="I120" s="220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row>
    <row r="121" spans="1:38">
      <c r="A121" s="61"/>
      <c r="B121" s="61"/>
      <c r="C121" s="2205"/>
      <c r="D121" s="480"/>
      <c r="E121" s="470"/>
      <c r="F121" s="2206"/>
      <c r="G121" s="2212"/>
      <c r="H121" s="478"/>
      <c r="I121" s="220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row>
    <row r="122" spans="1:38">
      <c r="A122" s="61"/>
      <c r="B122" s="61"/>
      <c r="C122" s="2205"/>
      <c r="D122" s="480"/>
      <c r="E122" s="470"/>
      <c r="F122" s="2206"/>
      <c r="G122" s="2212"/>
      <c r="H122" s="478"/>
      <c r="I122" s="220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row>
    <row r="123" spans="1:38">
      <c r="A123" s="61"/>
      <c r="B123" s="61"/>
      <c r="C123" s="2205"/>
      <c r="D123" s="480"/>
      <c r="E123" s="470"/>
      <c r="F123" s="2206"/>
      <c r="G123" s="2212"/>
      <c r="H123" s="478"/>
      <c r="I123" s="220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row>
    <row r="124" spans="1:38">
      <c r="A124" s="61"/>
      <c r="B124" s="61"/>
      <c r="C124" s="2205"/>
      <c r="D124" s="480"/>
      <c r="E124" s="470"/>
      <c r="F124" s="2206"/>
      <c r="G124" s="2212"/>
      <c r="H124" s="478"/>
      <c r="I124" s="220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row>
    <row r="125" spans="1:38">
      <c r="A125" s="61"/>
      <c r="B125" s="61"/>
      <c r="F125" s="2221"/>
      <c r="G125" s="2221"/>
      <c r="H125" s="2221"/>
      <c r="I125" s="2221"/>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row>
    <row r="126" spans="1:38">
      <c r="A126" s="61"/>
      <c r="B126" s="61"/>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row>
    <row r="127" spans="1:38">
      <c r="A127" s="61"/>
      <c r="B127" s="61"/>
      <c r="F127" s="2222"/>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row>
    <row r="128" spans="1:38">
      <c r="A128" s="61"/>
      <c r="B128" s="61"/>
      <c r="C128" s="61"/>
      <c r="D128" s="61"/>
      <c r="E128" s="61"/>
      <c r="F128" s="2222"/>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row>
    <row r="129" spans="1:38">
      <c r="A129" s="61"/>
      <c r="B129" s="61"/>
      <c r="C129" s="61"/>
      <c r="D129" s="61"/>
      <c r="E129" s="61"/>
      <c r="F129" s="2221"/>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row>
    <row r="130" spans="1:38">
      <c r="A130" s="61"/>
      <c r="B130" s="61"/>
      <c r="C130" s="61"/>
      <c r="D130" s="61"/>
      <c r="E130" s="61"/>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row>
    <row r="131" spans="1:38">
      <c r="A131" s="61"/>
      <c r="B131" s="61"/>
      <c r="C131" s="61"/>
      <c r="D131" s="61"/>
      <c r="E131" s="61"/>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row>
    <row r="132" spans="1:38">
      <c r="A132" s="61"/>
      <c r="B132" s="61"/>
      <c r="C132" s="61"/>
      <c r="D132" s="61"/>
      <c r="E132" s="61"/>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row>
    <row r="133" spans="1:38">
      <c r="A133" s="61"/>
      <c r="B133" s="61"/>
      <c r="C133" s="61"/>
      <c r="D133" s="61"/>
      <c r="E133" s="61"/>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row>
    <row r="134" spans="1:38">
      <c r="A134" s="61"/>
      <c r="B134" s="61"/>
      <c r="C134" s="61"/>
      <c r="D134" s="61"/>
      <c r="E134" s="61"/>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row>
    <row r="135" spans="1:38">
      <c r="A135" s="61"/>
      <c r="B135" s="61"/>
      <c r="C135" s="61"/>
      <c r="D135" s="61"/>
      <c r="E135" s="61"/>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row>
    <row r="136" spans="1:38">
      <c r="A136" s="61"/>
      <c r="B136" s="61"/>
      <c r="C136" s="61"/>
      <c r="D136" s="61"/>
      <c r="E136" s="61"/>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row>
    <row r="137" spans="1:38">
      <c r="A137" s="61"/>
      <c r="B137" s="61"/>
      <c r="C137" s="61"/>
      <c r="D137" s="61"/>
      <c r="E137" s="61"/>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row>
    <row r="138" spans="1:38">
      <c r="A138" s="61"/>
      <c r="B138" s="61"/>
      <c r="C138" s="61"/>
      <c r="D138" s="61"/>
      <c r="E138" s="61"/>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row>
    <row r="139" spans="1:38">
      <c r="A139" s="61"/>
      <c r="B139" s="61"/>
      <c r="C139" s="61"/>
      <c r="D139" s="61"/>
      <c r="E139" s="61"/>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row>
    <row r="140" spans="1:38">
      <c r="A140" s="61"/>
      <c r="B140" s="61"/>
      <c r="C140" s="61"/>
      <c r="D140" s="61"/>
      <c r="E140" s="61"/>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row>
    <row r="141" spans="1:38">
      <c r="A141" s="61"/>
      <c r="B141" s="61"/>
      <c r="C141" s="61"/>
      <c r="D141" s="61"/>
      <c r="E141" s="61"/>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row>
    <row r="142" spans="1:38">
      <c r="A142" s="61"/>
      <c r="B142" s="61"/>
      <c r="C142" s="61"/>
      <c r="D142" s="61"/>
      <c r="E142" s="61"/>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row>
    <row r="143" spans="1:38">
      <c r="A143" s="61"/>
      <c r="B143" s="61"/>
      <c r="C143" s="61"/>
      <c r="D143" s="61"/>
      <c r="E143" s="61"/>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row>
    <row r="144" spans="1:38">
      <c r="A144" s="61"/>
      <c r="B144" s="61"/>
      <c r="C144" s="61"/>
      <c r="D144" s="61"/>
      <c r="E144" s="61"/>
      <c r="F144" s="61"/>
      <c r="G144" s="61"/>
      <c r="H144" s="61"/>
      <c r="I144" s="61"/>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row>
    <row r="145" spans="1:38">
      <c r="A145" s="61"/>
      <c r="B145" s="61"/>
      <c r="C145" s="61"/>
      <c r="D145" s="61"/>
      <c r="E145" s="61"/>
      <c r="F145" s="61"/>
      <c r="G145" s="61"/>
      <c r="H145" s="61"/>
      <c r="I145" s="61"/>
      <c r="J145" s="61"/>
      <c r="K145" s="61"/>
      <c r="L145" s="61"/>
      <c r="M145" s="61"/>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row>
    <row r="146" spans="1:38">
      <c r="A146" s="61"/>
      <c r="B146" s="61"/>
      <c r="C146" s="61"/>
      <c r="D146" s="61"/>
      <c r="E146" s="61"/>
      <c r="F146" s="61"/>
      <c r="G146" s="61"/>
      <c r="H146" s="61"/>
      <c r="I146" s="61"/>
      <c r="J146" s="61"/>
      <c r="K146" s="61"/>
      <c r="L146" s="61"/>
      <c r="M146" s="61"/>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row>
    <row r="147" spans="1:38">
      <c r="A147" s="61"/>
      <c r="B147" s="61"/>
      <c r="C147" s="61"/>
      <c r="D147" s="61"/>
      <c r="E147" s="61"/>
      <c r="F147" s="61"/>
      <c r="G147" s="61"/>
      <c r="H147" s="61"/>
      <c r="I147" s="61"/>
      <c r="J147" s="61"/>
      <c r="K147" s="61"/>
      <c r="L147" s="61"/>
      <c r="M147" s="61"/>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row>
    <row r="148" spans="1:38">
      <c r="A148" s="61"/>
      <c r="B148" s="61"/>
      <c r="C148" s="61"/>
      <c r="D148" s="61"/>
      <c r="E148" s="61"/>
      <c r="F148" s="61"/>
      <c r="G148" s="61"/>
      <c r="H148" s="61"/>
      <c r="I148" s="61"/>
      <c r="J148" s="61"/>
      <c r="K148" s="61"/>
      <c r="L148" s="61"/>
      <c r="M148" s="61"/>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row>
    <row r="149" spans="1:38">
      <c r="A149" s="61"/>
      <c r="B149" s="61"/>
      <c r="C149" s="61"/>
      <c r="D149" s="61"/>
      <c r="E149" s="61"/>
      <c r="F149" s="61"/>
      <c r="G149" s="61"/>
      <c r="H149" s="61"/>
      <c r="I149" s="61"/>
      <c r="J149" s="61"/>
      <c r="K149" s="61"/>
      <c r="L149" s="61"/>
      <c r="M149" s="61"/>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row>
    <row r="150" spans="1:38">
      <c r="A150" s="61"/>
      <c r="B150" s="61"/>
      <c r="C150" s="61"/>
      <c r="D150" s="61"/>
      <c r="E150" s="61"/>
      <c r="F150" s="61"/>
      <c r="G150" s="61"/>
      <c r="H150" s="61"/>
      <c r="I150" s="61"/>
      <c r="J150" s="61"/>
      <c r="K150" s="61"/>
      <c r="L150" s="61"/>
      <c r="M150" s="61"/>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row>
    <row r="151" spans="1:38">
      <c r="A151" s="61"/>
      <c r="B151" s="61"/>
      <c r="C151" s="61"/>
      <c r="D151" s="61"/>
      <c r="E151" s="61"/>
      <c r="F151" s="61"/>
      <c r="G151" s="61"/>
      <c r="H151" s="61"/>
      <c r="I151" s="61"/>
      <c r="J151" s="61"/>
      <c r="K151" s="61"/>
      <c r="L151" s="61"/>
      <c r="M151" s="61"/>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row>
    <row r="152" spans="1:38">
      <c r="A152" s="61"/>
      <c r="B152" s="61"/>
      <c r="C152" s="61"/>
      <c r="D152" s="61"/>
      <c r="E152" s="61"/>
      <c r="F152" s="61"/>
      <c r="G152" s="61"/>
      <c r="H152" s="61"/>
      <c r="I152" s="61"/>
      <c r="J152" s="61"/>
      <c r="K152" s="61"/>
      <c r="L152" s="61"/>
      <c r="M152" s="61"/>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row>
    <row r="153" spans="1:38">
      <c r="A153" s="61"/>
      <c r="B153" s="61"/>
      <c r="C153" s="61"/>
      <c r="D153" s="61"/>
      <c r="E153" s="61"/>
      <c r="F153" s="61"/>
      <c r="G153" s="61"/>
      <c r="H153" s="61"/>
      <c r="I153" s="61"/>
      <c r="J153" s="61"/>
      <c r="K153" s="61"/>
      <c r="L153" s="61"/>
      <c r="M153" s="61"/>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row>
    <row r="154" spans="1:38">
      <c r="A154" s="61"/>
      <c r="B154" s="61"/>
      <c r="C154" s="61"/>
      <c r="D154" s="61"/>
      <c r="E154" s="61"/>
      <c r="F154" s="61"/>
      <c r="G154" s="61"/>
      <c r="H154" s="61"/>
      <c r="I154" s="61"/>
      <c r="J154" s="61"/>
      <c r="K154" s="61"/>
      <c r="L154" s="61"/>
      <c r="M154" s="61"/>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row>
    <row r="155" spans="1:38">
      <c r="A155" s="61"/>
      <c r="B155" s="61"/>
      <c r="C155" s="61"/>
      <c r="D155" s="61"/>
      <c r="E155" s="61"/>
      <c r="F155" s="61"/>
      <c r="G155" s="61"/>
      <c r="H155" s="61"/>
      <c r="I155" s="61"/>
      <c r="J155" s="61"/>
      <c r="K155" s="61"/>
      <c r="L155" s="61"/>
      <c r="M155" s="61"/>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row>
    <row r="156" spans="1:38">
      <c r="A156" s="61"/>
      <c r="B156" s="61"/>
      <c r="C156" s="61"/>
      <c r="D156" s="61"/>
      <c r="E156" s="61"/>
      <c r="F156" s="61"/>
      <c r="G156" s="61"/>
      <c r="H156" s="61"/>
      <c r="I156" s="61"/>
      <c r="J156" s="61"/>
      <c r="K156" s="61"/>
      <c r="L156" s="61"/>
      <c r="M156" s="61"/>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row>
    <row r="157" spans="1:38">
      <c r="A157" s="61"/>
      <c r="B157" s="61"/>
      <c r="C157" s="61"/>
      <c r="D157" s="61"/>
      <c r="E157" s="61"/>
      <c r="F157" s="61"/>
      <c r="G157" s="61"/>
      <c r="H157" s="61"/>
      <c r="I157" s="61"/>
      <c r="J157" s="61"/>
      <c r="K157" s="61"/>
      <c r="L157" s="61"/>
      <c r="M157" s="61"/>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row>
    <row r="158" spans="1:38">
      <c r="A158" s="61"/>
      <c r="B158" s="61"/>
      <c r="C158" s="61"/>
      <c r="D158" s="61"/>
      <c r="E158" s="61"/>
      <c r="F158" s="61"/>
      <c r="G158" s="61"/>
      <c r="H158" s="61"/>
      <c r="I158" s="61"/>
      <c r="J158" s="61"/>
      <c r="K158" s="61"/>
      <c r="L158" s="61"/>
      <c r="M158" s="61"/>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row>
    <row r="159" spans="1:38">
      <c r="A159" s="61"/>
      <c r="B159" s="61"/>
      <c r="C159" s="61"/>
      <c r="D159" s="61"/>
      <c r="E159" s="61"/>
      <c r="F159" s="61"/>
      <c r="G159" s="61"/>
      <c r="H159" s="61"/>
      <c r="I159" s="61"/>
      <c r="J159" s="61"/>
      <c r="K159" s="61"/>
      <c r="L159" s="61"/>
      <c r="M159" s="61"/>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row>
    <row r="160" spans="1:38">
      <c r="A160" s="61"/>
      <c r="J160" s="61"/>
      <c r="K160" s="61"/>
      <c r="L160" s="61"/>
      <c r="M160" s="61"/>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row>
    <row r="161" spans="1:38" s="220" customFormat="1">
      <c r="A161" s="2159"/>
      <c r="B161" s="2159"/>
      <c r="C161" s="2160"/>
      <c r="D161" s="2159"/>
      <c r="E161" s="2159"/>
      <c r="F161" s="2159"/>
      <c r="G161" s="2159"/>
      <c r="H161" s="2159"/>
      <c r="I161" s="2159"/>
      <c r="J161" s="2159"/>
      <c r="K161" s="2159"/>
      <c r="L161" s="2159"/>
      <c r="M161" s="2159"/>
      <c r="N161" s="228"/>
      <c r="O161" s="228"/>
      <c r="P161" s="228"/>
      <c r="Q161" s="228"/>
      <c r="R161" s="228"/>
      <c r="S161" s="228"/>
      <c r="T161" s="228"/>
      <c r="U161" s="228"/>
      <c r="V161" s="228"/>
      <c r="W161" s="228"/>
      <c r="X161" s="228"/>
      <c r="Y161" s="228"/>
      <c r="Z161" s="228"/>
      <c r="AA161" s="228"/>
      <c r="AB161" s="228"/>
      <c r="AC161" s="228"/>
      <c r="AD161" s="228"/>
      <c r="AE161" s="228"/>
      <c r="AF161" s="228"/>
      <c r="AG161" s="228"/>
      <c r="AH161" s="228"/>
      <c r="AI161" s="228"/>
      <c r="AJ161" s="228"/>
      <c r="AK161" s="228"/>
      <c r="AL161" s="228"/>
    </row>
    <row r="162" spans="1:38">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row>
    <row r="163" spans="1:38">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row>
    <row r="164" spans="1:38">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row>
    <row r="165" spans="1:38">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row>
    <row r="166" spans="1:38">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row>
    <row r="167" spans="1:38">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row>
    <row r="168" spans="1:38">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row>
    <row r="169" spans="1:38">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row>
    <row r="170" spans="1:38">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row>
    <row r="171" spans="1:38">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row>
    <row r="172" spans="1:38">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row>
    <row r="173" spans="1:38">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row>
    <row r="174" spans="1:38">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row>
    <row r="175" spans="1:38">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row>
    <row r="176" spans="1:38">
      <c r="B176" s="61"/>
      <c r="C176" s="61"/>
      <c r="D176" s="61"/>
      <c r="E176" s="61"/>
      <c r="F176" s="61"/>
      <c r="G176" s="61"/>
      <c r="H176" s="61"/>
      <c r="I176" s="61"/>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row>
    <row r="177" spans="1:38">
      <c r="A177" s="61"/>
      <c r="B177" s="61"/>
      <c r="C177" s="61"/>
      <c r="D177" s="61"/>
      <c r="E177" s="61"/>
      <c r="F177" s="61"/>
      <c r="G177" s="61"/>
      <c r="H177" s="61"/>
      <c r="I177" s="61"/>
      <c r="J177" s="61"/>
      <c r="K177" s="61"/>
      <c r="L177" s="61"/>
      <c r="M177" s="61"/>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row>
    <row r="178" spans="1:38">
      <c r="A178" s="61"/>
      <c r="B178" s="61"/>
      <c r="C178" s="61"/>
      <c r="D178" s="61"/>
      <c r="E178" s="61"/>
      <c r="F178" s="61"/>
      <c r="G178" s="61"/>
      <c r="H178" s="61"/>
      <c r="I178" s="61"/>
      <c r="J178" s="61"/>
      <c r="K178" s="61"/>
      <c r="L178" s="61"/>
      <c r="M178" s="61"/>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row>
    <row r="179" spans="1:38">
      <c r="A179" s="61"/>
      <c r="B179" s="61"/>
      <c r="C179" s="61"/>
      <c r="D179" s="61"/>
      <c r="E179" s="61"/>
      <c r="F179" s="61"/>
      <c r="G179" s="61"/>
      <c r="H179" s="61"/>
      <c r="I179" s="61"/>
      <c r="J179" s="61"/>
      <c r="K179" s="61"/>
      <c r="L179" s="61"/>
      <c r="M179" s="61"/>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row>
    <row r="180" spans="1:38">
      <c r="A180" s="61"/>
      <c r="B180" s="61"/>
      <c r="C180" s="61"/>
      <c r="D180" s="61"/>
      <c r="E180" s="61"/>
      <c r="F180" s="61"/>
      <c r="G180" s="61"/>
      <c r="H180" s="61"/>
      <c r="I180" s="61"/>
      <c r="J180" s="61"/>
      <c r="K180" s="61"/>
      <c r="L180" s="61"/>
      <c r="M180" s="61"/>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row>
    <row r="181" spans="1:38">
      <c r="A181" s="61"/>
      <c r="J181" s="61"/>
      <c r="K181" s="61"/>
      <c r="L181" s="61"/>
      <c r="M181" s="61"/>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row>
  </sheetData>
  <mergeCells count="18">
    <mergeCell ref="K75:U75"/>
    <mergeCell ref="B76:I76"/>
    <mergeCell ref="A1:I1"/>
    <mergeCell ref="A2:I2"/>
    <mergeCell ref="K2:Q3"/>
    <mergeCell ref="A3:I3"/>
    <mergeCell ref="A4:I4"/>
    <mergeCell ref="H9:I9"/>
    <mergeCell ref="B84:I84"/>
    <mergeCell ref="B24:F24"/>
    <mergeCell ref="H69:I69"/>
    <mergeCell ref="B74:I74"/>
    <mergeCell ref="B75:I75"/>
    <mergeCell ref="B77:I77"/>
    <mergeCell ref="B78:I78"/>
    <mergeCell ref="B79:I79"/>
    <mergeCell ref="B80:I80"/>
    <mergeCell ref="B83:I83"/>
  </mergeCells>
  <pageMargins left="0.7" right="0.7" top="0.75" bottom="0.75" header="0.3" footer="0.3"/>
  <pageSetup scale="89" fitToHeight="2" orientation="portrait" r:id="rId1"/>
  <headerFoot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221"/>
  <sheetViews>
    <sheetView zoomScaleNormal="100" zoomScaleSheetLayoutView="70" workbookViewId="0">
      <pane ySplit="5" topLeftCell="A6" activePane="bottomLeft" state="frozen"/>
      <selection activeCell="L6" sqref="L6"/>
      <selection pane="bottomLeft" sqref="A1:I1"/>
    </sheetView>
  </sheetViews>
  <sheetFormatPr defaultColWidth="9.109375" defaultRowHeight="13.2"/>
  <cols>
    <col min="1" max="1" width="5.5546875" style="543" bestFit="1" customWidth="1"/>
    <col min="2" max="2" width="2.6640625" style="61" customWidth="1"/>
    <col min="3" max="3" width="69.88671875" style="61" customWidth="1"/>
    <col min="4" max="4" width="15.6640625" style="61" customWidth="1"/>
    <col min="5" max="5" width="16.6640625" style="61" customWidth="1"/>
    <col min="6" max="7" width="12.44140625" style="61" bestFit="1" customWidth="1"/>
    <col min="8" max="8" width="14.88671875" style="61" customWidth="1"/>
    <col min="9" max="9" width="32.33203125" style="650" bestFit="1" customWidth="1"/>
    <col min="10" max="10" width="27.109375" style="61" customWidth="1"/>
    <col min="11" max="11" width="18.88671875" style="61" customWidth="1"/>
    <col min="12" max="12" width="16.5546875" style="76" customWidth="1"/>
    <col min="13" max="13" width="15.109375" style="76" customWidth="1"/>
    <col min="14" max="14" width="17.88671875" style="76" customWidth="1"/>
    <col min="15" max="15" width="17.88671875" style="61" customWidth="1"/>
    <col min="16" max="16" width="15.6640625" style="61" customWidth="1"/>
    <col min="17" max="17" width="4.109375" style="61" customWidth="1"/>
    <col min="18" max="18" width="17.88671875" style="61" customWidth="1"/>
    <col min="19" max="19" width="15.6640625" style="61" customWidth="1"/>
    <col min="20" max="20" width="23" style="61" customWidth="1"/>
    <col min="21" max="16384" width="9.109375" style="61"/>
  </cols>
  <sheetData>
    <row r="1" spans="1:14">
      <c r="A1" s="2344" t="str">
        <f>+'MISO Cover'!C6</f>
        <v>Entergy Louisiana, LLC</v>
      </c>
      <c r="B1" s="2344"/>
      <c r="C1" s="2344"/>
      <c r="D1" s="2344"/>
      <c r="E1" s="2344"/>
      <c r="F1" s="2344"/>
      <c r="G1" s="2344"/>
      <c r="H1" s="2344"/>
      <c r="I1" s="2344"/>
      <c r="J1" s="745"/>
      <c r="K1" s="179"/>
      <c r="L1" s="179"/>
      <c r="M1" s="179"/>
    </row>
    <row r="2" spans="1:14">
      <c r="A2" s="2327" t="s">
        <v>693</v>
      </c>
      <c r="B2" s="2327"/>
      <c r="C2" s="2327"/>
      <c r="D2" s="2327"/>
      <c r="E2" s="2327"/>
      <c r="F2" s="2327"/>
      <c r="G2" s="2327"/>
      <c r="H2" s="2327"/>
      <c r="I2" s="2327"/>
      <c r="J2" s="179"/>
      <c r="K2" s="179"/>
      <c r="L2" s="179"/>
      <c r="M2" s="179"/>
    </row>
    <row r="3" spans="1:14">
      <c r="A3" s="2344" t="str">
        <f>+'MISO Cover'!K4</f>
        <v>For  the 12 Months Ended 12/31/2017</v>
      </c>
      <c r="B3" s="2344"/>
      <c r="C3" s="2344"/>
      <c r="D3" s="2344"/>
      <c r="E3" s="2344"/>
      <c r="F3" s="2344"/>
      <c r="G3" s="2344"/>
      <c r="H3" s="2344"/>
      <c r="I3" s="2344"/>
      <c r="J3" s="179"/>
      <c r="K3" s="179"/>
      <c r="L3" s="179"/>
      <c r="M3" s="179"/>
    </row>
    <row r="4" spans="1:14">
      <c r="A4" s="1591"/>
      <c r="B4" s="1591"/>
      <c r="C4" s="1591"/>
      <c r="D4" s="1591"/>
      <c r="E4" s="1591"/>
      <c r="F4" s="590"/>
      <c r="G4" s="590"/>
      <c r="H4" s="590"/>
      <c r="I4" s="36"/>
      <c r="J4" s="568"/>
      <c r="K4" s="210"/>
      <c r="L4" s="210"/>
      <c r="M4" s="210"/>
    </row>
    <row r="5" spans="1:14" s="220" customFormat="1">
      <c r="A5" s="544" t="s">
        <v>280</v>
      </c>
      <c r="B5" s="220" t="s">
        <v>67</v>
      </c>
      <c r="C5" s="220" t="s">
        <v>114</v>
      </c>
      <c r="D5" s="220" t="s">
        <v>55</v>
      </c>
      <c r="E5" s="220" t="s">
        <v>68</v>
      </c>
      <c r="F5" s="220" t="s">
        <v>66</v>
      </c>
      <c r="G5" s="220" t="s">
        <v>154</v>
      </c>
      <c r="H5" s="220" t="s">
        <v>69</v>
      </c>
      <c r="I5" s="220" t="s">
        <v>166</v>
      </c>
      <c r="J5" s="569"/>
      <c r="L5" s="228"/>
      <c r="M5" s="228"/>
      <c r="N5" s="228"/>
    </row>
    <row r="6" spans="1:14" s="220" customFormat="1">
      <c r="A6" s="544"/>
      <c r="I6" s="650"/>
      <c r="J6" s="569"/>
      <c r="L6" s="228"/>
      <c r="M6" s="228"/>
      <c r="N6" s="228"/>
    </row>
    <row r="7" spans="1:14">
      <c r="A7" s="801">
        <v>1</v>
      </c>
      <c r="B7" s="1692" t="s">
        <v>86</v>
      </c>
      <c r="C7" s="595"/>
      <c r="D7" s="595"/>
      <c r="E7" s="595"/>
      <c r="F7" s="596"/>
      <c r="G7" s="598"/>
      <c r="H7" s="599"/>
      <c r="I7" s="651"/>
      <c r="J7" s="569"/>
      <c r="K7" s="220"/>
      <c r="L7" s="228"/>
      <c r="M7" s="228"/>
    </row>
    <row r="8" spans="1:14">
      <c r="A8" s="802">
        <f>+A7+1</f>
        <v>2</v>
      </c>
      <c r="B8" s="40"/>
      <c r="C8" s="40"/>
      <c r="D8" s="218"/>
      <c r="E8" s="75"/>
      <c r="F8" s="75"/>
      <c r="G8" s="75"/>
      <c r="H8" s="75"/>
    </row>
    <row r="9" spans="1:14" ht="13.2" customHeight="1">
      <c r="A9" s="802">
        <f>+A8+1</f>
        <v>3</v>
      </c>
      <c r="B9" s="899" t="s">
        <v>87</v>
      </c>
      <c r="C9" s="570"/>
      <c r="D9" s="501"/>
      <c r="E9" s="76"/>
      <c r="F9" s="76"/>
      <c r="G9" s="76"/>
      <c r="H9" s="76"/>
      <c r="J9" s="913"/>
    </row>
    <row r="10" spans="1:14">
      <c r="A10" s="801">
        <f>+A9+1</f>
        <v>4</v>
      </c>
      <c r="C10" s="41" t="s">
        <v>783</v>
      </c>
      <c r="D10" s="256"/>
      <c r="E10" s="76"/>
      <c r="F10" s="76"/>
      <c r="G10" s="76"/>
      <c r="H10" s="76"/>
      <c r="I10" s="211"/>
    </row>
    <row r="11" spans="1:14">
      <c r="A11" s="803">
        <f t="shared" ref="A11:A17" si="0">+A10+0.1</f>
        <v>4.0999999999999996</v>
      </c>
      <c r="C11" s="545" t="s">
        <v>780</v>
      </c>
      <c r="D11" s="256">
        <f>+'WP10 Storm'!D45</f>
        <v>263861.55028620362</v>
      </c>
      <c r="E11" s="76"/>
      <c r="F11" s="76"/>
      <c r="G11" s="255"/>
      <c r="H11" s="255"/>
      <c r="I11" s="211" t="str">
        <f>+"WP10 Storm Ln "&amp;'WP10 Storm'!A45&amp;" Col. "&amp;'WP10 Storm'!$D$6</f>
        <v>WP10 Storm Ln 8 Col. C</v>
      </c>
    </row>
    <row r="12" spans="1:14">
      <c r="A12" s="803">
        <f t="shared" si="0"/>
        <v>4.1999999999999993</v>
      </c>
      <c r="C12" s="545" t="s">
        <v>751</v>
      </c>
      <c r="D12" s="172">
        <f>'WP AJ1 MISO'!H61</f>
        <v>0</v>
      </c>
      <c r="E12" s="76"/>
      <c r="F12" s="76"/>
      <c r="G12" s="255"/>
      <c r="H12" s="255"/>
      <c r="I12" s="211" t="str">
        <f>+"WP AJ1 MISO Ln "&amp;'WP AJ1 MISO'!A61&amp;" Col. "&amp;'WP AJ1 MISO'!H$8</f>
        <v>WP AJ1 MISO Ln 8 Col. G</v>
      </c>
      <c r="J12" s="800"/>
    </row>
    <row r="13" spans="1:14">
      <c r="A13" s="803">
        <f t="shared" si="0"/>
        <v>4.2999999999999989</v>
      </c>
      <c r="C13" s="545" t="s">
        <v>1114</v>
      </c>
      <c r="D13" s="172">
        <f>-'WP AJ2 ITC'!E49</f>
        <v>0</v>
      </c>
      <c r="E13" s="76"/>
      <c r="F13" s="76"/>
      <c r="G13" s="255"/>
      <c r="H13" s="255"/>
      <c r="I13" s="211" t="str">
        <f>"WP AJ2 ITC Ln "&amp;'WP AJ2 ITC'!A49&amp;" Col. "&amp;'WP AJ2 ITC'!E$6</f>
        <v>WP AJ2 ITC Ln 8 Col. C</v>
      </c>
      <c r="J13" s="800"/>
    </row>
    <row r="14" spans="1:14" s="871" customFormat="1">
      <c r="A14" s="803">
        <f t="shared" si="0"/>
        <v>4.3999999999999986</v>
      </c>
      <c r="B14" s="75"/>
      <c r="C14" s="1198" t="s">
        <v>875</v>
      </c>
      <c r="D14" s="256">
        <v>0</v>
      </c>
      <c r="E14" s="255"/>
      <c r="F14" s="255"/>
      <c r="G14" s="255"/>
      <c r="H14" s="255"/>
      <c r="I14" s="211" t="s">
        <v>874</v>
      </c>
      <c r="J14" s="800"/>
      <c r="L14" s="872"/>
      <c r="M14" s="872"/>
      <c r="N14" s="872"/>
    </row>
    <row r="15" spans="1:14" s="871" customFormat="1">
      <c r="A15" s="803">
        <f t="shared" si="0"/>
        <v>4.4999999999999982</v>
      </c>
      <c r="B15" s="75"/>
      <c r="C15" s="1198" t="s">
        <v>1115</v>
      </c>
      <c r="D15" s="256">
        <f>-'WP AJ4 LA Merger'!D45</f>
        <v>0</v>
      </c>
      <c r="E15" s="255"/>
      <c r="F15" s="255"/>
      <c r="G15" s="255"/>
      <c r="H15" s="255"/>
      <c r="I15" s="211" t="s">
        <v>1054</v>
      </c>
      <c r="J15" s="800"/>
      <c r="L15" s="872"/>
      <c r="M15" s="872"/>
      <c r="N15" s="872"/>
    </row>
    <row r="16" spans="1:14" s="871" customFormat="1">
      <c r="A16" s="1617">
        <f t="shared" si="0"/>
        <v>4.5999999999999979</v>
      </c>
      <c r="B16" s="1618"/>
      <c r="C16" s="1622" t="s">
        <v>2163</v>
      </c>
      <c r="D16" s="2234">
        <f>+'Support to WP02'!H47</f>
        <v>-32777.21</v>
      </c>
      <c r="E16" s="255"/>
      <c r="F16" s="255"/>
      <c r="G16" s="255"/>
      <c r="H16" s="255"/>
      <c r="I16" s="2235" t="str">
        <f>"Support to WP02 Ln "&amp;'Support to WP02'!A47&amp;" Column "&amp;'Support to WP02'!H6</f>
        <v>Support to WP02 Ln 8 Column H</v>
      </c>
      <c r="J16" s="800"/>
      <c r="L16" s="872"/>
      <c r="M16" s="872"/>
      <c r="N16" s="872"/>
    </row>
    <row r="17" spans="1:14" s="871" customFormat="1">
      <c r="A17" s="1617">
        <f t="shared" si="0"/>
        <v>4.6999999999999975</v>
      </c>
      <c r="B17" s="1618"/>
      <c r="C17" s="1202" t="s">
        <v>934</v>
      </c>
      <c r="D17" s="185"/>
      <c r="E17" s="255"/>
      <c r="F17" s="255"/>
      <c r="G17" s="255"/>
      <c r="H17" s="255"/>
      <c r="I17" s="1619"/>
      <c r="J17" s="800"/>
      <c r="L17" s="872"/>
      <c r="M17" s="872"/>
      <c r="N17" s="872"/>
    </row>
    <row r="18" spans="1:14" s="871" customFormat="1">
      <c r="A18" s="1617" t="s">
        <v>924</v>
      </c>
      <c r="B18" s="1618"/>
      <c r="C18" s="1202" t="s">
        <v>934</v>
      </c>
      <c r="D18" s="185"/>
      <c r="E18" s="255"/>
      <c r="F18" s="255"/>
      <c r="G18" s="255"/>
      <c r="H18" s="255"/>
      <c r="I18" s="1619"/>
      <c r="J18" s="800"/>
      <c r="L18" s="872"/>
      <c r="M18" s="872"/>
      <c r="N18" s="872"/>
    </row>
    <row r="19" spans="1:14" s="871" customFormat="1">
      <c r="A19" s="1617" t="str">
        <f>+A10&amp;".x"</f>
        <v>4.x</v>
      </c>
      <c r="B19" s="1618"/>
      <c r="C19" s="1202" t="s">
        <v>934</v>
      </c>
      <c r="D19" s="251"/>
      <c r="E19" s="255"/>
      <c r="F19" s="255"/>
      <c r="G19" s="255"/>
      <c r="H19" s="255"/>
      <c r="I19" s="1619"/>
      <c r="J19" s="800"/>
      <c r="L19" s="872"/>
      <c r="M19" s="872"/>
      <c r="N19" s="872"/>
    </row>
    <row r="20" spans="1:14">
      <c r="A20" s="801">
        <f>+A10+1</f>
        <v>5</v>
      </c>
      <c r="C20" s="1693" t="str">
        <f>+"Total "&amp;+C10</f>
        <v>Total Adjustments to Transmission Wages Expense (1) (2)</v>
      </c>
      <c r="D20" s="256">
        <f>SUM(D11:D19)</f>
        <v>231084.34028620363</v>
      </c>
      <c r="E20" s="255"/>
      <c r="F20" s="255"/>
      <c r="G20" s="255"/>
      <c r="H20" s="255"/>
      <c r="I20" s="1062" t="str">
        <f>+"Sum Ln "&amp;A10&amp;" Subparts"</f>
        <v>Sum Ln 4 Subparts</v>
      </c>
      <c r="J20" s="800"/>
    </row>
    <row r="21" spans="1:14">
      <c r="A21" s="801">
        <f>+A20+1</f>
        <v>6</v>
      </c>
      <c r="C21" s="41"/>
      <c r="D21" s="256"/>
      <c r="E21" s="255"/>
      <c r="F21" s="255"/>
      <c r="G21" s="255"/>
      <c r="H21" s="255"/>
      <c r="I21" s="211"/>
      <c r="J21" s="800"/>
    </row>
    <row r="22" spans="1:14">
      <c r="A22" s="801">
        <f>+A21+1</f>
        <v>7</v>
      </c>
      <c r="C22" s="41" t="s">
        <v>789</v>
      </c>
      <c r="D22" s="256"/>
      <c r="E22" s="255"/>
      <c r="F22" s="255"/>
      <c r="G22" s="255"/>
      <c r="H22" s="255"/>
      <c r="I22" s="211"/>
      <c r="J22" s="800"/>
    </row>
    <row r="23" spans="1:14">
      <c r="A23" s="803">
        <f t="shared" ref="A23:A29" si="1">+A22+0.1</f>
        <v>7.1</v>
      </c>
      <c r="C23" s="545" t="s">
        <v>780</v>
      </c>
      <c r="D23" s="172">
        <f>+'WP10 Storm'!D59</f>
        <v>263861.55028620362</v>
      </c>
      <c r="E23" s="255"/>
      <c r="F23" s="255"/>
      <c r="G23" s="255"/>
      <c r="H23" s="255"/>
      <c r="I23" s="211" t="str">
        <f>+"WP10 Storm Ln "&amp;'WP10 Storm'!A59&amp;" Col. "&amp;'WP10 Storm'!$D$6</f>
        <v>WP10 Storm Ln 22 Col. C</v>
      </c>
      <c r="J23" s="800"/>
    </row>
    <row r="24" spans="1:14">
      <c r="A24" s="803">
        <f t="shared" si="1"/>
        <v>7.1999999999999993</v>
      </c>
      <c r="C24" s="545" t="s">
        <v>781</v>
      </c>
      <c r="D24" s="172">
        <f>'WP AJ1 MISO'!H75</f>
        <v>0</v>
      </c>
      <c r="E24" s="255"/>
      <c r="F24" s="255"/>
      <c r="G24" s="255"/>
      <c r="H24" s="255"/>
      <c r="I24" s="211" t="str">
        <f>+"WP AJ1 MISO Ln "&amp;'WP AJ1 MISO'!A75&amp;" Col. "&amp;'WP AJ1 MISO'!H$8</f>
        <v>WP AJ1 MISO Ln 22 Col. G</v>
      </c>
      <c r="J24" s="800"/>
    </row>
    <row r="25" spans="1:14">
      <c r="A25" s="803">
        <f t="shared" si="1"/>
        <v>7.2999999999999989</v>
      </c>
      <c r="C25" s="545" t="s">
        <v>1116</v>
      </c>
      <c r="D25" s="172">
        <f>-'WP AJ2 ITC'!E63</f>
        <v>0</v>
      </c>
      <c r="E25" s="255"/>
      <c r="F25" s="255"/>
      <c r="G25" s="255"/>
      <c r="H25" s="255"/>
      <c r="I25" s="211" t="str">
        <f>"WP AJ2 ITC Ln "&amp;'WP AJ2 ITC'!A63&amp;" Col. "&amp;'WP AJ2 ITC'!E$6</f>
        <v>WP AJ2 ITC Ln 22 Col. C</v>
      </c>
      <c r="J25" s="800"/>
    </row>
    <row r="26" spans="1:14" s="871" customFormat="1">
      <c r="A26" s="803">
        <f t="shared" si="1"/>
        <v>7.3999999999999986</v>
      </c>
      <c r="B26" s="75"/>
      <c r="C26" s="1198" t="s">
        <v>875</v>
      </c>
      <c r="D26" s="256">
        <v>0</v>
      </c>
      <c r="E26" s="255"/>
      <c r="F26" s="255"/>
      <c r="G26" s="255"/>
      <c r="H26" s="255"/>
      <c r="I26" s="211" t="s">
        <v>874</v>
      </c>
      <c r="J26" s="800"/>
      <c r="L26" s="872"/>
      <c r="M26" s="872"/>
      <c r="N26" s="872"/>
    </row>
    <row r="27" spans="1:14" s="1317" customFormat="1">
      <c r="A27" s="803">
        <f t="shared" si="1"/>
        <v>7.4999999999999982</v>
      </c>
      <c r="B27" s="75"/>
      <c r="C27" s="1198" t="s">
        <v>1115</v>
      </c>
      <c r="D27" s="256">
        <f>-'WP AJ4 LA Merger'!D59</f>
        <v>-10368.710000000003</v>
      </c>
      <c r="E27" s="255"/>
      <c r="F27" s="255"/>
      <c r="G27" s="255"/>
      <c r="H27" s="255"/>
      <c r="I27" s="211" t="s">
        <v>1055</v>
      </c>
      <c r="J27" s="1316"/>
      <c r="L27" s="877"/>
      <c r="M27" s="877"/>
      <c r="N27" s="877"/>
    </row>
    <row r="28" spans="1:14" s="871" customFormat="1">
      <c r="A28" s="1617">
        <f t="shared" si="1"/>
        <v>7.5999999999999979</v>
      </c>
      <c r="B28" s="1618"/>
      <c r="C28" s="1622" t="s">
        <v>2163</v>
      </c>
      <c r="D28" s="2234">
        <f>+'Support to WP02'!H61</f>
        <v>-120.31999999999971</v>
      </c>
      <c r="E28" s="255"/>
      <c r="F28" s="255"/>
      <c r="G28" s="255"/>
      <c r="H28" s="255"/>
      <c r="I28" s="2235" t="str">
        <f>"Support to WP02 Ln "&amp;'Support to WP02'!A61&amp;" Column "&amp;'Support to WP02'!H6</f>
        <v>Support to WP02 Ln 22 Column H</v>
      </c>
      <c r="J28" s="800"/>
      <c r="L28" s="872"/>
      <c r="M28" s="872"/>
      <c r="N28" s="872"/>
    </row>
    <row r="29" spans="1:14" s="871" customFormat="1">
      <c r="A29" s="1617">
        <f t="shared" si="1"/>
        <v>7.6999999999999975</v>
      </c>
      <c r="B29" s="1618"/>
      <c r="C29" s="1202" t="s">
        <v>934</v>
      </c>
      <c r="D29" s="185"/>
      <c r="E29" s="255"/>
      <c r="F29" s="255"/>
      <c r="G29" s="255"/>
      <c r="H29" s="255"/>
      <c r="I29" s="1619"/>
      <c r="J29" s="800"/>
      <c r="L29" s="872"/>
      <c r="M29" s="872"/>
      <c r="N29" s="872"/>
    </row>
    <row r="30" spans="1:14" s="871" customFormat="1">
      <c r="A30" s="1617" t="s">
        <v>924</v>
      </c>
      <c r="B30" s="1618"/>
      <c r="C30" s="1202" t="s">
        <v>934</v>
      </c>
      <c r="D30" s="185"/>
      <c r="E30" s="255"/>
      <c r="F30" s="255"/>
      <c r="G30" s="255"/>
      <c r="H30" s="255"/>
      <c r="I30" s="1619"/>
      <c r="J30" s="800"/>
      <c r="L30" s="872"/>
      <c r="M30" s="872"/>
      <c r="N30" s="872"/>
    </row>
    <row r="31" spans="1:14" s="871" customFormat="1">
      <c r="A31" s="1617" t="str">
        <f>+A22&amp;".x"</f>
        <v>7.x</v>
      </c>
      <c r="B31" s="1618"/>
      <c r="C31" s="1202" t="s">
        <v>934</v>
      </c>
      <c r="D31" s="251"/>
      <c r="E31" s="255"/>
      <c r="F31" s="255"/>
      <c r="G31" s="255"/>
      <c r="H31" s="255"/>
      <c r="I31" s="1619"/>
      <c r="J31" s="800"/>
      <c r="L31" s="872"/>
      <c r="M31" s="872"/>
      <c r="N31" s="872"/>
    </row>
    <row r="32" spans="1:14">
      <c r="A32" s="801">
        <f>+A22+1</f>
        <v>8</v>
      </c>
      <c r="C32" s="1693" t="str">
        <f>+"Total "&amp;+C22</f>
        <v>Total Adjustment to Total Wages Expense (1) (2)</v>
      </c>
      <c r="D32" s="256">
        <f>SUM(D23:D31)</f>
        <v>253372.52028620362</v>
      </c>
      <c r="E32" s="255"/>
      <c r="F32" s="255"/>
      <c r="G32" s="255"/>
      <c r="H32" s="255"/>
      <c r="I32" s="1108" t="str">
        <f>+"Sum Ln "&amp;A22&amp;" Subparts"</f>
        <v>Sum Ln 7 Subparts</v>
      </c>
      <c r="J32" s="800"/>
    </row>
    <row r="33" spans="1:14">
      <c r="A33" s="801">
        <f>+A32+1</f>
        <v>9</v>
      </c>
      <c r="D33" s="256"/>
      <c r="E33" s="255"/>
      <c r="F33" s="255"/>
      <c r="G33" s="255"/>
      <c r="H33" s="255"/>
      <c r="I33" s="211"/>
      <c r="J33" s="800"/>
    </row>
    <row r="34" spans="1:14">
      <c r="A34" s="801">
        <f>+A33+1</f>
        <v>10</v>
      </c>
      <c r="C34" s="69" t="s">
        <v>784</v>
      </c>
      <c r="D34" s="256"/>
      <c r="E34" s="255"/>
      <c r="F34" s="255"/>
      <c r="G34" s="255"/>
      <c r="H34" s="255"/>
      <c r="I34" s="211"/>
      <c r="J34" s="800"/>
    </row>
    <row r="35" spans="1:14">
      <c r="A35" s="803">
        <f>+A34+0.1</f>
        <v>10.1</v>
      </c>
      <c r="C35" s="545" t="s">
        <v>780</v>
      </c>
      <c r="D35" s="900">
        <f>+'WP10 Storm'!D58</f>
        <v>0</v>
      </c>
      <c r="E35" s="255"/>
      <c r="F35" s="255"/>
      <c r="G35" s="255"/>
      <c r="H35" s="255"/>
      <c r="I35" s="211" t="str">
        <f>+"WP10 Storm Ln "&amp;'WP10 Storm'!A58&amp;" Col. "&amp;'WP10 Storm'!$D$6</f>
        <v>WP10 Storm Ln 21 Col. C</v>
      </c>
      <c r="J35" s="800"/>
    </row>
    <row r="36" spans="1:14">
      <c r="A36" s="803">
        <f>+A35+0.1</f>
        <v>10.199999999999999</v>
      </c>
      <c r="C36" s="545" t="s">
        <v>781</v>
      </c>
      <c r="D36" s="900">
        <f>'WP AJ1 MISO'!H74</f>
        <v>0</v>
      </c>
      <c r="E36" s="255"/>
      <c r="F36" s="255"/>
      <c r="G36" s="255"/>
      <c r="H36" s="255"/>
      <c r="I36" s="211" t="str">
        <f>+"WP AJ1 MISO Ln "&amp;'WP AJ1 MISO'!A74&amp;" Col. "&amp;'WP AJ1 MISO'!H$8</f>
        <v>WP AJ1 MISO Ln 21 Col. G</v>
      </c>
      <c r="J36" s="800"/>
    </row>
    <row r="37" spans="1:14">
      <c r="A37" s="803">
        <f>+A36+0.1</f>
        <v>10.299999999999999</v>
      </c>
      <c r="C37" s="545" t="s">
        <v>1116</v>
      </c>
      <c r="D37" s="900">
        <f>-'WP AJ2 ITC'!E62</f>
        <v>0</v>
      </c>
      <c r="E37" s="255"/>
      <c r="F37" s="255"/>
      <c r="G37" s="255"/>
      <c r="H37" s="255"/>
      <c r="I37" s="211" t="str">
        <f>"WP AJ2 ITC Ln "&amp;'WP AJ2 ITC'!A62&amp;" Col. "&amp;'WP AJ2 ITC'!E$6</f>
        <v>WP AJ2 ITC Ln 21 Col. C</v>
      </c>
      <c r="J37" s="800"/>
    </row>
    <row r="38" spans="1:14" s="871" customFormat="1">
      <c r="A38" s="803">
        <f>+A37+0.1</f>
        <v>10.399999999999999</v>
      </c>
      <c r="B38" s="75"/>
      <c r="C38" s="1198" t="s">
        <v>875</v>
      </c>
      <c r="D38" s="256">
        <v>0</v>
      </c>
      <c r="E38" s="255"/>
      <c r="F38" s="255"/>
      <c r="G38" s="255"/>
      <c r="H38" s="255"/>
      <c r="I38" s="211" t="s">
        <v>874</v>
      </c>
      <c r="J38" s="800"/>
      <c r="L38" s="872"/>
      <c r="M38" s="872"/>
      <c r="N38" s="872"/>
    </row>
    <row r="39" spans="1:14" s="1317" customFormat="1">
      <c r="A39" s="803">
        <f t="shared" ref="A39:A41" si="2">+A38+0.1</f>
        <v>10.499999999999998</v>
      </c>
      <c r="B39" s="75"/>
      <c r="C39" s="1198" t="s">
        <v>1115</v>
      </c>
      <c r="D39" s="256">
        <f>-'WP AJ4 LA Merger'!D58</f>
        <v>-10263.780000000002</v>
      </c>
      <c r="E39" s="255"/>
      <c r="F39" s="255"/>
      <c r="G39" s="255"/>
      <c r="H39" s="255"/>
      <c r="I39" s="211" t="s">
        <v>1056</v>
      </c>
      <c r="J39" s="1316"/>
      <c r="L39" s="877"/>
      <c r="M39" s="877"/>
      <c r="N39" s="877"/>
    </row>
    <row r="40" spans="1:14" s="871" customFormat="1">
      <c r="A40" s="1617">
        <f t="shared" si="2"/>
        <v>10.599999999999998</v>
      </c>
      <c r="B40" s="1618"/>
      <c r="C40" s="1622" t="s">
        <v>2163</v>
      </c>
      <c r="D40" s="2234">
        <f>+'Support to WP02'!H60</f>
        <v>32408.68</v>
      </c>
      <c r="E40" s="255"/>
      <c r="F40" s="255"/>
      <c r="G40" s="255"/>
      <c r="H40" s="255"/>
      <c r="I40" s="2235" t="str">
        <f>"Support to WP02 Ln "&amp;'Support to WP02'!A60&amp;" Column "&amp;'Support to WP02'!H6</f>
        <v>Support to WP02 Ln 21 Column H</v>
      </c>
      <c r="J40" s="800"/>
      <c r="L40" s="872"/>
      <c r="M40" s="872"/>
      <c r="N40" s="872"/>
    </row>
    <row r="41" spans="1:14" s="871" customFormat="1">
      <c r="A41" s="1617">
        <f t="shared" si="2"/>
        <v>10.699999999999998</v>
      </c>
      <c r="B41" s="1618"/>
      <c r="C41" s="1202" t="s">
        <v>934</v>
      </c>
      <c r="D41" s="185"/>
      <c r="E41" s="255"/>
      <c r="F41" s="255"/>
      <c r="G41" s="255"/>
      <c r="H41" s="255"/>
      <c r="I41" s="1619"/>
      <c r="J41" s="800"/>
      <c r="L41" s="872"/>
      <c r="M41" s="872"/>
      <c r="N41" s="872"/>
    </row>
    <row r="42" spans="1:14" s="871" customFormat="1">
      <c r="A42" s="1617" t="s">
        <v>924</v>
      </c>
      <c r="B42" s="1618"/>
      <c r="C42" s="1202" t="s">
        <v>934</v>
      </c>
      <c r="D42" s="185"/>
      <c r="E42" s="255"/>
      <c r="F42" s="255"/>
      <c r="G42" s="255"/>
      <c r="H42" s="255"/>
      <c r="I42" s="1619"/>
      <c r="J42" s="800"/>
      <c r="L42" s="872"/>
      <c r="M42" s="872"/>
      <c r="N42" s="872"/>
    </row>
    <row r="43" spans="1:14" s="871" customFormat="1">
      <c r="A43" s="1617" t="str">
        <f>+A34&amp;".x"</f>
        <v>10.x</v>
      </c>
      <c r="B43" s="1618"/>
      <c r="C43" s="1202" t="s">
        <v>934</v>
      </c>
      <c r="D43" s="251"/>
      <c r="E43" s="255"/>
      <c r="F43" s="255"/>
      <c r="G43" s="255"/>
      <c r="H43" s="255"/>
      <c r="I43" s="1619"/>
      <c r="J43" s="800"/>
      <c r="L43" s="872"/>
      <c r="M43" s="872"/>
      <c r="N43" s="872"/>
    </row>
    <row r="44" spans="1:14">
      <c r="A44" s="801">
        <f>+A34+1</f>
        <v>11</v>
      </c>
      <c r="C44" s="676" t="str">
        <f>+"Total "&amp;+C34</f>
        <v>Total Adjustment to A&amp;G Wages Expense (1) (2)</v>
      </c>
      <c r="D44" s="256">
        <f>SUM(D35:D43)</f>
        <v>22144.899999999998</v>
      </c>
      <c r="E44" s="255"/>
      <c r="F44" s="255"/>
      <c r="G44" s="255"/>
      <c r="H44" s="255"/>
      <c r="I44" s="1108" t="str">
        <f>+"Sum Ln "&amp;A34&amp;" Subparts"</f>
        <v>Sum Ln 10 Subparts</v>
      </c>
      <c r="J44" s="800"/>
    </row>
    <row r="45" spans="1:14">
      <c r="A45" s="801">
        <f>+A44+1</f>
        <v>12</v>
      </c>
      <c r="B45" s="257"/>
      <c r="D45" s="243"/>
      <c r="I45" s="211"/>
      <c r="J45" s="800"/>
    </row>
    <row r="46" spans="1:14">
      <c r="A46" s="801">
        <f>+A45+1</f>
        <v>13</v>
      </c>
      <c r="B46" s="597" t="s">
        <v>107</v>
      </c>
      <c r="C46" s="594"/>
      <c r="D46" s="595"/>
      <c r="E46" s="595"/>
      <c r="F46" s="596"/>
      <c r="G46" s="598"/>
      <c r="H46" s="599"/>
      <c r="I46" s="651"/>
      <c r="J46" s="800"/>
      <c r="K46" s="220"/>
      <c r="L46" s="228"/>
      <c r="M46" s="228"/>
    </row>
    <row r="47" spans="1:14">
      <c r="A47" s="801">
        <f>+A46+1</f>
        <v>14</v>
      </c>
      <c r="B47" s="220" t="s">
        <v>67</v>
      </c>
      <c r="C47" s="220" t="s">
        <v>114</v>
      </c>
      <c r="D47" s="220" t="s">
        <v>55</v>
      </c>
      <c r="E47" s="220" t="s">
        <v>68</v>
      </c>
      <c r="F47" s="220" t="s">
        <v>66</v>
      </c>
      <c r="G47" s="220" t="s">
        <v>154</v>
      </c>
      <c r="H47" s="220" t="s">
        <v>69</v>
      </c>
      <c r="I47" s="220" t="s">
        <v>166</v>
      </c>
    </row>
    <row r="48" spans="1:14" ht="13.2" customHeight="1">
      <c r="A48" s="801">
        <f>+A47+1</f>
        <v>15</v>
      </c>
      <c r="B48" s="69" t="s">
        <v>865</v>
      </c>
      <c r="C48" s="262"/>
      <c r="D48" s="547" t="s">
        <v>523</v>
      </c>
      <c r="E48" s="547" t="s">
        <v>491</v>
      </c>
      <c r="F48" s="547" t="s">
        <v>135</v>
      </c>
      <c r="G48" s="547" t="s">
        <v>157</v>
      </c>
      <c r="H48" s="547" t="s">
        <v>142</v>
      </c>
      <c r="I48" s="652" t="s">
        <v>139</v>
      </c>
    </row>
    <row r="49" spans="1:15">
      <c r="A49" s="801">
        <v>16</v>
      </c>
      <c r="C49" s="80" t="s">
        <v>470</v>
      </c>
      <c r="D49" s="189"/>
      <c r="E49" s="190"/>
      <c r="F49" s="190"/>
      <c r="G49" s="255"/>
      <c r="H49" s="255"/>
    </row>
    <row r="50" spans="1:15">
      <c r="A50" s="803">
        <f>+A49+0.1</f>
        <v>16.100000000000001</v>
      </c>
      <c r="B50" s="257"/>
      <c r="C50" s="545" t="s">
        <v>467</v>
      </c>
      <c r="D50" s="191">
        <f>'WP20 Reserves'!Q8</f>
        <v>4953882.8946153875</v>
      </c>
      <c r="E50" s="267">
        <f t="shared" ref="E50:E54" si="3">+D50</f>
        <v>4953882.8946153875</v>
      </c>
      <c r="F50" s="190"/>
      <c r="G50" s="177"/>
      <c r="H50" s="76"/>
      <c r="I50" s="211" t="str">
        <f>+"WP20 Reserves Ln "&amp;'WP20 Reserves'!A8&amp;" Col. "&amp;'WP20 Reserves'!Q$5</f>
        <v>WP20 Reserves Ln 2.01 Col. P</v>
      </c>
    </row>
    <row r="51" spans="1:15">
      <c r="A51" s="803">
        <f>+A50+0.1</f>
        <v>16.200000000000003</v>
      </c>
      <c r="B51" s="257"/>
      <c r="C51" s="545" t="s">
        <v>628</v>
      </c>
      <c r="D51" s="191">
        <f>'WP20 Reserves'!Q9</f>
        <v>0</v>
      </c>
      <c r="E51" s="267">
        <f t="shared" si="3"/>
        <v>0</v>
      </c>
      <c r="F51" s="190"/>
      <c r="G51" s="177"/>
      <c r="H51" s="76"/>
      <c r="I51" s="211" t="str">
        <f>+"WP20 Reserves Ln "&amp;'WP20 Reserves'!A9&amp;" Col. "&amp;'WP20 Reserves'!Q$5</f>
        <v>WP20 Reserves Ln 2.02 Col. P</v>
      </c>
    </row>
    <row r="52" spans="1:15">
      <c r="A52" s="803">
        <f>+A51+0.1</f>
        <v>16.300000000000004</v>
      </c>
      <c r="B52" s="257"/>
      <c r="C52" s="545" t="s">
        <v>468</v>
      </c>
      <c r="D52" s="191">
        <f>'WP20 Reserves'!Q10</f>
        <v>0</v>
      </c>
      <c r="E52" s="267">
        <f t="shared" si="3"/>
        <v>0</v>
      </c>
      <c r="F52" s="190"/>
      <c r="G52" s="177"/>
      <c r="H52" s="76"/>
      <c r="I52" s="211" t="str">
        <f>+"WP20 Reserves Ln "&amp;'WP20 Reserves'!A10&amp;" Col. "&amp;'WP20 Reserves'!Q$5</f>
        <v>WP20 Reserves Ln 2.03 Col. P</v>
      </c>
    </row>
    <row r="53" spans="1:15">
      <c r="A53" s="803">
        <f t="shared" ref="A53:A55" si="4">+A52+0.1</f>
        <v>16.400000000000006</v>
      </c>
      <c r="B53" s="257"/>
      <c r="C53" s="545" t="s">
        <v>813</v>
      </c>
      <c r="D53" s="191">
        <f>'WP20 Reserves'!Q11</f>
        <v>0</v>
      </c>
      <c r="E53" s="267">
        <f t="shared" si="3"/>
        <v>0</v>
      </c>
      <c r="F53" s="190"/>
      <c r="G53" s="177"/>
      <c r="H53" s="76"/>
      <c r="I53" s="211" t="str">
        <f>+"WP20 Reserves Ln "&amp;'WP20 Reserves'!A11&amp;" Col. "&amp;'WP20 Reserves'!Q$5</f>
        <v>WP20 Reserves Ln 2.04 Col. P</v>
      </c>
    </row>
    <row r="54" spans="1:15">
      <c r="A54" s="803">
        <f t="shared" si="4"/>
        <v>16.500000000000007</v>
      </c>
      <c r="B54" s="257"/>
      <c r="C54" s="545" t="s">
        <v>488</v>
      </c>
      <c r="D54" s="191">
        <f>'WP20 Reserves'!Q12</f>
        <v>-4953882.8946153857</v>
      </c>
      <c r="E54" s="267">
        <f t="shared" si="3"/>
        <v>-4953882.8946153857</v>
      </c>
      <c r="F54" s="190"/>
      <c r="G54" s="267"/>
      <c r="H54" s="76"/>
      <c r="I54" s="211" t="str">
        <f>+"WP20 Reserves Ln "&amp;'WP20 Reserves'!A12&amp;" Col. "&amp;'WP20 Reserves'!Q$5</f>
        <v>WP20 Reserves Ln 2.05 Col. P</v>
      </c>
    </row>
    <row r="55" spans="1:15">
      <c r="A55" s="803">
        <f t="shared" si="4"/>
        <v>16.600000000000009</v>
      </c>
      <c r="B55" s="257"/>
      <c r="C55" s="545" t="s">
        <v>469</v>
      </c>
      <c r="D55" s="191">
        <f>'WP20 Reserves'!Q13</f>
        <v>-284915573.1769231</v>
      </c>
      <c r="E55" s="177">
        <f>D55</f>
        <v>-284915573.1769231</v>
      </c>
      <c r="F55" s="190"/>
      <c r="G55" s="177"/>
      <c r="H55" s="76"/>
      <c r="I55" s="211" t="str">
        <f>+"WP20 Reserves Ln "&amp;'WP20 Reserves'!A13&amp;" Col. "&amp;'WP20 Reserves'!Q$5</f>
        <v>WP20 Reserves Ln 2.06 Col. P</v>
      </c>
    </row>
    <row r="56" spans="1:15" s="871" customFormat="1">
      <c r="A56" s="1617">
        <f>+A55+0.1</f>
        <v>16.70000000000001</v>
      </c>
      <c r="B56" s="1618"/>
      <c r="C56" s="1202" t="s">
        <v>934</v>
      </c>
      <c r="D56" s="185"/>
      <c r="E56" s="1620"/>
      <c r="F56" s="1620"/>
      <c r="G56" s="1620"/>
      <c r="H56" s="1620"/>
      <c r="I56" s="1619"/>
      <c r="J56" s="800"/>
      <c r="L56" s="872"/>
      <c r="M56" s="872"/>
      <c r="N56" s="872"/>
    </row>
    <row r="57" spans="1:15" s="871" customFormat="1">
      <c r="A57" s="1617" t="s">
        <v>924</v>
      </c>
      <c r="B57" s="1618"/>
      <c r="C57" s="1202" t="s">
        <v>934</v>
      </c>
      <c r="D57" s="185"/>
      <c r="E57" s="1620"/>
      <c r="F57" s="1620"/>
      <c r="G57" s="1620"/>
      <c r="H57" s="1620"/>
      <c r="I57" s="1619"/>
      <c r="J57" s="800"/>
      <c r="L57" s="872"/>
      <c r="M57" s="872"/>
      <c r="N57" s="872"/>
    </row>
    <row r="58" spans="1:15" s="871" customFormat="1">
      <c r="A58" s="1617" t="str">
        <f>+A49&amp;".x"</f>
        <v>16.x</v>
      </c>
      <c r="B58" s="1618"/>
      <c r="C58" s="1202" t="s">
        <v>934</v>
      </c>
      <c r="D58" s="251"/>
      <c r="E58" s="1621"/>
      <c r="F58" s="1621"/>
      <c r="G58" s="1621"/>
      <c r="H58" s="1621"/>
      <c r="I58" s="1619"/>
      <c r="J58" s="800"/>
      <c r="L58" s="872"/>
      <c r="M58" s="872"/>
      <c r="N58" s="872"/>
    </row>
    <row r="59" spans="1:15" s="804" customFormat="1">
      <c r="A59" s="950">
        <f>+A49+1</f>
        <v>17</v>
      </c>
      <c r="B59" s="257"/>
      <c r="C59" s="859" t="str">
        <f>+"2281 Total "&amp;C49</f>
        <v>2281 Total Accumulated Provision for Property Insurance</v>
      </c>
      <c r="D59" s="195">
        <f>SUM(D50:D58)</f>
        <v>-284915573.1769231</v>
      </c>
      <c r="E59" s="195">
        <f>SUM(E50:E58)</f>
        <v>-284915573.1769231</v>
      </c>
      <c r="F59" s="195">
        <f>SUM(F50:F58)</f>
        <v>0</v>
      </c>
      <c r="G59" s="195">
        <f>SUM(G50:G58)</f>
        <v>0</v>
      </c>
      <c r="H59" s="195">
        <f>SUM(H50:H58)</f>
        <v>0</v>
      </c>
      <c r="I59" s="910" t="str">
        <f>+"Sum Ln "&amp;A49&amp;" Subparts"</f>
        <v>Sum Ln 16 Subparts</v>
      </c>
      <c r="J59" s="61"/>
      <c r="L59" s="805"/>
      <c r="M59" s="805"/>
      <c r="N59" s="805"/>
    </row>
    <row r="60" spans="1:15">
      <c r="A60" s="801">
        <f>+A59+1</f>
        <v>18</v>
      </c>
      <c r="C60" s="257" t="s">
        <v>487</v>
      </c>
      <c r="D60" s="191"/>
      <c r="E60" s="76"/>
      <c r="F60" s="190"/>
      <c r="G60" s="177"/>
      <c r="H60" s="76"/>
      <c r="N60" s="255"/>
      <c r="O60" s="75"/>
    </row>
    <row r="61" spans="1:15">
      <c r="A61" s="803">
        <f>+A60+0.1</f>
        <v>18.100000000000001</v>
      </c>
      <c r="B61" s="75"/>
      <c r="C61" s="1203" t="s">
        <v>489</v>
      </c>
      <c r="D61" s="1336">
        <f>'WP20 Reserves'!Q14</f>
        <v>-10258052.090000005</v>
      </c>
      <c r="E61" s="76"/>
      <c r="F61" s="190"/>
      <c r="G61" s="255"/>
      <c r="H61" s="177">
        <f>+D61</f>
        <v>-10258052.090000005</v>
      </c>
      <c r="I61" s="211" t="str">
        <f>+"WP20 Reserves Ln "&amp;'WP20 Reserves'!A14&amp;" Col. "&amp;'WP20 Reserves'!Q$5</f>
        <v>WP20 Reserves Ln 2.07 Col. P</v>
      </c>
    </row>
    <row r="62" spans="1:15">
      <c r="A62" s="803">
        <f>+A61+0.1</f>
        <v>18.200000000000003</v>
      </c>
      <c r="B62" s="75"/>
      <c r="C62" s="1203" t="s">
        <v>490</v>
      </c>
      <c r="D62" s="194">
        <f>'WP20 Reserves'!Q15</f>
        <v>-6270518.7146153897</v>
      </c>
      <c r="E62" s="76"/>
      <c r="F62" s="190"/>
      <c r="G62" s="255"/>
      <c r="H62" s="177">
        <f>+D62</f>
        <v>-6270518.7146153897</v>
      </c>
      <c r="I62" s="211" t="str">
        <f>+"WP20 Reserves Ln "&amp;'WP20 Reserves'!A15&amp;" Col. "&amp;'WP20 Reserves'!Q$5</f>
        <v>WP20 Reserves Ln 2.08 Col. P</v>
      </c>
      <c r="N62" s="255"/>
      <c r="O62" s="75"/>
    </row>
    <row r="63" spans="1:15" s="871" customFormat="1">
      <c r="A63" s="1617">
        <f>+A62+0.1</f>
        <v>18.300000000000004</v>
      </c>
      <c r="B63" s="1618"/>
      <c r="C63" s="1202" t="s">
        <v>934</v>
      </c>
      <c r="D63" s="185"/>
      <c r="E63" s="1620"/>
      <c r="F63" s="1620"/>
      <c r="G63" s="1620"/>
      <c r="H63" s="1620"/>
      <c r="I63" s="1619"/>
      <c r="J63" s="800"/>
      <c r="L63" s="872"/>
      <c r="M63" s="872"/>
      <c r="N63" s="872"/>
    </row>
    <row r="64" spans="1:15" s="871" customFormat="1">
      <c r="A64" s="1617" t="s">
        <v>924</v>
      </c>
      <c r="B64" s="1618"/>
      <c r="C64" s="1202" t="s">
        <v>934</v>
      </c>
      <c r="D64" s="185"/>
      <c r="E64" s="1620"/>
      <c r="F64" s="1620"/>
      <c r="G64" s="1620"/>
      <c r="H64" s="1620"/>
      <c r="I64" s="1619"/>
      <c r="J64" s="800"/>
      <c r="L64" s="872"/>
      <c r="M64" s="872"/>
      <c r="N64" s="872"/>
    </row>
    <row r="65" spans="1:15" s="871" customFormat="1">
      <c r="A65" s="1617" t="str">
        <f>+A60&amp;".x"</f>
        <v>18.x</v>
      </c>
      <c r="B65" s="1618"/>
      <c r="C65" s="1202" t="s">
        <v>934</v>
      </c>
      <c r="D65" s="251"/>
      <c r="E65" s="1621"/>
      <c r="F65" s="1621"/>
      <c r="G65" s="1621"/>
      <c r="H65" s="1621"/>
      <c r="I65" s="1619"/>
      <c r="J65" s="800"/>
      <c r="L65" s="872"/>
      <c r="M65" s="872"/>
      <c r="N65" s="872"/>
    </row>
    <row r="66" spans="1:15">
      <c r="A66" s="801">
        <f>+A60+1</f>
        <v>19</v>
      </c>
      <c r="B66" s="75"/>
      <c r="C66" s="860" t="str">
        <f>+"2282 Total "&amp;C60</f>
        <v>2282 Total Accumulated Provision for Injuries and Damages</v>
      </c>
      <c r="D66" s="194">
        <f>SUM(D61:D65)</f>
        <v>-16528570.804615395</v>
      </c>
      <c r="E66" s="194">
        <f t="shared" ref="E66:H66" si="5">SUM(E61:E65)</f>
        <v>0</v>
      </c>
      <c r="F66" s="194">
        <f t="shared" si="5"/>
        <v>0</v>
      </c>
      <c r="G66" s="194">
        <f t="shared" si="5"/>
        <v>0</v>
      </c>
      <c r="H66" s="194">
        <f t="shared" si="5"/>
        <v>-16528570.804615395</v>
      </c>
      <c r="I66" s="1191" t="str">
        <f>+"Sum Ln "&amp;A60&amp;" Subparts"</f>
        <v>Sum Ln 18 Subparts</v>
      </c>
    </row>
    <row r="67" spans="1:15">
      <c r="A67" s="801">
        <f>+A66+1</f>
        <v>20</v>
      </c>
      <c r="C67" s="257" t="s">
        <v>471</v>
      </c>
      <c r="D67" s="198"/>
      <c r="E67" s="76"/>
      <c r="F67" s="190"/>
      <c r="G67" s="255"/>
      <c r="H67" s="76"/>
      <c r="I67" s="211"/>
      <c r="N67" s="255"/>
      <c r="O67" s="75"/>
    </row>
    <row r="68" spans="1:15">
      <c r="A68" s="803">
        <f>+A67+0.1</f>
        <v>20.100000000000001</v>
      </c>
      <c r="B68" s="257"/>
      <c r="C68" s="1203" t="s">
        <v>633</v>
      </c>
      <c r="D68" s="191">
        <f>'WP20 Reserves'!Q16</f>
        <v>-13930821.045384619</v>
      </c>
      <c r="E68" s="76"/>
      <c r="F68" s="190"/>
      <c r="G68" s="255"/>
      <c r="H68" s="177">
        <f>+D68</f>
        <v>-13930821.045384619</v>
      </c>
      <c r="I68" s="211" t="str">
        <f>+"WP20 Reserves Ln 2.09 Col. "&amp;'WP20 Reserves'!Q$5</f>
        <v>WP20 Reserves Ln 2.09 Col. P</v>
      </c>
    </row>
    <row r="69" spans="1:15">
      <c r="A69" s="803">
        <f>+A68+0.1</f>
        <v>20.200000000000003</v>
      </c>
      <c r="B69" s="257"/>
      <c r="C69" s="1203" t="s">
        <v>632</v>
      </c>
      <c r="D69" s="191">
        <f>'WP20 Reserves'!Q17</f>
        <v>-325288032.48923075</v>
      </c>
      <c r="E69" s="177">
        <f>+D69</f>
        <v>-325288032.48923075</v>
      </c>
      <c r="F69" s="190"/>
      <c r="G69" s="255"/>
      <c r="H69" s="193"/>
      <c r="I69" s="211" t="str">
        <f>+"WP20 Reserves Ln 2.10 Col. "&amp;'WP20 Reserves'!Q$5</f>
        <v>WP20 Reserves Ln 2.10 Col. P</v>
      </c>
      <c r="N69" s="255"/>
      <c r="O69" s="75"/>
    </row>
    <row r="70" spans="1:15" s="871" customFormat="1">
      <c r="A70" s="1617">
        <f>+A69+0.1</f>
        <v>20.300000000000004</v>
      </c>
      <c r="B70" s="1618"/>
      <c r="C70" s="1202" t="s">
        <v>934</v>
      </c>
      <c r="D70" s="185"/>
      <c r="E70" s="1620"/>
      <c r="F70" s="1620"/>
      <c r="G70" s="1620"/>
      <c r="H70" s="1620"/>
      <c r="I70" s="1619"/>
      <c r="J70" s="800"/>
      <c r="L70" s="872"/>
      <c r="M70" s="872"/>
      <c r="N70" s="872"/>
    </row>
    <row r="71" spans="1:15" s="871" customFormat="1">
      <c r="A71" s="1617" t="s">
        <v>924</v>
      </c>
      <c r="B71" s="1618"/>
      <c r="C71" s="1202" t="s">
        <v>934</v>
      </c>
      <c r="D71" s="185"/>
      <c r="E71" s="1620"/>
      <c r="F71" s="1620"/>
      <c r="G71" s="1620"/>
      <c r="H71" s="1620"/>
      <c r="I71" s="1619"/>
      <c r="J71" s="800"/>
      <c r="L71" s="872"/>
      <c r="M71" s="872"/>
      <c r="N71" s="872"/>
    </row>
    <row r="72" spans="1:15" s="871" customFormat="1">
      <c r="A72" s="1617" t="str">
        <f>+A67&amp;".x"</f>
        <v>20.x</v>
      </c>
      <c r="B72" s="1618"/>
      <c r="C72" s="1202" t="s">
        <v>934</v>
      </c>
      <c r="D72" s="251"/>
      <c r="E72" s="1621"/>
      <c r="F72" s="1621"/>
      <c r="G72" s="1621"/>
      <c r="H72" s="1621"/>
      <c r="I72" s="1619"/>
      <c r="J72" s="800"/>
      <c r="L72" s="872"/>
      <c r="M72" s="872"/>
      <c r="N72" s="872"/>
    </row>
    <row r="73" spans="1:15">
      <c r="A73" s="801">
        <f>+A67+1</f>
        <v>21</v>
      </c>
      <c r="B73" s="257"/>
      <c r="C73" s="860" t="str">
        <f>+"2283 Total "&amp;C67</f>
        <v>2283 Total Accumulated Provision for Pensions and Benefits</v>
      </c>
      <c r="D73" s="194">
        <f>SUM(D68:D72)</f>
        <v>-339218853.5346154</v>
      </c>
      <c r="E73" s="194">
        <f t="shared" ref="E73:H73" si="6">SUM(E68:E72)</f>
        <v>-325288032.48923075</v>
      </c>
      <c r="F73" s="194">
        <f t="shared" si="6"/>
        <v>0</v>
      </c>
      <c r="G73" s="194">
        <f t="shared" si="6"/>
        <v>0</v>
      </c>
      <c r="H73" s="194">
        <f t="shared" si="6"/>
        <v>-13930821.045384619</v>
      </c>
      <c r="I73" s="1191" t="str">
        <f>+"Sum Ln "&amp;A67&amp;" Subparts"</f>
        <v>Sum Ln 20 Subparts</v>
      </c>
      <c r="N73" s="255"/>
      <c r="O73" s="75"/>
    </row>
    <row r="74" spans="1:15">
      <c r="A74" s="801">
        <f>+A73+1</f>
        <v>22</v>
      </c>
      <c r="C74" s="257" t="s">
        <v>472</v>
      </c>
      <c r="D74" s="195"/>
      <c r="E74" s="76"/>
      <c r="F74" s="190"/>
      <c r="G74" s="255"/>
      <c r="H74" s="76"/>
      <c r="I74" s="211"/>
    </row>
    <row r="75" spans="1:15">
      <c r="A75" s="803">
        <f>+A74+0.1</f>
        <v>22.1</v>
      </c>
      <c r="B75" s="257"/>
      <c r="C75" s="1203" t="s">
        <v>629</v>
      </c>
      <c r="D75" s="1336">
        <f>'WP20 Reserves'!Q18</f>
        <v>-2315349.7069230904</v>
      </c>
      <c r="E75" s="177">
        <f>+D75</f>
        <v>-2315349.7069230904</v>
      </c>
      <c r="F75" s="190"/>
      <c r="G75" s="255"/>
      <c r="H75" s="76"/>
      <c r="I75" s="211" t="str">
        <f>+"WP20 Reserves Ln "&amp;'WP20 Reserves'!A18&amp;" Col. "&amp;'WP20 Reserves'!Q$5</f>
        <v>WP20 Reserves Ln 2.11 Col. P</v>
      </c>
      <c r="N75" s="255"/>
      <c r="O75" s="75"/>
    </row>
    <row r="76" spans="1:15">
      <c r="A76" s="803">
        <f>+A75+0.1</f>
        <v>22.200000000000003</v>
      </c>
      <c r="B76" s="257"/>
      <c r="C76" s="1203" t="s">
        <v>630</v>
      </c>
      <c r="D76" s="1336">
        <f>'WP20 Reserves'!Q19</f>
        <v>286465.3292307689</v>
      </c>
      <c r="E76" s="177">
        <f>+D76</f>
        <v>286465.3292307689</v>
      </c>
      <c r="F76" s="190"/>
      <c r="G76" s="255"/>
      <c r="H76" s="76"/>
      <c r="I76" s="211" t="str">
        <f>+"WP20 Reserves Ln "&amp;'WP20 Reserves'!A19&amp;" Col. "&amp;'WP20 Reserves'!Q$5</f>
        <v>WP20 Reserves Ln 2.12 Col. P</v>
      </c>
    </row>
    <row r="77" spans="1:15">
      <c r="A77" s="803">
        <f>+A76+0.1</f>
        <v>22.300000000000004</v>
      </c>
      <c r="B77" s="257"/>
      <c r="C77" s="1203" t="s">
        <v>631</v>
      </c>
      <c r="D77" s="1336">
        <f>'WP20 Reserves'!Q20</f>
        <v>0</v>
      </c>
      <c r="E77" s="177">
        <f>+D77</f>
        <v>0</v>
      </c>
      <c r="F77" s="190"/>
      <c r="G77" s="255"/>
      <c r="H77" s="255"/>
      <c r="I77" s="211" t="str">
        <f>+"WP20 Reserves Ln "&amp;'WP20 Reserves'!A20&amp;" Col. "&amp;'WP20 Reserves'!Q$5</f>
        <v>WP20 Reserves Ln 2.13 Col. P</v>
      </c>
      <c r="N77" s="255"/>
      <c r="O77" s="75"/>
    </row>
    <row r="78" spans="1:15">
      <c r="A78" s="803">
        <f>+A77+0.1</f>
        <v>22.400000000000006</v>
      </c>
      <c r="B78" s="257"/>
      <c r="C78" s="1203" t="s">
        <v>635</v>
      </c>
      <c r="D78" s="194">
        <f>'WP20 Reserves'!Q21</f>
        <v>-15384.615384615385</v>
      </c>
      <c r="E78" s="177">
        <f>+D78</f>
        <v>-15384.615384615385</v>
      </c>
      <c r="F78" s="190"/>
      <c r="G78" s="255"/>
      <c r="H78" s="76"/>
      <c r="I78" s="1190" t="str">
        <f>+"WP20 Reserves Ln "&amp;'WP20 Reserves'!A21&amp;" Col. "&amp;'WP20 Reserves'!Q$5</f>
        <v>WP20 Reserves Ln 2.14 Col. P</v>
      </c>
    </row>
    <row r="79" spans="1:15" s="871" customFormat="1">
      <c r="A79" s="1617">
        <f>+A78+0.1</f>
        <v>22.500000000000007</v>
      </c>
      <c r="B79" s="1618"/>
      <c r="C79" s="1202" t="s">
        <v>934</v>
      </c>
      <c r="D79" s="185"/>
      <c r="E79" s="1620"/>
      <c r="F79" s="1620"/>
      <c r="G79" s="1620"/>
      <c r="H79" s="1620"/>
      <c r="I79" s="1619"/>
      <c r="J79" s="800"/>
      <c r="L79" s="872"/>
      <c r="M79" s="872"/>
      <c r="N79" s="872"/>
    </row>
    <row r="80" spans="1:15" s="871" customFormat="1">
      <c r="A80" s="1617" t="s">
        <v>924</v>
      </c>
      <c r="B80" s="1618"/>
      <c r="C80" s="1202" t="s">
        <v>934</v>
      </c>
      <c r="D80" s="185"/>
      <c r="E80" s="1620"/>
      <c r="F80" s="1620"/>
      <c r="G80" s="1620"/>
      <c r="H80" s="1620"/>
      <c r="I80" s="1619"/>
      <c r="J80" s="800"/>
      <c r="L80" s="872"/>
      <c r="M80" s="872"/>
      <c r="N80" s="872"/>
    </row>
    <row r="81" spans="1:19" s="871" customFormat="1">
      <c r="A81" s="1617" t="str">
        <f>+A74&amp;".x"</f>
        <v>22.x</v>
      </c>
      <c r="B81" s="1618"/>
      <c r="C81" s="1202" t="s">
        <v>934</v>
      </c>
      <c r="D81" s="251"/>
      <c r="E81" s="1621"/>
      <c r="F81" s="1621"/>
      <c r="G81" s="1621"/>
      <c r="H81" s="1621"/>
      <c r="I81" s="1619"/>
      <c r="J81" s="800"/>
      <c r="L81" s="872"/>
      <c r="M81" s="872"/>
      <c r="N81" s="872"/>
    </row>
    <row r="82" spans="1:19">
      <c r="A82" s="801">
        <f>+A74+1</f>
        <v>23</v>
      </c>
      <c r="B82" s="257"/>
      <c r="C82" s="860" t="str">
        <f>+"2284 Total "&amp;C74</f>
        <v>2284 Total Accumulated Miscellaneous Operating Provisions</v>
      </c>
      <c r="D82" s="196">
        <f>SUM(D75:D81)</f>
        <v>-2044268.993076937</v>
      </c>
      <c r="E82" s="196">
        <f t="shared" ref="E82:H82" si="7">SUM(E75:E81)</f>
        <v>-2044268.993076937</v>
      </c>
      <c r="F82" s="196">
        <f t="shared" si="7"/>
        <v>0</v>
      </c>
      <c r="G82" s="196">
        <f t="shared" si="7"/>
        <v>0</v>
      </c>
      <c r="H82" s="196">
        <f t="shared" si="7"/>
        <v>0</v>
      </c>
      <c r="I82" s="910" t="str">
        <f>+"Sum Ln "&amp;A74&amp;" Subparts"</f>
        <v>Sum Ln 22 Subparts</v>
      </c>
      <c r="N82" s="255"/>
      <c r="O82" s="75"/>
    </row>
    <row r="83" spans="1:19">
      <c r="A83" s="801">
        <f>+A82+1</f>
        <v>24</v>
      </c>
      <c r="B83" s="257"/>
      <c r="I83" s="61"/>
    </row>
    <row r="84" spans="1:19" s="75" customFormat="1">
      <c r="A84" s="801">
        <f>+A83+1</f>
        <v>25</v>
      </c>
      <c r="C84" s="257" t="s">
        <v>864</v>
      </c>
      <c r="D84" s="195"/>
      <c r="E84" s="76"/>
      <c r="F84" s="190"/>
      <c r="G84" s="255"/>
      <c r="H84" s="76"/>
      <c r="I84" s="211"/>
      <c r="J84" s="61"/>
      <c r="K84" s="61"/>
      <c r="L84" s="76"/>
      <c r="M84" s="76"/>
      <c r="N84" s="255"/>
    </row>
    <row r="85" spans="1:19">
      <c r="A85" s="803">
        <f>+A84+0.1</f>
        <v>25.1</v>
      </c>
      <c r="B85" s="75"/>
      <c r="C85" s="1203" t="s">
        <v>634</v>
      </c>
      <c r="D85" s="256">
        <f>-D54</f>
        <v>4953882.8946153857</v>
      </c>
      <c r="E85" s="177">
        <f>+D85</f>
        <v>4953882.8946153857</v>
      </c>
      <c r="F85" s="190"/>
      <c r="G85" s="177"/>
      <c r="H85" s="255"/>
      <c r="I85" s="650" t="str">
        <f>+"Less Ln "&amp;A54</f>
        <v>Less Ln 16.5</v>
      </c>
      <c r="K85" s="75"/>
      <c r="L85" s="255"/>
      <c r="M85" s="255"/>
    </row>
    <row r="86" spans="1:19">
      <c r="A86" s="803">
        <f t="shared" ref="A86:A87" si="8">+A85+0.1</f>
        <v>25.200000000000003</v>
      </c>
      <c r="B86" s="75"/>
      <c r="C86" s="1203" t="s">
        <v>1507</v>
      </c>
      <c r="D86" s="1625">
        <f>+'WP21 Pension'!F24</f>
        <v>307706878.88076925</v>
      </c>
      <c r="E86" s="256"/>
      <c r="F86" s="1346"/>
      <c r="G86" s="256"/>
      <c r="H86" s="256">
        <f>+D86</f>
        <v>307706878.88076925</v>
      </c>
      <c r="I86" s="1626" t="str">
        <f>+"WP21 Pension Ln "&amp;'WP21 Pension'!A$24&amp;" Col. "&amp;LEFT('WP21 Pension'!F5,1)</f>
        <v>WP21 Pension Ln 18 Col. F</v>
      </c>
      <c r="J86" s="1553" t="s">
        <v>1508</v>
      </c>
      <c r="K86" s="75"/>
      <c r="L86" s="255"/>
      <c r="M86" s="255"/>
    </row>
    <row r="87" spans="1:19">
      <c r="A87" s="803">
        <f t="shared" si="8"/>
        <v>25.300000000000004</v>
      </c>
      <c r="B87" s="75"/>
      <c r="C87" s="1203" t="s">
        <v>1509</v>
      </c>
      <c r="D87" s="1625">
        <f>+'WP21 Pension'!K24</f>
        <v>-1904512.8576923073</v>
      </c>
      <c r="E87" s="256"/>
      <c r="F87" s="1346"/>
      <c r="G87" s="256"/>
      <c r="H87" s="256">
        <f t="shared" ref="H87" si="9">+D87</f>
        <v>-1904512.8576923073</v>
      </c>
      <c r="I87" s="1626" t="str">
        <f>+"WP21 Pension Ln "&amp;'WP21 Pension'!A$24&amp;" Col. "&amp; LEFT('WP21 Pension'!K5,1)</f>
        <v>WP21 Pension Ln 18 Col. K</v>
      </c>
      <c r="J87" s="1553" t="s">
        <v>1508</v>
      </c>
      <c r="K87" s="75"/>
      <c r="L87" s="255"/>
      <c r="M87" s="255"/>
    </row>
    <row r="88" spans="1:19" s="871" customFormat="1">
      <c r="A88" s="1617">
        <f>+A87+0.1</f>
        <v>25.400000000000006</v>
      </c>
      <c r="B88" s="1618"/>
      <c r="C88" s="1202" t="s">
        <v>934</v>
      </c>
      <c r="D88" s="185"/>
      <c r="E88" s="1620"/>
      <c r="F88" s="1620"/>
      <c r="G88" s="1620"/>
      <c r="H88" s="1620"/>
      <c r="I88" s="1619"/>
      <c r="J88" s="61"/>
      <c r="L88" s="872"/>
      <c r="M88" s="872"/>
      <c r="N88" s="872"/>
    </row>
    <row r="89" spans="1:19" s="871" customFormat="1">
      <c r="A89" s="1617" t="s">
        <v>924</v>
      </c>
      <c r="B89" s="1618"/>
      <c r="C89" s="1202" t="s">
        <v>934</v>
      </c>
      <c r="D89" s="185"/>
      <c r="E89" s="1620"/>
      <c r="F89" s="1620"/>
      <c r="G89" s="1620"/>
      <c r="H89" s="1620"/>
      <c r="I89" s="1619"/>
      <c r="J89" s="800"/>
      <c r="L89" s="872"/>
      <c r="M89" s="872"/>
      <c r="N89" s="872"/>
    </row>
    <row r="90" spans="1:19" s="871" customFormat="1">
      <c r="A90" s="1617" t="str">
        <f>+A84&amp;".x"</f>
        <v>25.x</v>
      </c>
      <c r="B90" s="1618"/>
      <c r="C90" s="1202" t="s">
        <v>934</v>
      </c>
      <c r="D90" s="251"/>
      <c r="E90" s="1621"/>
      <c r="F90" s="1621"/>
      <c r="G90" s="1621"/>
      <c r="H90" s="1621"/>
      <c r="I90" s="1619"/>
      <c r="J90" s="800"/>
      <c r="L90" s="872"/>
      <c r="M90" s="872"/>
      <c r="N90" s="872"/>
    </row>
    <row r="91" spans="1:19">
      <c r="A91" s="801">
        <f>+A84+1</f>
        <v>26</v>
      </c>
      <c r="B91" s="257"/>
      <c r="C91" s="860" t="str">
        <f>+"Total "&amp;C84</f>
        <v>Total Associated Balance Sheet Accounts &amp; Regulatory Assets (5)</v>
      </c>
      <c r="D91" s="546">
        <f>SUM(D85:D90)</f>
        <v>310756248.91769236</v>
      </c>
      <c r="E91" s="546">
        <f>SUM(E85:E90)</f>
        <v>4953882.8946153857</v>
      </c>
      <c r="F91" s="546">
        <f>SUM(F85:F90)</f>
        <v>0</v>
      </c>
      <c r="G91" s="546">
        <f>SUM(G85:G90)</f>
        <v>0</v>
      </c>
      <c r="H91" s="546">
        <f>SUM(H85:H90)</f>
        <v>305802366.02307695</v>
      </c>
      <c r="I91" s="951" t="str">
        <f>+"Sum Ln "&amp;A84&amp;" Subparts"</f>
        <v>Sum Ln 25 Subparts</v>
      </c>
    </row>
    <row r="92" spans="1:19" s="79" customFormat="1">
      <c r="A92" s="801">
        <f>+A91+1</f>
        <v>27</v>
      </c>
      <c r="B92" s="257" t="s">
        <v>706</v>
      </c>
      <c r="C92" s="38"/>
      <c r="D92" s="538">
        <f>+D59+D66+D73+D82+D91</f>
        <v>-331951017.59153837</v>
      </c>
      <c r="E92" s="538">
        <f>+E59+E66+E73+E82+E91</f>
        <v>-607293991.76461542</v>
      </c>
      <c r="F92" s="538">
        <f>+F59+F66+F73+F82+F91</f>
        <v>0</v>
      </c>
      <c r="G92" s="538">
        <f>+G59+G66+G73+G82+G91</f>
        <v>0</v>
      </c>
      <c r="H92" s="538">
        <f>+H59+H66+H73+H82+H91</f>
        <v>275342974.17307693</v>
      </c>
      <c r="I92" s="910" t="str">
        <f>+"Sum (Ln "&amp;A59&amp;" + "&amp;A66&amp;" + "&amp;A73&amp;" + "&amp;A82&amp;" + "&amp;A91&amp;")"</f>
        <v>Sum (Ln 17 + 19 + 21 + 23 + 26)</v>
      </c>
      <c r="J92" s="61"/>
      <c r="K92" s="61"/>
      <c r="L92" s="76"/>
      <c r="M92" s="76"/>
      <c r="N92" s="540"/>
    </row>
    <row r="93" spans="1:19" s="79" customFormat="1">
      <c r="A93" s="801">
        <f>+A92+1</f>
        <v>28</v>
      </c>
      <c r="B93" s="257"/>
      <c r="C93" s="38"/>
      <c r="D93" s="538"/>
      <c r="E93" s="539"/>
      <c r="F93" s="539"/>
      <c r="G93" s="539"/>
      <c r="H93" s="539"/>
      <c r="I93" s="653"/>
      <c r="L93" s="540"/>
      <c r="M93" s="540"/>
      <c r="N93" s="540"/>
    </row>
    <row r="94" spans="1:19">
      <c r="A94" s="801">
        <f>+A93+1</f>
        <v>29</v>
      </c>
      <c r="B94" s="597" t="s">
        <v>126</v>
      </c>
      <c r="C94" s="594"/>
      <c r="D94" s="595"/>
      <c r="E94" s="595"/>
      <c r="F94" s="596"/>
      <c r="G94" s="598"/>
      <c r="H94" s="599"/>
      <c r="I94" s="651"/>
      <c r="J94" s="79"/>
      <c r="K94" s="79"/>
      <c r="L94" s="540"/>
      <c r="M94" s="540"/>
    </row>
    <row r="95" spans="1:19">
      <c r="A95" s="801">
        <f>+A94+1</f>
        <v>30</v>
      </c>
      <c r="B95" s="220" t="s">
        <v>67</v>
      </c>
      <c r="C95" s="220" t="s">
        <v>114</v>
      </c>
      <c r="D95" s="220" t="s">
        <v>55</v>
      </c>
      <c r="E95" s="220" t="s">
        <v>68</v>
      </c>
      <c r="F95" s="220" t="s">
        <v>66</v>
      </c>
      <c r="G95" s="220" t="s">
        <v>154</v>
      </c>
      <c r="H95" s="220" t="s">
        <v>69</v>
      </c>
      <c r="I95" s="220" t="s">
        <v>166</v>
      </c>
      <c r="J95" s="180"/>
      <c r="K95" s="180"/>
      <c r="L95" s="180"/>
      <c r="O95" s="541"/>
      <c r="P95" s="255"/>
      <c r="R95" s="541"/>
      <c r="S95" s="255"/>
    </row>
    <row r="96" spans="1:19" s="75" customFormat="1">
      <c r="A96" s="801">
        <f>+A95+1</f>
        <v>31</v>
      </c>
      <c r="C96" s="214" t="s">
        <v>785</v>
      </c>
      <c r="D96" s="652" t="s">
        <v>910</v>
      </c>
      <c r="H96" s="76"/>
      <c r="I96" s="180"/>
      <c r="J96" s="180"/>
      <c r="K96" s="180"/>
      <c r="L96" s="180"/>
      <c r="M96" s="41"/>
      <c r="N96" s="255"/>
      <c r="O96" s="255"/>
      <c r="P96" s="255"/>
    </row>
    <row r="97" spans="1:16" s="75" customFormat="1">
      <c r="A97" s="803">
        <f>+A96+0.1</f>
        <v>31.1</v>
      </c>
      <c r="C97" s="545" t="s">
        <v>791</v>
      </c>
      <c r="D97" s="256">
        <f>+'WP10 Storm'!E45</f>
        <v>952555.95630284923</v>
      </c>
      <c r="H97" s="255"/>
      <c r="I97" s="211" t="str">
        <f>+"WP10 Storm Ln "&amp;'WP10 Storm'!A45&amp;" Column "&amp;'WP10 Storm'!E6</f>
        <v xml:space="preserve">WP10 Storm Ln 8 Column D </v>
      </c>
      <c r="J97" s="180"/>
      <c r="K97" s="180"/>
      <c r="L97" s="180"/>
      <c r="M97" s="41"/>
      <c r="N97" s="255"/>
      <c r="O97" s="255"/>
      <c r="P97" s="255"/>
    </row>
    <row r="98" spans="1:16">
      <c r="A98" s="803">
        <f>+A97+0.1</f>
        <v>31.200000000000003</v>
      </c>
      <c r="B98" s="76"/>
      <c r="C98" s="545" t="s">
        <v>792</v>
      </c>
      <c r="D98" s="900">
        <f>+'WP AJ1 MISO'!K61</f>
        <v>-581211.07000000007</v>
      </c>
      <c r="F98" s="75"/>
      <c r="G98" s="75"/>
      <c r="H98" s="518"/>
      <c r="I98" s="211" t="str">
        <f>+"WP AJ1 MISO Ln "&amp;'WP AJ1 MISO'!A61&amp;" Column "&amp;'WP AJ1 MISO'!K8</f>
        <v>WP AJ1 MISO Ln 8 Column J</v>
      </c>
      <c r="J98" s="180"/>
      <c r="K98" s="180"/>
      <c r="L98" s="180"/>
      <c r="M98" s="41"/>
      <c r="O98" s="76"/>
      <c r="P98" s="76"/>
    </row>
    <row r="99" spans="1:16">
      <c r="A99" s="803">
        <f t="shared" ref="A99:A102" si="10">+A98+0.1</f>
        <v>31.300000000000004</v>
      </c>
      <c r="B99" s="76"/>
      <c r="C99" s="545" t="s">
        <v>1116</v>
      </c>
      <c r="D99" s="900">
        <f>-'WP AJ2 ITC'!F49</f>
        <v>0</v>
      </c>
      <c r="F99" s="75"/>
      <c r="G99" s="75"/>
      <c r="H99" s="518"/>
      <c r="I99" s="211" t="str">
        <f>"WP AJ2 ITC Ln "&amp;'WP AJ2 ITC'!A49&amp;" Column "&amp;'WP AJ2 ITC'!F6</f>
        <v>WP AJ2 ITC Ln 8 Column D</v>
      </c>
      <c r="J99" s="180"/>
      <c r="K99" s="180"/>
      <c r="L99" s="180"/>
      <c r="M99" s="41"/>
      <c r="O99" s="76"/>
      <c r="P99" s="76"/>
    </row>
    <row r="100" spans="1:16" s="871" customFormat="1">
      <c r="A100" s="803">
        <f t="shared" si="10"/>
        <v>31.400000000000006</v>
      </c>
      <c r="B100" s="872"/>
      <c r="C100" s="1198" t="s">
        <v>875</v>
      </c>
      <c r="D100" s="900">
        <f>-'WP AJ3 HCM'!G40</f>
        <v>-19822.439999999999</v>
      </c>
      <c r="F100" s="75"/>
      <c r="G100" s="75"/>
      <c r="H100" s="873"/>
      <c r="I100" s="1376" t="str">
        <f>+"WP AJ3 HCM Ln "&amp;'WP AJ3 HCM'!A40&amp;" Column "&amp;'WP AJ3 HCM'!G6</f>
        <v>WP AJ3 HCM Ln 8 Column F</v>
      </c>
      <c r="J100" s="1376"/>
      <c r="L100" s="872"/>
      <c r="M100" s="874"/>
      <c r="N100" s="872"/>
      <c r="O100" s="872"/>
      <c r="P100" s="872"/>
    </row>
    <row r="101" spans="1:16" s="871" customFormat="1">
      <c r="A101" s="803">
        <f t="shared" si="10"/>
        <v>31.500000000000007</v>
      </c>
      <c r="B101" s="872"/>
      <c r="C101" s="1198" t="s">
        <v>1115</v>
      </c>
      <c r="D101" s="900">
        <f>-'WP AJ4 LA Merger'!G45</f>
        <v>0</v>
      </c>
      <c r="F101" s="75"/>
      <c r="G101" s="75"/>
      <c r="H101" s="873"/>
      <c r="I101" s="211" t="str">
        <f>+"WP AJ4 LA Merger Ln "&amp;'WP AJ4 LA Merger'!A45&amp;" Col. "&amp;'WP AJ4 LA Merger'!G6</f>
        <v>WP AJ4 LA Merger Ln 8 Col. F</v>
      </c>
      <c r="J101" s="211"/>
      <c r="L101" s="872"/>
      <c r="M101" s="874"/>
      <c r="N101" s="872"/>
      <c r="O101" s="872"/>
      <c r="P101" s="872"/>
    </row>
    <row r="102" spans="1:16" s="871" customFormat="1">
      <c r="A102" s="803">
        <f t="shared" si="10"/>
        <v>31.600000000000009</v>
      </c>
      <c r="B102" s="872"/>
      <c r="C102" s="545" t="s">
        <v>1117</v>
      </c>
      <c r="D102" s="900">
        <f>-'WP AJ5 Acadia PB2'!E38</f>
        <v>-374707</v>
      </c>
      <c r="F102" s="75"/>
      <c r="G102" s="75"/>
      <c r="H102" s="873"/>
      <c r="I102" s="211" t="str">
        <f>+"WP AJ5 Acadia PB2 Ln "&amp;'WP AJ5 Acadia PB2'!A38&amp;" Col. "&amp;'WP AJ5 Acadia PB2'!E6</f>
        <v>WP AJ5 Acadia PB2 Ln 8 Col. D</v>
      </c>
      <c r="J102" s="211"/>
      <c r="L102" s="872"/>
      <c r="M102" s="874"/>
      <c r="N102" s="872"/>
      <c r="O102" s="872"/>
      <c r="P102" s="872"/>
    </row>
    <row r="103" spans="1:16" s="871" customFormat="1">
      <c r="A103" s="1617">
        <f>+A102+0.1</f>
        <v>31.70000000000001</v>
      </c>
      <c r="B103" s="1618"/>
      <c r="C103" s="1622" t="s">
        <v>2163</v>
      </c>
      <c r="D103" s="2234">
        <f>+'Support to WP02'!I47</f>
        <v>-62563.549999999996</v>
      </c>
      <c r="E103" s="255"/>
      <c r="F103" s="255"/>
      <c r="G103" s="255"/>
      <c r="H103" s="255"/>
      <c r="I103" s="2235" t="str">
        <f>"Support to WP02 Ln "&amp;'Support to WP02'!A47&amp;" Column "&amp;'Support to WP02'!I6</f>
        <v>Support to WP02 Ln 8 Column I</v>
      </c>
      <c r="J103" s="800"/>
      <c r="L103" s="872"/>
      <c r="M103" s="872"/>
      <c r="N103" s="872"/>
    </row>
    <row r="104" spans="1:16" s="871" customFormat="1">
      <c r="A104" s="1617">
        <f>+A103+0.1</f>
        <v>31.800000000000011</v>
      </c>
      <c r="B104" s="1618"/>
      <c r="C104" s="1202" t="s">
        <v>934</v>
      </c>
      <c r="D104" s="185"/>
      <c r="E104" s="255"/>
      <c r="F104" s="255"/>
      <c r="G104" s="255"/>
      <c r="H104" s="255"/>
      <c r="I104" s="1619"/>
      <c r="J104" s="800"/>
      <c r="L104" s="872"/>
      <c r="M104" s="872"/>
      <c r="N104" s="872"/>
    </row>
    <row r="105" spans="1:16" s="871" customFormat="1">
      <c r="A105" s="1617" t="s">
        <v>924</v>
      </c>
      <c r="B105" s="1618"/>
      <c r="C105" s="1202" t="s">
        <v>934</v>
      </c>
      <c r="D105" s="185"/>
      <c r="E105" s="255"/>
      <c r="F105" s="255"/>
      <c r="G105" s="255"/>
      <c r="H105" s="255"/>
      <c r="I105" s="1619"/>
      <c r="J105" s="800"/>
      <c r="L105" s="872"/>
      <c r="M105" s="872"/>
      <c r="N105" s="872"/>
    </row>
    <row r="106" spans="1:16" s="871" customFormat="1">
      <c r="A106" s="1617" t="str">
        <f>+A96&amp;".x"</f>
        <v>31.x</v>
      </c>
      <c r="B106" s="1618"/>
      <c r="C106" s="1202" t="s">
        <v>934</v>
      </c>
      <c r="D106" s="251"/>
      <c r="E106" s="255"/>
      <c r="F106" s="255"/>
      <c r="G106" s="255"/>
      <c r="H106" s="255"/>
      <c r="I106" s="1619"/>
      <c r="J106" s="800"/>
      <c r="L106" s="872"/>
      <c r="M106" s="872"/>
      <c r="N106" s="872"/>
    </row>
    <row r="107" spans="1:16">
      <c r="A107" s="801">
        <f>+A96+1</f>
        <v>32</v>
      </c>
      <c r="B107" s="76"/>
      <c r="C107" s="861" t="s">
        <v>493</v>
      </c>
      <c r="D107" s="256">
        <f>SUM(D97:D106)</f>
        <v>-85748.103697150829</v>
      </c>
      <c r="E107" s="255"/>
      <c r="F107" s="255"/>
      <c r="G107" s="255"/>
      <c r="H107" s="518"/>
      <c r="I107" s="789" t="str">
        <f>+"Sum Ln "&amp;A96&amp;" Subparts"</f>
        <v>Sum Ln 31 Subparts</v>
      </c>
      <c r="J107" s="180"/>
      <c r="K107" s="180"/>
      <c r="L107" s="180"/>
      <c r="M107" s="41"/>
      <c r="O107" s="76"/>
      <c r="P107" s="76"/>
    </row>
    <row r="108" spans="1:16">
      <c r="A108" s="801">
        <f>+A107+1</f>
        <v>33</v>
      </c>
      <c r="C108" s="75"/>
      <c r="D108" s="75"/>
      <c r="E108" s="255"/>
      <c r="F108" s="255"/>
      <c r="G108" s="255"/>
      <c r="H108" s="255"/>
      <c r="J108" s="180"/>
      <c r="K108" s="180"/>
      <c r="L108" s="180"/>
    </row>
    <row r="109" spans="1:16" s="75" customFormat="1">
      <c r="A109" s="801">
        <f>+A108+1</f>
        <v>34</v>
      </c>
      <c r="C109" s="214" t="s">
        <v>786</v>
      </c>
      <c r="D109" s="213"/>
      <c r="E109" s="255"/>
      <c r="F109" s="255"/>
      <c r="G109" s="255"/>
      <c r="H109" s="255"/>
      <c r="I109" s="211"/>
      <c r="J109" s="180"/>
      <c r="K109" s="180"/>
      <c r="L109" s="180"/>
      <c r="M109" s="41"/>
      <c r="N109" s="255"/>
      <c r="O109" s="255"/>
      <c r="P109" s="255"/>
    </row>
    <row r="110" spans="1:16" s="75" customFormat="1">
      <c r="A110" s="803">
        <f t="shared" ref="A110:A116" si="11">+A109+0.1</f>
        <v>34.1</v>
      </c>
      <c r="C110" s="545" t="s">
        <v>793</v>
      </c>
      <c r="D110" s="256">
        <f>+'WP10 Storm'!E58</f>
        <v>0</v>
      </c>
      <c r="E110" s="255"/>
      <c r="F110" s="255"/>
      <c r="G110" s="255"/>
      <c r="H110" s="255"/>
      <c r="I110" s="211" t="str">
        <f>+"WP10 Storm Ln "&amp;'WP10 Storm'!A58&amp;" Column "&amp;'WP10 Storm'!E6</f>
        <v xml:space="preserve">WP10 Storm Ln 21 Column D </v>
      </c>
      <c r="J110" s="180"/>
      <c r="K110" s="180"/>
      <c r="L110" s="180"/>
      <c r="M110" s="41"/>
      <c r="N110" s="255"/>
      <c r="O110" s="255"/>
      <c r="P110" s="255"/>
    </row>
    <row r="111" spans="1:16">
      <c r="A111" s="803">
        <f t="shared" si="11"/>
        <v>34.200000000000003</v>
      </c>
      <c r="B111" s="76"/>
      <c r="C111" s="545" t="s">
        <v>792</v>
      </c>
      <c r="D111" s="900">
        <f>+'WP AJ1 MISO'!K74</f>
        <v>-7659867.4899999974</v>
      </c>
      <c r="E111" s="518"/>
      <c r="F111" s="518"/>
      <c r="G111" s="518"/>
      <c r="H111" s="518"/>
      <c r="I111" s="211" t="str">
        <f>+"WP AJ1 MISO Ln "&amp;'WP AJ1 MISO'!A74&amp;" Column "&amp;'WP AJ1 MISO'!K8</f>
        <v>WP AJ1 MISO Ln 21 Column J</v>
      </c>
      <c r="J111" s="180"/>
      <c r="K111" s="180"/>
      <c r="L111" s="180"/>
      <c r="M111" s="41"/>
      <c r="O111" s="76"/>
      <c r="P111" s="76"/>
    </row>
    <row r="112" spans="1:16">
      <c r="A112" s="803">
        <f t="shared" si="11"/>
        <v>34.300000000000004</v>
      </c>
      <c r="B112" s="76"/>
      <c r="C112" s="545" t="s">
        <v>1116</v>
      </c>
      <c r="D112" s="900">
        <f>-'WP AJ2 ITC'!F62</f>
        <v>0</v>
      </c>
      <c r="E112" s="518"/>
      <c r="F112" s="518"/>
      <c r="G112" s="518"/>
      <c r="H112" s="518"/>
      <c r="I112" s="211" t="str">
        <f>"WP AJ2 ITC Ln "&amp;'WP AJ2 ITC'!A62&amp;" Column "&amp;'WP AJ2 ITC'!F6</f>
        <v>WP AJ2 ITC Ln 21 Column D</v>
      </c>
      <c r="J112" s="180"/>
      <c r="K112" s="180"/>
      <c r="L112" s="180"/>
      <c r="M112" s="41"/>
      <c r="O112" s="76"/>
      <c r="P112" s="76"/>
    </row>
    <row r="113" spans="1:19" s="871" customFormat="1">
      <c r="A113" s="803">
        <f t="shared" si="11"/>
        <v>34.400000000000006</v>
      </c>
      <c r="B113" s="872"/>
      <c r="C113" s="1198" t="s">
        <v>875</v>
      </c>
      <c r="D113" s="900">
        <f>-'WP AJ3 HCM'!G53</f>
        <v>-4559974.9800000004</v>
      </c>
      <c r="E113" s="873"/>
      <c r="F113" s="873"/>
      <c r="G113" s="873"/>
      <c r="H113" s="873"/>
      <c r="I113" s="211" t="s">
        <v>1126</v>
      </c>
      <c r="J113" s="180"/>
      <c r="L113" s="872"/>
      <c r="M113" s="874"/>
      <c r="N113" s="872"/>
      <c r="O113" s="872"/>
      <c r="P113" s="872"/>
    </row>
    <row r="114" spans="1:19" s="871" customFormat="1">
      <c r="A114" s="803">
        <f t="shared" si="11"/>
        <v>34.500000000000007</v>
      </c>
      <c r="B114" s="75"/>
      <c r="C114" s="1198" t="s">
        <v>1115</v>
      </c>
      <c r="D114" s="900">
        <f>-'WP AJ4 LA Merger'!G58</f>
        <v>-1148481.0600000003</v>
      </c>
      <c r="E114" s="255"/>
      <c r="F114" s="255"/>
      <c r="G114" s="255"/>
      <c r="H114" s="255"/>
      <c r="I114" s="211" t="s">
        <v>2309</v>
      </c>
      <c r="J114" s="800"/>
      <c r="L114" s="872"/>
      <c r="M114" s="872"/>
      <c r="N114" s="872"/>
    </row>
    <row r="115" spans="1:19" s="871" customFormat="1">
      <c r="A115" s="1617">
        <f t="shared" si="11"/>
        <v>34.600000000000009</v>
      </c>
      <c r="B115" s="1618"/>
      <c r="C115" s="1622" t="s">
        <v>2163</v>
      </c>
      <c r="D115" s="2234">
        <f>'Support to WP02'!I60</f>
        <v>-531074.98</v>
      </c>
      <c r="E115" s="2089"/>
      <c r="F115" s="2089"/>
      <c r="G115" s="2089"/>
      <c r="H115" s="255"/>
      <c r="I115" s="2235" t="str">
        <f>"Support to WP02 Ln "&amp;'Support to WP02'!A60&amp;" Column "&amp;'Support to WP02'!I6</f>
        <v>Support to WP02 Ln 21 Column I</v>
      </c>
      <c r="J115" s="800"/>
      <c r="L115" s="872"/>
      <c r="M115" s="872"/>
      <c r="N115" s="872"/>
    </row>
    <row r="116" spans="1:19" s="871" customFormat="1">
      <c r="A116" s="1617">
        <f t="shared" si="11"/>
        <v>34.70000000000001</v>
      </c>
      <c r="B116" s="1618"/>
      <c r="C116" s="1622" t="s">
        <v>934</v>
      </c>
      <c r="D116" s="1623"/>
      <c r="E116" s="255"/>
      <c r="F116" s="255"/>
      <c r="G116" s="255"/>
      <c r="H116" s="255"/>
      <c r="I116" s="1619"/>
      <c r="J116" s="800"/>
      <c r="L116" s="872"/>
      <c r="M116" s="872"/>
      <c r="N116" s="872"/>
    </row>
    <row r="117" spans="1:19" s="871" customFormat="1">
      <c r="A117" s="1617" t="s">
        <v>924</v>
      </c>
      <c r="B117" s="1618"/>
      <c r="C117" s="1622" t="s">
        <v>934</v>
      </c>
      <c r="D117" s="1623"/>
      <c r="E117" s="255"/>
      <c r="F117" s="255"/>
      <c r="G117" s="255"/>
      <c r="H117" s="255"/>
      <c r="I117" s="1624"/>
      <c r="J117" s="800"/>
      <c r="L117" s="872"/>
      <c r="M117" s="872"/>
      <c r="N117" s="872"/>
    </row>
    <row r="118" spans="1:19" s="871" customFormat="1">
      <c r="A118" s="1617" t="str">
        <f>+A109&amp;".x"</f>
        <v>34.x</v>
      </c>
      <c r="B118" s="1618"/>
      <c r="C118" s="1622" t="s">
        <v>934</v>
      </c>
      <c r="D118" s="251"/>
      <c r="E118" s="255"/>
      <c r="F118" s="255"/>
      <c r="G118" s="255"/>
      <c r="H118" s="255"/>
      <c r="I118" s="1619"/>
      <c r="J118" s="800"/>
      <c r="L118" s="872"/>
      <c r="M118" s="872"/>
      <c r="N118" s="872"/>
    </row>
    <row r="119" spans="1:19">
      <c r="A119" s="801">
        <f>+A109+1</f>
        <v>35</v>
      </c>
      <c r="B119" s="76"/>
      <c r="C119" s="861" t="s">
        <v>494</v>
      </c>
      <c r="D119" s="256">
        <f>SUM(D110:D118)</f>
        <v>-13899398.51</v>
      </c>
      <c r="E119" s="518"/>
      <c r="F119" s="518"/>
      <c r="G119" s="518"/>
      <c r="H119" s="518"/>
      <c r="I119" s="902" t="str">
        <f>+"Sum Ln "&amp;A109&amp;" Subparts"</f>
        <v>Sum Ln 34 Subparts</v>
      </c>
      <c r="J119" s="180"/>
      <c r="K119" s="180"/>
      <c r="L119" s="180"/>
      <c r="M119" s="41"/>
      <c r="O119" s="76"/>
      <c r="P119" s="76"/>
    </row>
    <row r="120" spans="1:19" ht="15.6">
      <c r="A120" s="801">
        <f>+A119+1</f>
        <v>36</v>
      </c>
      <c r="B120" s="76"/>
      <c r="C120" s="589"/>
      <c r="D120" s="243"/>
      <c r="E120" s="256"/>
      <c r="F120" s="177"/>
      <c r="G120" s="256"/>
      <c r="H120" s="256"/>
      <c r="I120" s="260"/>
      <c r="J120" s="75"/>
      <c r="K120" s="1382"/>
      <c r="L120" s="180"/>
      <c r="M120" s="255"/>
    </row>
    <row r="121" spans="1:19">
      <c r="A121" s="801">
        <f>+A120+1</f>
        <v>37</v>
      </c>
      <c r="C121" s="156" t="s">
        <v>782</v>
      </c>
      <c r="D121" s="186"/>
      <c r="E121" s="186"/>
      <c r="F121" s="186"/>
      <c r="G121" s="186"/>
      <c r="H121" s="180"/>
      <c r="I121" s="654"/>
      <c r="J121" s="75"/>
      <c r="K121" s="1396"/>
      <c r="L121" s="1396"/>
      <c r="N121" s="186"/>
      <c r="O121" s="186"/>
      <c r="P121" s="186"/>
      <c r="R121" s="186"/>
      <c r="S121" s="186"/>
    </row>
    <row r="122" spans="1:19">
      <c r="A122" s="803">
        <f>+A121+0.1</f>
        <v>37.1</v>
      </c>
      <c r="B122" s="76"/>
      <c r="C122" s="1337" t="s">
        <v>1057</v>
      </c>
      <c r="D122" s="185">
        <v>123694</v>
      </c>
      <c r="E122" s="76"/>
      <c r="G122" s="76"/>
      <c r="H122" s="76"/>
      <c r="I122" s="1619" t="s">
        <v>2277</v>
      </c>
      <c r="J122" s="75"/>
      <c r="K122" s="1396"/>
      <c r="L122" s="1396"/>
      <c r="M122" s="186"/>
      <c r="N122" s="255"/>
      <c r="O122" s="541"/>
      <c r="P122" s="255"/>
      <c r="R122" s="541"/>
      <c r="S122" s="255"/>
    </row>
    <row r="123" spans="1:19">
      <c r="A123" s="803">
        <f>+A122+0.1</f>
        <v>37.200000000000003</v>
      </c>
      <c r="B123" s="76"/>
      <c r="C123" s="1337" t="s">
        <v>1058</v>
      </c>
      <c r="D123" s="185">
        <v>0</v>
      </c>
      <c r="E123" s="76"/>
      <c r="G123" s="76"/>
      <c r="H123" s="76"/>
      <c r="I123" s="1619"/>
      <c r="J123" s="75"/>
      <c r="K123" s="1396"/>
      <c r="L123" s="1396"/>
      <c r="M123" s="41"/>
      <c r="O123" s="541"/>
      <c r="P123" s="255"/>
      <c r="R123" s="541"/>
      <c r="S123" s="255"/>
    </row>
    <row r="124" spans="1:19" s="79" customFormat="1">
      <c r="A124" s="803">
        <f t="shared" ref="A124:A125" si="12">+A123+0.1</f>
        <v>37.300000000000004</v>
      </c>
      <c r="B124" s="76"/>
      <c r="C124" s="1337" t="s">
        <v>1127</v>
      </c>
      <c r="D124" s="185">
        <v>366260</v>
      </c>
      <c r="E124" s="76"/>
      <c r="F124" s="61"/>
      <c r="G124" s="76"/>
      <c r="H124" s="76"/>
      <c r="I124" s="1619" t="s">
        <v>2278</v>
      </c>
      <c r="J124" s="1397" t="s">
        <v>1295</v>
      </c>
      <c r="K124" s="1396"/>
      <c r="L124" s="1396"/>
      <c r="M124" s="69"/>
      <c r="N124" s="540"/>
      <c r="O124" s="1386"/>
      <c r="P124" s="214"/>
      <c r="R124" s="1386"/>
      <c r="S124" s="214"/>
    </row>
    <row r="125" spans="1:19" s="79" customFormat="1">
      <c r="A125" s="803">
        <f t="shared" si="12"/>
        <v>37.400000000000006</v>
      </c>
      <c r="B125" s="76"/>
      <c r="C125" s="1337" t="s">
        <v>1128</v>
      </c>
      <c r="D125" s="185">
        <v>196697</v>
      </c>
      <c r="E125" s="76"/>
      <c r="F125" s="61"/>
      <c r="G125" s="76"/>
      <c r="H125" s="76"/>
      <c r="I125" s="1619" t="s">
        <v>2279</v>
      </c>
      <c r="J125" s="1397" t="s">
        <v>1295</v>
      </c>
      <c r="K125" s="1396"/>
      <c r="L125" s="1396"/>
      <c r="M125" s="69"/>
      <c r="N125" s="540"/>
      <c r="O125" s="1386"/>
      <c r="P125" s="214"/>
      <c r="R125" s="1386"/>
      <c r="S125" s="214"/>
    </row>
    <row r="126" spans="1:19" s="871" customFormat="1">
      <c r="A126" s="1617">
        <f t="shared" ref="A126:A129" si="13">+A125+0.1</f>
        <v>37.500000000000007</v>
      </c>
      <c r="B126" s="1618"/>
      <c r="C126" s="1202" t="s">
        <v>2284</v>
      </c>
      <c r="D126" s="185">
        <v>-3490398</v>
      </c>
      <c r="E126" s="255"/>
      <c r="F126" s="255"/>
      <c r="G126" s="255"/>
      <c r="H126" s="255"/>
      <c r="I126" s="1619" t="s">
        <v>2285</v>
      </c>
      <c r="J126" s="75"/>
      <c r="M126" s="872"/>
      <c r="N126" s="872"/>
    </row>
    <row r="127" spans="1:19" s="871" customFormat="1">
      <c r="A127" s="1617">
        <f t="shared" si="13"/>
        <v>37.600000000000009</v>
      </c>
      <c r="B127" s="1618"/>
      <c r="C127" s="1202" t="s">
        <v>2282</v>
      </c>
      <c r="D127" s="185">
        <v>43367</v>
      </c>
      <c r="E127" s="255"/>
      <c r="F127" s="255"/>
      <c r="G127" s="255"/>
      <c r="H127" s="255"/>
      <c r="I127" s="1619" t="s">
        <v>2283</v>
      </c>
      <c r="J127" s="75"/>
      <c r="M127" s="872"/>
      <c r="N127" s="872"/>
    </row>
    <row r="128" spans="1:19" s="871" customFormat="1">
      <c r="A128" s="1617">
        <f t="shared" si="13"/>
        <v>37.70000000000001</v>
      </c>
      <c r="B128" s="1618"/>
      <c r="C128" s="1202" t="s">
        <v>2280</v>
      </c>
      <c r="D128" s="185">
        <v>10450</v>
      </c>
      <c r="E128" s="255"/>
      <c r="F128" s="255"/>
      <c r="G128" s="255"/>
      <c r="H128" s="255"/>
      <c r="I128" s="1619" t="s">
        <v>2281</v>
      </c>
      <c r="J128" s="75"/>
      <c r="M128" s="872"/>
      <c r="N128" s="872"/>
    </row>
    <row r="129" spans="1:16" s="871" customFormat="1">
      <c r="A129" s="1617">
        <f t="shared" si="13"/>
        <v>37.800000000000011</v>
      </c>
      <c r="B129" s="1618"/>
      <c r="C129" s="1202" t="s">
        <v>934</v>
      </c>
      <c r="D129" s="185"/>
      <c r="E129" s="255"/>
      <c r="F129" s="255"/>
      <c r="G129" s="255"/>
      <c r="H129" s="255"/>
      <c r="I129" s="1619"/>
      <c r="J129" s="75"/>
      <c r="M129" s="872"/>
      <c r="N129" s="872"/>
    </row>
    <row r="130" spans="1:16" s="871" customFormat="1" ht="13.2" customHeight="1">
      <c r="A130" s="1617" t="s">
        <v>924</v>
      </c>
      <c r="B130" s="1618"/>
      <c r="C130" s="1202" t="s">
        <v>934</v>
      </c>
      <c r="D130" s="185"/>
      <c r="E130" s="255"/>
      <c r="F130" s="255"/>
      <c r="G130" s="255"/>
      <c r="H130" s="255"/>
      <c r="I130" s="1619"/>
      <c r="J130" s="75"/>
      <c r="M130" s="872"/>
      <c r="N130" s="872"/>
    </row>
    <row r="131" spans="1:16" s="871" customFormat="1" ht="13.2" customHeight="1">
      <c r="A131" s="1617" t="str">
        <f>+A121&amp;".x"</f>
        <v>37.x</v>
      </c>
      <c r="B131" s="1618"/>
      <c r="C131" s="1202" t="s">
        <v>934</v>
      </c>
      <c r="D131" s="251"/>
      <c r="E131" s="255"/>
      <c r="F131" s="255"/>
      <c r="G131" s="255"/>
      <c r="H131" s="255"/>
      <c r="I131" s="1619"/>
      <c r="J131" s="75"/>
      <c r="M131" s="872"/>
      <c r="N131" s="872"/>
    </row>
    <row r="132" spans="1:16" ht="13.2" customHeight="1">
      <c r="A132" s="801">
        <f>+A121+1</f>
        <v>38</v>
      </c>
      <c r="B132" s="76"/>
      <c r="C132" s="862" t="str">
        <f>+"Total "&amp;C121</f>
        <v>Total 9302 Miscellaneous General Expenses Adjustments (3)</v>
      </c>
      <c r="D132" s="193">
        <f>SUM(D122:D131)</f>
        <v>-2749930</v>
      </c>
      <c r="E132" s="255"/>
      <c r="F132" s="255"/>
      <c r="G132" s="255"/>
      <c r="H132" s="255"/>
      <c r="I132" s="902" t="str">
        <f>+"Sum Ln "&amp;A121&amp;" Subparts"</f>
        <v>Sum Ln 37 Subparts</v>
      </c>
      <c r="J132" s="75"/>
    </row>
    <row r="133" spans="1:16" ht="13.2" customHeight="1">
      <c r="A133" s="801">
        <f>+A132+1</f>
        <v>39</v>
      </c>
      <c r="B133" s="76"/>
      <c r="C133" s="76"/>
      <c r="D133" s="76"/>
      <c r="E133" s="76"/>
      <c r="F133" s="76"/>
      <c r="G133" s="76"/>
      <c r="H133" s="76"/>
      <c r="I133" s="212"/>
      <c r="J133" s="75"/>
      <c r="O133" s="76"/>
      <c r="P133" s="76"/>
    </row>
    <row r="134" spans="1:16" ht="13.2" customHeight="1">
      <c r="A134" s="801">
        <f>+A133+1</f>
        <v>40</v>
      </c>
      <c r="B134" s="257" t="s">
        <v>74</v>
      </c>
      <c r="C134" s="75"/>
      <c r="H134" s="501"/>
      <c r="I134" s="157"/>
      <c r="J134" s="75"/>
    </row>
    <row r="135" spans="1:16" ht="13.2" customHeight="1">
      <c r="A135" s="801">
        <f>+A134+1</f>
        <v>41</v>
      </c>
      <c r="B135" s="257"/>
      <c r="C135" s="677" t="s">
        <v>514</v>
      </c>
      <c r="H135" s="501"/>
      <c r="I135" s="157"/>
      <c r="J135" s="75"/>
      <c r="K135" s="1395"/>
      <c r="L135" s="1395"/>
    </row>
    <row r="136" spans="1:16" ht="13.2" customHeight="1">
      <c r="A136" s="803">
        <f>+A135+0.1</f>
        <v>41.1</v>
      </c>
      <c r="B136" s="257"/>
      <c r="C136" s="588" t="s">
        <v>790</v>
      </c>
      <c r="D136" s="185">
        <v>0</v>
      </c>
      <c r="H136" s="501"/>
      <c r="I136" s="1619"/>
      <c r="J136" s="75"/>
      <c r="K136" s="1395"/>
      <c r="L136" s="1395"/>
    </row>
    <row r="137" spans="1:16" ht="13.2" customHeight="1">
      <c r="A137" s="803">
        <f>+A136+0.1</f>
        <v>41.2</v>
      </c>
      <c r="B137" s="257"/>
      <c r="C137" s="600" t="s">
        <v>1527</v>
      </c>
      <c r="D137" s="185">
        <v>66839</v>
      </c>
      <c r="H137" s="501"/>
      <c r="I137" s="1619" t="s">
        <v>2286</v>
      </c>
      <c r="J137" s="75"/>
      <c r="K137" s="1395"/>
      <c r="L137" s="1395"/>
    </row>
    <row r="138" spans="1:16" s="871" customFormat="1">
      <c r="A138" s="1617">
        <f>+A137+0.1</f>
        <v>41.300000000000004</v>
      </c>
      <c r="B138" s="1618"/>
      <c r="C138" s="1202" t="s">
        <v>934</v>
      </c>
      <c r="D138" s="185"/>
      <c r="E138" s="255"/>
      <c r="F138" s="255"/>
      <c r="G138" s="255"/>
      <c r="H138" s="255"/>
      <c r="I138" s="1619"/>
      <c r="J138" s="800"/>
      <c r="L138" s="872"/>
      <c r="M138" s="872"/>
      <c r="N138" s="872"/>
    </row>
    <row r="139" spans="1:16" s="871" customFormat="1">
      <c r="A139" s="1617" t="s">
        <v>924</v>
      </c>
      <c r="B139" s="1618"/>
      <c r="C139" s="1202" t="s">
        <v>934</v>
      </c>
      <c r="D139" s="185"/>
      <c r="E139" s="255"/>
      <c r="F139" s="255"/>
      <c r="G139" s="255"/>
      <c r="H139" s="255"/>
      <c r="I139" s="1619"/>
      <c r="J139" s="800"/>
      <c r="L139" s="872"/>
      <c r="M139" s="872"/>
      <c r="N139" s="872"/>
    </row>
    <row r="140" spans="1:16" s="871" customFormat="1">
      <c r="A140" s="1617" t="str">
        <f>+A135&amp;".x"</f>
        <v>41.x</v>
      </c>
      <c r="B140" s="1618"/>
      <c r="C140" s="1202" t="s">
        <v>934</v>
      </c>
      <c r="D140" s="251"/>
      <c r="E140" s="255"/>
      <c r="F140" s="255"/>
      <c r="G140" s="255"/>
      <c r="H140" s="255"/>
      <c r="I140" s="1619"/>
      <c r="J140" s="800"/>
      <c r="L140" s="872"/>
      <c r="M140" s="872"/>
      <c r="N140" s="872"/>
    </row>
    <row r="141" spans="1:16">
      <c r="A141" s="801">
        <f>+A135+1</f>
        <v>42</v>
      </c>
      <c r="B141" s="257"/>
      <c r="C141" s="863" t="str">
        <f>+"Total  "&amp;C135</f>
        <v>Total  Regulatory Commission Expense Account 928</v>
      </c>
      <c r="D141" s="158">
        <f>SUM(D136:D140)</f>
        <v>66839</v>
      </c>
      <c r="E141" s="76"/>
      <c r="F141" s="76"/>
      <c r="G141" s="76"/>
      <c r="H141" s="501"/>
      <c r="I141" s="902" t="str">
        <f>+"Sum Ln "&amp;A135&amp;" Subparts"</f>
        <v>Sum Ln 41 Subparts</v>
      </c>
      <c r="J141" s="75"/>
      <c r="L141" s="193"/>
    </row>
    <row r="142" spans="1:16">
      <c r="A142" s="801">
        <f>+A141+1</f>
        <v>43</v>
      </c>
      <c r="B142" s="76"/>
      <c r="C142" s="601"/>
      <c r="D142" s="158"/>
      <c r="E142" s="243"/>
      <c r="F142" s="501"/>
      <c r="G142" s="256"/>
      <c r="H142" s="256"/>
      <c r="I142" s="260"/>
      <c r="J142" s="75"/>
      <c r="K142" s="75"/>
      <c r="L142" s="255"/>
      <c r="M142" s="255"/>
    </row>
    <row r="143" spans="1:16">
      <c r="A143" s="801">
        <f>+A142+1</f>
        <v>44</v>
      </c>
      <c r="B143" s="597" t="s">
        <v>96</v>
      </c>
      <c r="C143" s="594"/>
      <c r="D143" s="595"/>
      <c r="E143" s="595"/>
      <c r="F143" s="596"/>
      <c r="G143" s="598"/>
      <c r="H143" s="599"/>
      <c r="I143" s="656"/>
      <c r="J143" s="75"/>
      <c r="K143" s="39"/>
      <c r="L143" s="39"/>
      <c r="M143" s="39"/>
    </row>
    <row r="144" spans="1:16" s="40" customFormat="1" ht="13.2" customHeight="1">
      <c r="A144" s="801">
        <f t="shared" ref="A144:A176" si="14">+A143+1</f>
        <v>45</v>
      </c>
      <c r="B144" s="220" t="s">
        <v>67</v>
      </c>
      <c r="C144" s="220" t="s">
        <v>114</v>
      </c>
      <c r="D144" s="220" t="s">
        <v>55</v>
      </c>
      <c r="E144" s="220" t="s">
        <v>68</v>
      </c>
      <c r="F144" s="220" t="s">
        <v>66</v>
      </c>
      <c r="G144" s="220" t="s">
        <v>154</v>
      </c>
      <c r="H144" s="220" t="s">
        <v>69</v>
      </c>
      <c r="I144" s="220" t="s">
        <v>166</v>
      </c>
      <c r="J144" s="75"/>
      <c r="K144" s="39"/>
      <c r="L144" s="39"/>
      <c r="M144" s="39"/>
      <c r="N144" s="39"/>
    </row>
    <row r="145" spans="1:14" s="40" customFormat="1" ht="13.95" customHeight="1">
      <c r="A145" s="801">
        <f t="shared" si="14"/>
        <v>46</v>
      </c>
      <c r="B145" s="214" t="s">
        <v>1901</v>
      </c>
      <c r="C145" s="601"/>
      <c r="D145" s="158"/>
      <c r="E145" s="243"/>
      <c r="F145" s="501"/>
      <c r="G145" s="256"/>
      <c r="H145" s="256"/>
      <c r="I145" s="260"/>
      <c r="J145" s="1397" t="s">
        <v>1468</v>
      </c>
      <c r="K145" s="75"/>
      <c r="L145" s="255"/>
      <c r="M145" s="255"/>
      <c r="N145" s="39"/>
    </row>
    <row r="146" spans="1:14">
      <c r="A146" s="801">
        <f t="shared" si="14"/>
        <v>47</v>
      </c>
      <c r="B146" s="76"/>
      <c r="C146" s="259" t="s">
        <v>787</v>
      </c>
      <c r="D146" s="267"/>
      <c r="E146" s="243"/>
      <c r="F146" s="501"/>
      <c r="G146" s="256"/>
      <c r="H146" s="256"/>
      <c r="I146" s="75"/>
      <c r="J146" s="75"/>
      <c r="K146" s="75"/>
      <c r="L146" s="255"/>
      <c r="M146" s="255"/>
    </row>
    <row r="147" spans="1:14">
      <c r="A147" s="803">
        <f>+A146+0.1</f>
        <v>47.1</v>
      </c>
      <c r="B147" s="76"/>
      <c r="C147" s="545" t="s">
        <v>794</v>
      </c>
      <c r="D147" s="267">
        <f>+'WP10 Storm'!E50</f>
        <v>0</v>
      </c>
      <c r="E147" s="243"/>
      <c r="F147" s="501"/>
      <c r="G147" s="256"/>
      <c r="H147" s="256"/>
      <c r="I147" s="211" t="str">
        <f>+"WP10 Storm Ln "&amp;'WP10 Storm'!A50&amp;" Column "&amp;'WP10 Storm'!E6</f>
        <v xml:space="preserve">WP10 Storm Ln 13 Column D </v>
      </c>
      <c r="J147" s="75"/>
      <c r="K147" s="75"/>
      <c r="L147" s="255"/>
      <c r="M147" s="255"/>
    </row>
    <row r="148" spans="1:14">
      <c r="A148" s="803">
        <f>+A147+0.1</f>
        <v>47.2</v>
      </c>
      <c r="B148" s="76"/>
      <c r="C148" s="545" t="s">
        <v>792</v>
      </c>
      <c r="D148" s="900">
        <f>'WP AJ1 MISO'!K66</f>
        <v>-261465.49000000002</v>
      </c>
      <c r="E148" s="243"/>
      <c r="F148" s="501"/>
      <c r="G148" s="256"/>
      <c r="H148" s="256"/>
      <c r="I148" s="211" t="str">
        <f>+"WP AJ1 MISO Ln "&amp;'WP AJ1 MISO'!A66&amp;" Column "&amp;'WP AJ1 MISO'!K8</f>
        <v>WP AJ1 MISO Ln 13 Column J</v>
      </c>
      <c r="J148" s="75"/>
      <c r="K148" s="75"/>
      <c r="L148" s="255"/>
      <c r="M148" s="255"/>
    </row>
    <row r="149" spans="1:14">
      <c r="A149" s="803">
        <f>+A148+0.1</f>
        <v>47.300000000000004</v>
      </c>
      <c r="B149" s="76"/>
      <c r="C149" s="545" t="s">
        <v>1116</v>
      </c>
      <c r="D149" s="900">
        <f>-'WP AJ2 ITC'!F54</f>
        <v>0</v>
      </c>
      <c r="E149" s="243"/>
      <c r="F149" s="501"/>
      <c r="G149" s="256"/>
      <c r="H149" s="256"/>
      <c r="I149" s="211" t="str">
        <f>"WP AJ2 ITC Ln "&amp;'WP AJ2 ITC'!A54&amp;" Column "&amp;'WP AJ2 ITC'!F6</f>
        <v>WP AJ2 ITC Ln 13 Column D</v>
      </c>
      <c r="J149" s="75"/>
      <c r="K149" s="75"/>
      <c r="L149" s="255"/>
      <c r="M149" s="255"/>
    </row>
    <row r="150" spans="1:14" s="871" customFormat="1">
      <c r="A150" s="803">
        <f t="shared" ref="A150:A151" si="15">+A149+0.1</f>
        <v>47.400000000000006</v>
      </c>
      <c r="B150" s="872"/>
      <c r="C150" s="1198" t="s">
        <v>875</v>
      </c>
      <c r="D150" s="900">
        <f>-'WP AJ3 HCM'!G45</f>
        <v>0</v>
      </c>
      <c r="E150" s="691"/>
      <c r="F150" s="875"/>
      <c r="G150" s="876"/>
      <c r="H150" s="876"/>
      <c r="I150" s="211" t="s">
        <v>1122</v>
      </c>
      <c r="J150" s="75"/>
      <c r="L150" s="872"/>
      <c r="M150" s="877"/>
      <c r="N150" s="872"/>
    </row>
    <row r="151" spans="1:14" s="871" customFormat="1">
      <c r="A151" s="803">
        <f t="shared" si="15"/>
        <v>47.500000000000007</v>
      </c>
      <c r="B151" s="75"/>
      <c r="C151" s="1198" t="s">
        <v>1115</v>
      </c>
      <c r="D151" s="256">
        <f>-'WP AJ4 LA Merger'!G50</f>
        <v>-2225.9</v>
      </c>
      <c r="E151" s="255"/>
      <c r="F151" s="255"/>
      <c r="G151" s="255"/>
      <c r="H151" s="255"/>
      <c r="I151" s="211" t="s">
        <v>2312</v>
      </c>
      <c r="L151" s="872"/>
      <c r="M151" s="872"/>
      <c r="N151" s="872"/>
    </row>
    <row r="152" spans="1:14" s="871" customFormat="1">
      <c r="A152" s="803">
        <f>+A151+0.1</f>
        <v>47.600000000000009</v>
      </c>
      <c r="B152" s="75"/>
      <c r="C152" s="545" t="s">
        <v>1454</v>
      </c>
      <c r="D152" s="1625">
        <f>+'WP AJ6 GPRD'!E25</f>
        <v>8856375.8000000007</v>
      </c>
      <c r="E152" s="255"/>
      <c r="F152" s="255"/>
      <c r="G152" s="255"/>
      <c r="H152" s="255"/>
      <c r="I152" s="1626" t="str">
        <f>+"WP AJ6 GPRD Ln "&amp;'WP AJ6 GPRD'!A25&amp;" Column "&amp;LEFT('WP AJ6 GPRD'!E5,1)</f>
        <v>WP AJ6 GPRD Ln 2 Column D</v>
      </c>
      <c r="J152" s="1400" t="s">
        <v>1486</v>
      </c>
      <c r="L152" s="872"/>
      <c r="M152" s="872"/>
      <c r="N152" s="872"/>
    </row>
    <row r="153" spans="1:14" s="871" customFormat="1">
      <c r="A153" s="1617">
        <f>+A152+0.1</f>
        <v>47.70000000000001</v>
      </c>
      <c r="B153" s="1618"/>
      <c r="C153" s="1622" t="s">
        <v>2163</v>
      </c>
      <c r="D153" s="2234">
        <f>+'Support to WP02'!I52</f>
        <v>0</v>
      </c>
      <c r="E153" s="255"/>
      <c r="F153" s="255"/>
      <c r="G153" s="255"/>
      <c r="H153" s="255"/>
      <c r="I153" s="2235" t="str">
        <f>"Support to WP02 Ln "&amp;'Support to WP02'!A52&amp;" Column "&amp;'Support to WP02'!$I$6</f>
        <v>Support to WP02 Ln 13 Column I</v>
      </c>
      <c r="J153" s="800"/>
      <c r="L153" s="872"/>
      <c r="M153" s="872"/>
      <c r="N153" s="872"/>
    </row>
    <row r="154" spans="1:14" s="871" customFormat="1">
      <c r="A154" s="1617">
        <f t="shared" ref="A154:A155" si="16">+A153+0.1</f>
        <v>47.800000000000011</v>
      </c>
      <c r="B154" s="1618"/>
      <c r="C154" s="1202" t="s">
        <v>2273</v>
      </c>
      <c r="D154" s="185">
        <v>36778</v>
      </c>
      <c r="E154" s="255"/>
      <c r="F154" s="255"/>
      <c r="G154" s="255"/>
      <c r="H154" s="255"/>
      <c r="I154" s="1619" t="s">
        <v>2310</v>
      </c>
      <c r="J154" s="800"/>
      <c r="L154" s="872"/>
      <c r="M154" s="872"/>
      <c r="N154" s="872"/>
    </row>
    <row r="155" spans="1:14" s="871" customFormat="1">
      <c r="A155" s="1617">
        <f t="shared" si="16"/>
        <v>47.900000000000013</v>
      </c>
      <c r="B155" s="1618"/>
      <c r="C155" s="1202" t="s">
        <v>2275</v>
      </c>
      <c r="D155" s="185">
        <v>13102286</v>
      </c>
      <c r="E155" s="255"/>
      <c r="F155" s="255"/>
      <c r="G155" s="255"/>
      <c r="H155" s="255"/>
      <c r="I155" s="1619" t="s">
        <v>2311</v>
      </c>
      <c r="J155" s="800"/>
      <c r="L155" s="872"/>
      <c r="M155" s="872"/>
      <c r="N155" s="872"/>
    </row>
    <row r="156" spans="1:14" s="871" customFormat="1">
      <c r="A156" s="1617" t="s">
        <v>924</v>
      </c>
      <c r="B156" s="1618"/>
      <c r="C156" s="1202" t="s">
        <v>934</v>
      </c>
      <c r="D156" s="185"/>
      <c r="E156" s="255"/>
      <c r="F156" s="255"/>
      <c r="G156" s="255"/>
      <c r="H156" s="255"/>
      <c r="I156" s="1619"/>
      <c r="J156" s="800"/>
      <c r="L156" s="872"/>
      <c r="M156" s="872"/>
      <c r="N156" s="872"/>
    </row>
    <row r="157" spans="1:14" s="871" customFormat="1">
      <c r="A157" s="1617" t="str">
        <f>+A146&amp;".x"</f>
        <v>47.x</v>
      </c>
      <c r="B157" s="1618"/>
      <c r="C157" s="1202" t="s">
        <v>934</v>
      </c>
      <c r="D157" s="251"/>
      <c r="E157" s="255"/>
      <c r="F157" s="255"/>
      <c r="G157" s="255"/>
      <c r="H157" s="255"/>
      <c r="I157" s="1619"/>
      <c r="J157" s="800"/>
      <c r="L157" s="872"/>
      <c r="M157" s="872"/>
      <c r="N157" s="872"/>
    </row>
    <row r="158" spans="1:14">
      <c r="A158" s="801">
        <f>+A146+1</f>
        <v>48</v>
      </c>
      <c r="B158" s="76"/>
      <c r="C158" s="861" t="s">
        <v>495</v>
      </c>
      <c r="D158" s="256">
        <f>SUM(D147:D157)</f>
        <v>21731748.41</v>
      </c>
      <c r="E158" s="501"/>
      <c r="F158" s="501"/>
      <c r="G158" s="256"/>
      <c r="H158" s="256"/>
      <c r="I158" s="908" t="str">
        <f>+"Sum Ln "&amp;A146&amp;" Subparts"</f>
        <v>Sum Ln 47 Subparts</v>
      </c>
      <c r="J158" s="75"/>
      <c r="K158" s="75"/>
      <c r="L158" s="255"/>
      <c r="M158" s="255"/>
    </row>
    <row r="159" spans="1:14">
      <c r="A159" s="801">
        <f t="shared" si="14"/>
        <v>49</v>
      </c>
      <c r="B159" s="76"/>
      <c r="C159" s="260"/>
      <c r="D159" s="267"/>
      <c r="E159" s="243"/>
      <c r="F159" s="501"/>
      <c r="G159" s="256"/>
      <c r="H159" s="256"/>
      <c r="I159" s="260"/>
      <c r="J159" s="75"/>
      <c r="K159" s="75"/>
      <c r="L159" s="255"/>
      <c r="M159" s="255"/>
    </row>
    <row r="160" spans="1:14">
      <c r="A160" s="801">
        <f t="shared" si="14"/>
        <v>50</v>
      </c>
      <c r="B160" s="597" t="s">
        <v>39</v>
      </c>
      <c r="C160" s="594"/>
      <c r="D160" s="595"/>
      <c r="E160" s="595"/>
      <c r="F160" s="596"/>
      <c r="G160" s="598"/>
      <c r="H160" s="599"/>
      <c r="I160" s="651"/>
      <c r="J160" s="75"/>
      <c r="K160" s="76"/>
    </row>
    <row r="161" spans="1:16">
      <c r="A161" s="801">
        <f t="shared" si="14"/>
        <v>51</v>
      </c>
      <c r="B161" s="42"/>
      <c r="C161" s="612"/>
      <c r="D161" s="181"/>
      <c r="E161" s="181"/>
      <c r="F161" s="613"/>
      <c r="G161" s="41"/>
      <c r="H161" s="532"/>
      <c r="I161" s="658"/>
      <c r="J161" s="75"/>
      <c r="K161" s="76"/>
      <c r="O161" s="76"/>
      <c r="P161" s="76"/>
    </row>
    <row r="162" spans="1:16">
      <c r="A162" s="801">
        <f t="shared" si="14"/>
        <v>52</v>
      </c>
      <c r="B162" s="42"/>
      <c r="C162" s="214" t="s">
        <v>788</v>
      </c>
      <c r="D162" s="255"/>
      <c r="E162" s="181"/>
      <c r="F162" s="613"/>
      <c r="G162" s="41"/>
      <c r="H162" s="532"/>
      <c r="I162" s="75"/>
      <c r="J162" s="75"/>
      <c r="K162" s="76"/>
      <c r="O162" s="76"/>
      <c r="P162" s="76"/>
    </row>
    <row r="163" spans="1:16">
      <c r="A163" s="803">
        <f>+A162+0.1</f>
        <v>52.1</v>
      </c>
      <c r="B163" s="42"/>
      <c r="C163" s="545" t="s">
        <v>794</v>
      </c>
      <c r="D163" s="1338">
        <f>+'WP10 Storm'!E51</f>
        <v>0</v>
      </c>
      <c r="E163" s="181"/>
      <c r="F163" s="613"/>
      <c r="G163" s="41"/>
      <c r="H163" s="532"/>
      <c r="I163" s="211" t="str">
        <f>+"WP10 Storm Ln "&amp;'WP10 Storm'!A51&amp;" Column "&amp;'WP10 Storm'!E6</f>
        <v xml:space="preserve">WP10 Storm Ln 14 Column D </v>
      </c>
      <c r="J163" s="75"/>
      <c r="K163" s="76"/>
      <c r="O163" s="76"/>
      <c r="P163" s="76"/>
    </row>
    <row r="164" spans="1:16">
      <c r="A164" s="803">
        <f>+A163+0.1</f>
        <v>52.2</v>
      </c>
      <c r="B164" s="42"/>
      <c r="C164" s="545" t="s">
        <v>792</v>
      </c>
      <c r="D164" s="146">
        <f>+'WP AJ1 MISO'!K67</f>
        <v>-135976.61000000004</v>
      </c>
      <c r="E164" s="181"/>
      <c r="F164" s="613"/>
      <c r="G164" s="41"/>
      <c r="H164" s="532"/>
      <c r="I164" s="211" t="str">
        <f>+"WP AJ1 MISO Ln "&amp;'WP AJ1 MISO'!A67&amp;" Column "&amp;'WP AJ1 MISO'!K8</f>
        <v>WP AJ1 MISO Ln 14 Column J</v>
      </c>
      <c r="J164" s="75"/>
      <c r="K164" s="76"/>
      <c r="O164" s="76"/>
      <c r="P164" s="76"/>
    </row>
    <row r="165" spans="1:16" ht="13.2" customHeight="1">
      <c r="A165" s="803">
        <f>+A164+0.1</f>
        <v>52.300000000000004</v>
      </c>
      <c r="B165" s="42"/>
      <c r="C165" s="545" t="s">
        <v>1116</v>
      </c>
      <c r="D165" s="146">
        <f>-'WP AJ2 ITC'!F55</f>
        <v>0</v>
      </c>
      <c r="E165" s="181"/>
      <c r="F165" s="613"/>
      <c r="G165" s="41"/>
      <c r="H165" s="532"/>
      <c r="I165" s="211" t="str">
        <f>"WP AJ2 ITC Ln "&amp;'WP AJ2 ITC'!A55&amp;" Column "&amp;'WP AJ2 ITC'!F6</f>
        <v>WP AJ2 ITC Ln 14 Column D</v>
      </c>
      <c r="J165" s="75"/>
      <c r="K165" s="76"/>
      <c r="O165" s="76"/>
      <c r="P165" s="76"/>
    </row>
    <row r="166" spans="1:16" s="871" customFormat="1">
      <c r="A166" s="803">
        <f t="shared" ref="A166:A169" si="17">+A165+0.1</f>
        <v>52.400000000000006</v>
      </c>
      <c r="B166" s="878"/>
      <c r="C166" s="1198" t="s">
        <v>875</v>
      </c>
      <c r="D166" s="146">
        <f>-'WP AJ3 HCM'!G46</f>
        <v>-242679.8</v>
      </c>
      <c r="E166" s="879"/>
      <c r="F166" s="880"/>
      <c r="G166" s="874"/>
      <c r="H166" s="881"/>
      <c r="I166" s="211" t="s">
        <v>1123</v>
      </c>
      <c r="J166" s="75"/>
      <c r="L166" s="872"/>
      <c r="M166" s="872"/>
      <c r="N166" s="872"/>
      <c r="O166" s="872"/>
      <c r="P166" s="872"/>
    </row>
    <row r="167" spans="1:16" s="871" customFormat="1">
      <c r="A167" s="803">
        <f t="shared" si="17"/>
        <v>52.500000000000007</v>
      </c>
      <c r="B167" s="75"/>
      <c r="C167" s="1198" t="s">
        <v>1115</v>
      </c>
      <c r="D167" s="256">
        <f>-'WP AJ4 LA Merger'!G51</f>
        <v>-541.47</v>
      </c>
      <c r="E167" s="255"/>
      <c r="F167" s="255"/>
      <c r="G167" s="255"/>
      <c r="H167" s="255"/>
      <c r="I167" s="211" t="s">
        <v>2313</v>
      </c>
      <c r="J167" s="800"/>
      <c r="L167" s="872"/>
      <c r="M167" s="872"/>
      <c r="N167" s="872"/>
    </row>
    <row r="168" spans="1:16" s="871" customFormat="1">
      <c r="A168" s="1617">
        <f t="shared" si="17"/>
        <v>52.600000000000009</v>
      </c>
      <c r="B168" s="1618"/>
      <c r="C168" s="1622" t="s">
        <v>2163</v>
      </c>
      <c r="D168" s="2234">
        <f>'Support to WP02'!I53</f>
        <v>0</v>
      </c>
      <c r="E168" s="2089"/>
      <c r="F168" s="2089"/>
      <c r="G168" s="2089"/>
      <c r="H168" s="255"/>
      <c r="I168" s="2235" t="str">
        <f>"Support to WP02 Ln "&amp;'Support to WP02'!A53&amp;" Column "&amp;'Support to WP02'!$I$6</f>
        <v>Support to WP02 Ln 14 Column I</v>
      </c>
      <c r="J168" s="800"/>
      <c r="L168" s="872"/>
      <c r="M168" s="872"/>
      <c r="N168" s="872"/>
    </row>
    <row r="169" spans="1:16" s="871" customFormat="1">
      <c r="A169" s="1617">
        <f t="shared" si="17"/>
        <v>52.70000000000001</v>
      </c>
      <c r="B169" s="1618"/>
      <c r="C169" s="1202" t="s">
        <v>934</v>
      </c>
      <c r="D169" s="185"/>
      <c r="E169" s="255"/>
      <c r="F169" s="255"/>
      <c r="G169" s="255"/>
      <c r="H169" s="255"/>
      <c r="I169" s="1619"/>
      <c r="J169" s="800"/>
      <c r="L169" s="872"/>
      <c r="M169" s="872"/>
      <c r="N169" s="872"/>
    </row>
    <row r="170" spans="1:16" s="871" customFormat="1">
      <c r="A170" s="1617" t="s">
        <v>924</v>
      </c>
      <c r="B170" s="1618"/>
      <c r="C170" s="1202" t="s">
        <v>934</v>
      </c>
      <c r="D170" s="185"/>
      <c r="E170" s="255"/>
      <c r="F170" s="255"/>
      <c r="G170" s="255"/>
      <c r="H170" s="255"/>
      <c r="I170" s="1619"/>
      <c r="J170" s="800"/>
      <c r="L170" s="872"/>
      <c r="M170" s="872"/>
      <c r="N170" s="872"/>
    </row>
    <row r="171" spans="1:16" s="871" customFormat="1">
      <c r="A171" s="1617" t="str">
        <f>+A162&amp;".x"</f>
        <v>52.x</v>
      </c>
      <c r="B171" s="1618"/>
      <c r="C171" s="1202" t="s">
        <v>934</v>
      </c>
      <c r="D171" s="251"/>
      <c r="E171" s="255"/>
      <c r="F171" s="255"/>
      <c r="G171" s="255"/>
      <c r="H171" s="255"/>
      <c r="I171" s="1619"/>
      <c r="J171" s="800"/>
      <c r="L171" s="872"/>
      <c r="M171" s="872"/>
      <c r="N171" s="872"/>
    </row>
    <row r="172" spans="1:16">
      <c r="A172" s="801">
        <f>+A162+1</f>
        <v>53</v>
      </c>
      <c r="B172" s="42"/>
      <c r="C172" s="861" t="s">
        <v>552</v>
      </c>
      <c r="D172" s="256">
        <f>SUM(D163:D171)</f>
        <v>-379197.88</v>
      </c>
      <c r="E172" s="181"/>
      <c r="F172" s="613"/>
      <c r="G172" s="41"/>
      <c r="H172" s="532"/>
      <c r="I172" s="908" t="str">
        <f>+"Sum Ln "&amp;A162&amp;" Subparts"</f>
        <v>Sum Ln 52 Subparts</v>
      </c>
      <c r="J172" s="75"/>
      <c r="K172" s="76"/>
      <c r="O172" s="76"/>
      <c r="P172" s="76"/>
    </row>
    <row r="173" spans="1:16">
      <c r="A173" s="801">
        <f t="shared" si="14"/>
        <v>54</v>
      </c>
      <c r="B173" s="42"/>
      <c r="C173" s="612"/>
      <c r="D173" s="181"/>
      <c r="E173" s="181"/>
      <c r="F173" s="613"/>
      <c r="G173" s="41"/>
      <c r="H173" s="532"/>
      <c r="I173" s="658"/>
      <c r="J173" s="75"/>
      <c r="K173" s="76"/>
      <c r="O173" s="76"/>
      <c r="P173" s="76"/>
    </row>
    <row r="174" spans="1:16">
      <c r="A174" s="801">
        <f t="shared" si="14"/>
        <v>55</v>
      </c>
      <c r="B174" s="597" t="s">
        <v>492</v>
      </c>
      <c r="C174" s="594"/>
      <c r="D174" s="595"/>
      <c r="E174" s="595"/>
      <c r="F174" s="596"/>
      <c r="G174" s="598"/>
      <c r="H174" s="599"/>
      <c r="I174" s="651"/>
      <c r="J174" s="75"/>
      <c r="K174" s="570"/>
      <c r="L174" s="268"/>
      <c r="M174" s="518"/>
    </row>
    <row r="175" spans="1:16">
      <c r="A175" s="801">
        <f t="shared" si="14"/>
        <v>56</v>
      </c>
      <c r="D175" s="666" t="s">
        <v>1067</v>
      </c>
      <c r="E175" s="258"/>
      <c r="F175" s="666" t="s">
        <v>319</v>
      </c>
      <c r="J175" s="75"/>
      <c r="K175" s="570"/>
      <c r="L175" s="268"/>
      <c r="M175" s="518"/>
    </row>
    <row r="176" spans="1:16" ht="15">
      <c r="A176" s="801">
        <f t="shared" si="14"/>
        <v>57</v>
      </c>
      <c r="C176" s="591" t="s">
        <v>77</v>
      </c>
      <c r="D176" s="515" t="s">
        <v>523</v>
      </c>
      <c r="E176" s="258"/>
      <c r="F176" s="515" t="s">
        <v>164</v>
      </c>
      <c r="G176" s="263"/>
      <c r="H176" s="255"/>
      <c r="I176" s="255"/>
      <c r="J176" s="865"/>
      <c r="K176" s="570"/>
      <c r="L176" s="268"/>
      <c r="M176" s="518"/>
    </row>
    <row r="177" spans="1:17">
      <c r="A177" s="803">
        <f>+A176+0.1</f>
        <v>57.1</v>
      </c>
      <c r="B177" s="261"/>
      <c r="C177" s="589" t="s">
        <v>455</v>
      </c>
      <c r="D177" s="256">
        <f>+'WP04 PIS'!H23</f>
        <v>80547443.151538432</v>
      </c>
      <c r="E177" s="537"/>
      <c r="F177" s="256">
        <f>+'WP04 PIS'!H21</f>
        <v>93344272.13000001</v>
      </c>
      <c r="G177" s="514"/>
      <c r="H177" s="256"/>
      <c r="I177" s="157" t="str">
        <f>+"WP04 PIS Ln "&amp;'WP04 PIS'!A23&amp;" &amp; Ln "&amp;'WP04 PIS'!A21&amp;" Col "&amp;'WP04 PIS'!H5</f>
        <v>WP04 PIS Ln 18 &amp; Ln 16 Col G</v>
      </c>
      <c r="J177" s="75"/>
      <c r="K177" s="570"/>
      <c r="L177" s="268"/>
      <c r="M177" s="518"/>
    </row>
    <row r="178" spans="1:17">
      <c r="A178" s="803">
        <f>+A177+0.1</f>
        <v>57.2</v>
      </c>
      <c r="B178" s="261"/>
      <c r="C178" s="589" t="s">
        <v>264</v>
      </c>
      <c r="D178" s="256">
        <f>+'WP04 PIS'!I23</f>
        <v>167034064.58846155</v>
      </c>
      <c r="E178" s="537"/>
      <c r="F178" s="256">
        <f>+'WP04 PIS'!I21</f>
        <v>182216123.94999999</v>
      </c>
      <c r="G178" s="514"/>
      <c r="H178" s="256"/>
      <c r="I178" s="157" t="str">
        <f>+"WP04 PIS Ln "&amp;'WP04 PIS'!A23&amp;" &amp; Ln "&amp;'WP04 PIS'!A21&amp;" Col "&amp;'WP04 PIS'!I5</f>
        <v>WP04 PIS Ln 18 &amp; Ln 16 Col H</v>
      </c>
      <c r="J178" s="570"/>
      <c r="K178" s="75"/>
      <c r="L178" s="255"/>
      <c r="M178" s="255"/>
    </row>
    <row r="179" spans="1:17" s="75" customFormat="1">
      <c r="A179" s="803">
        <f>+A178+0.1</f>
        <v>57.300000000000004</v>
      </c>
      <c r="B179" s="261"/>
      <c r="C179" s="589" t="s">
        <v>1077</v>
      </c>
      <c r="D179" s="256">
        <f>+'WP15 Radials'!G8</f>
        <v>85710597.855000004</v>
      </c>
      <c r="E179" s="886"/>
      <c r="F179" s="256">
        <f>+'WP15 Radials'!F8</f>
        <v>88978451.010000005</v>
      </c>
      <c r="G179" s="514"/>
      <c r="H179" s="256"/>
      <c r="I179" s="157" t="str">
        <f>+"WP15 Radials Ln"&amp;'WP15 Radials'!A8&amp;" Col "&amp;'WP15 Radials'!G5&amp;" &amp; "&amp;'WP15 Radials'!F5</f>
        <v>WP15 Radials Ln3 Col F &amp; E</v>
      </c>
      <c r="K179" s="187"/>
      <c r="L179" s="41"/>
      <c r="M179" s="41"/>
      <c r="N179" s="255"/>
      <c r="O179" s="255"/>
      <c r="P179" s="255"/>
    </row>
    <row r="180" spans="1:17">
      <c r="A180" s="803">
        <f>+A179+0.1</f>
        <v>57.400000000000006</v>
      </c>
      <c r="B180" s="261"/>
      <c r="C180" s="589" t="s">
        <v>268</v>
      </c>
      <c r="D180" s="535">
        <f>+'WP16 Interconn'!P30</f>
        <v>24341569.908461537</v>
      </c>
      <c r="E180" s="537"/>
      <c r="F180" s="535">
        <f>+'WP16 Interconn'!O30</f>
        <v>39554656.049999997</v>
      </c>
      <c r="G180" s="514"/>
      <c r="H180" s="256"/>
      <c r="I180" s="157" t="str">
        <f>+"WP16 Interconn Ln "&amp;'WP16 Interconn'!A30&amp;" Col "&amp;'WP16 Interconn'!P5&amp;" &amp; "&amp;'WP16 Interconn'!O5</f>
        <v>WP16 Interconn Ln 7 Col O &amp; N</v>
      </c>
      <c r="J180" s="256"/>
      <c r="K180" s="187"/>
      <c r="L180" s="41"/>
      <c r="M180" s="41"/>
      <c r="O180" s="76"/>
      <c r="P180" s="76"/>
    </row>
    <row r="181" spans="1:17">
      <c r="A181" s="801">
        <f>+A176+1</f>
        <v>58</v>
      </c>
      <c r="B181" s="261"/>
      <c r="C181" s="861" t="str">
        <f>+"Total "&amp;C176</f>
        <v>Total Excluded Transmission Facilities</v>
      </c>
      <c r="D181" s="256">
        <f>SUM(D177:D180)</f>
        <v>357633675.50346148</v>
      </c>
      <c r="E181" s="501"/>
      <c r="F181" s="501">
        <f>SUM(F177:F180)</f>
        <v>404093503.13999999</v>
      </c>
      <c r="G181" s="501"/>
      <c r="H181" s="501"/>
      <c r="I181" s="789" t="str">
        <f>+"Sum Ln "&amp;A176&amp;" Subparts"</f>
        <v>Sum Ln 57 Subparts</v>
      </c>
      <c r="J181" s="865"/>
      <c r="K181" s="187"/>
      <c r="L181" s="41"/>
      <c r="M181" s="41"/>
      <c r="O181" s="76"/>
      <c r="P181" s="76"/>
    </row>
    <row r="182" spans="1:17">
      <c r="B182" s="255"/>
      <c r="C182" s="255"/>
      <c r="D182" s="255"/>
      <c r="E182" s="255"/>
      <c r="F182" s="255"/>
      <c r="G182" s="255"/>
      <c r="H182" s="255"/>
      <c r="I182" s="211"/>
      <c r="J182" s="256"/>
      <c r="K182" s="187"/>
      <c r="L182" s="41"/>
      <c r="M182" s="41"/>
      <c r="O182" s="76"/>
      <c r="P182" s="76"/>
    </row>
    <row r="183" spans="1:17">
      <c r="A183" s="543" t="s">
        <v>124</v>
      </c>
      <c r="B183" s="76"/>
      <c r="C183" s="588"/>
      <c r="D183" s="580"/>
      <c r="E183" s="579"/>
      <c r="F183" s="579"/>
      <c r="G183" s="579"/>
      <c r="H183" s="579"/>
      <c r="I183" s="655"/>
      <c r="J183" s="256"/>
      <c r="K183" s="187"/>
      <c r="L183" s="41"/>
      <c r="M183" s="41"/>
      <c r="O183" s="76"/>
      <c r="P183" s="76"/>
    </row>
    <row r="184" spans="1:17" ht="40.200000000000003" customHeight="1">
      <c r="A184" s="952" t="s">
        <v>167</v>
      </c>
      <c r="B184" s="2350" t="s">
        <v>1097</v>
      </c>
      <c r="C184" s="2350"/>
      <c r="D184" s="2350"/>
      <c r="E184" s="2350"/>
      <c r="F184" s="2350"/>
      <c r="G184" s="2350"/>
      <c r="H184" s="2350"/>
      <c r="I184" s="2350"/>
      <c r="J184" s="665"/>
      <c r="O184" s="76"/>
      <c r="P184" s="76"/>
    </row>
    <row r="185" spans="1:17" ht="27" customHeight="1">
      <c r="A185" s="1081" t="s">
        <v>320</v>
      </c>
      <c r="B185" s="2330" t="s">
        <v>939</v>
      </c>
      <c r="C185" s="2330"/>
      <c r="D185" s="2330"/>
      <c r="E185" s="2330"/>
      <c r="F185" s="2330"/>
      <c r="G185" s="2330"/>
      <c r="H185" s="2330"/>
      <c r="I185" s="2330"/>
      <c r="J185" s="665"/>
      <c r="O185" s="76"/>
      <c r="P185" s="76"/>
    </row>
    <row r="186" spans="1:17">
      <c r="A186" s="1081" t="s">
        <v>321</v>
      </c>
      <c r="B186" s="2349" t="str">
        <f>+"See Appendix A Note "&amp;'Appendix A'!A331</f>
        <v>See Appendix A Note X</v>
      </c>
      <c r="C186" s="2349"/>
      <c r="D186" s="864"/>
      <c r="E186" s="518"/>
      <c r="F186" s="518"/>
      <c r="G186" s="518"/>
      <c r="H186" s="518"/>
      <c r="I186" s="1082"/>
    </row>
    <row r="187" spans="1:17" ht="28.2" customHeight="1">
      <c r="A187" s="1081" t="s">
        <v>322</v>
      </c>
      <c r="B187" s="2348" t="s">
        <v>1078</v>
      </c>
      <c r="C187" s="2348"/>
      <c r="D187" s="2348"/>
      <c r="E187" s="2348"/>
      <c r="F187" s="2348"/>
      <c r="G187" s="2348"/>
      <c r="H187" s="2348"/>
      <c r="I187" s="2348"/>
    </row>
    <row r="188" spans="1:17" ht="67.2" customHeight="1">
      <c r="A188" s="1081" t="s">
        <v>323</v>
      </c>
      <c r="B188" s="2345" t="s">
        <v>861</v>
      </c>
      <c r="C188" s="2345"/>
      <c r="D188" s="2345"/>
      <c r="E188" s="2345"/>
      <c r="F188" s="2345"/>
      <c r="G188" s="2345"/>
      <c r="H188" s="2345"/>
      <c r="I188" s="2345"/>
      <c r="J188" s="1075"/>
      <c r="K188" s="1075"/>
      <c r="L188" s="1075"/>
      <c r="M188" s="1075"/>
      <c r="N188" s="1075"/>
      <c r="O188" s="1075"/>
      <c r="P188" s="1075"/>
      <c r="Q188" s="1075"/>
    </row>
    <row r="189" spans="1:17">
      <c r="B189" s="2345"/>
      <c r="C189" s="2345"/>
      <c r="D189" s="2345"/>
      <c r="E189" s="2345"/>
      <c r="F189" s="2345"/>
      <c r="G189" s="2345"/>
      <c r="H189" s="2345"/>
      <c r="I189" s="2345"/>
      <c r="J189" s="2345"/>
      <c r="K189" s="2345"/>
      <c r="L189" s="2345"/>
      <c r="M189" s="2345"/>
      <c r="N189" s="2345"/>
      <c r="O189" s="2345"/>
      <c r="P189" s="2345"/>
      <c r="Q189" s="2345"/>
    </row>
    <row r="190" spans="1:17">
      <c r="B190" s="2346"/>
      <c r="C190" s="2346"/>
      <c r="D190" s="2346"/>
      <c r="E190" s="2346"/>
      <c r="F190" s="2346"/>
      <c r="G190" s="2346"/>
      <c r="H190" s="2346"/>
      <c r="I190" s="2346"/>
      <c r="J190" s="2346"/>
      <c r="K190" s="2346"/>
      <c r="L190" s="2346"/>
      <c r="M190" s="2346"/>
      <c r="N190" s="2346"/>
      <c r="O190" s="2346"/>
      <c r="P190" s="2346"/>
      <c r="Q190" s="2346"/>
    </row>
    <row r="191" spans="1:17" ht="14.4">
      <c r="B191" s="2347"/>
      <c r="C191" s="2347"/>
      <c r="D191" s="2347"/>
      <c r="E191" s="2347"/>
      <c r="F191" s="2347"/>
      <c r="G191" s="2347"/>
      <c r="H191" s="2347"/>
      <c r="I191" s="2347"/>
      <c r="J191" s="2347"/>
      <c r="K191" s="2347"/>
      <c r="L191" s="2347"/>
      <c r="M191" s="2347"/>
      <c r="N191" s="2347"/>
      <c r="O191" s="2347"/>
      <c r="P191" s="2347"/>
      <c r="Q191" s="2347"/>
    </row>
    <row r="221" spans="7:7">
      <c r="G221" s="75"/>
    </row>
  </sheetData>
  <mergeCells count="11">
    <mergeCell ref="A1:I1"/>
    <mergeCell ref="B185:I185"/>
    <mergeCell ref="B189:Q189"/>
    <mergeCell ref="B190:Q190"/>
    <mergeCell ref="B191:Q191"/>
    <mergeCell ref="B188:I188"/>
    <mergeCell ref="B187:I187"/>
    <mergeCell ref="B186:C186"/>
    <mergeCell ref="B184:I184"/>
    <mergeCell ref="A3:I3"/>
    <mergeCell ref="A2:I2"/>
  </mergeCells>
  <printOptions horizontalCentered="1"/>
  <pageMargins left="0.5" right="0.5" top="0.5" bottom="0.7" header="0.3" footer="0.5"/>
  <pageSetup scale="71" fitToHeight="0" orientation="landscape" r:id="rId1"/>
  <headerFooter>
    <oddFooter>&amp;R&amp;A</oddFooter>
  </headerFooter>
  <rowBreaks count="3" manualBreakCount="3">
    <brk id="58" max="8" man="1"/>
    <brk id="108" max="8" man="1"/>
    <brk id="159"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6"/>
  <sheetViews>
    <sheetView zoomScaleNormal="100" workbookViewId="0">
      <selection activeCell="L6" sqref="L6"/>
    </sheetView>
  </sheetViews>
  <sheetFormatPr defaultColWidth="8.88671875" defaultRowHeight="13.2"/>
  <cols>
    <col min="1" max="1" width="5.33203125" style="1177" customWidth="1"/>
    <col min="2" max="2" width="38.109375" style="161" customWidth="1"/>
    <col min="3" max="3" width="11.6640625" style="161" bestFit="1" customWidth="1"/>
    <col min="4" max="4" width="7.88671875" style="161" bestFit="1" customWidth="1"/>
    <col min="5" max="5" width="11.6640625" style="1429" bestFit="1" customWidth="1"/>
    <col min="6" max="6" width="9.5546875" style="1429" bestFit="1" customWidth="1"/>
    <col min="7" max="7" width="11.6640625" style="161" bestFit="1" customWidth="1"/>
    <col min="8" max="9" width="9.5546875" style="161" bestFit="1" customWidth="1"/>
    <col min="10" max="10" width="8.88671875" style="161"/>
    <col min="11" max="11" width="12.33203125" style="161" bestFit="1" customWidth="1"/>
    <col min="12" max="12" width="11.44140625" style="161" bestFit="1" customWidth="1"/>
    <col min="13" max="13" width="11.33203125" style="161" customWidth="1"/>
    <col min="14" max="14" width="11.44140625" style="161" bestFit="1" customWidth="1"/>
    <col min="15" max="15" width="0.88671875" style="161" customWidth="1"/>
    <col min="16" max="16" width="11.88671875" style="161" bestFit="1" customWidth="1"/>
    <col min="17" max="18" width="8.33203125" style="161" customWidth="1"/>
    <col min="19" max="19" width="11.5546875" style="161" bestFit="1" customWidth="1"/>
    <col min="20" max="20" width="41" style="161" bestFit="1" customWidth="1"/>
    <col min="21" max="25" width="8.88671875" style="161"/>
    <col min="26" max="26" width="10.88671875" style="161" bestFit="1" customWidth="1"/>
    <col min="27" max="16384" width="8.88671875" style="161"/>
  </cols>
  <sheetData>
    <row r="1" spans="1:27">
      <c r="A1" s="2358" t="str">
        <f>'MISO Cover'!C6</f>
        <v>Entergy Louisiana, LLC</v>
      </c>
      <c r="B1" s="2358"/>
      <c r="C1" s="2358"/>
      <c r="D1" s="2358"/>
      <c r="E1" s="2358"/>
      <c r="F1" s="2358"/>
      <c r="G1" s="2358"/>
      <c r="H1" s="2358"/>
      <c r="I1" s="2358"/>
      <c r="J1" s="1833"/>
      <c r="Z1" s="2055"/>
    </row>
    <row r="2" spans="1:27">
      <c r="A2" s="2359" t="s">
        <v>2125</v>
      </c>
      <c r="B2" s="2359"/>
      <c r="C2" s="2359"/>
      <c r="D2" s="2359"/>
      <c r="E2" s="2359"/>
      <c r="F2" s="2359"/>
      <c r="G2" s="2359"/>
      <c r="H2" s="2359"/>
      <c r="I2" s="2359"/>
      <c r="J2" s="2054"/>
      <c r="P2" s="161" t="s">
        <v>2124</v>
      </c>
    </row>
    <row r="3" spans="1:27">
      <c r="A3" s="2358" t="str">
        <f>'MISO Cover'!K4</f>
        <v>For  the 12 Months Ended 12/31/2017</v>
      </c>
      <c r="B3" s="2358"/>
      <c r="C3" s="2358"/>
      <c r="D3" s="2358"/>
      <c r="E3" s="2358"/>
      <c r="F3" s="2358"/>
      <c r="G3" s="2358"/>
      <c r="H3" s="2358"/>
      <c r="I3" s="2358"/>
      <c r="J3" s="2053"/>
      <c r="P3" s="161" t="s">
        <v>2123</v>
      </c>
    </row>
    <row r="4" spans="1:27">
      <c r="A4" s="2052"/>
      <c r="B4" s="2052"/>
      <c r="C4" s="2052"/>
      <c r="D4" s="2052"/>
      <c r="E4" s="900"/>
      <c r="F4" s="900"/>
      <c r="G4" s="2360" t="s">
        <v>2122</v>
      </c>
      <c r="H4" s="2360"/>
      <c r="I4" s="2360"/>
      <c r="J4" s="2052"/>
      <c r="P4" s="161" t="s">
        <v>2121</v>
      </c>
    </row>
    <row r="5" spans="1:27">
      <c r="A5" s="2051"/>
      <c r="B5" s="783"/>
      <c r="C5" s="2361" t="s">
        <v>2120</v>
      </c>
      <c r="D5" s="2361"/>
      <c r="E5" s="2362" t="s">
        <v>2119</v>
      </c>
      <c r="F5" s="2362"/>
      <c r="G5" s="1978" t="s">
        <v>2118</v>
      </c>
      <c r="H5" s="721" t="s">
        <v>2117</v>
      </c>
      <c r="I5" s="2236" t="s">
        <v>2116</v>
      </c>
      <c r="J5" s="2238"/>
      <c r="P5" s="161" t="s">
        <v>2115</v>
      </c>
      <c r="Q5" s="161" t="s">
        <v>2114</v>
      </c>
      <c r="R5" s="161" t="s">
        <v>2113</v>
      </c>
      <c r="S5" s="161" t="s">
        <v>459</v>
      </c>
    </row>
    <row r="6" spans="1:27">
      <c r="A6" s="2049" t="s">
        <v>67</v>
      </c>
      <c r="B6" s="2049" t="s">
        <v>114</v>
      </c>
      <c r="C6" s="2049" t="s">
        <v>55</v>
      </c>
      <c r="D6" s="2050" t="s">
        <v>68</v>
      </c>
      <c r="E6" s="2050" t="s">
        <v>66</v>
      </c>
      <c r="F6" s="2049" t="s">
        <v>154</v>
      </c>
      <c r="G6" s="2049" t="s">
        <v>69</v>
      </c>
      <c r="H6" s="1704" t="s">
        <v>166</v>
      </c>
      <c r="I6" s="721" t="s">
        <v>59</v>
      </c>
      <c r="K6" s="2351" t="s">
        <v>1394</v>
      </c>
      <c r="L6" s="2352"/>
      <c r="M6" s="2352"/>
      <c r="N6" s="2352"/>
    </row>
    <row r="7" spans="1:27" ht="15.6" thickBot="1">
      <c r="A7" s="2048" t="s">
        <v>280</v>
      </c>
      <c r="B7" s="1977" t="s">
        <v>171</v>
      </c>
      <c r="C7" s="2046" t="s">
        <v>919</v>
      </c>
      <c r="D7" s="2046" t="s">
        <v>829</v>
      </c>
      <c r="E7" s="2047" t="s">
        <v>919</v>
      </c>
      <c r="F7" s="2047" t="s">
        <v>829</v>
      </c>
      <c r="G7" s="2046" t="s">
        <v>919</v>
      </c>
      <c r="H7" s="2237" t="s">
        <v>829</v>
      </c>
      <c r="I7" s="2237" t="s">
        <v>2112</v>
      </c>
      <c r="K7" s="2044" t="s">
        <v>2075</v>
      </c>
      <c r="L7" s="2044" t="s">
        <v>829</v>
      </c>
      <c r="M7" s="2045" t="s">
        <v>2075</v>
      </c>
      <c r="N7" s="2044" t="s">
        <v>829</v>
      </c>
      <c r="Y7" s="162"/>
      <c r="Z7" s="162"/>
    </row>
    <row r="8" spans="1:27">
      <c r="A8" s="2031">
        <f>1.01</f>
        <v>1.01</v>
      </c>
      <c r="B8" s="2040" t="s">
        <v>836</v>
      </c>
      <c r="C8" s="1238"/>
      <c r="D8" s="1238"/>
      <c r="E8" s="1636"/>
      <c r="F8" s="1636"/>
      <c r="G8" s="1238">
        <f t="shared" ref="G8:G40" si="0">+C8+E8</f>
        <v>0</v>
      </c>
      <c r="H8" s="1238">
        <f t="shared" ref="H8:H40" si="1">+D8+F8</f>
        <v>0</v>
      </c>
      <c r="I8" s="586">
        <f t="shared" ref="I8:I40" si="2">SUM(G8:H8)</f>
        <v>0</v>
      </c>
      <c r="J8" s="1978"/>
      <c r="K8" s="2043">
        <f>+M68</f>
        <v>19353.190000000002</v>
      </c>
      <c r="L8" s="2043">
        <f>N22</f>
        <v>0</v>
      </c>
      <c r="M8" s="2042"/>
      <c r="N8" s="2041"/>
      <c r="O8" s="1982"/>
      <c r="P8" s="1982" t="str">
        <f>P22</f>
        <v>AECC 1-5</v>
      </c>
      <c r="Q8" s="1982" t="s">
        <v>2047</v>
      </c>
      <c r="R8" s="1982" t="s">
        <v>2084</v>
      </c>
      <c r="S8" s="1429" t="s">
        <v>2083</v>
      </c>
      <c r="T8" s="1983" t="str">
        <f>T22</f>
        <v>FOSSIL INFORMATION TECHNOLOGY - FIT</v>
      </c>
      <c r="U8" s="1982"/>
      <c r="V8" s="1982"/>
      <c r="W8" s="1982"/>
      <c r="X8" s="1982"/>
      <c r="Y8" s="162"/>
      <c r="Z8" s="162"/>
      <c r="AA8" s="1978"/>
    </row>
    <row r="9" spans="1:27" s="1978" customFormat="1" ht="13.8" thickBot="1">
      <c r="A9" s="2031">
        <f t="shared" ref="A9:A40" si="3">A8+0.01</f>
        <v>1.02</v>
      </c>
      <c r="B9" s="2040" t="s">
        <v>837</v>
      </c>
      <c r="C9" s="1238"/>
      <c r="D9" s="1238"/>
      <c r="E9" s="1636"/>
      <c r="F9" s="1636"/>
      <c r="G9" s="1238">
        <f t="shared" si="0"/>
        <v>0</v>
      </c>
      <c r="H9" s="1238">
        <f t="shared" si="1"/>
        <v>0</v>
      </c>
      <c r="I9" s="586">
        <f t="shared" si="2"/>
        <v>0</v>
      </c>
      <c r="J9" s="585"/>
      <c r="K9" s="2038">
        <f>SUM(K8)</f>
        <v>19353.190000000002</v>
      </c>
      <c r="L9" s="2038">
        <f>SUM(L8)</f>
        <v>0</v>
      </c>
      <c r="M9" s="2039">
        <f>SUM(M8)</f>
        <v>0</v>
      </c>
      <c r="N9" s="2038">
        <f>SUM(N8)</f>
        <v>0</v>
      </c>
      <c r="O9" s="2037"/>
      <c r="P9" s="2037"/>
      <c r="Q9" s="2037"/>
      <c r="R9" s="2037"/>
      <c r="S9" s="2037"/>
      <c r="T9" s="2037"/>
      <c r="U9" s="2037"/>
      <c r="V9" s="2037"/>
      <c r="W9" s="2037"/>
      <c r="X9" s="2037"/>
      <c r="Y9" s="162"/>
      <c r="Z9" s="162"/>
      <c r="AA9" s="162"/>
    </row>
    <row r="10" spans="1:27" s="162" customFormat="1" ht="13.8" thickTop="1">
      <c r="A10" s="2031">
        <f t="shared" si="3"/>
        <v>1.03</v>
      </c>
      <c r="B10" s="1806" t="s">
        <v>1391</v>
      </c>
      <c r="C10" s="1238"/>
      <c r="D10" s="1238"/>
      <c r="E10" s="1636"/>
      <c r="F10" s="1636"/>
      <c r="G10" s="1238">
        <f t="shared" si="0"/>
        <v>0</v>
      </c>
      <c r="H10" s="1238">
        <f t="shared" si="1"/>
        <v>0</v>
      </c>
      <c r="I10" s="586">
        <f t="shared" si="2"/>
        <v>0</v>
      </c>
      <c r="J10" s="585"/>
      <c r="K10" s="1983"/>
      <c r="L10" s="1983"/>
      <c r="M10" s="2029"/>
      <c r="N10" s="1983"/>
      <c r="O10" s="1983"/>
      <c r="P10" s="1983"/>
      <c r="Q10" s="1983"/>
      <c r="R10" s="1983"/>
      <c r="S10" s="1983"/>
      <c r="T10" s="1983"/>
      <c r="U10" s="1983"/>
      <c r="V10" s="1983"/>
      <c r="W10" s="1983"/>
      <c r="X10" s="1983"/>
    </row>
    <row r="11" spans="1:27" s="162" customFormat="1">
      <c r="A11" s="2031">
        <f t="shared" si="3"/>
        <v>1.04</v>
      </c>
      <c r="B11" s="1806" t="s">
        <v>1392</v>
      </c>
      <c r="C11" s="1238"/>
      <c r="D11" s="1238"/>
      <c r="E11" s="1636"/>
      <c r="F11" s="1636"/>
      <c r="G11" s="1238">
        <f t="shared" si="0"/>
        <v>0</v>
      </c>
      <c r="H11" s="1238">
        <f t="shared" si="1"/>
        <v>0</v>
      </c>
      <c r="I11" s="586">
        <f t="shared" si="2"/>
        <v>0</v>
      </c>
      <c r="J11" s="585"/>
      <c r="K11" s="2353" t="s">
        <v>2108</v>
      </c>
      <c r="L11" s="2354"/>
      <c r="M11" s="2354"/>
      <c r="N11" s="2354"/>
      <c r="O11" s="1983"/>
      <c r="P11" s="1983"/>
      <c r="Q11" s="1983"/>
      <c r="R11" s="1983"/>
      <c r="S11" s="1983"/>
      <c r="T11" s="1983"/>
      <c r="U11" s="1983"/>
      <c r="V11" s="1983"/>
      <c r="W11" s="1983"/>
      <c r="X11" s="1983"/>
    </row>
    <row r="12" spans="1:27" s="162" customFormat="1" ht="13.8" thickBot="1">
      <c r="A12" s="2031">
        <f t="shared" si="3"/>
        <v>1.05</v>
      </c>
      <c r="B12" s="1806" t="s">
        <v>1393</v>
      </c>
      <c r="C12" s="1238"/>
      <c r="D12" s="1238"/>
      <c r="E12" s="1636"/>
      <c r="F12" s="1636"/>
      <c r="G12" s="1238">
        <f t="shared" si="0"/>
        <v>0</v>
      </c>
      <c r="H12" s="1238">
        <f t="shared" si="1"/>
        <v>0</v>
      </c>
      <c r="I12" s="586">
        <f t="shared" si="2"/>
        <v>0</v>
      </c>
      <c r="J12" s="585"/>
      <c r="K12" s="2014" t="s">
        <v>2075</v>
      </c>
      <c r="L12" s="2014" t="s">
        <v>829</v>
      </c>
      <c r="M12" s="2013" t="s">
        <v>2075</v>
      </c>
      <c r="N12" s="2014" t="s">
        <v>829</v>
      </c>
      <c r="O12" s="1983"/>
      <c r="P12" s="1983"/>
      <c r="Q12" s="1983"/>
      <c r="R12" s="1983"/>
      <c r="S12" s="1983"/>
      <c r="T12" s="1983"/>
      <c r="U12" s="1983"/>
      <c r="V12" s="1983"/>
      <c r="W12" s="1983"/>
      <c r="X12" s="1983"/>
    </row>
    <row r="13" spans="1:27" s="162" customFormat="1">
      <c r="A13" s="2031">
        <f t="shared" si="3"/>
        <v>1.06</v>
      </c>
      <c r="B13" s="1195" t="s">
        <v>1394</v>
      </c>
      <c r="C13" s="1238"/>
      <c r="D13" s="1238"/>
      <c r="E13" s="1636">
        <f>'Support to WP02'!K9-'Support to WP02'!M9</f>
        <v>19353.190000000002</v>
      </c>
      <c r="F13" s="1636">
        <f>'Support to WP02'!L9-'Support to WP02'!N9</f>
        <v>0</v>
      </c>
      <c r="G13" s="1238">
        <f t="shared" si="0"/>
        <v>19353.190000000002</v>
      </c>
      <c r="H13" s="1238">
        <f t="shared" si="1"/>
        <v>0</v>
      </c>
      <c r="I13" s="586">
        <f t="shared" si="2"/>
        <v>19353.190000000002</v>
      </c>
      <c r="J13" s="585"/>
      <c r="K13" s="2032">
        <f>M23</f>
        <v>0</v>
      </c>
      <c r="L13" s="2032">
        <f>N23</f>
        <v>0</v>
      </c>
      <c r="M13" s="2033"/>
      <c r="N13" s="2032"/>
      <c r="O13" s="1983"/>
      <c r="P13" s="1983" t="str">
        <f>P23</f>
        <v>AECC 1-6</v>
      </c>
      <c r="Q13" s="1982" t="s">
        <v>2047</v>
      </c>
      <c r="R13" s="1982" t="s">
        <v>2084</v>
      </c>
      <c r="S13" s="1429">
        <v>566</v>
      </c>
      <c r="T13" s="1983" t="str">
        <f>T23</f>
        <v>IT Nuclear South Support</v>
      </c>
      <c r="U13" s="1983"/>
      <c r="V13" s="1983"/>
      <c r="W13" s="1983"/>
      <c r="X13" s="1983"/>
    </row>
    <row r="14" spans="1:27" s="162" customFormat="1" ht="13.8" thickBot="1">
      <c r="A14" s="2031">
        <f t="shared" si="3"/>
        <v>1.07</v>
      </c>
      <c r="B14" s="1195" t="s">
        <v>2111</v>
      </c>
      <c r="C14" s="1238"/>
      <c r="D14" s="1238"/>
      <c r="E14" s="1636"/>
      <c r="F14" s="1636"/>
      <c r="G14" s="1238">
        <f t="shared" si="0"/>
        <v>0</v>
      </c>
      <c r="H14" s="1238">
        <f t="shared" si="1"/>
        <v>0</v>
      </c>
      <c r="I14" s="586">
        <f t="shared" si="2"/>
        <v>0</v>
      </c>
      <c r="J14" s="585"/>
      <c r="K14" s="2017">
        <f>SUM(K13:K13)</f>
        <v>0</v>
      </c>
      <c r="L14" s="2017">
        <f>SUM(L13:L13)</f>
        <v>0</v>
      </c>
      <c r="M14" s="2018">
        <f>SUM(M13:M13)</f>
        <v>0</v>
      </c>
      <c r="N14" s="2017">
        <f>SUM(N13:N13)</f>
        <v>0</v>
      </c>
      <c r="O14" s="1983"/>
      <c r="P14" s="1983"/>
      <c r="Q14" s="1983"/>
      <c r="R14" s="1983"/>
      <c r="S14" s="1983"/>
      <c r="T14" s="1983"/>
      <c r="U14" s="1983"/>
      <c r="V14" s="1983"/>
      <c r="W14" s="1983"/>
      <c r="X14" s="1983"/>
    </row>
    <row r="15" spans="1:27" s="162" customFormat="1" ht="13.8" thickTop="1">
      <c r="A15" s="2031">
        <f t="shared" si="3"/>
        <v>1.08</v>
      </c>
      <c r="B15" s="1195" t="s">
        <v>2110</v>
      </c>
      <c r="C15" s="1238"/>
      <c r="D15" s="1238"/>
      <c r="E15" s="1636"/>
      <c r="F15" s="1636"/>
      <c r="G15" s="1238">
        <f t="shared" si="0"/>
        <v>0</v>
      </c>
      <c r="H15" s="1238">
        <f t="shared" si="1"/>
        <v>0</v>
      </c>
      <c r="I15" s="586">
        <f t="shared" si="2"/>
        <v>0</v>
      </c>
      <c r="J15" s="585"/>
      <c r="K15" s="1983"/>
      <c r="L15" s="1983"/>
      <c r="M15" s="1983"/>
      <c r="N15" s="1983"/>
      <c r="O15" s="1983"/>
      <c r="P15" s="1983"/>
      <c r="Q15" s="1983"/>
      <c r="R15" s="1983"/>
      <c r="S15" s="1983"/>
      <c r="T15" s="1983"/>
      <c r="U15" s="1983"/>
      <c r="V15" s="1983"/>
      <c r="W15" s="1983"/>
      <c r="X15" s="1983"/>
    </row>
    <row r="16" spans="1:27" s="162" customFormat="1">
      <c r="A16" s="2031">
        <f t="shared" si="3"/>
        <v>1.0900000000000001</v>
      </c>
      <c r="B16" s="1806" t="s">
        <v>2109</v>
      </c>
      <c r="C16" s="1238"/>
      <c r="D16" s="1238"/>
      <c r="E16" s="1636"/>
      <c r="F16" s="1636"/>
      <c r="G16" s="1238">
        <f t="shared" si="0"/>
        <v>0</v>
      </c>
      <c r="H16" s="1238">
        <f t="shared" si="1"/>
        <v>0</v>
      </c>
      <c r="I16" s="586">
        <f t="shared" si="2"/>
        <v>0</v>
      </c>
      <c r="J16" s="585"/>
      <c r="K16" s="2353" t="s">
        <v>1400</v>
      </c>
      <c r="L16" s="2354"/>
      <c r="M16" s="2354"/>
      <c r="N16" s="2354"/>
      <c r="O16" s="1983"/>
      <c r="P16" s="1983"/>
      <c r="Q16" s="1983"/>
      <c r="R16" s="1983"/>
      <c r="S16" s="1983"/>
      <c r="T16" s="1983"/>
      <c r="U16" s="1983"/>
      <c r="V16" s="1983"/>
      <c r="W16" s="1983"/>
      <c r="X16" s="1983"/>
    </row>
    <row r="17" spans="1:25" s="162" customFormat="1" ht="13.8" thickBot="1">
      <c r="A17" s="2034">
        <f t="shared" si="3"/>
        <v>1.1000000000000001</v>
      </c>
      <c r="B17" s="1195" t="s">
        <v>2108</v>
      </c>
      <c r="C17" s="1238"/>
      <c r="D17" s="1238"/>
      <c r="E17" s="1636">
        <f>'Support to WP02'!K14-'Support to WP02'!M14</f>
        <v>0</v>
      </c>
      <c r="F17" s="1636">
        <f>'Support to WP02'!L14-'Support to WP02'!N14</f>
        <v>0</v>
      </c>
      <c r="G17" s="1238">
        <f t="shared" si="0"/>
        <v>0</v>
      </c>
      <c r="H17" s="1238">
        <f t="shared" si="1"/>
        <v>0</v>
      </c>
      <c r="I17" s="586">
        <f t="shared" si="2"/>
        <v>0</v>
      </c>
      <c r="J17" s="585"/>
      <c r="K17" s="2014" t="s">
        <v>2075</v>
      </c>
      <c r="L17" s="2014" t="s">
        <v>829</v>
      </c>
      <c r="M17" s="2013" t="s">
        <v>2075</v>
      </c>
      <c r="N17" s="2012" t="s">
        <v>829</v>
      </c>
      <c r="O17" s="1983"/>
      <c r="P17" s="1983"/>
      <c r="Q17" s="1983"/>
      <c r="R17" s="1983"/>
      <c r="S17" s="1983"/>
      <c r="T17" s="1983"/>
      <c r="U17" s="1983"/>
      <c r="V17" s="1983"/>
      <c r="W17" s="1983"/>
      <c r="X17" s="1983"/>
    </row>
    <row r="18" spans="1:25" s="162" customFormat="1">
      <c r="A18" s="2031">
        <f t="shared" si="3"/>
        <v>1.1100000000000001</v>
      </c>
      <c r="B18" s="1195" t="s">
        <v>2107</v>
      </c>
      <c r="C18" s="1238"/>
      <c r="D18" s="1238"/>
      <c r="E18" s="1636"/>
      <c r="F18" s="1636"/>
      <c r="G18" s="1238">
        <f t="shared" si="0"/>
        <v>0</v>
      </c>
      <c r="H18" s="1238">
        <f t="shared" si="1"/>
        <v>0</v>
      </c>
      <c r="I18" s="586">
        <f t="shared" si="2"/>
        <v>0</v>
      </c>
      <c r="J18" s="585"/>
      <c r="K18" s="1982"/>
      <c r="L18" s="1982"/>
      <c r="M18" s="2007">
        <f>+'2017 566 9302 PR WP02 Support '!B78</f>
        <v>0</v>
      </c>
      <c r="N18" s="2006">
        <f>+'2017 566 9302 PR WP02 Support '!C78</f>
        <v>0</v>
      </c>
      <c r="P18" s="1986" t="s">
        <v>2106</v>
      </c>
      <c r="Q18" s="1982" t="s">
        <v>2047</v>
      </c>
      <c r="R18" s="1982" t="s">
        <v>2046</v>
      </c>
      <c r="S18" s="162">
        <v>928</v>
      </c>
      <c r="T18" s="1983" t="s">
        <v>2105</v>
      </c>
      <c r="U18" s="1983"/>
      <c r="V18" s="1983"/>
      <c r="W18" s="1983"/>
      <c r="X18" s="1983"/>
    </row>
    <row r="19" spans="1:25" s="162" customFormat="1">
      <c r="A19" s="2031">
        <f t="shared" si="3"/>
        <v>1.1200000000000001</v>
      </c>
      <c r="B19" s="1195" t="s">
        <v>2104</v>
      </c>
      <c r="C19" s="1238"/>
      <c r="D19" s="1238"/>
      <c r="E19" s="1636"/>
      <c r="F19" s="1636"/>
      <c r="G19" s="1238">
        <f t="shared" si="0"/>
        <v>0</v>
      </c>
      <c r="H19" s="1238">
        <f t="shared" si="1"/>
        <v>0</v>
      </c>
      <c r="I19" s="586">
        <f t="shared" si="2"/>
        <v>0</v>
      </c>
      <c r="J19" s="585"/>
      <c r="K19" s="1983"/>
      <c r="L19" s="1983"/>
      <c r="M19" s="2007">
        <f>+'2017 566 9302 PR WP02 Support '!B76</f>
        <v>0</v>
      </c>
      <c r="N19" s="2006">
        <f>+'2017 566 9302 PR WP02 Support '!C76</f>
        <v>0</v>
      </c>
      <c r="P19" s="1986" t="s">
        <v>2103</v>
      </c>
      <c r="Q19" s="1982" t="s">
        <v>2047</v>
      </c>
      <c r="R19" s="1982" t="s">
        <v>2046</v>
      </c>
      <c r="S19" s="162">
        <v>928</v>
      </c>
      <c r="T19" s="1983" t="s">
        <v>2102</v>
      </c>
      <c r="U19" s="1983"/>
      <c r="V19" s="1983"/>
      <c r="W19" s="1983"/>
      <c r="X19" s="1983"/>
    </row>
    <row r="20" spans="1:25" s="162" customFormat="1">
      <c r="A20" s="2031">
        <f t="shared" si="3"/>
        <v>1.1300000000000001</v>
      </c>
      <c r="B20" s="2036" t="s">
        <v>1397</v>
      </c>
      <c r="C20" s="1238"/>
      <c r="D20" s="1238"/>
      <c r="E20" s="1636"/>
      <c r="F20" s="1636"/>
      <c r="G20" s="1238">
        <f t="shared" si="0"/>
        <v>0</v>
      </c>
      <c r="H20" s="1238">
        <f t="shared" si="1"/>
        <v>0</v>
      </c>
      <c r="I20" s="586">
        <f t="shared" si="2"/>
        <v>0</v>
      </c>
      <c r="J20" s="585"/>
      <c r="K20" s="1983"/>
      <c r="L20" s="1983"/>
      <c r="M20" s="2007">
        <f>+'2017 566 9302 PR WP02 Support '!B74</f>
        <v>0</v>
      </c>
      <c r="N20" s="2006">
        <f>+'2017 566 9302 PR WP02 Support '!C74</f>
        <v>0</v>
      </c>
      <c r="P20" s="1986" t="s">
        <v>2101</v>
      </c>
      <c r="Q20" s="1982" t="s">
        <v>2047</v>
      </c>
      <c r="R20" s="1982" t="s">
        <v>2046</v>
      </c>
      <c r="S20" s="162" t="s">
        <v>2045</v>
      </c>
      <c r="T20" s="1983" t="s">
        <v>2089</v>
      </c>
      <c r="U20" s="1983"/>
      <c r="V20" s="1983"/>
      <c r="W20" s="1983"/>
      <c r="X20" s="1983"/>
    </row>
    <row r="21" spans="1:25" s="162" customFormat="1">
      <c r="A21" s="2031">
        <f t="shared" si="3"/>
        <v>1.1400000000000001</v>
      </c>
      <c r="B21" s="1195" t="s">
        <v>1399</v>
      </c>
      <c r="C21" s="1238"/>
      <c r="D21" s="1238"/>
      <c r="E21" s="1636"/>
      <c r="F21" s="1636"/>
      <c r="G21" s="1238">
        <f t="shared" si="0"/>
        <v>0</v>
      </c>
      <c r="H21" s="1238">
        <f t="shared" si="1"/>
        <v>0</v>
      </c>
      <c r="I21" s="586">
        <f t="shared" si="2"/>
        <v>0</v>
      </c>
      <c r="J21" s="585"/>
      <c r="K21" s="1983"/>
      <c r="L21" s="1983"/>
      <c r="M21" s="2007">
        <f>+'2017 566 9302 PR WP02 Support '!B77</f>
        <v>14437.509999999993</v>
      </c>
      <c r="N21" s="2006">
        <f>+'2017 566 9302 PR WP02 Support '!C77</f>
        <v>0</v>
      </c>
      <c r="P21" s="1986" t="s">
        <v>2048</v>
      </c>
      <c r="Q21" s="1982" t="s">
        <v>2047</v>
      </c>
      <c r="R21" s="1982" t="s">
        <v>2046</v>
      </c>
      <c r="S21" s="162" t="s">
        <v>2045</v>
      </c>
      <c r="T21" s="1983" t="s">
        <v>2044</v>
      </c>
      <c r="U21" s="1983"/>
      <c r="V21" s="1983"/>
      <c r="W21" s="1983"/>
      <c r="X21" s="1983"/>
    </row>
    <row r="22" spans="1:25" s="162" customFormat="1">
      <c r="A22" s="2031">
        <f t="shared" si="3"/>
        <v>1.1500000000000001</v>
      </c>
      <c r="B22" s="1806" t="s">
        <v>1400</v>
      </c>
      <c r="C22" s="1238"/>
      <c r="D22" s="1238"/>
      <c r="E22" s="1636">
        <f>'Support to WP02'!K28-'Support to WP02'!M28</f>
        <v>-29786.339999999997</v>
      </c>
      <c r="F22" s="1636">
        <f>'Support to WP02'!L28-'Support to WP02'!N28</f>
        <v>-32777.21</v>
      </c>
      <c r="G22" s="1238">
        <f t="shared" si="0"/>
        <v>-29786.339999999997</v>
      </c>
      <c r="H22" s="1238">
        <f t="shared" si="1"/>
        <v>-32777.21</v>
      </c>
      <c r="I22" s="586">
        <f t="shared" si="2"/>
        <v>-62563.549999999996</v>
      </c>
      <c r="J22" s="585"/>
      <c r="K22" s="1983"/>
      <c r="L22" s="1983"/>
      <c r="M22" s="2007">
        <f>+'2017 566 9302 PR WP02 Support '!B73</f>
        <v>0</v>
      </c>
      <c r="N22" s="2006">
        <f>+'2017 566 9302 PR WP02 Support '!C73</f>
        <v>0</v>
      </c>
      <c r="P22" s="1986" t="s">
        <v>2050</v>
      </c>
      <c r="Q22" s="1982" t="s">
        <v>2047</v>
      </c>
      <c r="R22" s="1982" t="s">
        <v>2046</v>
      </c>
      <c r="S22" s="162">
        <v>506</v>
      </c>
      <c r="T22" s="1983" t="s">
        <v>2049</v>
      </c>
      <c r="U22" s="1983"/>
      <c r="V22" s="1983"/>
      <c r="W22" s="1983"/>
      <c r="X22" s="1983"/>
    </row>
    <row r="23" spans="1:25" s="162" customFormat="1">
      <c r="A23" s="2031">
        <f t="shared" si="3"/>
        <v>1.1600000000000001</v>
      </c>
      <c r="B23" s="1806" t="s">
        <v>1401</v>
      </c>
      <c r="C23" s="1238"/>
      <c r="D23" s="1238"/>
      <c r="E23" s="1636"/>
      <c r="F23" s="1636"/>
      <c r="G23" s="1238">
        <f t="shared" si="0"/>
        <v>0</v>
      </c>
      <c r="H23" s="1238">
        <f t="shared" si="1"/>
        <v>0</v>
      </c>
      <c r="I23" s="586">
        <f t="shared" si="2"/>
        <v>0</v>
      </c>
      <c r="J23" s="585"/>
      <c r="K23" s="1983"/>
      <c r="L23" s="1983"/>
      <c r="M23" s="2035">
        <f>+'2017 566 9302 PR WP02 Support '!B75</f>
        <v>0</v>
      </c>
      <c r="N23" s="2006">
        <f>+'2017 566 9302 PR WP02 Support '!C75</f>
        <v>0</v>
      </c>
      <c r="P23" s="1986" t="s">
        <v>2100</v>
      </c>
      <c r="Q23" s="1982" t="s">
        <v>2047</v>
      </c>
      <c r="R23" s="1982" t="s">
        <v>2046</v>
      </c>
      <c r="S23" s="162">
        <v>524</v>
      </c>
      <c r="T23" s="1983" t="s">
        <v>2060</v>
      </c>
      <c r="U23" s="1983"/>
      <c r="V23" s="1983"/>
      <c r="W23" s="1983"/>
      <c r="X23" s="1983"/>
    </row>
    <row r="24" spans="1:25" s="162" customFormat="1">
      <c r="A24" s="2034">
        <f t="shared" si="3"/>
        <v>1.1700000000000002</v>
      </c>
      <c r="B24" s="1195" t="s">
        <v>2099</v>
      </c>
      <c r="C24" s="1238"/>
      <c r="D24" s="1238"/>
      <c r="E24" s="1636"/>
      <c r="F24" s="1636"/>
      <c r="G24" s="1238">
        <f t="shared" si="0"/>
        <v>0</v>
      </c>
      <c r="H24" s="1238">
        <f t="shared" si="1"/>
        <v>0</v>
      </c>
      <c r="I24" s="586">
        <f t="shared" si="2"/>
        <v>0</v>
      </c>
      <c r="J24" s="585"/>
      <c r="K24" s="1983"/>
      <c r="L24" s="1983"/>
      <c r="M24" s="2007">
        <f>+'2017 566 9302 PR WP02 Support '!B70</f>
        <v>0</v>
      </c>
      <c r="N24" s="2006">
        <f>+'2017 566 9302 PR WP02 Support '!C70</f>
        <v>248.21</v>
      </c>
      <c r="P24" s="1986" t="s">
        <v>2098</v>
      </c>
      <c r="Q24" s="1982" t="s">
        <v>2047</v>
      </c>
      <c r="R24" s="1982" t="s">
        <v>2046</v>
      </c>
      <c r="S24" s="162" t="s">
        <v>2045</v>
      </c>
      <c r="T24" s="1983" t="s">
        <v>2097</v>
      </c>
      <c r="U24" s="1983"/>
      <c r="V24" s="1983"/>
      <c r="W24" s="1983"/>
      <c r="X24" s="1983"/>
    </row>
    <row r="25" spans="1:25" s="162" customFormat="1">
      <c r="A25" s="2034">
        <f t="shared" si="3"/>
        <v>1.1800000000000002</v>
      </c>
      <c r="B25" s="1195" t="s">
        <v>2096</v>
      </c>
      <c r="C25" s="1238"/>
      <c r="D25" s="1238"/>
      <c r="E25" s="1636"/>
      <c r="F25" s="1636"/>
      <c r="G25" s="1238">
        <f t="shared" si="0"/>
        <v>0</v>
      </c>
      <c r="H25" s="1238">
        <f t="shared" si="1"/>
        <v>0</v>
      </c>
      <c r="I25" s="586">
        <f t="shared" si="2"/>
        <v>0</v>
      </c>
      <c r="J25" s="585"/>
      <c r="K25" s="1983"/>
      <c r="L25" s="1983"/>
      <c r="M25" s="2007">
        <f>+'2017 566 9302 PR WP02 Support '!B79</f>
        <v>231.48999999999995</v>
      </c>
      <c r="N25" s="2006">
        <f>+'2017 566 9302 PR WP02 Support '!C79</f>
        <v>0</v>
      </c>
      <c r="P25" s="1986" t="s">
        <v>2095</v>
      </c>
      <c r="Q25" s="1982" t="s">
        <v>2047</v>
      </c>
      <c r="R25" s="1982" t="s">
        <v>2046</v>
      </c>
      <c r="S25" s="162" t="s">
        <v>2045</v>
      </c>
      <c r="T25" s="1983" t="s">
        <v>2056</v>
      </c>
      <c r="U25" s="1983"/>
      <c r="V25" s="1983"/>
      <c r="W25" s="1983"/>
      <c r="X25" s="1983"/>
    </row>
    <row r="26" spans="1:25" s="162" customFormat="1">
      <c r="A26" s="2031">
        <f t="shared" si="3"/>
        <v>1.1900000000000002</v>
      </c>
      <c r="B26" s="610" t="s">
        <v>2094</v>
      </c>
      <c r="C26" s="1238"/>
      <c r="D26" s="1238"/>
      <c r="E26" s="1636"/>
      <c r="F26" s="1636"/>
      <c r="G26" s="1238">
        <f t="shared" si="0"/>
        <v>0</v>
      </c>
      <c r="H26" s="1238">
        <f t="shared" si="1"/>
        <v>0</v>
      </c>
      <c r="I26" s="586">
        <f t="shared" si="2"/>
        <v>0</v>
      </c>
      <c r="J26" s="919"/>
      <c r="K26" s="1983"/>
      <c r="L26" s="1983"/>
      <c r="M26" s="2007">
        <f>+'2017 566 9302 PR WP02 Support '!B71</f>
        <v>1189.1799999999998</v>
      </c>
      <c r="N26" s="2006">
        <f>+'2017 566 9302 PR WP02 Support '!C71</f>
        <v>0</v>
      </c>
      <c r="P26" s="1986" t="s">
        <v>2093</v>
      </c>
      <c r="Q26" s="1982" t="s">
        <v>2047</v>
      </c>
      <c r="R26" s="1982" t="s">
        <v>2046</v>
      </c>
      <c r="S26" s="162" t="s">
        <v>2045</v>
      </c>
      <c r="T26" s="1983" t="s">
        <v>2092</v>
      </c>
      <c r="U26" s="1983"/>
      <c r="V26" s="1983"/>
      <c r="W26" s="1983"/>
      <c r="X26" s="1983"/>
    </row>
    <row r="27" spans="1:25" s="162" customFormat="1">
      <c r="A27" s="2031">
        <f t="shared" si="3"/>
        <v>1.2000000000000002</v>
      </c>
      <c r="B27" s="610" t="s">
        <v>2091</v>
      </c>
      <c r="C27" s="1238"/>
      <c r="D27" s="1238"/>
      <c r="E27" s="1636">
        <f>'Support to WP02'!K37-'Support to WP02'!M37</f>
        <v>15858.179999999993</v>
      </c>
      <c r="F27" s="1636">
        <f>'Support to WP02'!L37-'Support to WP02'!N37</f>
        <v>248.21</v>
      </c>
      <c r="G27" s="1238">
        <f t="shared" si="0"/>
        <v>15858.179999999993</v>
      </c>
      <c r="H27" s="1238">
        <f t="shared" si="1"/>
        <v>248.21</v>
      </c>
      <c r="I27" s="586">
        <f t="shared" si="2"/>
        <v>16106.389999999992</v>
      </c>
      <c r="J27" s="919"/>
      <c r="K27" s="1983"/>
      <c r="L27" s="1983"/>
      <c r="M27" s="2007">
        <f>+'2017 566 9302 PR WP02 Support '!B72</f>
        <v>13928.160000000002</v>
      </c>
      <c r="N27" s="2006">
        <f>+'2017 566 9302 PR WP02 Support '!C72</f>
        <v>32529</v>
      </c>
      <c r="P27" s="1986" t="s">
        <v>2052</v>
      </c>
      <c r="Q27" s="1982" t="s">
        <v>2047</v>
      </c>
      <c r="R27" s="1982" t="s">
        <v>2046</v>
      </c>
      <c r="S27" s="162">
        <v>920</v>
      </c>
      <c r="T27" s="1983" t="s">
        <v>2051</v>
      </c>
      <c r="U27" s="1983"/>
      <c r="V27" s="1983"/>
      <c r="W27" s="1983"/>
      <c r="X27" s="1983"/>
    </row>
    <row r="28" spans="1:25" s="162" customFormat="1" ht="13.8" thickBot="1">
      <c r="A28" s="2031">
        <f t="shared" si="3"/>
        <v>1.2100000000000002</v>
      </c>
      <c r="B28" s="610" t="s">
        <v>858</v>
      </c>
      <c r="C28" s="1238"/>
      <c r="D28" s="1238"/>
      <c r="E28" s="1636"/>
      <c r="F28" s="1636"/>
      <c r="G28" s="1238">
        <f t="shared" si="0"/>
        <v>0</v>
      </c>
      <c r="H28" s="1238">
        <f t="shared" si="1"/>
        <v>0</v>
      </c>
      <c r="I28" s="586">
        <f t="shared" si="2"/>
        <v>0</v>
      </c>
      <c r="J28" s="585"/>
      <c r="K28" s="2017">
        <f>SUM(K18:K27)</f>
        <v>0</v>
      </c>
      <c r="L28" s="2017">
        <f>SUM(L18:L27)</f>
        <v>0</v>
      </c>
      <c r="M28" s="2018">
        <f>SUM(M18:M27)</f>
        <v>29786.339999999997</v>
      </c>
      <c r="N28" s="2017">
        <f>SUM(N18:N27)</f>
        <v>32777.21</v>
      </c>
      <c r="O28" s="1983"/>
      <c r="P28" s="1983"/>
      <c r="Q28" s="1983"/>
      <c r="R28" s="1983"/>
      <c r="S28" s="1983"/>
      <c r="T28" s="1983"/>
      <c r="U28" s="1983"/>
      <c r="V28" s="1983"/>
      <c r="W28" s="1983"/>
      <c r="X28" s="1983"/>
      <c r="Y28" s="1197"/>
    </row>
    <row r="29" spans="1:25" s="162" customFormat="1" ht="13.8" thickTop="1">
      <c r="A29" s="2031">
        <f t="shared" si="3"/>
        <v>1.2200000000000002</v>
      </c>
      <c r="B29" s="610" t="s">
        <v>175</v>
      </c>
      <c r="C29" s="1238"/>
      <c r="D29" s="1238"/>
      <c r="E29" s="1636"/>
      <c r="F29" s="1636"/>
      <c r="G29" s="1238">
        <f t="shared" si="0"/>
        <v>0</v>
      </c>
      <c r="H29" s="1238">
        <f t="shared" si="1"/>
        <v>0</v>
      </c>
      <c r="I29" s="586">
        <f t="shared" si="2"/>
        <v>0</v>
      </c>
      <c r="J29" s="585"/>
      <c r="K29" s="1983"/>
      <c r="L29" s="1983"/>
      <c r="M29" s="1983"/>
      <c r="N29" s="1983"/>
      <c r="O29" s="1983"/>
      <c r="P29" s="1983"/>
      <c r="Q29" s="1983"/>
      <c r="R29" s="1983"/>
      <c r="S29" s="1983"/>
      <c r="T29" s="1983"/>
      <c r="U29" s="1983"/>
      <c r="V29" s="1983"/>
      <c r="W29" s="1983"/>
      <c r="X29" s="1983"/>
    </row>
    <row r="30" spans="1:25" s="162" customFormat="1">
      <c r="A30" s="2031">
        <f t="shared" si="3"/>
        <v>1.2300000000000002</v>
      </c>
      <c r="B30" s="1197" t="s">
        <v>176</v>
      </c>
      <c r="C30" s="1238"/>
      <c r="D30" s="1238"/>
      <c r="E30" s="1636">
        <f>'Support to WP02'!K43-'Support to WP02'!M43</f>
        <v>61862.030000000006</v>
      </c>
      <c r="F30" s="1636">
        <f>'Support to WP02'!L43-'Support to WP02'!N43</f>
        <v>32529</v>
      </c>
      <c r="G30" s="1238">
        <f t="shared" si="0"/>
        <v>61862.030000000006</v>
      </c>
      <c r="H30" s="1238">
        <f t="shared" si="1"/>
        <v>32529</v>
      </c>
      <c r="I30" s="586">
        <f t="shared" si="2"/>
        <v>94391.03</v>
      </c>
      <c r="J30" s="585"/>
      <c r="K30" s="2355" t="s">
        <v>2090</v>
      </c>
      <c r="L30" s="2356"/>
      <c r="M30" s="2356"/>
      <c r="N30" s="2356"/>
      <c r="O30" s="1983"/>
      <c r="P30" s="1983"/>
      <c r="Q30" s="1983"/>
      <c r="R30" s="1983"/>
      <c r="S30" s="1983"/>
      <c r="T30" s="1983"/>
      <c r="U30" s="1983"/>
      <c r="V30" s="1983"/>
      <c r="W30" s="1983"/>
      <c r="X30" s="1983"/>
    </row>
    <row r="31" spans="1:25" s="162" customFormat="1" ht="13.8" thickBot="1">
      <c r="A31" s="2031">
        <f t="shared" si="3"/>
        <v>1.2400000000000002</v>
      </c>
      <c r="B31" s="1197" t="s">
        <v>177</v>
      </c>
      <c r="C31" s="1238"/>
      <c r="D31" s="1238"/>
      <c r="E31" s="1636"/>
      <c r="F31" s="1636"/>
      <c r="G31" s="1238">
        <f t="shared" si="0"/>
        <v>0</v>
      </c>
      <c r="H31" s="1238">
        <f t="shared" si="1"/>
        <v>0</v>
      </c>
      <c r="I31" s="586">
        <f t="shared" si="2"/>
        <v>0</v>
      </c>
      <c r="J31" s="585"/>
      <c r="K31" s="2014" t="s">
        <v>2075</v>
      </c>
      <c r="L31" s="2014" t="s">
        <v>829</v>
      </c>
      <c r="M31" s="2013" t="s">
        <v>2075</v>
      </c>
      <c r="N31" s="2012" t="s">
        <v>829</v>
      </c>
      <c r="O31" s="1983"/>
      <c r="P31" s="1983"/>
      <c r="Q31" s="1983"/>
      <c r="R31" s="1983"/>
      <c r="S31" s="1983"/>
      <c r="T31" s="1983"/>
      <c r="U31" s="1983"/>
      <c r="V31" s="1983"/>
      <c r="W31" s="1983"/>
      <c r="X31" s="1983"/>
    </row>
    <row r="32" spans="1:25" s="162" customFormat="1">
      <c r="A32" s="2031">
        <f t="shared" si="3"/>
        <v>1.2500000000000002</v>
      </c>
      <c r="B32" s="1197" t="s">
        <v>178</v>
      </c>
      <c r="C32" s="1238">
        <v>-103209.45999999998</v>
      </c>
      <c r="D32" s="1238"/>
      <c r="E32" s="1636">
        <f>'Support to WP02'!K48-'Support to WP02'!M48</f>
        <v>0</v>
      </c>
      <c r="F32" s="1636">
        <f>'Support to WP02'!L48-'Support to WP02'!N48</f>
        <v>0</v>
      </c>
      <c r="G32" s="1238">
        <f t="shared" si="0"/>
        <v>-103209.45999999998</v>
      </c>
      <c r="H32" s="1238">
        <f t="shared" si="1"/>
        <v>0</v>
      </c>
      <c r="I32" s="586">
        <f t="shared" si="2"/>
        <v>-103209.45999999998</v>
      </c>
      <c r="J32" s="585"/>
      <c r="K32" s="1982">
        <f>M20</f>
        <v>0</v>
      </c>
      <c r="L32" s="1982">
        <f>N20</f>
        <v>0</v>
      </c>
      <c r="M32" s="2033"/>
      <c r="N32" s="2032"/>
      <c r="O32" s="1983"/>
      <c r="P32" s="1983" t="str">
        <f>P20</f>
        <v>AECC 1-3</v>
      </c>
      <c r="Q32" s="1982" t="s">
        <v>2047</v>
      </c>
      <c r="R32" s="1982" t="s">
        <v>2084</v>
      </c>
      <c r="S32" s="162">
        <v>566</v>
      </c>
      <c r="T32" s="1983" t="s">
        <v>2089</v>
      </c>
      <c r="U32" s="1983"/>
      <c r="V32" s="1983"/>
      <c r="W32" s="1983"/>
      <c r="X32" s="1983"/>
    </row>
    <row r="33" spans="1:27" s="162" customFormat="1">
      <c r="A33" s="2031">
        <f t="shared" si="3"/>
        <v>1.2600000000000002</v>
      </c>
      <c r="B33" s="1197" t="s">
        <v>179</v>
      </c>
      <c r="C33" s="1238"/>
      <c r="D33" s="1238"/>
      <c r="E33" s="1636"/>
      <c r="F33" s="1636"/>
      <c r="G33" s="1238">
        <f t="shared" si="0"/>
        <v>0</v>
      </c>
      <c r="H33" s="1238">
        <f t="shared" si="1"/>
        <v>0</v>
      </c>
      <c r="I33" s="586">
        <f t="shared" si="2"/>
        <v>0</v>
      </c>
      <c r="J33" s="585"/>
      <c r="K33" s="1982">
        <f>M21</f>
        <v>14437.509999999993</v>
      </c>
      <c r="L33" s="1982">
        <f>N21</f>
        <v>0</v>
      </c>
      <c r="M33" s="2030"/>
      <c r="N33" s="2029"/>
      <c r="O33" s="1983"/>
      <c r="P33" s="1983" t="str">
        <f>P21</f>
        <v>CE 1-7</v>
      </c>
      <c r="Q33" s="1982" t="s">
        <v>2047</v>
      </c>
      <c r="R33" s="1982" t="s">
        <v>2084</v>
      </c>
      <c r="S33" s="162">
        <v>566</v>
      </c>
      <c r="T33" s="1983" t="str">
        <f>T21</f>
        <v>FACILITIES SVCS - DISTRIBUTION (NON</v>
      </c>
      <c r="U33" s="1983"/>
      <c r="V33" s="1983"/>
      <c r="W33" s="1983"/>
      <c r="X33" s="1983"/>
    </row>
    <row r="34" spans="1:27" s="162" customFormat="1">
      <c r="A34" s="2031">
        <f t="shared" si="3"/>
        <v>1.2700000000000002</v>
      </c>
      <c r="B34" s="1197" t="s">
        <v>180</v>
      </c>
      <c r="C34" s="1238"/>
      <c r="D34" s="1238"/>
      <c r="E34" s="1636"/>
      <c r="F34" s="1636"/>
      <c r="G34" s="1238">
        <f t="shared" si="0"/>
        <v>0</v>
      </c>
      <c r="H34" s="1238">
        <f t="shared" si="1"/>
        <v>0</v>
      </c>
      <c r="I34" s="586">
        <f t="shared" si="2"/>
        <v>0</v>
      </c>
      <c r="J34" s="585"/>
      <c r="K34" s="1983">
        <f t="shared" ref="K34:L36" si="4">M24</f>
        <v>0</v>
      </c>
      <c r="L34" s="1983">
        <f t="shared" si="4"/>
        <v>248.21</v>
      </c>
      <c r="M34" s="2030"/>
      <c r="N34" s="2029"/>
      <c r="O34" s="1983"/>
      <c r="P34" s="1983" t="str">
        <f>P24</f>
        <v>AECC 1-4</v>
      </c>
      <c r="Q34" s="1982" t="s">
        <v>2047</v>
      </c>
      <c r="R34" s="1982" t="s">
        <v>2084</v>
      </c>
      <c r="S34" s="162">
        <v>566</v>
      </c>
      <c r="T34" s="1983" t="str">
        <f>T24</f>
        <v>MGR GEN &amp; ADMIN - DISTR SYSTEM SUPP</v>
      </c>
      <c r="U34" s="1983"/>
      <c r="V34" s="1983"/>
      <c r="W34" s="1983"/>
      <c r="X34" s="1983"/>
    </row>
    <row r="35" spans="1:27" s="162" customFormat="1">
      <c r="A35" s="2031">
        <f t="shared" si="3"/>
        <v>1.2800000000000002</v>
      </c>
      <c r="B35" s="1197" t="s">
        <v>2088</v>
      </c>
      <c r="C35" s="1238"/>
      <c r="D35" s="1238"/>
      <c r="E35" s="1636">
        <f>'Support to WP02'!K54-'Support to WP02'!M54</f>
        <v>0</v>
      </c>
      <c r="F35" s="1636">
        <f>'Support to WP02'!L54-'Support to WP02'!N54</f>
        <v>0</v>
      </c>
      <c r="G35" s="1238">
        <f t="shared" si="0"/>
        <v>0</v>
      </c>
      <c r="H35" s="1238">
        <f t="shared" si="1"/>
        <v>0</v>
      </c>
      <c r="I35" s="586">
        <f t="shared" si="2"/>
        <v>0</v>
      </c>
      <c r="J35" s="585"/>
      <c r="K35" s="1983">
        <f t="shared" si="4"/>
        <v>231.48999999999995</v>
      </c>
      <c r="L35" s="1983">
        <f t="shared" si="4"/>
        <v>0</v>
      </c>
      <c r="M35" s="2030"/>
      <c r="N35" s="2029"/>
      <c r="O35" s="1983"/>
      <c r="P35" s="1983" t="str">
        <f>P25</f>
        <v>AECC 1-7</v>
      </c>
      <c r="Q35" s="1982" t="s">
        <v>2047</v>
      </c>
      <c r="R35" s="1982" t="s">
        <v>2084</v>
      </c>
      <c r="S35" s="162">
        <v>566</v>
      </c>
      <c r="T35" s="1983" t="str">
        <f>T25</f>
        <v>SC- Distribution Procurement</v>
      </c>
      <c r="U35" s="1983"/>
      <c r="V35" s="1983"/>
      <c r="W35" s="1983"/>
      <c r="X35" s="1983"/>
    </row>
    <row r="36" spans="1:27" s="162" customFormat="1">
      <c r="A36" s="2031">
        <f t="shared" si="3"/>
        <v>1.2900000000000003</v>
      </c>
      <c r="B36" s="1197" t="s">
        <v>182</v>
      </c>
      <c r="C36" s="1238"/>
      <c r="D36" s="1238"/>
      <c r="E36" s="1636"/>
      <c r="F36" s="1636"/>
      <c r="G36" s="1238">
        <f t="shared" si="0"/>
        <v>0</v>
      </c>
      <c r="H36" s="1238">
        <f t="shared" si="1"/>
        <v>0</v>
      </c>
      <c r="I36" s="586">
        <f t="shared" si="2"/>
        <v>0</v>
      </c>
      <c r="J36" s="585"/>
      <c r="K36" s="1983">
        <f t="shared" si="4"/>
        <v>1189.1799999999998</v>
      </c>
      <c r="L36" s="1983">
        <f t="shared" si="4"/>
        <v>0</v>
      </c>
      <c r="M36" s="2030"/>
      <c r="N36" s="2029"/>
      <c r="O36" s="1983"/>
      <c r="P36" s="1983" t="str">
        <f>P26</f>
        <v>CE 1-8</v>
      </c>
      <c r="Q36" s="1982" t="s">
        <v>2047</v>
      </c>
      <c r="R36" s="1982" t="s">
        <v>2084</v>
      </c>
      <c r="S36" s="162">
        <v>566</v>
      </c>
      <c r="T36" s="1983" t="str">
        <f>T26</f>
        <v>SKILLS TRAINING CUST. SERV- HEADQUA</v>
      </c>
      <c r="U36" s="1983"/>
      <c r="V36" s="1983"/>
      <c r="W36" s="1983"/>
      <c r="X36" s="1983"/>
    </row>
    <row r="37" spans="1:27" s="162" customFormat="1" ht="13.8" thickBot="1">
      <c r="A37" s="2031">
        <f t="shared" si="3"/>
        <v>1.3000000000000003</v>
      </c>
      <c r="B37" s="1197" t="s">
        <v>294</v>
      </c>
      <c r="C37" s="1238"/>
      <c r="D37" s="1238"/>
      <c r="E37" s="1636">
        <f>'Support to WP02'!K70-'Support to WP02'!M70</f>
        <v>-526128.15000000014</v>
      </c>
      <c r="F37" s="1636">
        <f>'Support to WP02'!L70-'Support to WP02'!N70</f>
        <v>-120.32</v>
      </c>
      <c r="G37" s="1238">
        <f t="shared" si="0"/>
        <v>-526128.15000000014</v>
      </c>
      <c r="H37" s="1238">
        <f t="shared" si="1"/>
        <v>-120.32</v>
      </c>
      <c r="I37" s="586">
        <f t="shared" si="2"/>
        <v>-526248.47000000009</v>
      </c>
      <c r="J37" s="585"/>
      <c r="K37" s="2017">
        <f>SUM(K32:K36)</f>
        <v>15858.179999999993</v>
      </c>
      <c r="L37" s="2017">
        <f>SUM(L32:L36)</f>
        <v>248.21</v>
      </c>
      <c r="M37" s="2018">
        <f>SUM(M32:M36)</f>
        <v>0</v>
      </c>
      <c r="N37" s="2017">
        <f>SUM(N32:N36)</f>
        <v>0</v>
      </c>
      <c r="O37" s="1983"/>
      <c r="P37" s="1983"/>
      <c r="Q37" s="1983"/>
      <c r="R37" s="1983"/>
      <c r="S37" s="1983"/>
      <c r="T37" s="1983"/>
      <c r="U37" s="1983"/>
      <c r="V37" s="1983"/>
      <c r="W37" s="1983"/>
      <c r="X37" s="1983"/>
    </row>
    <row r="38" spans="1:27" s="162" customFormat="1" ht="13.8" thickTop="1">
      <c r="A38" s="2031">
        <f t="shared" si="3"/>
        <v>1.3100000000000003</v>
      </c>
      <c r="B38" s="1197" t="s">
        <v>2087</v>
      </c>
      <c r="C38" s="1238">
        <v>3991.9200000000005</v>
      </c>
      <c r="D38" s="1238"/>
      <c r="E38" s="1636"/>
      <c r="F38" s="1636"/>
      <c r="G38" s="1238">
        <f t="shared" si="0"/>
        <v>3991.9200000000005</v>
      </c>
      <c r="H38" s="1238">
        <f t="shared" si="1"/>
        <v>0</v>
      </c>
      <c r="I38" s="586">
        <f t="shared" si="2"/>
        <v>3991.9200000000005</v>
      </c>
      <c r="J38" s="585"/>
      <c r="K38" s="1983"/>
      <c r="L38" s="1983"/>
      <c r="M38" s="1983"/>
      <c r="N38" s="1983"/>
      <c r="O38" s="1983"/>
      <c r="P38" s="1983"/>
      <c r="Q38" s="1983"/>
      <c r="R38" s="1983"/>
      <c r="S38" s="1983"/>
      <c r="T38" s="1983"/>
      <c r="U38" s="1983"/>
      <c r="V38" s="1983"/>
      <c r="W38" s="1983"/>
      <c r="X38" s="1983"/>
    </row>
    <row r="39" spans="1:27" s="162" customFormat="1">
      <c r="A39" s="2031">
        <f t="shared" si="3"/>
        <v>1.3200000000000003</v>
      </c>
      <c r="B39" s="1197" t="s">
        <v>295</v>
      </c>
      <c r="C39" s="1238"/>
      <c r="D39" s="1238"/>
      <c r="E39" s="1636"/>
      <c r="F39" s="1636"/>
      <c r="G39" s="1238">
        <f t="shared" si="0"/>
        <v>0</v>
      </c>
      <c r="H39" s="1238">
        <f t="shared" si="1"/>
        <v>0</v>
      </c>
      <c r="I39" s="586">
        <f t="shared" si="2"/>
        <v>0</v>
      </c>
      <c r="J39" s="585"/>
      <c r="K39" s="2351" t="s">
        <v>176</v>
      </c>
      <c r="L39" s="2352"/>
      <c r="M39" s="2352"/>
      <c r="N39" s="2352"/>
      <c r="O39" s="1983"/>
      <c r="P39" s="1983"/>
      <c r="Q39" s="1983"/>
      <c r="R39" s="1983"/>
      <c r="S39" s="1983"/>
      <c r="T39" s="1983"/>
      <c r="U39" s="1983"/>
      <c r="V39" s="1983"/>
      <c r="W39" s="1983"/>
      <c r="X39" s="1983"/>
    </row>
    <row r="40" spans="1:27" s="162" customFormat="1" ht="13.8" thickBot="1">
      <c r="A40" s="2031">
        <f t="shared" si="3"/>
        <v>1.3300000000000003</v>
      </c>
      <c r="B40" s="1195" t="s">
        <v>184</v>
      </c>
      <c r="C40" s="1238"/>
      <c r="D40" s="1238"/>
      <c r="E40" s="1636"/>
      <c r="F40" s="1636"/>
      <c r="G40" s="1238">
        <f t="shared" si="0"/>
        <v>0</v>
      </c>
      <c r="H40" s="1238">
        <f t="shared" si="1"/>
        <v>0</v>
      </c>
      <c r="I40" s="586">
        <f t="shared" si="2"/>
        <v>0</v>
      </c>
      <c r="J40" s="585"/>
      <c r="K40" s="2014" t="s">
        <v>2075</v>
      </c>
      <c r="L40" s="2014" t="s">
        <v>829</v>
      </c>
      <c r="M40" s="2013" t="s">
        <v>2075</v>
      </c>
      <c r="N40" s="2012" t="s">
        <v>829</v>
      </c>
      <c r="O40" s="1983"/>
      <c r="P40" s="1983"/>
      <c r="Q40" s="1983"/>
      <c r="R40" s="1983"/>
      <c r="S40" s="1983"/>
      <c r="T40" s="1983"/>
      <c r="U40" s="1983"/>
      <c r="V40" s="1983"/>
      <c r="W40" s="1983"/>
      <c r="X40" s="1983"/>
    </row>
    <row r="41" spans="1:27" s="162" customFormat="1" ht="13.8" thickBot="1">
      <c r="A41" s="2004">
        <v>2</v>
      </c>
      <c r="B41" s="610" t="s">
        <v>824</v>
      </c>
      <c r="C41" s="611">
        <f t="shared" ref="C41:I41" si="5">SUM(C8:C40)</f>
        <v>-99217.539999999979</v>
      </c>
      <c r="D41" s="611">
        <f t="shared" si="5"/>
        <v>0</v>
      </c>
      <c r="E41" s="611">
        <f t="shared" si="5"/>
        <v>-458841.09000000014</v>
      </c>
      <c r="F41" s="611">
        <f t="shared" si="5"/>
        <v>-120.32</v>
      </c>
      <c r="G41" s="611">
        <f t="shared" si="5"/>
        <v>-558058.63000000012</v>
      </c>
      <c r="H41" s="611">
        <f t="shared" si="5"/>
        <v>-120.32</v>
      </c>
      <c r="I41" s="611">
        <f t="shared" si="5"/>
        <v>-558178.95000000007</v>
      </c>
      <c r="J41" s="585"/>
      <c r="K41" s="2021"/>
      <c r="L41" s="2021"/>
      <c r="M41" s="2027"/>
      <c r="N41" s="2026"/>
      <c r="O41" s="1983"/>
      <c r="P41" s="2021" t="s">
        <v>2086</v>
      </c>
      <c r="Q41" s="1997" t="s">
        <v>2080</v>
      </c>
      <c r="R41" s="1983"/>
      <c r="S41" s="1983"/>
      <c r="T41" s="1983" t="s">
        <v>2085</v>
      </c>
      <c r="U41" s="1983"/>
      <c r="V41" s="1983"/>
      <c r="W41" s="1983"/>
      <c r="X41" s="1983"/>
    </row>
    <row r="42" spans="1:27" s="162" customFormat="1" ht="13.8" thickTop="1">
      <c r="A42" s="2004">
        <f t="shared" ref="A42:A63" si="6">+A41+1</f>
        <v>3</v>
      </c>
      <c r="B42" s="2005"/>
      <c r="C42" s="2005"/>
      <c r="D42" s="2028"/>
      <c r="E42" s="2003"/>
      <c r="F42" s="2003"/>
      <c r="G42" s="2005"/>
      <c r="H42" s="2239"/>
      <c r="I42" s="2239"/>
      <c r="J42" s="2028"/>
      <c r="K42" s="1983">
        <f>M27+M67</f>
        <v>61862.030000000006</v>
      </c>
      <c r="L42" s="1983">
        <f>N27</f>
        <v>32529</v>
      </c>
      <c r="M42" s="2030"/>
      <c r="N42" s="2029"/>
      <c r="O42" s="1983"/>
      <c r="P42" s="1983" t="str">
        <f>+P27</f>
        <v>AECC 2-1</v>
      </c>
      <c r="Q42" s="1983" t="s">
        <v>2047</v>
      </c>
      <c r="R42" s="1983" t="s">
        <v>2084</v>
      </c>
      <c r="S42" s="162" t="s">
        <v>2083</v>
      </c>
      <c r="T42" s="1983" t="str">
        <f>T27</f>
        <v>SPO Management Summary</v>
      </c>
      <c r="U42" s="1983"/>
      <c r="V42" s="1983"/>
      <c r="W42" s="1983"/>
      <c r="X42" s="1983"/>
      <c r="Y42" s="1979"/>
      <c r="Z42" s="1979"/>
      <c r="AA42" s="1979"/>
    </row>
    <row r="43" spans="1:27" s="1979" customFormat="1" ht="13.8" thickBot="1">
      <c r="A43" s="2004">
        <f t="shared" si="6"/>
        <v>4</v>
      </c>
      <c r="B43" s="2005" t="s">
        <v>570</v>
      </c>
      <c r="C43" s="2005"/>
      <c r="D43" s="2028"/>
      <c r="E43" s="2003"/>
      <c r="F43" s="2003"/>
      <c r="G43" s="2005"/>
      <c r="H43" s="2239"/>
      <c r="I43" s="2239"/>
      <c r="J43" s="2028"/>
      <c r="K43" s="2017">
        <f>SUM(K41:K42)</f>
        <v>61862.030000000006</v>
      </c>
      <c r="L43" s="2017">
        <f>SUM(L41:L42)</f>
        <v>32529</v>
      </c>
      <c r="M43" s="2018">
        <f>SUM(M41:M42)</f>
        <v>0</v>
      </c>
      <c r="N43" s="2017">
        <f>SUM(N41:N42)</f>
        <v>0</v>
      </c>
      <c r="O43" s="1997"/>
      <c r="P43" s="1997"/>
      <c r="Q43" s="1997"/>
      <c r="R43" s="1997"/>
      <c r="S43" s="1997"/>
      <c r="T43" s="1746"/>
      <c r="U43" s="1746"/>
      <c r="V43" s="1997"/>
      <c r="W43" s="1997"/>
      <c r="X43" s="1997"/>
    </row>
    <row r="44" spans="1:27" s="1979" customFormat="1" ht="13.8" thickTop="1">
      <c r="A44" s="2004">
        <f t="shared" si="6"/>
        <v>5</v>
      </c>
      <c r="B44" s="2011" t="s">
        <v>667</v>
      </c>
      <c r="C44" s="2003"/>
      <c r="D44" s="2003"/>
      <c r="E44" s="2003"/>
      <c r="F44" s="2003"/>
      <c r="G44" s="2003"/>
      <c r="H44" s="74"/>
      <c r="I44" s="74"/>
      <c r="J44" s="2003"/>
      <c r="K44" s="1983"/>
      <c r="L44" s="1983"/>
      <c r="M44" s="1983"/>
      <c r="N44" s="1983"/>
      <c r="O44" s="1997"/>
      <c r="P44" s="1997"/>
      <c r="Q44" s="1997"/>
      <c r="R44" s="1997"/>
      <c r="S44" s="1997"/>
      <c r="T44" s="1746"/>
      <c r="U44" s="1746"/>
      <c r="V44" s="1997"/>
      <c r="W44" s="1997"/>
      <c r="X44" s="1997"/>
    </row>
    <row r="45" spans="1:27" s="1979" customFormat="1" ht="15">
      <c r="A45" s="2004">
        <f t="shared" si="6"/>
        <v>6</v>
      </c>
      <c r="B45" s="2011" t="s">
        <v>513</v>
      </c>
      <c r="C45" s="638">
        <f t="shared" ref="C45:I45" si="7">+C21</f>
        <v>0</v>
      </c>
      <c r="D45" s="638">
        <f t="shared" si="7"/>
        <v>0</v>
      </c>
      <c r="E45" s="638">
        <f t="shared" si="7"/>
        <v>0</v>
      </c>
      <c r="F45" s="638">
        <f t="shared" si="7"/>
        <v>0</v>
      </c>
      <c r="G45" s="638">
        <f t="shared" si="7"/>
        <v>0</v>
      </c>
      <c r="H45" s="464">
        <f t="shared" si="7"/>
        <v>0</v>
      </c>
      <c r="I45" s="464">
        <f t="shared" si="7"/>
        <v>0</v>
      </c>
      <c r="J45" s="638"/>
      <c r="K45" s="2351" t="s">
        <v>178</v>
      </c>
      <c r="L45" s="2352"/>
      <c r="M45" s="2352"/>
      <c r="N45" s="2352"/>
      <c r="O45" s="1997"/>
      <c r="P45" s="1997"/>
      <c r="Q45" s="1997"/>
      <c r="R45" s="1997"/>
      <c r="S45" s="1997"/>
      <c r="T45" s="1746"/>
      <c r="U45" s="1746"/>
      <c r="V45" s="1997"/>
      <c r="W45" s="1997"/>
      <c r="X45" s="1997"/>
    </row>
    <row r="46" spans="1:27" s="1979" customFormat="1" ht="13.8" thickBot="1">
      <c r="A46" s="2004">
        <f t="shared" si="6"/>
        <v>7</v>
      </c>
      <c r="B46" s="2001" t="s">
        <v>799</v>
      </c>
      <c r="C46" s="2003">
        <f t="shared" ref="C46:I46" si="8">SUM(C44:C45)</f>
        <v>0</v>
      </c>
      <c r="D46" s="2003">
        <f t="shared" si="8"/>
        <v>0</v>
      </c>
      <c r="E46" s="2003">
        <f t="shared" si="8"/>
        <v>0</v>
      </c>
      <c r="F46" s="2003">
        <f t="shared" si="8"/>
        <v>0</v>
      </c>
      <c r="G46" s="2003">
        <f t="shared" si="8"/>
        <v>0</v>
      </c>
      <c r="H46" s="74">
        <f t="shared" si="8"/>
        <v>0</v>
      </c>
      <c r="I46" s="74">
        <f t="shared" si="8"/>
        <v>0</v>
      </c>
      <c r="J46" s="2003"/>
      <c r="K46" s="2014" t="s">
        <v>2075</v>
      </c>
      <c r="L46" s="2014" t="s">
        <v>829</v>
      </c>
      <c r="M46" s="2013" t="s">
        <v>2075</v>
      </c>
      <c r="N46" s="2012" t="s">
        <v>829</v>
      </c>
      <c r="O46" s="1997"/>
      <c r="P46" s="1997"/>
      <c r="S46" s="1997"/>
      <c r="T46" s="1746"/>
      <c r="U46" s="1746"/>
      <c r="V46" s="1997"/>
      <c r="W46" s="1997"/>
      <c r="X46" s="1997"/>
    </row>
    <row r="47" spans="1:27" s="1979" customFormat="1" ht="15">
      <c r="A47" s="2004">
        <f t="shared" si="6"/>
        <v>8</v>
      </c>
      <c r="B47" s="2005" t="s">
        <v>2082</v>
      </c>
      <c r="C47" s="638">
        <f t="shared" ref="C47:I47" si="9">+SUM(C20:C25)-C21</f>
        <v>0</v>
      </c>
      <c r="D47" s="638">
        <f t="shared" si="9"/>
        <v>0</v>
      </c>
      <c r="E47" s="638">
        <f t="shared" si="9"/>
        <v>-29786.339999999997</v>
      </c>
      <c r="F47" s="638">
        <f t="shared" si="9"/>
        <v>-32777.21</v>
      </c>
      <c r="G47" s="638">
        <f t="shared" si="9"/>
        <v>-29786.339999999997</v>
      </c>
      <c r="H47" s="464">
        <f t="shared" si="9"/>
        <v>-32777.21</v>
      </c>
      <c r="I47" s="464">
        <f t="shared" si="9"/>
        <v>-62563.549999999996</v>
      </c>
      <c r="J47" s="806"/>
      <c r="K47" s="2021"/>
      <c r="L47" s="2021"/>
      <c r="M47" s="2027"/>
      <c r="N47" s="2026"/>
      <c r="O47" s="1997"/>
      <c r="P47" s="2025" t="s">
        <v>2081</v>
      </c>
      <c r="Q47" s="1997" t="s">
        <v>2080</v>
      </c>
      <c r="R47" s="1997"/>
      <c r="S47" s="1997"/>
      <c r="T47" s="1746" t="str">
        <f>T41</f>
        <v>ANO Fukushima Regulatory Asset Amortization</v>
      </c>
      <c r="U47" s="1746"/>
      <c r="V47" s="1997"/>
      <c r="W47" s="1997"/>
      <c r="X47" s="1997"/>
    </row>
    <row r="48" spans="1:27" s="1979" customFormat="1" ht="13.8" thickBot="1">
      <c r="A48" s="2004">
        <f t="shared" si="6"/>
        <v>9</v>
      </c>
      <c r="B48" s="2005" t="s">
        <v>758</v>
      </c>
      <c r="C48" s="2003">
        <f t="shared" ref="C48:I48" si="10">+C46+C47</f>
        <v>0</v>
      </c>
      <c r="D48" s="2003">
        <f t="shared" si="10"/>
        <v>0</v>
      </c>
      <c r="E48" s="2003">
        <f t="shared" si="10"/>
        <v>-29786.339999999997</v>
      </c>
      <c r="F48" s="2003">
        <f t="shared" si="10"/>
        <v>-32777.21</v>
      </c>
      <c r="G48" s="2003">
        <f t="shared" si="10"/>
        <v>-29786.339999999997</v>
      </c>
      <c r="H48" s="74">
        <f t="shared" si="10"/>
        <v>-32777.21</v>
      </c>
      <c r="I48" s="74">
        <f t="shared" si="10"/>
        <v>-62563.549999999996</v>
      </c>
      <c r="J48" s="2003"/>
      <c r="K48" s="2017">
        <f>SUM(K47:K47)</f>
        <v>0</v>
      </c>
      <c r="L48" s="2017">
        <v>0</v>
      </c>
      <c r="M48" s="2018">
        <f>SUM(M47:M47)</f>
        <v>0</v>
      </c>
      <c r="N48" s="2017">
        <f>SUM(N47:N47)</f>
        <v>0</v>
      </c>
      <c r="O48" s="1997"/>
      <c r="P48" s="1997"/>
      <c r="Q48" s="1997"/>
      <c r="R48" s="1997"/>
      <c r="S48" s="1997"/>
      <c r="T48" s="1746"/>
      <c r="U48" s="1746"/>
      <c r="V48" s="1997"/>
      <c r="W48" s="1997"/>
      <c r="X48" s="1997"/>
    </row>
    <row r="49" spans="1:27" s="1979" customFormat="1" ht="13.8" thickTop="1">
      <c r="A49" s="2004">
        <f t="shared" si="6"/>
        <v>10</v>
      </c>
      <c r="B49" s="584"/>
      <c r="C49" s="270"/>
      <c r="D49" s="270"/>
      <c r="E49" s="903"/>
      <c r="F49" s="903"/>
      <c r="G49" s="270"/>
      <c r="H49" s="270"/>
      <c r="I49" s="270"/>
      <c r="J49" s="585"/>
      <c r="K49" s="1983"/>
      <c r="L49" s="1983"/>
      <c r="M49" s="1983"/>
      <c r="N49" s="1983"/>
      <c r="O49" s="1997"/>
      <c r="P49" s="1997"/>
      <c r="Q49" s="1997"/>
      <c r="R49" s="1997"/>
      <c r="S49" s="1997"/>
      <c r="T49" s="1746"/>
      <c r="U49" s="1746"/>
      <c r="V49" s="1997"/>
      <c r="W49" s="1997"/>
      <c r="X49" s="1997"/>
      <c r="Y49" s="162"/>
      <c r="Z49" s="162"/>
      <c r="AA49" s="162"/>
    </row>
    <row r="50" spans="1:27" s="162" customFormat="1">
      <c r="A50" s="2004">
        <f t="shared" si="6"/>
        <v>11</v>
      </c>
      <c r="B50" s="2005" t="s">
        <v>51</v>
      </c>
      <c r="C50" s="2005"/>
      <c r="D50" s="2005"/>
      <c r="E50" s="2003"/>
      <c r="F50" s="2003"/>
      <c r="G50" s="2005"/>
      <c r="H50" s="170"/>
      <c r="I50" s="170"/>
      <c r="J50" s="2024"/>
      <c r="K50" s="2351" t="s">
        <v>181</v>
      </c>
      <c r="L50" s="2352"/>
      <c r="M50" s="2352"/>
      <c r="N50" s="2352"/>
      <c r="O50" s="1983"/>
      <c r="P50" s="1983"/>
      <c r="Q50" s="1983"/>
      <c r="R50" s="1983"/>
      <c r="S50" s="1983"/>
      <c r="T50" s="1746"/>
      <c r="U50" s="1983"/>
      <c r="V50" s="1983"/>
      <c r="W50" s="1983"/>
      <c r="X50" s="1983"/>
    </row>
    <row r="51" spans="1:27" s="162" customFormat="1" ht="13.8" thickBot="1">
      <c r="A51" s="2004">
        <f t="shared" si="6"/>
        <v>12</v>
      </c>
      <c r="B51" s="2011" t="s">
        <v>690</v>
      </c>
      <c r="C51" s="1999">
        <f t="shared" ref="C51:I51" si="11">C8+C9</f>
        <v>0</v>
      </c>
      <c r="D51" s="1999">
        <f t="shared" si="11"/>
        <v>0</v>
      </c>
      <c r="E51" s="1999">
        <f t="shared" si="11"/>
        <v>0</v>
      </c>
      <c r="F51" s="1999">
        <f t="shared" si="11"/>
        <v>0</v>
      </c>
      <c r="G51" s="1999">
        <f t="shared" si="11"/>
        <v>0</v>
      </c>
      <c r="H51" s="1956">
        <f t="shared" si="11"/>
        <v>0</v>
      </c>
      <c r="I51" s="1956">
        <f t="shared" si="11"/>
        <v>0</v>
      </c>
      <c r="K51" s="2014" t="s">
        <v>2075</v>
      </c>
      <c r="L51" s="2014" t="s">
        <v>829</v>
      </c>
      <c r="M51" s="2013" t="s">
        <v>2075</v>
      </c>
      <c r="N51" s="2012" t="s">
        <v>829</v>
      </c>
      <c r="T51" s="1746"/>
      <c r="U51" s="1983"/>
      <c r="V51" s="1983"/>
      <c r="W51" s="1983"/>
      <c r="X51" s="1983"/>
    </row>
    <row r="52" spans="1:27" s="162" customFormat="1">
      <c r="A52" s="2004">
        <f t="shared" si="6"/>
        <v>13</v>
      </c>
      <c r="B52" s="2011" t="s">
        <v>2079</v>
      </c>
      <c r="C52" s="2010">
        <f t="shared" ref="C52:I53" si="12">C10</f>
        <v>0</v>
      </c>
      <c r="D52" s="2010">
        <f t="shared" si="12"/>
        <v>0</v>
      </c>
      <c r="E52" s="2010">
        <f t="shared" si="12"/>
        <v>0</v>
      </c>
      <c r="F52" s="2010">
        <f t="shared" si="12"/>
        <v>0</v>
      </c>
      <c r="G52" s="2010">
        <f t="shared" si="12"/>
        <v>0</v>
      </c>
      <c r="H52" s="2240">
        <f t="shared" si="12"/>
        <v>0</v>
      </c>
      <c r="I52" s="2240">
        <f t="shared" si="12"/>
        <v>0</v>
      </c>
      <c r="K52" s="2021">
        <f>M18</f>
        <v>0</v>
      </c>
      <c r="L52" s="2021">
        <f>N18</f>
        <v>0</v>
      </c>
      <c r="M52" s="2023">
        <f>K52</f>
        <v>0</v>
      </c>
      <c r="N52" s="2022">
        <f>L52</f>
        <v>0</v>
      </c>
      <c r="P52" s="162" t="str">
        <f>P18</f>
        <v>CE 1-6</v>
      </c>
      <c r="Q52" s="162" t="s">
        <v>2078</v>
      </c>
      <c r="S52" s="162">
        <v>566</v>
      </c>
      <c r="T52" s="1746" t="str">
        <f>T18</f>
        <v>2014 EMI Rate Case</v>
      </c>
      <c r="U52" s="1983"/>
      <c r="V52" s="1983"/>
      <c r="W52" s="1983"/>
      <c r="X52" s="1983"/>
    </row>
    <row r="53" spans="1:27" s="162" customFormat="1">
      <c r="A53" s="2004">
        <f t="shared" si="6"/>
        <v>14</v>
      </c>
      <c r="B53" s="2011" t="s">
        <v>688</v>
      </c>
      <c r="C53" s="2010">
        <f t="shared" si="12"/>
        <v>0</v>
      </c>
      <c r="D53" s="2010">
        <f t="shared" si="12"/>
        <v>0</v>
      </c>
      <c r="E53" s="2010">
        <f t="shared" si="12"/>
        <v>0</v>
      </c>
      <c r="F53" s="2010">
        <f t="shared" si="12"/>
        <v>0</v>
      </c>
      <c r="G53" s="2010">
        <f t="shared" si="12"/>
        <v>0</v>
      </c>
      <c r="H53" s="2240">
        <f t="shared" si="12"/>
        <v>0</v>
      </c>
      <c r="I53" s="2240">
        <f t="shared" si="12"/>
        <v>0</v>
      </c>
      <c r="K53" s="2021">
        <f>M19</f>
        <v>0</v>
      </c>
      <c r="L53" s="2021">
        <f>N19</f>
        <v>0</v>
      </c>
      <c r="M53" s="2020">
        <f>K53</f>
        <v>0</v>
      </c>
      <c r="N53" s="2019">
        <f>L53</f>
        <v>0</v>
      </c>
      <c r="P53" s="162" t="str">
        <f>P19</f>
        <v>CE 1-5</v>
      </c>
      <c r="Q53" s="162" t="s">
        <v>2078</v>
      </c>
      <c r="S53" s="162">
        <v>566</v>
      </c>
      <c r="T53" s="1746" t="str">
        <f>T19</f>
        <v>2016 EMI Fuel Audit</v>
      </c>
      <c r="U53" s="1983"/>
      <c r="V53" s="1983"/>
      <c r="W53" s="1983"/>
      <c r="X53" s="1983"/>
    </row>
    <row r="54" spans="1:27" s="162" customFormat="1" ht="13.8" thickBot="1">
      <c r="A54" s="2004">
        <f t="shared" si="6"/>
        <v>15</v>
      </c>
      <c r="B54" s="2011" t="s">
        <v>682</v>
      </c>
      <c r="C54" s="2003">
        <f t="shared" ref="C54:I54" si="13">+SUM(C12:C19)</f>
        <v>0</v>
      </c>
      <c r="D54" s="2003">
        <f t="shared" si="13"/>
        <v>0</v>
      </c>
      <c r="E54" s="2003">
        <f t="shared" si="13"/>
        <v>19353.190000000002</v>
      </c>
      <c r="F54" s="2003">
        <f t="shared" si="13"/>
        <v>0</v>
      </c>
      <c r="G54" s="2003">
        <f t="shared" si="13"/>
        <v>19353.190000000002</v>
      </c>
      <c r="H54" s="74">
        <f t="shared" si="13"/>
        <v>0</v>
      </c>
      <c r="I54" s="74">
        <f t="shared" si="13"/>
        <v>19353.190000000002</v>
      </c>
      <c r="K54" s="2017">
        <f>SUM(K52:K53)</f>
        <v>0</v>
      </c>
      <c r="L54" s="2017">
        <f>SUM(L52:L53)</f>
        <v>0</v>
      </c>
      <c r="M54" s="2018">
        <f>SUM(M52:M53)</f>
        <v>0</v>
      </c>
      <c r="N54" s="2017">
        <f>SUM(N52:N53)</f>
        <v>0</v>
      </c>
      <c r="T54" s="1746"/>
      <c r="U54" s="1983"/>
      <c r="V54" s="1983"/>
      <c r="W54" s="1983"/>
      <c r="X54" s="1983"/>
    </row>
    <row r="55" spans="1:27" s="162" customFormat="1" ht="13.8" thickTop="1">
      <c r="A55" s="2004">
        <f t="shared" si="6"/>
        <v>16</v>
      </c>
      <c r="B55" s="2011" t="s">
        <v>2077</v>
      </c>
      <c r="C55" s="1999">
        <f t="shared" ref="C55:I55" si="14">SUM(C20:C25)</f>
        <v>0</v>
      </c>
      <c r="D55" s="1999">
        <f t="shared" si="14"/>
        <v>0</v>
      </c>
      <c r="E55" s="1999">
        <f t="shared" si="14"/>
        <v>-29786.339999999997</v>
      </c>
      <c r="F55" s="1999">
        <f t="shared" si="14"/>
        <v>-32777.21</v>
      </c>
      <c r="G55" s="1999">
        <f t="shared" si="14"/>
        <v>-29786.339999999997</v>
      </c>
      <c r="H55" s="1956">
        <f t="shared" si="14"/>
        <v>-32777.21</v>
      </c>
      <c r="I55" s="1956">
        <f t="shared" si="14"/>
        <v>-62563.549999999996</v>
      </c>
      <c r="K55" s="2015"/>
      <c r="L55" s="2015"/>
      <c r="M55" s="2016"/>
      <c r="N55" s="2015"/>
      <c r="T55" s="1746"/>
      <c r="U55" s="1983"/>
      <c r="V55" s="1983"/>
      <c r="W55" s="1983"/>
      <c r="X55" s="1983"/>
    </row>
    <row r="56" spans="1:27" s="162" customFormat="1">
      <c r="A56" s="2004">
        <f t="shared" si="6"/>
        <v>17</v>
      </c>
      <c r="B56" s="2011" t="s">
        <v>2076</v>
      </c>
      <c r="C56" s="1999">
        <f t="shared" ref="C56:I59" si="15">C26</f>
        <v>0</v>
      </c>
      <c r="D56" s="1999">
        <f t="shared" si="15"/>
        <v>0</v>
      </c>
      <c r="E56" s="1999">
        <f t="shared" si="15"/>
        <v>0</v>
      </c>
      <c r="F56" s="1999">
        <f t="shared" si="15"/>
        <v>0</v>
      </c>
      <c r="G56" s="1999">
        <f t="shared" si="15"/>
        <v>0</v>
      </c>
      <c r="H56" s="1956">
        <f t="shared" si="15"/>
        <v>0</v>
      </c>
      <c r="I56" s="1956">
        <f t="shared" si="15"/>
        <v>0</v>
      </c>
      <c r="K56" s="2351" t="s">
        <v>294</v>
      </c>
      <c r="L56" s="2352"/>
      <c r="M56" s="2352"/>
      <c r="N56" s="2352"/>
      <c r="T56" s="1746"/>
      <c r="U56" s="1983"/>
      <c r="V56" s="1983"/>
      <c r="W56" s="1983"/>
      <c r="X56" s="1983"/>
    </row>
    <row r="57" spans="1:27" s="162" customFormat="1" ht="13.8" thickBot="1">
      <c r="A57" s="2004">
        <f t="shared" si="6"/>
        <v>18</v>
      </c>
      <c r="B57" s="2011" t="s">
        <v>684</v>
      </c>
      <c r="C57" s="1999">
        <f t="shared" si="15"/>
        <v>0</v>
      </c>
      <c r="D57" s="1999">
        <f t="shared" si="15"/>
        <v>0</v>
      </c>
      <c r="E57" s="1999">
        <f t="shared" si="15"/>
        <v>15858.179999999993</v>
      </c>
      <c r="F57" s="1999">
        <f t="shared" si="15"/>
        <v>248.21</v>
      </c>
      <c r="G57" s="1999">
        <f t="shared" si="15"/>
        <v>15858.179999999993</v>
      </c>
      <c r="H57" s="1956">
        <f t="shared" si="15"/>
        <v>248.21</v>
      </c>
      <c r="I57" s="1956">
        <f t="shared" si="15"/>
        <v>16106.389999999992</v>
      </c>
      <c r="K57" s="2014" t="s">
        <v>2075</v>
      </c>
      <c r="L57" s="2014" t="s">
        <v>829</v>
      </c>
      <c r="M57" s="2013" t="s">
        <v>2075</v>
      </c>
      <c r="N57" s="2012" t="s">
        <v>829</v>
      </c>
      <c r="T57" s="1746"/>
      <c r="U57" s="1983"/>
      <c r="V57" s="1983"/>
      <c r="W57" s="1983"/>
      <c r="X57" s="1983"/>
    </row>
    <row r="58" spans="1:27" s="162" customFormat="1">
      <c r="A58" s="2004">
        <f t="shared" si="6"/>
        <v>19</v>
      </c>
      <c r="B58" s="2011" t="s">
        <v>2074</v>
      </c>
      <c r="C58" s="1999">
        <f t="shared" si="15"/>
        <v>0</v>
      </c>
      <c r="D58" s="1999">
        <f t="shared" si="15"/>
        <v>0</v>
      </c>
      <c r="E58" s="1999">
        <f t="shared" si="15"/>
        <v>0</v>
      </c>
      <c r="F58" s="1999">
        <f t="shared" si="15"/>
        <v>0</v>
      </c>
      <c r="G58" s="1999">
        <f t="shared" si="15"/>
        <v>0</v>
      </c>
      <c r="H58" s="1956">
        <f t="shared" si="15"/>
        <v>0</v>
      </c>
      <c r="I58" s="1956">
        <f t="shared" si="15"/>
        <v>0</v>
      </c>
      <c r="K58" s="1982"/>
      <c r="L58" s="1982"/>
      <c r="M58" s="2007">
        <f>+'2017 566 9302 PR WP02 Support '!B83</f>
        <v>345446.32000000007</v>
      </c>
      <c r="N58" s="2006">
        <f>+'2017 566 9302 PR WP02 Support '!C83</f>
        <v>120.32</v>
      </c>
      <c r="P58" s="1986" t="s">
        <v>2073</v>
      </c>
      <c r="Q58" s="162" t="s">
        <v>2054</v>
      </c>
      <c r="S58" s="162">
        <v>9302</v>
      </c>
      <c r="T58" s="496" t="s">
        <v>2072</v>
      </c>
      <c r="U58" s="1983"/>
      <c r="V58" s="1983"/>
      <c r="W58" s="1983"/>
      <c r="X58" s="1983"/>
    </row>
    <row r="59" spans="1:27" s="162" customFormat="1">
      <c r="A59" s="2004">
        <f t="shared" si="6"/>
        <v>20</v>
      </c>
      <c r="B59" s="2011" t="s">
        <v>2071</v>
      </c>
      <c r="C59" s="1999">
        <f t="shared" si="15"/>
        <v>0</v>
      </c>
      <c r="D59" s="1999">
        <f t="shared" si="15"/>
        <v>0</v>
      </c>
      <c r="E59" s="1999">
        <f t="shared" si="15"/>
        <v>0</v>
      </c>
      <c r="F59" s="1999">
        <f t="shared" si="15"/>
        <v>0</v>
      </c>
      <c r="G59" s="1999">
        <f t="shared" si="15"/>
        <v>0</v>
      </c>
      <c r="H59" s="1956">
        <f t="shared" si="15"/>
        <v>0</v>
      </c>
      <c r="I59" s="1956">
        <f t="shared" si="15"/>
        <v>0</v>
      </c>
      <c r="K59" s="1983"/>
      <c r="L59" s="1983"/>
      <c r="M59" s="2007">
        <f>+'2017 566 9302 PR WP02 Support '!B84</f>
        <v>0</v>
      </c>
      <c r="N59" s="2006">
        <f>+'2017 566 9302 PR WP02 Support '!C84</f>
        <v>0</v>
      </c>
      <c r="P59" s="1986" t="s">
        <v>2070</v>
      </c>
      <c r="Q59" s="162" t="s">
        <v>2054</v>
      </c>
      <c r="S59" s="162">
        <v>9302</v>
      </c>
      <c r="T59" s="496" t="s">
        <v>2069</v>
      </c>
      <c r="U59" s="1983"/>
      <c r="V59" s="1983"/>
      <c r="W59" s="1983"/>
      <c r="X59" s="1983"/>
    </row>
    <row r="60" spans="1:27" s="162" customFormat="1">
      <c r="A60" s="2004">
        <f t="shared" si="6"/>
        <v>21</v>
      </c>
      <c r="B60" s="2011" t="s">
        <v>687</v>
      </c>
      <c r="C60" s="2010">
        <f t="shared" ref="C60:I60" si="16">SUM(C30:C40)</f>
        <v>-99217.539999999979</v>
      </c>
      <c r="D60" s="2010">
        <f t="shared" si="16"/>
        <v>0</v>
      </c>
      <c r="E60" s="2010">
        <f t="shared" si="16"/>
        <v>-464266.12000000011</v>
      </c>
      <c r="F60" s="2010">
        <f t="shared" si="16"/>
        <v>32408.68</v>
      </c>
      <c r="G60" s="2010">
        <f t="shared" si="16"/>
        <v>-563483.66</v>
      </c>
      <c r="H60" s="2240">
        <f t="shared" si="16"/>
        <v>32408.68</v>
      </c>
      <c r="I60" s="2240">
        <f t="shared" si="16"/>
        <v>-531074.98</v>
      </c>
      <c r="K60" s="1983"/>
      <c r="L60" s="1983"/>
      <c r="M60" s="2007">
        <f>+'2017 566 9302 PR WP02 Support '!B85</f>
        <v>22599.289999999997</v>
      </c>
      <c r="N60" s="2006">
        <f>+'2017 566 9302 PR WP02 Support '!C85</f>
        <v>0</v>
      </c>
      <c r="O60" s="1983"/>
      <c r="P60" s="1986" t="s">
        <v>2068</v>
      </c>
      <c r="Q60" s="162" t="s">
        <v>2054</v>
      </c>
      <c r="S60" s="162">
        <v>9302</v>
      </c>
      <c r="T60" s="496" t="s">
        <v>2067</v>
      </c>
      <c r="U60" s="1983"/>
      <c r="V60" s="1983"/>
      <c r="W60" s="1983"/>
      <c r="X60" s="1983"/>
    </row>
    <row r="61" spans="1:27" s="162" customFormat="1" ht="13.8" thickBot="1">
      <c r="A61" s="2004">
        <f t="shared" si="6"/>
        <v>22</v>
      </c>
      <c r="B61" s="2005" t="str">
        <f>B41</f>
        <v>Total  Sum Line 1 Subparts</v>
      </c>
      <c r="C61" s="2008">
        <f t="shared" ref="C61:I61" si="17">SUM(C51:C60)</f>
        <v>-99217.539999999979</v>
      </c>
      <c r="D61" s="2008">
        <f t="shared" si="17"/>
        <v>0</v>
      </c>
      <c r="E61" s="2009">
        <f t="shared" si="17"/>
        <v>-458841.09000000008</v>
      </c>
      <c r="F61" s="2009">
        <f t="shared" si="17"/>
        <v>-120.31999999999971</v>
      </c>
      <c r="G61" s="2008">
        <f t="shared" si="17"/>
        <v>-558058.63</v>
      </c>
      <c r="H61" s="2241">
        <f t="shared" si="17"/>
        <v>-120.31999999999971</v>
      </c>
      <c r="I61" s="2241">
        <f t="shared" si="17"/>
        <v>-558178.94999999995</v>
      </c>
      <c r="K61" s="1997"/>
      <c r="L61" s="1997"/>
      <c r="M61" s="2007">
        <f>+'2017 566 9302 PR WP02 Support '!B86</f>
        <v>995.89999999999986</v>
      </c>
      <c r="N61" s="2006">
        <f>+'2017 566 9302 PR WP02 Support '!C86</f>
        <v>0</v>
      </c>
      <c r="O61" s="1983"/>
      <c r="P61" s="1986" t="s">
        <v>2066</v>
      </c>
      <c r="Q61" s="162" t="s">
        <v>2054</v>
      </c>
      <c r="S61" s="162">
        <v>9302</v>
      </c>
      <c r="T61" s="496" t="s">
        <v>2065</v>
      </c>
      <c r="U61" s="1983"/>
      <c r="V61" s="1983"/>
      <c r="W61" s="1983"/>
      <c r="X61" s="1983"/>
    </row>
    <row r="62" spans="1:27" s="162" customFormat="1" ht="13.8" thickTop="1">
      <c r="A62" s="2004">
        <f t="shared" si="6"/>
        <v>23</v>
      </c>
      <c r="B62" s="2005"/>
      <c r="C62" s="2005"/>
      <c r="D62" s="2005"/>
      <c r="E62" s="2003"/>
      <c r="F62" s="2003"/>
      <c r="G62" s="2005"/>
      <c r="H62" s="170"/>
      <c r="I62" s="2242"/>
      <c r="J62" s="1999"/>
      <c r="K62" s="1997"/>
      <c r="L62" s="1997"/>
      <c r="M62" s="1996">
        <f>+'2017 566 9302 PR WP02 Support '!B89</f>
        <v>16540.7</v>
      </c>
      <c r="N62" s="1998">
        <f>+'2017 566 9302 PR WP02 Support '!C89</f>
        <v>0</v>
      </c>
      <c r="O62" s="1983"/>
      <c r="P62" s="1986" t="s">
        <v>2064</v>
      </c>
      <c r="Q62" s="162" t="s">
        <v>2054</v>
      </c>
      <c r="S62" s="162">
        <v>9302</v>
      </c>
      <c r="T62" s="496" t="s">
        <v>2063</v>
      </c>
      <c r="U62" s="1983"/>
      <c r="V62" s="1983"/>
      <c r="W62" s="1983"/>
      <c r="X62" s="1983"/>
    </row>
    <row r="63" spans="1:27" s="162" customFormat="1">
      <c r="A63" s="2004">
        <f t="shared" si="6"/>
        <v>24</v>
      </c>
      <c r="B63" s="2001" t="s">
        <v>2062</v>
      </c>
      <c r="C63" s="1999"/>
      <c r="D63" s="1999">
        <f>SUM(D51:D59)</f>
        <v>0</v>
      </c>
      <c r="E63" s="2003"/>
      <c r="F63" s="2003">
        <f>SUM(F51:F59)</f>
        <v>-32529</v>
      </c>
      <c r="G63" s="1999"/>
      <c r="H63" s="1956">
        <f>SUM(H51:H59)</f>
        <v>-32529</v>
      </c>
      <c r="I63" s="1956"/>
      <c r="J63" s="161"/>
      <c r="K63" s="1983"/>
      <c r="L63" s="1983"/>
      <c r="M63" s="1996">
        <f>+'2017 566 9302 PR WP02 Support '!B90</f>
        <v>71408.44</v>
      </c>
      <c r="N63" s="1998">
        <f>+'2017 566 9302 PR WP02 Support '!C90</f>
        <v>0</v>
      </c>
      <c r="O63" s="1983"/>
      <c r="P63" s="1986" t="s">
        <v>2061</v>
      </c>
      <c r="Q63" s="162" t="s">
        <v>2054</v>
      </c>
      <c r="S63" s="162">
        <v>9302</v>
      </c>
      <c r="T63" s="496" t="s">
        <v>2060</v>
      </c>
      <c r="U63" s="1983"/>
      <c r="V63" s="1983"/>
      <c r="W63" s="1983"/>
      <c r="X63" s="1983"/>
    </row>
    <row r="64" spans="1:27" s="162" customFormat="1">
      <c r="A64" s="2002"/>
      <c r="B64" s="2001"/>
      <c r="C64" s="2001"/>
      <c r="D64" s="2001"/>
      <c r="E64" s="2000"/>
      <c r="F64" s="2000"/>
      <c r="G64" s="1999"/>
      <c r="H64" s="1956"/>
      <c r="I64" s="1956"/>
      <c r="J64" s="161"/>
      <c r="K64" s="1983"/>
      <c r="L64" s="1983"/>
      <c r="M64" s="1996">
        <f>+'2017 566 9302 PR WP02 Support '!B91</f>
        <v>1295.1400000000001</v>
      </c>
      <c r="N64" s="1998">
        <f>+'2017 566 9302 PR WP02 Support '!C91</f>
        <v>0</v>
      </c>
      <c r="O64" s="1983"/>
      <c r="P64" s="1986" t="s">
        <v>2059</v>
      </c>
      <c r="Q64" s="162" t="s">
        <v>2054</v>
      </c>
      <c r="S64" s="162">
        <v>9302</v>
      </c>
      <c r="T64" s="496" t="s">
        <v>2058</v>
      </c>
      <c r="U64" s="1983"/>
      <c r="V64" s="1983"/>
      <c r="W64" s="1983"/>
      <c r="X64" s="1983"/>
    </row>
    <row r="65" spans="1:28" s="162" customFormat="1">
      <c r="A65" s="162" t="s">
        <v>190</v>
      </c>
      <c r="B65" s="584"/>
      <c r="C65" s="584"/>
      <c r="D65" s="584"/>
      <c r="E65" s="957"/>
      <c r="F65" s="957"/>
      <c r="G65" s="270"/>
      <c r="H65" s="270"/>
      <c r="I65" s="270"/>
      <c r="J65" s="161"/>
      <c r="K65" s="1997"/>
      <c r="L65" s="1997"/>
      <c r="M65" s="1996">
        <f>+'2017 566 9302 PR WP02 Support '!D31</f>
        <v>555.29999999999995</v>
      </c>
      <c r="N65" s="1998">
        <f>+'2017 566 9302 PR WP02 Support '!C92</f>
        <v>0</v>
      </c>
      <c r="P65" s="1986" t="s">
        <v>2057</v>
      </c>
      <c r="Q65" s="162" t="s">
        <v>2054</v>
      </c>
      <c r="S65" s="162">
        <v>9302</v>
      </c>
      <c r="T65" s="496" t="s">
        <v>2056</v>
      </c>
      <c r="U65" s="1983"/>
      <c r="V65" s="1983"/>
      <c r="W65" s="1983"/>
      <c r="X65" s="1983"/>
      <c r="Y65" s="161"/>
      <c r="Z65" s="161"/>
      <c r="AA65" s="161"/>
    </row>
    <row r="66" spans="1:28">
      <c r="A66" s="1066" t="s">
        <v>167</v>
      </c>
      <c r="B66" s="2363" t="s">
        <v>2276</v>
      </c>
      <c r="C66" s="2363"/>
      <c r="D66" s="2363"/>
      <c r="E66" s="2363"/>
      <c r="F66" s="2363"/>
      <c r="G66" s="2363"/>
      <c r="H66" s="2363"/>
      <c r="I66" s="2363"/>
      <c r="K66" s="1997"/>
      <c r="L66" s="1997"/>
      <c r="M66" s="1996">
        <f>+'2017 566 9302 PR WP02 Support '!B94</f>
        <v>0</v>
      </c>
      <c r="N66" s="1995">
        <f>+'2017 566 9302 PR WP02 Support '!C94</f>
        <v>0</v>
      </c>
      <c r="P66" s="1986" t="s">
        <v>2055</v>
      </c>
      <c r="Q66" s="162" t="s">
        <v>2054</v>
      </c>
      <c r="R66" s="162"/>
      <c r="S66" s="162">
        <v>9302</v>
      </c>
      <c r="T66" s="496" t="s">
        <v>2053</v>
      </c>
    </row>
    <row r="67" spans="1:28" s="1979" customFormat="1" ht="14.25" customHeight="1">
      <c r="A67" s="1994" t="s">
        <v>320</v>
      </c>
      <c r="B67" s="2364" t="s">
        <v>2289</v>
      </c>
      <c r="C67" s="2364"/>
      <c r="D67" s="2364"/>
      <c r="E67" s="2364"/>
      <c r="F67" s="2364"/>
      <c r="G67" s="2364"/>
      <c r="H67" s="2364"/>
      <c r="I67" s="2364"/>
      <c r="J67" s="2364"/>
      <c r="K67" s="2364"/>
      <c r="M67" s="1992">
        <f>+'2017 566 9302 PR WP02 Support '!B87</f>
        <v>47933.87</v>
      </c>
      <c r="N67" s="1991">
        <f>+'2017 566 9302 PR WP02 Support '!C87</f>
        <v>0</v>
      </c>
      <c r="P67" s="1986" t="s">
        <v>2052</v>
      </c>
      <c r="Q67" s="1982" t="s">
        <v>2047</v>
      </c>
      <c r="R67" s="1982" t="s">
        <v>2046</v>
      </c>
      <c r="S67" s="162">
        <v>920</v>
      </c>
      <c r="T67" s="1983" t="s">
        <v>2051</v>
      </c>
      <c r="U67" s="1983"/>
      <c r="V67" s="1983"/>
      <c r="W67" s="1983"/>
      <c r="Y67" s="1990"/>
      <c r="Z67" s="1989"/>
      <c r="AA67" s="1989"/>
      <c r="AB67" s="1989"/>
    </row>
    <row r="68" spans="1:28" s="1979" customFormat="1" ht="12.75" customHeight="1">
      <c r="A68" s="1993"/>
      <c r="B68" s="2357"/>
      <c r="C68" s="2357"/>
      <c r="D68" s="2357"/>
      <c r="E68" s="2357"/>
      <c r="F68" s="2357"/>
      <c r="G68" s="2357"/>
      <c r="H68" s="2357"/>
      <c r="I68" s="2357"/>
      <c r="J68" s="1989"/>
      <c r="K68" s="1983"/>
      <c r="L68" s="1983"/>
      <c r="M68" s="1992">
        <f>+'2017 566 9302 PR WP02 Support '!B88</f>
        <v>19353.190000000002</v>
      </c>
      <c r="N68" s="1991">
        <f>+'2017 566 9302 PR WP02 Support '!C88</f>
        <v>0</v>
      </c>
      <c r="P68" s="1986" t="s">
        <v>2050</v>
      </c>
      <c r="Q68" s="1982" t="s">
        <v>2047</v>
      </c>
      <c r="R68" s="1982" t="s">
        <v>2046</v>
      </c>
      <c r="S68" s="162">
        <v>506</v>
      </c>
      <c r="T68" s="1983" t="s">
        <v>2049</v>
      </c>
      <c r="U68" s="1983"/>
      <c r="V68" s="1983"/>
      <c r="W68" s="1983"/>
      <c r="Y68" s="1990"/>
      <c r="Z68" s="1989"/>
      <c r="AA68" s="1989"/>
      <c r="AB68" s="1989"/>
    </row>
    <row r="69" spans="1:28">
      <c r="A69" s="962"/>
      <c r="B69" s="610"/>
      <c r="C69" s="610"/>
      <c r="D69" s="610"/>
      <c r="E69" s="1435"/>
      <c r="F69" s="1435"/>
      <c r="G69" s="610"/>
      <c r="H69" s="610"/>
      <c r="I69" s="610"/>
      <c r="M69" s="1988">
        <f>+'2017 566 9302 PR WP02 Support '!B92</f>
        <v>0</v>
      </c>
      <c r="N69" s="1987">
        <f>+'2017 566 9302 PR WP02 Support '!C92</f>
        <v>0</v>
      </c>
      <c r="P69" s="1986" t="s">
        <v>2048</v>
      </c>
      <c r="Q69" s="1982" t="s">
        <v>2047</v>
      </c>
      <c r="R69" s="1982" t="s">
        <v>2046</v>
      </c>
      <c r="S69" s="162" t="s">
        <v>2045</v>
      </c>
      <c r="T69" s="1983" t="s">
        <v>2044</v>
      </c>
      <c r="U69" s="1983"/>
      <c r="V69" s="1983"/>
      <c r="W69" s="1983"/>
    </row>
    <row r="70" spans="1:28" ht="12.75" customHeight="1" thickBot="1">
      <c r="A70" s="962"/>
      <c r="B70" s="610"/>
      <c r="C70" s="610"/>
      <c r="D70" s="610"/>
      <c r="E70" s="1435"/>
      <c r="F70" s="1435"/>
      <c r="G70" s="610"/>
      <c r="H70" s="610"/>
      <c r="I70" s="610"/>
      <c r="K70" s="1985">
        <f>SUM(K58:K69)</f>
        <v>0</v>
      </c>
      <c r="L70" s="1985">
        <f>SUM(L58:L69)</f>
        <v>0</v>
      </c>
      <c r="M70" s="1985">
        <f>SUM(M58:M69)</f>
        <v>526128.15000000014</v>
      </c>
      <c r="N70" s="1985">
        <f>SUM(N58:N69)</f>
        <v>120.32</v>
      </c>
      <c r="T70" s="1983"/>
    </row>
    <row r="71" spans="1:28" ht="13.8" thickTop="1">
      <c r="A71" s="962"/>
      <c r="B71" s="610"/>
      <c r="C71" s="610"/>
      <c r="D71" s="610"/>
      <c r="E71" s="1435"/>
      <c r="F71" s="1435"/>
      <c r="G71" s="610"/>
      <c r="H71" s="610"/>
      <c r="I71" s="610"/>
      <c r="K71" s="1983"/>
      <c r="L71" s="1983"/>
      <c r="M71" s="1983"/>
      <c r="N71" s="1983"/>
      <c r="T71" s="1983"/>
    </row>
    <row r="72" spans="1:28" ht="13.8" thickBot="1">
      <c r="A72" s="161"/>
      <c r="K72" s="1984">
        <f>+K70+K54+K48+K43+K37+K28+K14+K9</f>
        <v>97073.4</v>
      </c>
      <c r="L72" s="1984">
        <f>+L70+L54+L48+L43+L37+L28+L14+L9</f>
        <v>32777.21</v>
      </c>
      <c r="M72" s="1984">
        <f>+M70+M54+M48+M43+M37+M28+M14+M9</f>
        <v>555914.49000000011</v>
      </c>
      <c r="N72" s="1984">
        <f>+N70+N54+N48+N43+N37+N28+N14+N9</f>
        <v>32897.53</v>
      </c>
      <c r="T72" s="162"/>
    </row>
    <row r="73" spans="1:28" ht="13.8" thickTop="1">
      <c r="K73" s="1983"/>
      <c r="L73" s="1983"/>
      <c r="M73" s="1983"/>
      <c r="N73" s="1983"/>
      <c r="P73" s="1982"/>
    </row>
    <row r="74" spans="1:28">
      <c r="K74" s="1983">
        <f>+K72+L72</f>
        <v>129850.60999999999</v>
      </c>
      <c r="L74" s="1983"/>
      <c r="M74" s="1983">
        <f>+M72+N72</f>
        <v>588812.02000000014</v>
      </c>
      <c r="N74" s="1983"/>
      <c r="P74" s="1982">
        <f>+M74-K74</f>
        <v>458961.41000000015</v>
      </c>
      <c r="T74" s="1981"/>
    </row>
    <row r="75" spans="1:28">
      <c r="K75" s="162"/>
      <c r="L75" s="162"/>
      <c r="M75" s="162"/>
      <c r="N75" s="162"/>
      <c r="P75" s="1982">
        <f>+I41</f>
        <v>-558178.95000000007</v>
      </c>
      <c r="T75" s="1981"/>
    </row>
    <row r="76" spans="1:28">
      <c r="K76" s="162"/>
      <c r="L76" s="162"/>
      <c r="M76" s="162"/>
      <c r="N76" s="162"/>
      <c r="P76" s="1980">
        <f>+P74+P75</f>
        <v>-99217.539999999921</v>
      </c>
    </row>
    <row r="77" spans="1:28">
      <c r="K77" s="162"/>
      <c r="L77" s="162"/>
      <c r="M77" s="162"/>
      <c r="N77" s="162"/>
    </row>
    <row r="78" spans="1:28">
      <c r="K78" s="162"/>
      <c r="L78" s="162"/>
      <c r="M78" s="162"/>
      <c r="N78" s="162"/>
    </row>
    <row r="79" spans="1:28">
      <c r="K79" s="162"/>
      <c r="L79" s="162"/>
      <c r="M79" s="162"/>
      <c r="N79" s="162"/>
    </row>
    <row r="80" spans="1:28">
      <c r="K80" s="162"/>
      <c r="L80" s="162"/>
      <c r="M80" s="162"/>
      <c r="N80" s="162"/>
    </row>
    <row r="81" spans="11:14">
      <c r="K81" s="162"/>
      <c r="L81" s="162"/>
      <c r="M81" s="162"/>
      <c r="N81" s="162"/>
    </row>
    <row r="82" spans="11:14">
      <c r="K82" s="162"/>
      <c r="L82" s="162"/>
      <c r="M82" s="162"/>
      <c r="N82" s="162"/>
    </row>
    <row r="83" spans="11:14">
      <c r="K83" s="162"/>
      <c r="L83" s="162"/>
      <c r="M83" s="162"/>
      <c r="N83" s="162"/>
    </row>
    <row r="85" spans="11:14">
      <c r="K85" s="1979"/>
      <c r="L85" s="1979"/>
      <c r="M85" s="1979"/>
      <c r="N85" s="1979"/>
    </row>
    <row r="86" spans="11:14">
      <c r="K86" s="1979"/>
      <c r="L86" s="1979"/>
      <c r="M86" s="1979"/>
      <c r="N86" s="1979"/>
    </row>
  </sheetData>
  <mergeCells count="17">
    <mergeCell ref="K45:N45"/>
    <mergeCell ref="K50:N50"/>
    <mergeCell ref="K56:N56"/>
    <mergeCell ref="B66:I66"/>
    <mergeCell ref="B67:K67"/>
    <mergeCell ref="B68:I68"/>
    <mergeCell ref="A1:I1"/>
    <mergeCell ref="A2:I2"/>
    <mergeCell ref="A3:I3"/>
    <mergeCell ref="G4:I4"/>
    <mergeCell ref="C5:D5"/>
    <mergeCell ref="E5:F5"/>
    <mergeCell ref="K6:N6"/>
    <mergeCell ref="K11:N11"/>
    <mergeCell ref="K16:N16"/>
    <mergeCell ref="K30:N30"/>
    <mergeCell ref="K39:N39"/>
  </mergeCells>
  <printOptions horizontalCentered="1"/>
  <pageMargins left="0.5" right="0.5" top="0.5" bottom="0.5" header="0.3" footer="0.5"/>
  <pageSetup scale="84" orientation="portrait" r:id="rId1"/>
  <headerFoot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06"/>
  <sheetViews>
    <sheetView workbookViewId="0">
      <pane xSplit="1" ySplit="6" topLeftCell="B7" activePane="bottomRight" state="frozen"/>
      <selection activeCell="A4" sqref="A4"/>
      <selection pane="topRight" activeCell="A4" sqref="A4"/>
      <selection pane="bottomLeft" activeCell="A4" sqref="A4"/>
      <selection pane="bottomRight" activeCell="B19" sqref="B19"/>
    </sheetView>
  </sheetViews>
  <sheetFormatPr defaultColWidth="9.109375" defaultRowHeight="13.2"/>
  <cols>
    <col min="1" max="1" width="56.6640625" style="2056" customWidth="1"/>
    <col min="2" max="4" width="13.6640625" style="2056" customWidth="1"/>
    <col min="5" max="5" width="14.88671875" style="2056" bestFit="1" customWidth="1"/>
    <col min="6" max="6" width="10.6640625" style="2056" bestFit="1" customWidth="1"/>
    <col min="7" max="16384" width="9.109375" style="2056"/>
  </cols>
  <sheetData>
    <row r="3" spans="1:7">
      <c r="A3" s="2056" t="s">
        <v>2156</v>
      </c>
    </row>
    <row r="4" spans="1:7">
      <c r="E4" s="2056" t="s">
        <v>2155</v>
      </c>
    </row>
    <row r="5" spans="1:7">
      <c r="B5" s="2087">
        <v>2017</v>
      </c>
      <c r="D5" s="2087" t="s">
        <v>2153</v>
      </c>
    </row>
    <row r="6" spans="1:7">
      <c r="A6" s="2056" t="s">
        <v>2152</v>
      </c>
      <c r="B6" s="2056" t="s">
        <v>2151</v>
      </c>
      <c r="C6" s="2056" t="s">
        <v>2150</v>
      </c>
    </row>
    <row r="7" spans="1:7" s="2080" customFormat="1">
      <c r="A7" s="2082" t="s">
        <v>66</v>
      </c>
      <c r="B7" s="2086"/>
      <c r="C7" s="2086"/>
      <c r="D7" s="2086"/>
      <c r="E7" s="2086"/>
      <c r="F7" s="2086"/>
      <c r="G7" s="2086"/>
    </row>
    <row r="8" spans="1:7">
      <c r="A8" s="2062" t="s">
        <v>1638</v>
      </c>
      <c r="B8" s="2058"/>
      <c r="C8" s="2058"/>
      <c r="D8" s="2058"/>
      <c r="E8" s="2058"/>
      <c r="F8" s="2058"/>
      <c r="G8" s="2058"/>
    </row>
    <row r="9" spans="1:7">
      <c r="A9" s="2064" t="s">
        <v>2146</v>
      </c>
      <c r="B9" s="2058"/>
      <c r="C9" s="2058">
        <v>248.21</v>
      </c>
      <c r="D9" s="2058">
        <v>248.21</v>
      </c>
      <c r="E9" s="2058">
        <v>25215.550000000003</v>
      </c>
      <c r="F9" s="2058"/>
      <c r="G9" s="2058"/>
    </row>
    <row r="10" spans="1:7">
      <c r="A10" s="2064" t="s">
        <v>2145</v>
      </c>
      <c r="B10" s="2058">
        <v>1189.1799999999998</v>
      </c>
      <c r="C10" s="2058"/>
      <c r="D10" s="2058">
        <v>1189.1799999999998</v>
      </c>
      <c r="E10" s="2058">
        <v>2004.8799999999997</v>
      </c>
      <c r="F10" s="2058"/>
      <c r="G10" s="2058"/>
    </row>
    <row r="11" spans="1:7">
      <c r="A11" s="2064" t="s">
        <v>2135</v>
      </c>
      <c r="B11" s="2058">
        <v>13928.160000000002</v>
      </c>
      <c r="C11" s="2058">
        <v>32529</v>
      </c>
      <c r="D11" s="2058">
        <v>46457.16</v>
      </c>
      <c r="E11" s="2058">
        <v>588817.36</v>
      </c>
      <c r="F11" s="2058"/>
      <c r="G11" s="2058"/>
    </row>
    <row r="12" spans="1:7">
      <c r="A12" s="2064" t="s">
        <v>2134</v>
      </c>
      <c r="B12" s="2058"/>
      <c r="C12" s="2058"/>
      <c r="D12" s="2058"/>
      <c r="E12" s="2058">
        <v>3496.36</v>
      </c>
      <c r="F12" s="2058"/>
      <c r="G12" s="2058"/>
    </row>
    <row r="13" spans="1:7">
      <c r="A13" s="2064" t="s">
        <v>2144</v>
      </c>
      <c r="B13" s="2058"/>
      <c r="C13" s="2058"/>
      <c r="D13" s="2058"/>
      <c r="E13" s="2058">
        <v>39769.39</v>
      </c>
      <c r="F13" s="2058"/>
      <c r="G13" s="2058"/>
    </row>
    <row r="14" spans="1:7">
      <c r="A14" s="2064" t="s">
        <v>2132</v>
      </c>
      <c r="B14" s="2058"/>
      <c r="C14" s="2058"/>
      <c r="D14" s="2058"/>
      <c r="E14" s="2058">
        <v>477.28</v>
      </c>
      <c r="F14" s="2058"/>
      <c r="G14" s="2058"/>
    </row>
    <row r="15" spans="1:7">
      <c r="A15" s="2064" t="s">
        <v>2143</v>
      </c>
      <c r="B15" s="2058"/>
      <c r="C15" s="2058"/>
      <c r="D15" s="2058"/>
      <c r="E15" s="2058"/>
      <c r="F15" s="2058"/>
      <c r="G15" s="2058"/>
    </row>
    <row r="16" spans="1:7">
      <c r="A16" s="2064" t="s">
        <v>2130</v>
      </c>
      <c r="B16" s="2058">
        <v>14437.509999999993</v>
      </c>
      <c r="C16" s="2058"/>
      <c r="D16" s="2058">
        <v>14437.509999999993</v>
      </c>
      <c r="E16" s="2058">
        <v>15867.709999999992</v>
      </c>
      <c r="F16" s="2058"/>
      <c r="G16" s="2058"/>
    </row>
    <row r="17" spans="1:7">
      <c r="A17" s="2064" t="s">
        <v>2142</v>
      </c>
      <c r="B17" s="2058"/>
      <c r="C17" s="2058"/>
      <c r="D17" s="2058"/>
      <c r="E17" s="2058"/>
      <c r="F17" s="2058"/>
      <c r="G17" s="2058"/>
    </row>
    <row r="18" spans="1:7">
      <c r="A18" s="2064" t="s">
        <v>2129</v>
      </c>
      <c r="B18" s="2058">
        <v>231.48999999999995</v>
      </c>
      <c r="C18" s="2058"/>
      <c r="D18" s="2058">
        <v>231.48999999999995</v>
      </c>
      <c r="E18" s="2058">
        <v>673.51</v>
      </c>
      <c r="F18" s="2058"/>
      <c r="G18" s="2058"/>
    </row>
    <row r="19" spans="1:7">
      <c r="A19" s="2062" t="s">
        <v>2141</v>
      </c>
      <c r="B19" s="2058">
        <v>29786.339999999997</v>
      </c>
      <c r="C19" s="2058">
        <v>32777.21</v>
      </c>
      <c r="D19" s="2058">
        <v>62563.549999999996</v>
      </c>
      <c r="E19" s="2058">
        <v>676322.04</v>
      </c>
      <c r="F19" s="2058"/>
      <c r="G19" s="2058"/>
    </row>
    <row r="20" spans="1:7">
      <c r="A20" s="2062" t="s">
        <v>2158</v>
      </c>
      <c r="B20" s="2058"/>
      <c r="C20" s="2058"/>
      <c r="D20" s="2058"/>
      <c r="E20" s="2058"/>
      <c r="F20" s="2058"/>
      <c r="G20" s="2058"/>
    </row>
    <row r="21" spans="1:7">
      <c r="A21" s="2064" t="s">
        <v>2139</v>
      </c>
      <c r="B21" s="2058">
        <v>345446.32000000007</v>
      </c>
      <c r="C21" s="2058"/>
      <c r="D21" s="2058">
        <v>345446.32000000007</v>
      </c>
      <c r="E21" s="2058">
        <v>345087.70000000007</v>
      </c>
      <c r="F21" s="2058"/>
      <c r="G21" s="2058"/>
    </row>
    <row r="22" spans="1:7">
      <c r="A22" s="2064" t="s">
        <v>2138</v>
      </c>
      <c r="B22" s="2058"/>
      <c r="C22" s="2058"/>
      <c r="D22" s="2058"/>
      <c r="E22" s="2058"/>
      <c r="F22" s="2058"/>
      <c r="G22" s="2058"/>
    </row>
    <row r="23" spans="1:7">
      <c r="A23" s="2064" t="s">
        <v>2137</v>
      </c>
      <c r="B23" s="2058">
        <v>22599.289999999997</v>
      </c>
      <c r="C23" s="2058"/>
      <c r="D23" s="2058">
        <v>22599.289999999997</v>
      </c>
      <c r="E23" s="2058">
        <v>51659.55</v>
      </c>
      <c r="F23" s="2058"/>
      <c r="G23" s="2058"/>
    </row>
    <row r="24" spans="1:7">
      <c r="A24" s="2064" t="s">
        <v>2136</v>
      </c>
      <c r="B24" s="2058">
        <v>995.89999999999986</v>
      </c>
      <c r="C24" s="2058"/>
      <c r="D24" s="2058">
        <v>995.89999999999986</v>
      </c>
      <c r="E24" s="2058">
        <v>2160.08</v>
      </c>
      <c r="F24" s="2058"/>
      <c r="G24" s="2058"/>
    </row>
    <row r="25" spans="1:7">
      <c r="A25" s="2064" t="s">
        <v>2135</v>
      </c>
      <c r="B25" s="2058">
        <v>47933.87</v>
      </c>
      <c r="C25" s="2058"/>
      <c r="D25" s="2058">
        <v>47933.87</v>
      </c>
      <c r="E25" s="2058">
        <v>47933.87</v>
      </c>
      <c r="F25" s="2058"/>
      <c r="G25" s="2058"/>
    </row>
    <row r="26" spans="1:7">
      <c r="A26" s="2064" t="s">
        <v>2134</v>
      </c>
      <c r="B26" s="2058">
        <v>19353.190000000002</v>
      </c>
      <c r="C26" s="2058"/>
      <c r="D26" s="2058">
        <v>19353.190000000002</v>
      </c>
      <c r="E26" s="2058">
        <v>19353.190000000002</v>
      </c>
      <c r="F26" s="2058"/>
      <c r="G26" s="2058"/>
    </row>
    <row r="27" spans="1:7">
      <c r="A27" s="2064" t="s">
        <v>2133</v>
      </c>
      <c r="B27" s="2058">
        <v>16540.7</v>
      </c>
      <c r="C27" s="2058"/>
      <c r="D27" s="2058">
        <v>16540.7</v>
      </c>
      <c r="E27" s="2058">
        <v>35835.760000000002</v>
      </c>
      <c r="F27" s="2058"/>
      <c r="G27" s="2058"/>
    </row>
    <row r="28" spans="1:7">
      <c r="A28" s="2064" t="s">
        <v>2132</v>
      </c>
      <c r="B28" s="2058">
        <v>71408.44</v>
      </c>
      <c r="C28" s="2058"/>
      <c r="D28" s="2058">
        <v>71408.44</v>
      </c>
      <c r="E28" s="2058">
        <v>74408.44</v>
      </c>
      <c r="F28" s="2058"/>
      <c r="G28" s="2058"/>
    </row>
    <row r="29" spans="1:7">
      <c r="A29" s="2064" t="s">
        <v>2131</v>
      </c>
      <c r="B29" s="2058">
        <v>1062.98</v>
      </c>
      <c r="C29" s="2058"/>
      <c r="D29" s="2058">
        <v>1062.98</v>
      </c>
      <c r="E29" s="2058">
        <v>3279.6</v>
      </c>
      <c r="F29" s="2058"/>
      <c r="G29" s="2058"/>
    </row>
    <row r="30" spans="1:7">
      <c r="A30" s="2064" t="s">
        <v>2130</v>
      </c>
      <c r="B30" s="2058"/>
      <c r="C30" s="2058"/>
      <c r="D30" s="2058"/>
      <c r="E30" s="2058"/>
      <c r="F30" s="2058"/>
      <c r="G30" s="2058"/>
    </row>
    <row r="31" spans="1:7">
      <c r="A31" s="2064" t="s">
        <v>2129</v>
      </c>
      <c r="B31" s="2058">
        <v>555.29999999999995</v>
      </c>
      <c r="C31" s="2058"/>
      <c r="D31" s="2058">
        <v>555.29999999999995</v>
      </c>
      <c r="E31" s="2058">
        <v>1130</v>
      </c>
      <c r="F31" s="2058"/>
      <c r="G31" s="2058"/>
    </row>
    <row r="32" spans="1:7">
      <c r="A32" s="2064" t="s">
        <v>2128</v>
      </c>
      <c r="B32" s="2058"/>
      <c r="C32" s="2058"/>
      <c r="D32" s="2058"/>
      <c r="E32" s="2058"/>
      <c r="F32" s="2058"/>
      <c r="G32" s="2058"/>
    </row>
    <row r="33" spans="1:7">
      <c r="A33" s="2062" t="s">
        <v>2157</v>
      </c>
      <c r="B33" s="2058">
        <v>525895.99000000011</v>
      </c>
      <c r="C33" s="2058"/>
      <c r="D33" s="2058">
        <v>525895.99000000011</v>
      </c>
      <c r="E33" s="2058">
        <v>580848.19000000006</v>
      </c>
      <c r="F33" s="2058"/>
      <c r="G33" s="2058"/>
    </row>
    <row r="34" spans="1:7">
      <c r="A34" s="2062" t="s">
        <v>2162</v>
      </c>
      <c r="B34" s="2058"/>
      <c r="C34" s="2058"/>
      <c r="D34" s="2058"/>
      <c r="E34" s="2058"/>
      <c r="F34" s="2058"/>
      <c r="G34" s="2058"/>
    </row>
    <row r="35" spans="1:7">
      <c r="A35" s="2064" t="s">
        <v>2139</v>
      </c>
      <c r="B35" s="2058"/>
      <c r="C35" s="2058">
        <v>120.32</v>
      </c>
      <c r="D35" s="2058">
        <v>120.32</v>
      </c>
      <c r="E35" s="2058">
        <v>120.32</v>
      </c>
      <c r="F35" s="2058"/>
      <c r="G35" s="2058"/>
    </row>
    <row r="36" spans="1:7">
      <c r="A36" s="2064" t="s">
        <v>2131</v>
      </c>
      <c r="B36" s="2058"/>
      <c r="C36" s="2058"/>
      <c r="D36" s="2058"/>
      <c r="E36" s="2058">
        <v>75</v>
      </c>
      <c r="F36" s="2058"/>
      <c r="G36" s="2058"/>
    </row>
    <row r="37" spans="1:7">
      <c r="A37" s="2062" t="s">
        <v>2161</v>
      </c>
      <c r="B37" s="2058"/>
      <c r="C37" s="2058">
        <v>120.32</v>
      </c>
      <c r="D37" s="2058">
        <v>120.32</v>
      </c>
      <c r="E37" s="2058">
        <v>195.32</v>
      </c>
      <c r="F37" s="2058"/>
      <c r="G37" s="2058"/>
    </row>
    <row r="38" spans="1:7">
      <c r="A38" s="2062" t="s">
        <v>2160</v>
      </c>
      <c r="B38" s="2058"/>
      <c r="C38" s="2058"/>
      <c r="D38" s="2058"/>
      <c r="E38" s="2058"/>
      <c r="F38" s="2058"/>
      <c r="G38" s="2058"/>
    </row>
    <row r="39" spans="1:7">
      <c r="A39" s="2064" t="s">
        <v>2138</v>
      </c>
      <c r="B39" s="2058"/>
      <c r="C39" s="2058"/>
      <c r="D39" s="2058"/>
      <c r="E39" s="2058"/>
      <c r="F39" s="2058"/>
      <c r="G39" s="2058"/>
    </row>
    <row r="40" spans="1:7">
      <c r="A40" s="2064" t="s">
        <v>2131</v>
      </c>
      <c r="B40" s="2058">
        <v>232.16</v>
      </c>
      <c r="C40" s="2058"/>
      <c r="D40" s="2058">
        <v>232.16</v>
      </c>
      <c r="E40" s="2058">
        <v>2653.3999999999996</v>
      </c>
      <c r="F40" s="2058"/>
      <c r="G40" s="2058"/>
    </row>
    <row r="41" spans="1:7">
      <c r="A41" s="2062" t="s">
        <v>2159</v>
      </c>
      <c r="B41" s="2058">
        <v>232.16</v>
      </c>
      <c r="C41" s="2058"/>
      <c r="D41" s="2058">
        <v>232.16</v>
      </c>
      <c r="E41" s="2058">
        <v>2653.3999999999996</v>
      </c>
      <c r="F41" s="2058"/>
      <c r="G41" s="2058"/>
    </row>
    <row r="42" spans="1:7" s="2080" customFormat="1">
      <c r="A42" s="2082" t="s">
        <v>2149</v>
      </c>
      <c r="B42" s="2086">
        <v>555914.49000000011</v>
      </c>
      <c r="C42" s="2086">
        <v>32897.53</v>
      </c>
      <c r="D42" s="2086">
        <v>588812.02</v>
      </c>
      <c r="E42" s="2086">
        <v>1260018.9500000002</v>
      </c>
      <c r="F42" s="2086"/>
      <c r="G42" s="2086"/>
    </row>
    <row r="43" spans="1:7" s="2073" customFormat="1">
      <c r="A43" s="2075" t="s">
        <v>69</v>
      </c>
      <c r="B43" s="2076"/>
      <c r="C43" s="2076"/>
      <c r="D43" s="2076"/>
      <c r="E43" s="2076"/>
      <c r="F43" s="2076"/>
      <c r="G43" s="2076"/>
    </row>
    <row r="44" spans="1:7">
      <c r="A44" s="2062" t="s">
        <v>1638</v>
      </c>
      <c r="B44" s="2058"/>
      <c r="C44" s="2058"/>
      <c r="D44" s="2058"/>
      <c r="E44" s="2058"/>
      <c r="F44" s="2058"/>
      <c r="G44" s="2058"/>
    </row>
    <row r="45" spans="1:7">
      <c r="A45" s="2064" t="s">
        <v>2146</v>
      </c>
      <c r="B45" s="2058"/>
      <c r="C45" s="2058">
        <v>0</v>
      </c>
      <c r="D45" s="2058">
        <v>0</v>
      </c>
      <c r="E45" s="2058">
        <v>0</v>
      </c>
      <c r="F45" s="2058"/>
      <c r="G45" s="2058"/>
    </row>
    <row r="46" spans="1:7">
      <c r="A46" s="2064" t="s">
        <v>2144</v>
      </c>
      <c r="B46" s="2058"/>
      <c r="C46" s="2058"/>
      <c r="D46" s="2058"/>
      <c r="E46" s="2058">
        <v>0</v>
      </c>
      <c r="F46" s="2058"/>
      <c r="G46" s="2058"/>
    </row>
    <row r="47" spans="1:7">
      <c r="A47" s="2062" t="s">
        <v>2141</v>
      </c>
      <c r="B47" s="2058"/>
      <c r="C47" s="2058">
        <v>0</v>
      </c>
      <c r="D47" s="2058">
        <v>0</v>
      </c>
      <c r="E47" s="2058">
        <v>0</v>
      </c>
      <c r="F47" s="2058"/>
      <c r="G47" s="2058"/>
    </row>
    <row r="48" spans="1:7">
      <c r="A48" s="2062" t="s">
        <v>2158</v>
      </c>
      <c r="B48" s="2058"/>
      <c r="C48" s="2058"/>
      <c r="D48" s="2058"/>
      <c r="E48" s="2058"/>
      <c r="F48" s="2058"/>
      <c r="G48" s="2058"/>
    </row>
    <row r="49" spans="1:7">
      <c r="A49" s="2064" t="s">
        <v>2137</v>
      </c>
      <c r="B49" s="2058">
        <v>1965.15</v>
      </c>
      <c r="C49" s="2058"/>
      <c r="D49" s="2058">
        <v>1965.15</v>
      </c>
      <c r="E49" s="2058">
        <v>4492.12</v>
      </c>
      <c r="F49" s="2058"/>
      <c r="G49" s="2058"/>
    </row>
    <row r="50" spans="1:7">
      <c r="A50" s="2064" t="s">
        <v>2136</v>
      </c>
      <c r="B50" s="2058">
        <v>20.700000000000024</v>
      </c>
      <c r="C50" s="2058"/>
      <c r="D50" s="2058">
        <v>20.700000000000024</v>
      </c>
      <c r="E50" s="2058">
        <v>46.82000000000005</v>
      </c>
      <c r="F50" s="2058"/>
      <c r="G50" s="2058"/>
    </row>
    <row r="51" spans="1:7">
      <c r="A51" s="2064" t="s">
        <v>2133</v>
      </c>
      <c r="B51" s="2058">
        <v>1438.31</v>
      </c>
      <c r="C51" s="2058"/>
      <c r="D51" s="2058">
        <v>1438.31</v>
      </c>
      <c r="E51" s="2058">
        <v>3116.2</v>
      </c>
      <c r="F51" s="2058"/>
      <c r="G51" s="2058"/>
    </row>
    <row r="52" spans="1:7">
      <c r="A52" s="2062" t="s">
        <v>2157</v>
      </c>
      <c r="B52" s="2058">
        <v>3424.16</v>
      </c>
      <c r="C52" s="2058"/>
      <c r="D52" s="2058">
        <v>3424.16</v>
      </c>
      <c r="E52" s="2058">
        <v>7655.1399999999994</v>
      </c>
      <c r="F52" s="2058"/>
      <c r="G52" s="2058"/>
    </row>
    <row r="53" spans="1:7" s="2073" customFormat="1">
      <c r="A53" s="2075" t="s">
        <v>2148</v>
      </c>
      <c r="B53" s="2076">
        <v>3424.16</v>
      </c>
      <c r="C53" s="2076">
        <v>0</v>
      </c>
      <c r="D53" s="2076">
        <v>3424.16</v>
      </c>
      <c r="E53" s="2076">
        <v>7655.1399999999994</v>
      </c>
      <c r="F53" s="2076"/>
      <c r="G53" s="2076"/>
    </row>
    <row r="54" spans="1:7" s="2068" customFormat="1">
      <c r="A54" s="2070" t="s">
        <v>225</v>
      </c>
      <c r="B54" s="2088"/>
      <c r="C54" s="2088"/>
      <c r="D54" s="2088"/>
      <c r="E54" s="2088"/>
      <c r="F54" s="2088"/>
      <c r="G54" s="2088"/>
    </row>
    <row r="55" spans="1:7">
      <c r="A55" s="2062" t="s">
        <v>2158</v>
      </c>
      <c r="B55" s="2058"/>
      <c r="C55" s="2058"/>
      <c r="D55" s="2058"/>
      <c r="E55" s="2058"/>
      <c r="F55" s="2058"/>
      <c r="G55" s="2058"/>
    </row>
    <row r="56" spans="1:7">
      <c r="A56" s="2064" t="s">
        <v>2136</v>
      </c>
      <c r="B56" s="2058">
        <v>-5.5511151231257827E-17</v>
      </c>
      <c r="C56" s="2058"/>
      <c r="D56" s="2058">
        <v>-5.5511151231257827E-17</v>
      </c>
      <c r="E56" s="2058">
        <v>-5.5511151231257827E-17</v>
      </c>
      <c r="F56" s="2058"/>
      <c r="G56" s="2058"/>
    </row>
    <row r="57" spans="1:7">
      <c r="A57" s="2062" t="s">
        <v>2157</v>
      </c>
      <c r="B57" s="2058">
        <v>-5.5511151231257827E-17</v>
      </c>
      <c r="C57" s="2058"/>
      <c r="D57" s="2058">
        <v>-5.5511151231257827E-17</v>
      </c>
      <c r="E57" s="2058">
        <v>-5.5511151231257827E-17</v>
      </c>
      <c r="F57" s="2058"/>
      <c r="G57" s="2058"/>
    </row>
    <row r="58" spans="1:7" s="2068" customFormat="1">
      <c r="A58" s="2070" t="s">
        <v>2147</v>
      </c>
      <c r="B58" s="2088">
        <v>-5.5511151231257827E-17</v>
      </c>
      <c r="C58" s="2088"/>
      <c r="D58" s="2088">
        <v>-5.5511151231257827E-17</v>
      </c>
      <c r="E58" s="2088">
        <v>-5.5511151231257827E-17</v>
      </c>
      <c r="F58" s="2088"/>
      <c r="G58" s="2088"/>
    </row>
    <row r="59" spans="1:7">
      <c r="A59" s="2079" t="s">
        <v>2154</v>
      </c>
      <c r="B59" s="2058">
        <v>559338.65000000014</v>
      </c>
      <c r="C59" s="2058">
        <v>32897.53</v>
      </c>
      <c r="D59" s="2058">
        <v>592236.18000000005</v>
      </c>
      <c r="E59" s="2058">
        <v>1267674.0900000003</v>
      </c>
      <c r="F59" s="2058"/>
      <c r="G59" s="2058"/>
    </row>
    <row r="60" spans="1:7">
      <c r="B60" s="2058"/>
      <c r="C60" s="2058"/>
      <c r="D60" s="2058"/>
      <c r="E60" s="2058"/>
      <c r="F60" s="2058"/>
      <c r="G60" s="2058"/>
    </row>
    <row r="61" spans="1:7">
      <c r="B61" s="2058"/>
      <c r="C61" s="2058"/>
      <c r="D61" s="2058"/>
      <c r="E61" s="2058"/>
      <c r="F61" s="2058"/>
      <c r="G61" s="2058"/>
    </row>
    <row r="62" spans="1:7">
      <c r="B62" s="2058"/>
      <c r="C62" s="2058"/>
      <c r="D62" s="2058"/>
      <c r="E62" s="2058"/>
      <c r="F62" s="2058"/>
      <c r="G62" s="2058"/>
    </row>
    <row r="63" spans="1:7">
      <c r="B63" s="2058"/>
      <c r="C63" s="2058"/>
      <c r="D63" s="2058"/>
      <c r="E63" s="2058"/>
      <c r="F63" s="2058"/>
      <c r="G63" s="2058"/>
    </row>
    <row r="64" spans="1:7">
      <c r="A64" s="2056" t="s">
        <v>2156</v>
      </c>
      <c r="F64" s="2058"/>
      <c r="G64" s="2058"/>
    </row>
    <row r="65" spans="1:7">
      <c r="E65" s="2056" t="s">
        <v>2155</v>
      </c>
    </row>
    <row r="66" spans="1:7">
      <c r="B66" s="2087">
        <v>2017</v>
      </c>
      <c r="D66" s="2087" t="s">
        <v>2153</v>
      </c>
    </row>
    <row r="67" spans="1:7">
      <c r="A67" s="2056" t="s">
        <v>2152</v>
      </c>
      <c r="B67" s="2056" t="s">
        <v>2151</v>
      </c>
      <c r="C67" s="2056" t="s">
        <v>2150</v>
      </c>
    </row>
    <row r="68" spans="1:7" s="2080" customFormat="1">
      <c r="A68" s="2082" t="s">
        <v>66</v>
      </c>
      <c r="B68" s="2086"/>
      <c r="C68" s="2086"/>
      <c r="D68" s="2086"/>
      <c r="E68" s="2086"/>
      <c r="F68" s="2086"/>
      <c r="G68" s="2086"/>
    </row>
    <row r="69" spans="1:7">
      <c r="A69" s="2062" t="s">
        <v>1638</v>
      </c>
      <c r="B69" s="2058"/>
      <c r="C69" s="2058"/>
      <c r="D69" s="2058"/>
      <c r="E69" s="2058"/>
      <c r="F69" s="2058"/>
      <c r="G69" s="2058"/>
    </row>
    <row r="70" spans="1:7">
      <c r="A70" s="2064" t="s">
        <v>2146</v>
      </c>
      <c r="B70" s="2083">
        <f t="shared" ref="B70:E79" si="0">+B9</f>
        <v>0</v>
      </c>
      <c r="C70" s="2083">
        <f t="shared" si="0"/>
        <v>248.21</v>
      </c>
      <c r="D70" s="2058">
        <f t="shared" si="0"/>
        <v>248.21</v>
      </c>
      <c r="E70" s="2058">
        <f t="shared" si="0"/>
        <v>25215.550000000003</v>
      </c>
      <c r="F70" s="2058"/>
      <c r="G70" s="2058"/>
    </row>
    <row r="71" spans="1:7">
      <c r="A71" s="2064" t="s">
        <v>2145</v>
      </c>
      <c r="B71" s="2083">
        <f t="shared" si="0"/>
        <v>1189.1799999999998</v>
      </c>
      <c r="C71" s="2083">
        <f t="shared" si="0"/>
        <v>0</v>
      </c>
      <c r="D71" s="2058">
        <f t="shared" si="0"/>
        <v>1189.1799999999998</v>
      </c>
      <c r="E71" s="2058">
        <f t="shared" si="0"/>
        <v>2004.8799999999997</v>
      </c>
      <c r="F71" s="2058"/>
      <c r="G71" s="2058"/>
    </row>
    <row r="72" spans="1:7">
      <c r="A72" s="2064" t="s">
        <v>2135</v>
      </c>
      <c r="B72" s="2083">
        <f t="shared" si="0"/>
        <v>13928.160000000002</v>
      </c>
      <c r="C72" s="2083">
        <f t="shared" si="0"/>
        <v>32529</v>
      </c>
      <c r="D72" s="2058">
        <f t="shared" si="0"/>
        <v>46457.16</v>
      </c>
      <c r="E72" s="2058">
        <f t="shared" si="0"/>
        <v>588817.36</v>
      </c>
      <c r="F72" s="2058"/>
      <c r="G72" s="2058"/>
    </row>
    <row r="73" spans="1:7">
      <c r="A73" s="2064" t="s">
        <v>2134</v>
      </c>
      <c r="B73" s="2083">
        <f t="shared" si="0"/>
        <v>0</v>
      </c>
      <c r="C73" s="2083">
        <f t="shared" si="0"/>
        <v>0</v>
      </c>
      <c r="D73" s="2058">
        <f t="shared" si="0"/>
        <v>0</v>
      </c>
      <c r="E73" s="2058">
        <f t="shared" si="0"/>
        <v>3496.36</v>
      </c>
      <c r="F73" s="2058"/>
      <c r="G73" s="2058"/>
    </row>
    <row r="74" spans="1:7">
      <c r="A74" s="2064" t="s">
        <v>2144</v>
      </c>
      <c r="B74" s="2083">
        <f t="shared" si="0"/>
        <v>0</v>
      </c>
      <c r="C74" s="2083">
        <f t="shared" si="0"/>
        <v>0</v>
      </c>
      <c r="D74" s="2058">
        <f t="shared" si="0"/>
        <v>0</v>
      </c>
      <c r="E74" s="2058">
        <f t="shared" si="0"/>
        <v>39769.39</v>
      </c>
      <c r="F74" s="2058"/>
      <c r="G74" s="2058"/>
    </row>
    <row r="75" spans="1:7">
      <c r="A75" s="2064" t="s">
        <v>2132</v>
      </c>
      <c r="B75" s="2083">
        <f t="shared" si="0"/>
        <v>0</v>
      </c>
      <c r="C75" s="2083">
        <f t="shared" si="0"/>
        <v>0</v>
      </c>
      <c r="D75" s="2058">
        <f t="shared" si="0"/>
        <v>0</v>
      </c>
      <c r="E75" s="2058">
        <f t="shared" si="0"/>
        <v>477.28</v>
      </c>
      <c r="F75" s="2058"/>
      <c r="G75" s="2058"/>
    </row>
    <row r="76" spans="1:7">
      <c r="A76" s="2064" t="s">
        <v>2143</v>
      </c>
      <c r="B76" s="2083">
        <f t="shared" si="0"/>
        <v>0</v>
      </c>
      <c r="C76" s="2083">
        <f t="shared" si="0"/>
        <v>0</v>
      </c>
      <c r="D76" s="2058">
        <f t="shared" si="0"/>
        <v>0</v>
      </c>
      <c r="E76" s="2058">
        <f t="shared" si="0"/>
        <v>0</v>
      </c>
      <c r="F76" s="2058"/>
      <c r="G76" s="2058"/>
    </row>
    <row r="77" spans="1:7">
      <c r="A77" s="2064" t="s">
        <v>2130</v>
      </c>
      <c r="B77" s="2083">
        <f t="shared" si="0"/>
        <v>14437.509999999993</v>
      </c>
      <c r="C77" s="2083">
        <f t="shared" si="0"/>
        <v>0</v>
      </c>
      <c r="D77" s="2058">
        <f t="shared" si="0"/>
        <v>14437.509999999993</v>
      </c>
      <c r="E77" s="2058">
        <f t="shared" si="0"/>
        <v>15867.709999999992</v>
      </c>
      <c r="F77" s="2058"/>
      <c r="G77" s="2058"/>
    </row>
    <row r="78" spans="1:7">
      <c r="A78" s="2064" t="s">
        <v>2142</v>
      </c>
      <c r="B78" s="2083">
        <f t="shared" si="0"/>
        <v>0</v>
      </c>
      <c r="C78" s="2083">
        <f t="shared" si="0"/>
        <v>0</v>
      </c>
      <c r="D78" s="2058">
        <f t="shared" si="0"/>
        <v>0</v>
      </c>
      <c r="E78" s="2058">
        <f t="shared" si="0"/>
        <v>0</v>
      </c>
      <c r="F78" s="2058"/>
      <c r="G78" s="2058"/>
    </row>
    <row r="79" spans="1:7">
      <c r="A79" s="2064" t="s">
        <v>2129</v>
      </c>
      <c r="B79" s="2083">
        <f t="shared" si="0"/>
        <v>231.48999999999995</v>
      </c>
      <c r="C79" s="2083">
        <f t="shared" si="0"/>
        <v>0</v>
      </c>
      <c r="D79" s="2058">
        <f t="shared" si="0"/>
        <v>231.48999999999995</v>
      </c>
      <c r="E79" s="2058">
        <f t="shared" si="0"/>
        <v>673.51</v>
      </c>
      <c r="F79" s="2058"/>
      <c r="G79" s="2058"/>
    </row>
    <row r="80" spans="1:7" ht="13.8" thickBot="1">
      <c r="A80" s="2065" t="s">
        <v>2141</v>
      </c>
      <c r="B80" s="2085">
        <f>SUM(B70:B79)</f>
        <v>29786.339999999997</v>
      </c>
      <c r="C80" s="2085">
        <f>SUM(C70:C79)</f>
        <v>32777.21</v>
      </c>
      <c r="D80" s="2085">
        <f>SUM(D70:D79)</f>
        <v>62563.549999999996</v>
      </c>
      <c r="E80" s="2085">
        <f>SUM(E70:E79)</f>
        <v>676322.04</v>
      </c>
      <c r="F80" s="2058"/>
      <c r="G80" s="2058"/>
    </row>
    <row r="81" spans="1:7" ht="13.8" thickTop="1">
      <c r="A81" s="2065"/>
      <c r="B81" s="2084"/>
      <c r="C81" s="2084"/>
      <c r="D81" s="2084"/>
      <c r="E81" s="2084"/>
      <c r="F81" s="2058"/>
      <c r="G81" s="2058"/>
    </row>
    <row r="82" spans="1:7">
      <c r="A82" s="2062" t="s">
        <v>2140</v>
      </c>
      <c r="B82" s="2058"/>
      <c r="C82" s="2058"/>
      <c r="D82" s="2058"/>
      <c r="E82" s="2058"/>
      <c r="F82" s="2058"/>
      <c r="G82" s="2058"/>
    </row>
    <row r="83" spans="1:7">
      <c r="A83" s="2064" t="s">
        <v>2139</v>
      </c>
      <c r="B83" s="2083">
        <f>+B21+B35</f>
        <v>345446.32000000007</v>
      </c>
      <c r="C83" s="2083">
        <f>+C21+C35</f>
        <v>120.32</v>
      </c>
      <c r="D83" s="2058">
        <f>+D21+D35</f>
        <v>345566.64000000007</v>
      </c>
      <c r="E83" s="2058">
        <f>+E21+E35</f>
        <v>345208.02000000008</v>
      </c>
      <c r="F83" s="2058"/>
      <c r="G83" s="2058"/>
    </row>
    <row r="84" spans="1:7">
      <c r="A84" s="2064" t="s">
        <v>2138</v>
      </c>
      <c r="B84" s="2083">
        <f>+B22+B39</f>
        <v>0</v>
      </c>
      <c r="C84" s="2083">
        <f>+C22+C39</f>
        <v>0</v>
      </c>
      <c r="D84" s="2058">
        <f>+D22+D39</f>
        <v>0</v>
      </c>
      <c r="E84" s="2058">
        <f>+E22+E39</f>
        <v>0</v>
      </c>
      <c r="F84" s="2058"/>
      <c r="G84" s="2058"/>
    </row>
    <row r="85" spans="1:7">
      <c r="A85" s="2064" t="s">
        <v>2137</v>
      </c>
      <c r="B85" s="2083">
        <f t="shared" ref="B85:E90" si="1">+B23</f>
        <v>22599.289999999997</v>
      </c>
      <c r="C85" s="2083">
        <f t="shared" si="1"/>
        <v>0</v>
      </c>
      <c r="D85" s="2058">
        <f t="shared" si="1"/>
        <v>22599.289999999997</v>
      </c>
      <c r="E85" s="2058">
        <f t="shared" si="1"/>
        <v>51659.55</v>
      </c>
      <c r="F85" s="2058"/>
      <c r="G85" s="2058"/>
    </row>
    <row r="86" spans="1:7">
      <c r="A86" s="2064" t="s">
        <v>2136</v>
      </c>
      <c r="B86" s="2083">
        <f t="shared" si="1"/>
        <v>995.89999999999986</v>
      </c>
      <c r="C86" s="2083">
        <f t="shared" si="1"/>
        <v>0</v>
      </c>
      <c r="D86" s="2058">
        <f t="shared" si="1"/>
        <v>995.89999999999986</v>
      </c>
      <c r="E86" s="2058">
        <f t="shared" si="1"/>
        <v>2160.08</v>
      </c>
      <c r="F86" s="2058"/>
      <c r="G86" s="2058"/>
    </row>
    <row r="87" spans="1:7">
      <c r="A87" s="2064" t="s">
        <v>2135</v>
      </c>
      <c r="B87" s="2083">
        <f t="shared" si="1"/>
        <v>47933.87</v>
      </c>
      <c r="C87" s="2083">
        <f t="shared" si="1"/>
        <v>0</v>
      </c>
      <c r="D87" s="2058">
        <f t="shared" si="1"/>
        <v>47933.87</v>
      </c>
      <c r="E87" s="2058">
        <f t="shared" si="1"/>
        <v>47933.87</v>
      </c>
      <c r="F87" s="2058"/>
      <c r="G87" s="2058"/>
    </row>
    <row r="88" spans="1:7">
      <c r="A88" s="2064" t="s">
        <v>2134</v>
      </c>
      <c r="B88" s="2083">
        <f t="shared" si="1"/>
        <v>19353.190000000002</v>
      </c>
      <c r="C88" s="2083">
        <f t="shared" si="1"/>
        <v>0</v>
      </c>
      <c r="D88" s="2058">
        <f t="shared" si="1"/>
        <v>19353.190000000002</v>
      </c>
      <c r="E88" s="2058">
        <f t="shared" si="1"/>
        <v>19353.190000000002</v>
      </c>
      <c r="F88" s="2058"/>
      <c r="G88" s="2058"/>
    </row>
    <row r="89" spans="1:7">
      <c r="A89" s="2064" t="s">
        <v>2133</v>
      </c>
      <c r="B89" s="2083">
        <f t="shared" si="1"/>
        <v>16540.7</v>
      </c>
      <c r="C89" s="2083">
        <f t="shared" si="1"/>
        <v>0</v>
      </c>
      <c r="D89" s="2058">
        <f t="shared" si="1"/>
        <v>16540.7</v>
      </c>
      <c r="E89" s="2058">
        <f t="shared" si="1"/>
        <v>35835.760000000002</v>
      </c>
    </row>
    <row r="90" spans="1:7">
      <c r="A90" s="2064" t="s">
        <v>2132</v>
      </c>
      <c r="B90" s="2083">
        <f t="shared" si="1"/>
        <v>71408.44</v>
      </c>
      <c r="C90" s="2083">
        <f t="shared" si="1"/>
        <v>0</v>
      </c>
      <c r="D90" s="2058">
        <f t="shared" si="1"/>
        <v>71408.44</v>
      </c>
      <c r="E90" s="2058">
        <f t="shared" si="1"/>
        <v>74408.44</v>
      </c>
    </row>
    <row r="91" spans="1:7">
      <c r="A91" s="2064" t="s">
        <v>2131</v>
      </c>
      <c r="B91" s="2083">
        <f>+B29+B36+B40</f>
        <v>1295.1400000000001</v>
      </c>
      <c r="C91" s="2083">
        <f>+C29+C36+C40</f>
        <v>0</v>
      </c>
      <c r="D91" s="2058">
        <f>+D29+D36+D40</f>
        <v>1295.1400000000001</v>
      </c>
      <c r="E91" s="2058">
        <f>+E29+E36+E40</f>
        <v>6008</v>
      </c>
    </row>
    <row r="92" spans="1:7">
      <c r="A92" s="2064" t="s">
        <v>2130</v>
      </c>
      <c r="B92" s="2083">
        <f t="shared" ref="B92:E94" si="2">+B30</f>
        <v>0</v>
      </c>
      <c r="C92" s="2083">
        <f t="shared" si="2"/>
        <v>0</v>
      </c>
      <c r="D92" s="2058">
        <f t="shared" si="2"/>
        <v>0</v>
      </c>
      <c r="E92" s="2058">
        <f t="shared" si="2"/>
        <v>0</v>
      </c>
    </row>
    <row r="93" spans="1:7">
      <c r="A93" s="2064" t="s">
        <v>2129</v>
      </c>
      <c r="B93" s="2083">
        <f t="shared" si="2"/>
        <v>555.29999999999995</v>
      </c>
      <c r="C93" s="2083">
        <f t="shared" si="2"/>
        <v>0</v>
      </c>
      <c r="D93" s="2058">
        <f t="shared" si="2"/>
        <v>555.29999999999995</v>
      </c>
      <c r="E93" s="2058">
        <f t="shared" si="2"/>
        <v>1130</v>
      </c>
    </row>
    <row r="94" spans="1:7">
      <c r="A94" s="2064" t="s">
        <v>2128</v>
      </c>
      <c r="B94" s="2083">
        <f t="shared" si="2"/>
        <v>0</v>
      </c>
      <c r="C94" s="2083">
        <f t="shared" si="2"/>
        <v>0</v>
      </c>
      <c r="D94" s="2058">
        <f t="shared" si="2"/>
        <v>0</v>
      </c>
      <c r="E94" s="2058">
        <f t="shared" si="2"/>
        <v>0</v>
      </c>
    </row>
    <row r="95" spans="1:7" ht="13.8" thickBot="1">
      <c r="A95" s="2062" t="s">
        <v>2127</v>
      </c>
      <c r="B95" s="2063">
        <f>SUM(B83:B94)</f>
        <v>526128.15000000014</v>
      </c>
      <c r="C95" s="2063">
        <f>SUM(C83:C94)</f>
        <v>120.32</v>
      </c>
      <c r="D95" s="2063">
        <f>SUM(D83:D94)</f>
        <v>526248.47000000009</v>
      </c>
      <c r="E95" s="2063">
        <f>SUM(E83:E94)</f>
        <v>583696.91000000015</v>
      </c>
    </row>
    <row r="96" spans="1:7" ht="13.8" thickTop="1">
      <c r="A96" s="2062"/>
      <c r="B96" s="2058" t="e">
        <f>+#REF!-#REF!</f>
        <v>#REF!</v>
      </c>
      <c r="C96" s="2058"/>
      <c r="D96" s="2058"/>
      <c r="E96" s="2058"/>
    </row>
    <row r="97" spans="1:5">
      <c r="A97" s="2062"/>
      <c r="B97" s="2058"/>
      <c r="C97" s="2058"/>
      <c r="D97" s="2058"/>
      <c r="E97" s="2058"/>
    </row>
    <row r="98" spans="1:5" s="2080" customFormat="1" ht="13.8" thickBot="1">
      <c r="A98" s="2082" t="s">
        <v>2149</v>
      </c>
      <c r="B98" s="2081">
        <f>+B80+B95</f>
        <v>555914.49000000011</v>
      </c>
      <c r="C98" s="2081">
        <f>+C80+C95</f>
        <v>32897.53</v>
      </c>
      <c r="D98" s="2081">
        <f>+D80+D95</f>
        <v>588812.02000000014</v>
      </c>
      <c r="E98" s="2081">
        <f>+E80+E95</f>
        <v>1260018.9500000002</v>
      </c>
    </row>
    <row r="99" spans="1:5" ht="13.8" thickTop="1">
      <c r="A99" s="2079"/>
      <c r="B99" s="2078"/>
      <c r="C99" s="2078"/>
      <c r="D99" s="2078"/>
      <c r="E99" s="2078"/>
    </row>
    <row r="100" spans="1:5">
      <c r="A100" s="2079"/>
      <c r="B100" s="2078">
        <f>+B98-B42</f>
        <v>0</v>
      </c>
      <c r="C100" s="2078">
        <f>+C98-C42</f>
        <v>0</v>
      </c>
      <c r="D100" s="2078">
        <f>+D98-D42</f>
        <v>0</v>
      </c>
      <c r="E100" s="2078">
        <f>+E98-E42</f>
        <v>0</v>
      </c>
    </row>
    <row r="101" spans="1:5" s="2073" customFormat="1">
      <c r="A101" s="2077" t="s">
        <v>69</v>
      </c>
      <c r="B101" s="2076"/>
      <c r="C101" s="2076"/>
      <c r="D101" s="2076"/>
      <c r="E101" s="2076"/>
    </row>
    <row r="102" spans="1:5">
      <c r="A102" s="2062" t="s">
        <v>1638</v>
      </c>
      <c r="B102" s="2058"/>
      <c r="C102" s="2058"/>
      <c r="D102" s="2058"/>
      <c r="E102" s="2058"/>
    </row>
    <row r="103" spans="1:5">
      <c r="A103" s="2064" t="s">
        <v>2146</v>
      </c>
      <c r="B103" s="2058">
        <f>+B45</f>
        <v>0</v>
      </c>
      <c r="C103" s="2058">
        <f>+C45</f>
        <v>0</v>
      </c>
      <c r="D103" s="2058">
        <f>+D45</f>
        <v>0</v>
      </c>
      <c r="E103" s="2058">
        <f>+E45</f>
        <v>0</v>
      </c>
    </row>
    <row r="104" spans="1:5">
      <c r="A104" s="2064" t="s">
        <v>2145</v>
      </c>
      <c r="B104" s="2058">
        <v>0</v>
      </c>
      <c r="C104" s="2058">
        <v>0</v>
      </c>
      <c r="D104" s="2058">
        <v>0</v>
      </c>
      <c r="E104" s="2058">
        <v>0</v>
      </c>
    </row>
    <row r="105" spans="1:5">
      <c r="A105" s="2064" t="s">
        <v>2135</v>
      </c>
      <c r="B105" s="2058">
        <v>0</v>
      </c>
      <c r="C105" s="2058">
        <v>0</v>
      </c>
      <c r="D105" s="2058">
        <v>0</v>
      </c>
      <c r="E105" s="2058">
        <v>0</v>
      </c>
    </row>
    <row r="106" spans="1:5">
      <c r="A106" s="2064" t="s">
        <v>2134</v>
      </c>
      <c r="B106" s="2058">
        <v>0</v>
      </c>
      <c r="C106" s="2058">
        <v>0</v>
      </c>
      <c r="D106" s="2058">
        <v>0</v>
      </c>
      <c r="E106" s="2058">
        <v>0</v>
      </c>
    </row>
    <row r="107" spans="1:5">
      <c r="A107" s="2064" t="s">
        <v>2144</v>
      </c>
      <c r="B107" s="2058">
        <f>+B46</f>
        <v>0</v>
      </c>
      <c r="C107" s="2058">
        <f>+C46</f>
        <v>0</v>
      </c>
      <c r="D107" s="2058">
        <f>+D46</f>
        <v>0</v>
      </c>
      <c r="E107" s="2058">
        <f>+E46</f>
        <v>0</v>
      </c>
    </row>
    <row r="108" spans="1:5">
      <c r="A108" s="2064" t="s">
        <v>2132</v>
      </c>
      <c r="B108" s="2058">
        <v>0</v>
      </c>
      <c r="C108" s="2058">
        <v>0</v>
      </c>
      <c r="D108" s="2058">
        <v>0</v>
      </c>
      <c r="E108" s="2058">
        <v>0</v>
      </c>
    </row>
    <row r="109" spans="1:5">
      <c r="A109" s="2064" t="s">
        <v>2143</v>
      </c>
      <c r="B109" s="2058">
        <v>0</v>
      </c>
      <c r="C109" s="2058">
        <v>0</v>
      </c>
      <c r="D109" s="2058">
        <v>0</v>
      </c>
      <c r="E109" s="2058">
        <v>0</v>
      </c>
    </row>
    <row r="110" spans="1:5">
      <c r="A110" s="2064" t="s">
        <v>2130</v>
      </c>
      <c r="B110" s="2058">
        <v>0</v>
      </c>
      <c r="C110" s="2058">
        <v>0</v>
      </c>
      <c r="D110" s="2058">
        <v>0</v>
      </c>
      <c r="E110" s="2058">
        <v>0</v>
      </c>
    </row>
    <row r="111" spans="1:5">
      <c r="A111" s="2064" t="s">
        <v>2142</v>
      </c>
      <c r="B111" s="2058">
        <v>0</v>
      </c>
      <c r="C111" s="2058">
        <v>0</v>
      </c>
      <c r="D111" s="2058">
        <v>0</v>
      </c>
      <c r="E111" s="2058">
        <v>0</v>
      </c>
    </row>
    <row r="112" spans="1:5">
      <c r="A112" s="2064" t="s">
        <v>2129</v>
      </c>
      <c r="B112" s="2058">
        <v>0</v>
      </c>
      <c r="C112" s="2058">
        <v>0</v>
      </c>
      <c r="D112" s="2058">
        <v>0</v>
      </c>
      <c r="E112" s="2058">
        <v>0</v>
      </c>
    </row>
    <row r="113" spans="1:5" ht="13.8" thickBot="1">
      <c r="A113" s="2065" t="s">
        <v>2141</v>
      </c>
      <c r="B113" s="2063">
        <f>SUM(B103:B112)</f>
        <v>0</v>
      </c>
      <c r="C113" s="2063">
        <f>SUM(C103:C112)</f>
        <v>0</v>
      </c>
      <c r="D113" s="2063">
        <f>SUM(D103:D112)</f>
        <v>0</v>
      </c>
      <c r="E113" s="2063">
        <f>SUM(E103:E112)</f>
        <v>0</v>
      </c>
    </row>
    <row r="114" spans="1:5" ht="13.8" thickTop="1">
      <c r="A114" s="2065"/>
      <c r="B114" s="2058"/>
      <c r="C114" s="2058"/>
      <c r="D114" s="2058"/>
      <c r="E114" s="2058"/>
    </row>
    <row r="115" spans="1:5">
      <c r="A115" s="2062" t="s">
        <v>2140</v>
      </c>
      <c r="B115" s="2058"/>
      <c r="C115" s="2058"/>
      <c r="D115" s="2058"/>
      <c r="E115" s="2058"/>
    </row>
    <row r="116" spans="1:5">
      <c r="A116" s="2064" t="s">
        <v>2139</v>
      </c>
      <c r="B116" s="2058">
        <v>0</v>
      </c>
      <c r="C116" s="2058">
        <v>0</v>
      </c>
      <c r="D116" s="2058">
        <v>0</v>
      </c>
      <c r="E116" s="2058">
        <v>0</v>
      </c>
    </row>
    <row r="117" spans="1:5">
      <c r="A117" s="2064" t="s">
        <v>2138</v>
      </c>
      <c r="B117" s="2058">
        <v>0</v>
      </c>
      <c r="C117" s="2058">
        <v>0</v>
      </c>
      <c r="D117" s="2058">
        <v>0</v>
      </c>
      <c r="E117" s="2058">
        <v>0</v>
      </c>
    </row>
    <row r="118" spans="1:5">
      <c r="A118" s="2064" t="s">
        <v>2137</v>
      </c>
      <c r="B118" s="2058">
        <f t="shared" ref="B118:E119" si="3">+B49</f>
        <v>1965.15</v>
      </c>
      <c r="C118" s="2058">
        <f t="shared" si="3"/>
        <v>0</v>
      </c>
      <c r="D118" s="2058">
        <f t="shared" si="3"/>
        <v>1965.15</v>
      </c>
      <c r="E118" s="2058">
        <f t="shared" si="3"/>
        <v>4492.12</v>
      </c>
    </row>
    <row r="119" spans="1:5">
      <c r="A119" s="2064" t="s">
        <v>2136</v>
      </c>
      <c r="B119" s="2058">
        <f t="shared" si="3"/>
        <v>20.700000000000024</v>
      </c>
      <c r="C119" s="2058">
        <f t="shared" si="3"/>
        <v>0</v>
      </c>
      <c r="D119" s="2058">
        <f t="shared" si="3"/>
        <v>20.700000000000024</v>
      </c>
      <c r="E119" s="2058">
        <f t="shared" si="3"/>
        <v>46.82000000000005</v>
      </c>
    </row>
    <row r="120" spans="1:5">
      <c r="A120" s="2064" t="s">
        <v>2135</v>
      </c>
      <c r="B120" s="2058">
        <v>0</v>
      </c>
      <c r="C120" s="2058">
        <v>0</v>
      </c>
      <c r="D120" s="2058">
        <v>0</v>
      </c>
      <c r="E120" s="2058">
        <v>0</v>
      </c>
    </row>
    <row r="121" spans="1:5">
      <c r="A121" s="2064" t="s">
        <v>2134</v>
      </c>
      <c r="B121" s="2058">
        <v>0</v>
      </c>
      <c r="C121" s="2058">
        <v>0</v>
      </c>
      <c r="D121" s="2058">
        <v>0</v>
      </c>
      <c r="E121" s="2058">
        <v>0</v>
      </c>
    </row>
    <row r="122" spans="1:5">
      <c r="A122" s="2064" t="s">
        <v>2133</v>
      </c>
      <c r="B122" s="2058">
        <f>+B51</f>
        <v>1438.31</v>
      </c>
      <c r="C122" s="2058">
        <f>+C51</f>
        <v>0</v>
      </c>
      <c r="D122" s="2058">
        <f>+D51</f>
        <v>1438.31</v>
      </c>
      <c r="E122" s="2058">
        <f>+E51</f>
        <v>3116.2</v>
      </c>
    </row>
    <row r="123" spans="1:5">
      <c r="A123" s="2064" t="s">
        <v>2132</v>
      </c>
      <c r="B123" s="2058">
        <v>0</v>
      </c>
      <c r="C123" s="2058">
        <v>0</v>
      </c>
      <c r="D123" s="2058">
        <v>0</v>
      </c>
      <c r="E123" s="2058">
        <v>0</v>
      </c>
    </row>
    <row r="124" spans="1:5">
      <c r="A124" s="2064" t="s">
        <v>2131</v>
      </c>
      <c r="B124" s="2058">
        <v>0</v>
      </c>
      <c r="C124" s="2058">
        <v>0</v>
      </c>
      <c r="D124" s="2058">
        <v>0</v>
      </c>
      <c r="E124" s="2058">
        <v>0</v>
      </c>
    </row>
    <row r="125" spans="1:5">
      <c r="A125" s="2064" t="s">
        <v>2130</v>
      </c>
      <c r="B125" s="2058">
        <v>0</v>
      </c>
      <c r="C125" s="2058">
        <v>0</v>
      </c>
      <c r="D125" s="2058">
        <v>0</v>
      </c>
      <c r="E125" s="2058">
        <v>0</v>
      </c>
    </row>
    <row r="126" spans="1:5">
      <c r="A126" s="2064" t="s">
        <v>2129</v>
      </c>
      <c r="B126" s="2058">
        <v>0</v>
      </c>
      <c r="C126" s="2058">
        <v>0</v>
      </c>
      <c r="D126" s="2058">
        <v>0</v>
      </c>
      <c r="E126" s="2058">
        <v>0</v>
      </c>
    </row>
    <row r="127" spans="1:5">
      <c r="A127" s="2064" t="s">
        <v>2128</v>
      </c>
      <c r="B127" s="2058">
        <v>0</v>
      </c>
      <c r="C127" s="2058">
        <v>0</v>
      </c>
      <c r="D127" s="2058">
        <v>0</v>
      </c>
      <c r="E127" s="2058">
        <v>0</v>
      </c>
    </row>
    <row r="128" spans="1:5" ht="13.8" thickBot="1">
      <c r="A128" s="2062" t="s">
        <v>2127</v>
      </c>
      <c r="B128" s="2063">
        <f>SUM(B116:B127)</f>
        <v>3424.16</v>
      </c>
      <c r="C128" s="2063">
        <f>SUM(C116:C127)</f>
        <v>0</v>
      </c>
      <c r="D128" s="2063">
        <f>SUM(D116:D127)</f>
        <v>3424.16</v>
      </c>
      <c r="E128" s="2063">
        <f>SUM(E116:E127)</f>
        <v>7655.1399999999994</v>
      </c>
    </row>
    <row r="129" spans="1:5" ht="13.8" thickTop="1">
      <c r="A129" s="2062"/>
      <c r="B129" s="2058"/>
      <c r="C129" s="2058"/>
      <c r="D129" s="2058"/>
      <c r="E129" s="2058"/>
    </row>
    <row r="130" spans="1:5">
      <c r="A130" s="2062"/>
      <c r="B130" s="2058"/>
      <c r="C130" s="2058"/>
      <c r="D130" s="2058"/>
      <c r="E130" s="2058"/>
    </row>
    <row r="131" spans="1:5" s="2073" customFormat="1" ht="13.8" thickBot="1">
      <c r="A131" s="2075" t="s">
        <v>2148</v>
      </c>
      <c r="B131" s="2074">
        <f>+B113+B128</f>
        <v>3424.16</v>
      </c>
      <c r="C131" s="2074">
        <f>+C113+C128</f>
        <v>0</v>
      </c>
      <c r="D131" s="2074">
        <f>+D113+D128</f>
        <v>3424.16</v>
      </c>
      <c r="E131" s="2074">
        <f>+E113+E128</f>
        <v>7655.1399999999994</v>
      </c>
    </row>
    <row r="132" spans="1:5" ht="13.8" thickTop="1">
      <c r="B132" s="2058"/>
      <c r="C132" s="2058"/>
      <c r="D132" s="2058"/>
      <c r="E132" s="2058"/>
    </row>
    <row r="133" spans="1:5">
      <c r="B133" s="2058"/>
      <c r="C133" s="2058"/>
      <c r="D133" s="2058"/>
      <c r="E133" s="2058"/>
    </row>
    <row r="134" spans="1:5" ht="13.8" thickBot="1">
      <c r="B134" s="2072">
        <f>+B131-B53</f>
        <v>0</v>
      </c>
      <c r="C134" s="2072">
        <f>+C131-C53</f>
        <v>0</v>
      </c>
      <c r="D134" s="2072">
        <f>+D131-D53</f>
        <v>0</v>
      </c>
      <c r="E134" s="2072">
        <f>+E131-E53</f>
        <v>0</v>
      </c>
    </row>
    <row r="135" spans="1:5" ht="13.8" thickTop="1"/>
    <row r="136" spans="1:5" s="2068" customFormat="1">
      <c r="A136" s="2071" t="s">
        <v>225</v>
      </c>
    </row>
    <row r="137" spans="1:5">
      <c r="A137" s="2062" t="s">
        <v>1638</v>
      </c>
      <c r="B137" s="2058"/>
      <c r="C137" s="2058"/>
      <c r="D137" s="2058"/>
      <c r="E137" s="2058"/>
    </row>
    <row r="138" spans="1:5">
      <c r="A138" s="2064" t="s">
        <v>2146</v>
      </c>
      <c r="B138" s="2058">
        <v>0</v>
      </c>
      <c r="C138" s="2058">
        <v>0</v>
      </c>
      <c r="D138" s="2058">
        <v>0</v>
      </c>
      <c r="E138" s="2058">
        <v>0</v>
      </c>
    </row>
    <row r="139" spans="1:5">
      <c r="A139" s="2064" t="s">
        <v>2145</v>
      </c>
      <c r="B139" s="2058">
        <v>0</v>
      </c>
      <c r="C139" s="2058">
        <v>0</v>
      </c>
      <c r="D139" s="2058">
        <v>0</v>
      </c>
      <c r="E139" s="2058">
        <v>0</v>
      </c>
    </row>
    <row r="140" spans="1:5">
      <c r="A140" s="2064" t="s">
        <v>2135</v>
      </c>
      <c r="B140" s="2058">
        <v>0</v>
      </c>
      <c r="C140" s="2058">
        <v>0</v>
      </c>
      <c r="D140" s="2058">
        <v>0</v>
      </c>
      <c r="E140" s="2058">
        <v>0</v>
      </c>
    </row>
    <row r="141" spans="1:5">
      <c r="A141" s="2064" t="s">
        <v>2134</v>
      </c>
      <c r="B141" s="2058">
        <v>0</v>
      </c>
      <c r="C141" s="2058">
        <v>0</v>
      </c>
      <c r="D141" s="2058">
        <v>0</v>
      </c>
      <c r="E141" s="2058">
        <v>0</v>
      </c>
    </row>
    <row r="142" spans="1:5">
      <c r="A142" s="2064" t="s">
        <v>2144</v>
      </c>
      <c r="B142" s="2058">
        <v>0</v>
      </c>
      <c r="C142" s="2058">
        <v>0</v>
      </c>
      <c r="D142" s="2058">
        <v>0</v>
      </c>
      <c r="E142" s="2058">
        <v>0</v>
      </c>
    </row>
    <row r="143" spans="1:5">
      <c r="A143" s="2064" t="s">
        <v>2132</v>
      </c>
      <c r="B143" s="2058">
        <v>0</v>
      </c>
      <c r="C143" s="2058">
        <v>0</v>
      </c>
      <c r="D143" s="2058">
        <v>0</v>
      </c>
      <c r="E143" s="2058">
        <v>0</v>
      </c>
    </row>
    <row r="144" spans="1:5">
      <c r="A144" s="2064" t="s">
        <v>2143</v>
      </c>
      <c r="B144" s="2058">
        <v>0</v>
      </c>
      <c r="C144" s="2058">
        <v>0</v>
      </c>
      <c r="D144" s="2058">
        <v>0</v>
      </c>
      <c r="E144" s="2058">
        <v>0</v>
      </c>
    </row>
    <row r="145" spans="1:5">
      <c r="A145" s="2064" t="s">
        <v>2130</v>
      </c>
      <c r="B145" s="2058">
        <v>0</v>
      </c>
      <c r="C145" s="2058">
        <v>0</v>
      </c>
      <c r="D145" s="2058">
        <v>0</v>
      </c>
      <c r="E145" s="2058">
        <v>0</v>
      </c>
    </row>
    <row r="146" spans="1:5">
      <c r="A146" s="2064" t="s">
        <v>2142</v>
      </c>
      <c r="B146" s="2058">
        <v>0</v>
      </c>
      <c r="C146" s="2058">
        <v>0</v>
      </c>
      <c r="D146" s="2058">
        <v>0</v>
      </c>
      <c r="E146" s="2058">
        <v>0</v>
      </c>
    </row>
    <row r="147" spans="1:5">
      <c r="A147" s="2064" t="s">
        <v>2129</v>
      </c>
      <c r="B147" s="2058">
        <v>0</v>
      </c>
      <c r="C147" s="2058">
        <v>0</v>
      </c>
      <c r="D147" s="2058">
        <v>0</v>
      </c>
      <c r="E147" s="2058">
        <v>0</v>
      </c>
    </row>
    <row r="148" spans="1:5" ht="13.8" thickBot="1">
      <c r="A148" s="2065" t="s">
        <v>2141</v>
      </c>
      <c r="B148" s="2063">
        <f>SUM(B138:B147)</f>
        <v>0</v>
      </c>
      <c r="C148" s="2063">
        <f>SUM(C138:C147)</f>
        <v>0</v>
      </c>
      <c r="D148" s="2063">
        <f>SUM(D138:D147)</f>
        <v>0</v>
      </c>
      <c r="E148" s="2063">
        <f>SUM(E138:E147)</f>
        <v>0</v>
      </c>
    </row>
    <row r="149" spans="1:5" ht="13.8" thickTop="1">
      <c r="A149" s="2065"/>
      <c r="B149" s="2058"/>
      <c r="C149" s="2058"/>
      <c r="D149" s="2058"/>
      <c r="E149" s="2058"/>
    </row>
    <row r="150" spans="1:5">
      <c r="A150" s="2062" t="s">
        <v>2140</v>
      </c>
      <c r="B150" s="2058"/>
      <c r="C150" s="2058"/>
      <c r="D150" s="2058"/>
      <c r="E150" s="2058"/>
    </row>
    <row r="151" spans="1:5">
      <c r="A151" s="2064" t="s">
        <v>2139</v>
      </c>
      <c r="B151" s="2058">
        <v>0</v>
      </c>
      <c r="C151" s="2058">
        <v>0</v>
      </c>
      <c r="D151" s="2058">
        <v>0</v>
      </c>
      <c r="E151" s="2058">
        <v>0</v>
      </c>
    </row>
    <row r="152" spans="1:5">
      <c r="A152" s="2064" t="s">
        <v>2138</v>
      </c>
      <c r="B152" s="2058">
        <v>0</v>
      </c>
      <c r="C152" s="2058">
        <v>0</v>
      </c>
      <c r="D152" s="2058">
        <v>0</v>
      </c>
      <c r="E152" s="2058">
        <v>0</v>
      </c>
    </row>
    <row r="153" spans="1:5">
      <c r="A153" s="2064" t="s">
        <v>2137</v>
      </c>
      <c r="B153" s="2058">
        <v>0</v>
      </c>
      <c r="C153" s="2058">
        <v>0</v>
      </c>
      <c r="D153" s="2058">
        <v>0</v>
      </c>
      <c r="E153" s="2058">
        <v>0</v>
      </c>
    </row>
    <row r="154" spans="1:5">
      <c r="A154" s="2064" t="s">
        <v>2136</v>
      </c>
      <c r="B154" s="2058">
        <v>0</v>
      </c>
      <c r="C154" s="2058">
        <v>0</v>
      </c>
      <c r="D154" s="2058">
        <v>0</v>
      </c>
      <c r="E154" s="2058">
        <v>0</v>
      </c>
    </row>
    <row r="155" spans="1:5">
      <c r="A155" s="2064" t="s">
        <v>2135</v>
      </c>
      <c r="B155" s="2058">
        <v>0</v>
      </c>
      <c r="C155" s="2058">
        <v>0</v>
      </c>
      <c r="D155" s="2058">
        <v>0</v>
      </c>
      <c r="E155" s="2058">
        <v>0</v>
      </c>
    </row>
    <row r="156" spans="1:5">
      <c r="A156" s="2064" t="s">
        <v>2134</v>
      </c>
      <c r="B156" s="2058">
        <v>0</v>
      </c>
      <c r="C156" s="2058">
        <v>0</v>
      </c>
      <c r="D156" s="2058">
        <v>0</v>
      </c>
      <c r="E156" s="2058">
        <v>0</v>
      </c>
    </row>
    <row r="157" spans="1:5">
      <c r="A157" s="2064" t="s">
        <v>2133</v>
      </c>
      <c r="B157" s="2058">
        <v>0</v>
      </c>
      <c r="C157" s="2058">
        <v>0</v>
      </c>
      <c r="D157" s="2058">
        <v>0</v>
      </c>
      <c r="E157" s="2058">
        <v>0</v>
      </c>
    </row>
    <row r="158" spans="1:5">
      <c r="A158" s="2064" t="s">
        <v>2132</v>
      </c>
      <c r="B158" s="2058">
        <v>0</v>
      </c>
      <c r="C158" s="2058">
        <v>0</v>
      </c>
      <c r="D158" s="2058">
        <v>0</v>
      </c>
      <c r="E158" s="2058">
        <v>0</v>
      </c>
    </row>
    <row r="159" spans="1:5">
      <c r="A159" s="2064" t="s">
        <v>2131</v>
      </c>
      <c r="B159" s="2058">
        <v>0</v>
      </c>
      <c r="C159" s="2058">
        <v>0</v>
      </c>
      <c r="D159" s="2058">
        <v>0</v>
      </c>
      <c r="E159" s="2058">
        <v>0</v>
      </c>
    </row>
    <row r="160" spans="1:5">
      <c r="A160" s="2064" t="s">
        <v>2130</v>
      </c>
      <c r="B160" s="2058">
        <v>0</v>
      </c>
      <c r="C160" s="2058">
        <v>0</v>
      </c>
      <c r="D160" s="2058">
        <v>0</v>
      </c>
      <c r="E160" s="2058">
        <v>0</v>
      </c>
    </row>
    <row r="161" spans="1:5">
      <c r="A161" s="2064" t="s">
        <v>2129</v>
      </c>
      <c r="B161" s="2058">
        <v>0</v>
      </c>
      <c r="C161" s="2058">
        <v>0</v>
      </c>
      <c r="D161" s="2058">
        <v>0</v>
      </c>
      <c r="E161" s="2058">
        <v>0</v>
      </c>
    </row>
    <row r="162" spans="1:5">
      <c r="A162" s="2064" t="s">
        <v>2128</v>
      </c>
      <c r="B162" s="2058">
        <v>0</v>
      </c>
      <c r="C162" s="2058">
        <v>0</v>
      </c>
      <c r="D162" s="2058">
        <v>0</v>
      </c>
      <c r="E162" s="2058">
        <v>0</v>
      </c>
    </row>
    <row r="163" spans="1:5" ht="13.8" thickBot="1">
      <c r="A163" s="2062" t="s">
        <v>2127</v>
      </c>
      <c r="B163" s="2063">
        <f>SUM(B151:B162)</f>
        <v>0</v>
      </c>
      <c r="C163" s="2063">
        <f>SUM(C151:C162)</f>
        <v>0</v>
      </c>
      <c r="D163" s="2063">
        <f>SUM(D151:D162)</f>
        <v>0</v>
      </c>
      <c r="E163" s="2063">
        <f>SUM(E151:E162)</f>
        <v>0</v>
      </c>
    </row>
    <row r="164" spans="1:5" ht="13.8" thickTop="1">
      <c r="A164" s="2062"/>
      <c r="B164" s="2058"/>
      <c r="C164" s="2058"/>
      <c r="D164" s="2058"/>
      <c r="E164" s="2058"/>
    </row>
    <row r="165" spans="1:5">
      <c r="A165" s="2062"/>
      <c r="B165" s="2058"/>
      <c r="C165" s="2058"/>
      <c r="D165" s="2058"/>
      <c r="E165" s="2058"/>
    </row>
    <row r="166" spans="1:5" s="2068" customFormat="1" ht="13.8" thickBot="1">
      <c r="A166" s="2070" t="s">
        <v>2147</v>
      </c>
      <c r="B166" s="2069">
        <f>+B163+B148</f>
        <v>0</v>
      </c>
      <c r="C166" s="2069">
        <f>+C163+C148</f>
        <v>0</v>
      </c>
      <c r="D166" s="2069">
        <f>+D163+D148</f>
        <v>0</v>
      </c>
      <c r="E166" s="2069">
        <f>+E163+E148</f>
        <v>0</v>
      </c>
    </row>
    <row r="167" spans="1:5" ht="13.8" thickTop="1">
      <c r="B167" s="2058"/>
      <c r="C167" s="2058"/>
      <c r="D167" s="2058"/>
      <c r="E167" s="2058"/>
    </row>
    <row r="168" spans="1:5">
      <c r="B168" s="2058"/>
      <c r="C168" s="2058"/>
      <c r="D168" s="2058"/>
      <c r="E168" s="2058"/>
    </row>
    <row r="169" spans="1:5" ht="13.8" thickBot="1">
      <c r="B169" s="2067">
        <f>+B166-B58</f>
        <v>5.5511151231257827E-17</v>
      </c>
      <c r="C169" s="2067">
        <f>+C166-C58</f>
        <v>0</v>
      </c>
      <c r="D169" s="2067">
        <f>+D166-D58</f>
        <v>5.5511151231257827E-17</v>
      </c>
      <c r="E169" s="2067">
        <f>+E166-E58</f>
        <v>5.5511151231257827E-17</v>
      </c>
    </row>
    <row r="170" spans="1:5" ht="13.8" thickTop="1">
      <c r="B170" s="2058"/>
      <c r="C170" s="2058"/>
      <c r="D170" s="2058"/>
      <c r="E170" s="2058"/>
    </row>
    <row r="171" spans="1:5">
      <c r="B171" s="2058"/>
      <c r="C171" s="2058"/>
      <c r="D171" s="2058"/>
      <c r="E171" s="2058"/>
    </row>
    <row r="172" spans="1:5" s="2059" customFormat="1">
      <c r="A172" s="2066" t="s">
        <v>2126</v>
      </c>
    </row>
    <row r="173" spans="1:5">
      <c r="A173" s="2062" t="s">
        <v>1638</v>
      </c>
      <c r="B173" s="2058"/>
      <c r="C173" s="2058"/>
      <c r="D173" s="2058"/>
      <c r="E173" s="2058"/>
    </row>
    <row r="174" spans="1:5">
      <c r="A174" s="2064" t="s">
        <v>2146</v>
      </c>
      <c r="B174" s="2058">
        <f t="shared" ref="B174:E183" si="4">+B70+B103+B138</f>
        <v>0</v>
      </c>
      <c r="C174" s="2058">
        <f t="shared" si="4"/>
        <v>248.21</v>
      </c>
      <c r="D174" s="2058">
        <f t="shared" si="4"/>
        <v>248.21</v>
      </c>
      <c r="E174" s="2058">
        <f t="shared" si="4"/>
        <v>25215.550000000003</v>
      </c>
    </row>
    <row r="175" spans="1:5">
      <c r="A175" s="2064" t="s">
        <v>2145</v>
      </c>
      <c r="B175" s="2058">
        <f t="shared" si="4"/>
        <v>1189.1799999999998</v>
      </c>
      <c r="C175" s="2058">
        <f t="shared" si="4"/>
        <v>0</v>
      </c>
      <c r="D175" s="2058">
        <f t="shared" si="4"/>
        <v>1189.1799999999998</v>
      </c>
      <c r="E175" s="2058">
        <f t="shared" si="4"/>
        <v>2004.8799999999997</v>
      </c>
    </row>
    <row r="176" spans="1:5">
      <c r="A176" s="2064" t="s">
        <v>2135</v>
      </c>
      <c r="B176" s="2058">
        <f t="shared" si="4"/>
        <v>13928.160000000002</v>
      </c>
      <c r="C176" s="2058">
        <f t="shared" si="4"/>
        <v>32529</v>
      </c>
      <c r="D176" s="2058">
        <f t="shared" si="4"/>
        <v>46457.16</v>
      </c>
      <c r="E176" s="2058">
        <f t="shared" si="4"/>
        <v>588817.36</v>
      </c>
    </row>
    <row r="177" spans="1:5">
      <c r="A177" s="2064" t="s">
        <v>2134</v>
      </c>
      <c r="B177" s="2058">
        <f t="shared" si="4"/>
        <v>0</v>
      </c>
      <c r="C177" s="2058">
        <f t="shared" si="4"/>
        <v>0</v>
      </c>
      <c r="D177" s="2058">
        <f t="shared" si="4"/>
        <v>0</v>
      </c>
      <c r="E177" s="2058">
        <f t="shared" si="4"/>
        <v>3496.36</v>
      </c>
    </row>
    <row r="178" spans="1:5">
      <c r="A178" s="2064" t="s">
        <v>2144</v>
      </c>
      <c r="B178" s="2058">
        <f t="shared" si="4"/>
        <v>0</v>
      </c>
      <c r="C178" s="2058">
        <f t="shared" si="4"/>
        <v>0</v>
      </c>
      <c r="D178" s="2058">
        <f t="shared" si="4"/>
        <v>0</v>
      </c>
      <c r="E178" s="2058">
        <f t="shared" si="4"/>
        <v>39769.39</v>
      </c>
    </row>
    <row r="179" spans="1:5">
      <c r="A179" s="2064" t="s">
        <v>2132</v>
      </c>
      <c r="B179" s="2058">
        <f t="shared" si="4"/>
        <v>0</v>
      </c>
      <c r="C179" s="2058">
        <f t="shared" si="4"/>
        <v>0</v>
      </c>
      <c r="D179" s="2058">
        <f t="shared" si="4"/>
        <v>0</v>
      </c>
      <c r="E179" s="2058">
        <f t="shared" si="4"/>
        <v>477.28</v>
      </c>
    </row>
    <row r="180" spans="1:5">
      <c r="A180" s="2064" t="s">
        <v>2143</v>
      </c>
      <c r="B180" s="2058">
        <f t="shared" si="4"/>
        <v>0</v>
      </c>
      <c r="C180" s="2058">
        <f t="shared" si="4"/>
        <v>0</v>
      </c>
      <c r="D180" s="2058">
        <f t="shared" si="4"/>
        <v>0</v>
      </c>
      <c r="E180" s="2058">
        <f t="shared" si="4"/>
        <v>0</v>
      </c>
    </row>
    <row r="181" spans="1:5">
      <c r="A181" s="2064" t="s">
        <v>2130</v>
      </c>
      <c r="B181" s="2058">
        <f t="shared" si="4"/>
        <v>14437.509999999993</v>
      </c>
      <c r="C181" s="2058">
        <f t="shared" si="4"/>
        <v>0</v>
      </c>
      <c r="D181" s="2058">
        <f t="shared" si="4"/>
        <v>14437.509999999993</v>
      </c>
      <c r="E181" s="2058">
        <f t="shared" si="4"/>
        <v>15867.709999999992</v>
      </c>
    </row>
    <row r="182" spans="1:5">
      <c r="A182" s="2064" t="s">
        <v>2142</v>
      </c>
      <c r="B182" s="2058">
        <f t="shared" si="4"/>
        <v>0</v>
      </c>
      <c r="C182" s="2058">
        <f t="shared" si="4"/>
        <v>0</v>
      </c>
      <c r="D182" s="2058">
        <f t="shared" si="4"/>
        <v>0</v>
      </c>
      <c r="E182" s="2058">
        <f t="shared" si="4"/>
        <v>0</v>
      </c>
    </row>
    <row r="183" spans="1:5">
      <c r="A183" s="2064" t="s">
        <v>2129</v>
      </c>
      <c r="B183" s="2058">
        <f t="shared" si="4"/>
        <v>231.48999999999995</v>
      </c>
      <c r="C183" s="2058">
        <f t="shared" si="4"/>
        <v>0</v>
      </c>
      <c r="D183" s="2058">
        <f t="shared" si="4"/>
        <v>231.48999999999995</v>
      </c>
      <c r="E183" s="2058">
        <f t="shared" si="4"/>
        <v>673.51</v>
      </c>
    </row>
    <row r="184" spans="1:5" ht="13.8" thickBot="1">
      <c r="A184" s="2065" t="s">
        <v>2141</v>
      </c>
      <c r="B184" s="2063">
        <f>SUM(B174:B183)</f>
        <v>29786.339999999997</v>
      </c>
      <c r="C184" s="2063">
        <f>SUM(C174:C183)</f>
        <v>32777.21</v>
      </c>
      <c r="D184" s="2063">
        <f>SUM(D174:D183)</f>
        <v>62563.549999999996</v>
      </c>
      <c r="E184" s="2063">
        <f>SUM(E174:E183)</f>
        <v>676322.04</v>
      </c>
    </row>
    <row r="185" spans="1:5" ht="13.8" thickTop="1">
      <c r="A185" s="2065"/>
      <c r="B185" s="2058"/>
      <c r="C185" s="2058"/>
      <c r="D185" s="2058"/>
      <c r="E185" s="2058"/>
    </row>
    <row r="186" spans="1:5">
      <c r="A186" s="2062" t="s">
        <v>2140</v>
      </c>
      <c r="B186" s="2058"/>
      <c r="C186" s="2058"/>
      <c r="D186" s="2058"/>
      <c r="E186" s="2058"/>
    </row>
    <row r="187" spans="1:5">
      <c r="A187" s="2064" t="s">
        <v>2139</v>
      </c>
      <c r="B187" s="2058">
        <f t="shared" ref="B187:E198" si="5">+B83+B116+B151</f>
        <v>345446.32000000007</v>
      </c>
      <c r="C187" s="2058">
        <f t="shared" si="5"/>
        <v>120.32</v>
      </c>
      <c r="D187" s="2058">
        <f t="shared" si="5"/>
        <v>345566.64000000007</v>
      </c>
      <c r="E187" s="2058">
        <f t="shared" si="5"/>
        <v>345208.02000000008</v>
      </c>
    </row>
    <row r="188" spans="1:5">
      <c r="A188" s="2064" t="s">
        <v>2138</v>
      </c>
      <c r="B188" s="2058">
        <f t="shared" si="5"/>
        <v>0</v>
      </c>
      <c r="C188" s="2058">
        <f t="shared" si="5"/>
        <v>0</v>
      </c>
      <c r="D188" s="2058">
        <f t="shared" si="5"/>
        <v>0</v>
      </c>
      <c r="E188" s="2058">
        <f t="shared" si="5"/>
        <v>0</v>
      </c>
    </row>
    <row r="189" spans="1:5">
      <c r="A189" s="2064" t="s">
        <v>2137</v>
      </c>
      <c r="B189" s="2058">
        <f t="shared" si="5"/>
        <v>24564.44</v>
      </c>
      <c r="C189" s="2058">
        <f t="shared" si="5"/>
        <v>0</v>
      </c>
      <c r="D189" s="2058">
        <f t="shared" si="5"/>
        <v>24564.44</v>
      </c>
      <c r="E189" s="2058">
        <f t="shared" si="5"/>
        <v>56151.670000000006</v>
      </c>
    </row>
    <row r="190" spans="1:5">
      <c r="A190" s="2064" t="s">
        <v>2136</v>
      </c>
      <c r="B190" s="2058">
        <f t="shared" si="5"/>
        <v>1016.5999999999999</v>
      </c>
      <c r="C190" s="2058">
        <f t="shared" si="5"/>
        <v>0</v>
      </c>
      <c r="D190" s="2058">
        <f t="shared" si="5"/>
        <v>1016.5999999999999</v>
      </c>
      <c r="E190" s="2058">
        <f t="shared" si="5"/>
        <v>2206.9</v>
      </c>
    </row>
    <row r="191" spans="1:5">
      <c r="A191" s="2064" t="s">
        <v>2135</v>
      </c>
      <c r="B191" s="2058">
        <f t="shared" si="5"/>
        <v>47933.87</v>
      </c>
      <c r="C191" s="2058">
        <f t="shared" si="5"/>
        <v>0</v>
      </c>
      <c r="D191" s="2058">
        <f t="shared" si="5"/>
        <v>47933.87</v>
      </c>
      <c r="E191" s="2058">
        <f t="shared" si="5"/>
        <v>47933.87</v>
      </c>
    </row>
    <row r="192" spans="1:5">
      <c r="A192" s="2064" t="s">
        <v>2134</v>
      </c>
      <c r="B192" s="2058">
        <f t="shared" si="5"/>
        <v>19353.190000000002</v>
      </c>
      <c r="C192" s="2058">
        <f t="shared" si="5"/>
        <v>0</v>
      </c>
      <c r="D192" s="2058">
        <f t="shared" si="5"/>
        <v>19353.190000000002</v>
      </c>
      <c r="E192" s="2058">
        <f t="shared" si="5"/>
        <v>19353.190000000002</v>
      </c>
    </row>
    <row r="193" spans="1:5">
      <c r="A193" s="2064" t="s">
        <v>2133</v>
      </c>
      <c r="B193" s="2058">
        <f t="shared" si="5"/>
        <v>17979.010000000002</v>
      </c>
      <c r="C193" s="2058">
        <f t="shared" si="5"/>
        <v>0</v>
      </c>
      <c r="D193" s="2058">
        <f t="shared" si="5"/>
        <v>17979.010000000002</v>
      </c>
      <c r="E193" s="2058">
        <f t="shared" si="5"/>
        <v>38951.96</v>
      </c>
    </row>
    <row r="194" spans="1:5">
      <c r="A194" s="2064" t="s">
        <v>2132</v>
      </c>
      <c r="B194" s="2058">
        <f t="shared" si="5"/>
        <v>71408.44</v>
      </c>
      <c r="C194" s="2058">
        <f t="shared" si="5"/>
        <v>0</v>
      </c>
      <c r="D194" s="2058">
        <f t="shared" si="5"/>
        <v>71408.44</v>
      </c>
      <c r="E194" s="2058">
        <f t="shared" si="5"/>
        <v>74408.44</v>
      </c>
    </row>
    <row r="195" spans="1:5">
      <c r="A195" s="2064" t="s">
        <v>2131</v>
      </c>
      <c r="B195" s="2058">
        <f t="shared" si="5"/>
        <v>1295.1400000000001</v>
      </c>
      <c r="C195" s="2058">
        <f t="shared" si="5"/>
        <v>0</v>
      </c>
      <c r="D195" s="2058">
        <f t="shared" si="5"/>
        <v>1295.1400000000001</v>
      </c>
      <c r="E195" s="2058">
        <f t="shared" si="5"/>
        <v>6008</v>
      </c>
    </row>
    <row r="196" spans="1:5">
      <c r="A196" s="2064" t="s">
        <v>2130</v>
      </c>
      <c r="B196" s="2058">
        <f t="shared" si="5"/>
        <v>0</v>
      </c>
      <c r="C196" s="2058">
        <f t="shared" si="5"/>
        <v>0</v>
      </c>
      <c r="D196" s="2058">
        <f t="shared" si="5"/>
        <v>0</v>
      </c>
      <c r="E196" s="2058">
        <f t="shared" si="5"/>
        <v>0</v>
      </c>
    </row>
    <row r="197" spans="1:5">
      <c r="A197" s="2064" t="s">
        <v>2129</v>
      </c>
      <c r="B197" s="2058">
        <f t="shared" si="5"/>
        <v>555.29999999999995</v>
      </c>
      <c r="C197" s="2058">
        <f t="shared" si="5"/>
        <v>0</v>
      </c>
      <c r="D197" s="2058">
        <f t="shared" si="5"/>
        <v>555.29999999999995</v>
      </c>
      <c r="E197" s="2058">
        <f t="shared" si="5"/>
        <v>1130</v>
      </c>
    </row>
    <row r="198" spans="1:5">
      <c r="A198" s="2064" t="s">
        <v>2128</v>
      </c>
      <c r="B198" s="2058">
        <f t="shared" si="5"/>
        <v>0</v>
      </c>
      <c r="C198" s="2058">
        <f t="shared" si="5"/>
        <v>0</v>
      </c>
      <c r="D198" s="2058">
        <f t="shared" si="5"/>
        <v>0</v>
      </c>
      <c r="E198" s="2058">
        <f t="shared" si="5"/>
        <v>0</v>
      </c>
    </row>
    <row r="199" spans="1:5" ht="13.8" thickBot="1">
      <c r="A199" s="2062" t="s">
        <v>2127</v>
      </c>
      <c r="B199" s="2063">
        <f>SUM(B187:B198)</f>
        <v>529552.31000000017</v>
      </c>
      <c r="C199" s="2063">
        <f>SUM(C187:C198)</f>
        <v>120.32</v>
      </c>
      <c r="D199" s="2063">
        <f>SUM(D187:D198)</f>
        <v>529672.63000000012</v>
      </c>
      <c r="E199" s="2063">
        <f>SUM(E187:E198)</f>
        <v>591352.05000000005</v>
      </c>
    </row>
    <row r="200" spans="1:5" ht="13.8" thickTop="1">
      <c r="A200" s="2062"/>
      <c r="B200" s="2058"/>
      <c r="C200" s="2058"/>
      <c r="D200" s="2058"/>
      <c r="E200" s="2058"/>
    </row>
    <row r="201" spans="1:5">
      <c r="A201" s="2062"/>
      <c r="B201" s="2058"/>
      <c r="C201" s="2058"/>
      <c r="D201" s="2058"/>
      <c r="E201" s="2058"/>
    </row>
    <row r="202" spans="1:5" s="2059" customFormat="1" ht="13.8" thickBot="1">
      <c r="A202" s="2061" t="s">
        <v>2126</v>
      </c>
      <c r="B202" s="2060">
        <f>+B199+B184</f>
        <v>559338.65000000014</v>
      </c>
      <c r="C202" s="2060">
        <f>+C199+C184</f>
        <v>32897.53</v>
      </c>
      <c r="D202" s="2060">
        <f>+D199+D184</f>
        <v>592236.18000000017</v>
      </c>
      <c r="E202" s="2060">
        <f>+E199+E184</f>
        <v>1267674.0900000001</v>
      </c>
    </row>
    <row r="203" spans="1:5" ht="13.8" thickTop="1">
      <c r="B203" s="2058"/>
      <c r="C203" s="2058"/>
      <c r="D203" s="2058"/>
      <c r="E203" s="2058"/>
    </row>
    <row r="204" spans="1:5">
      <c r="B204" s="2058"/>
      <c r="C204" s="2058"/>
      <c r="D204" s="2058"/>
      <c r="E204" s="2058"/>
    </row>
    <row r="205" spans="1:5" ht="13.8" thickBot="1">
      <c r="B205" s="2057">
        <f>+B202-B59</f>
        <v>0</v>
      </c>
      <c r="C205" s="2057">
        <f>+C202-C59</f>
        <v>0</v>
      </c>
      <c r="D205" s="2057">
        <f>+D202-D59</f>
        <v>0</v>
      </c>
      <c r="E205" s="2057">
        <f>+E202-E59</f>
        <v>0</v>
      </c>
    </row>
    <row r="206" spans="1:5" ht="13.8" thickTop="1"/>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48</vt:i4>
      </vt:variant>
    </vt:vector>
  </HeadingPairs>
  <TitlesOfParts>
    <vt:vector size="88" baseType="lpstr">
      <vt:lpstr>MISO Cover</vt:lpstr>
      <vt:lpstr>Explanatory Stmts</vt:lpstr>
      <vt:lpstr>Appendix A</vt:lpstr>
      <vt:lpstr>WP01 True-Up</vt:lpstr>
      <vt:lpstr>WP01 TU Support 1</vt:lpstr>
      <vt:lpstr>WP01 TU Support 2</vt:lpstr>
      <vt:lpstr>WP02 Support</vt:lpstr>
      <vt:lpstr>Support to WP02</vt:lpstr>
      <vt:lpstr>2017 566 9302 PR WP02 Support </vt:lpstr>
      <vt:lpstr>WP03 W&amp;S</vt:lpstr>
      <vt:lpstr>WP04 PIS</vt:lpstr>
      <vt:lpstr>WP04 Support</vt:lpstr>
      <vt:lpstr>WP05 CapAds</vt:lpstr>
      <vt:lpstr>WP06 ADIT</vt:lpstr>
      <vt:lpstr>WP06 Support 1</vt:lpstr>
      <vt:lpstr>WP06 Support 2</vt:lpstr>
      <vt:lpstr>WP07 M&amp;S</vt:lpstr>
      <vt:lpstr>WP08 Prepay</vt:lpstr>
      <vt:lpstr>WP09 PHFU</vt:lpstr>
      <vt:lpstr>WP10 Storm</vt:lpstr>
      <vt:lpstr>WP11 Credits</vt:lpstr>
      <vt:lpstr>WP12 PBOP</vt:lpstr>
      <vt:lpstr>WP13 TOTI</vt:lpstr>
      <vt:lpstr>WP14 COC</vt:lpstr>
      <vt:lpstr>WP15 Radials</vt:lpstr>
      <vt:lpstr>WP16 Interconn</vt:lpstr>
      <vt:lpstr>WP17 Rev</vt:lpstr>
      <vt:lpstr>WP17 Rev Support</vt:lpstr>
      <vt:lpstr>WP18 Deprec</vt:lpstr>
      <vt:lpstr>WP19 Load</vt:lpstr>
      <vt:lpstr>WP20 Reserves</vt:lpstr>
      <vt:lpstr>WP21 Pension</vt:lpstr>
      <vt:lpstr>WP22 IT Adj</vt:lpstr>
      <vt:lpstr>WP22 Support </vt:lpstr>
      <vt:lpstr>WP AJ1 MISO</vt:lpstr>
      <vt:lpstr>WP AJ2 ITC</vt:lpstr>
      <vt:lpstr>WP AJ3 HCM</vt:lpstr>
      <vt:lpstr>WP AJ4 LA Merger</vt:lpstr>
      <vt:lpstr>WP AJ5 Acadia PB2</vt:lpstr>
      <vt:lpstr>WP AJ6 GPRD</vt:lpstr>
      <vt:lpstr>'Appendix A'!Print_Area</vt:lpstr>
      <vt:lpstr>'MISO Cover'!Print_Area</vt:lpstr>
      <vt:lpstr>'Support to WP02'!Print_Area</vt:lpstr>
      <vt:lpstr>'WP AJ1 MISO'!Print_Area</vt:lpstr>
      <vt:lpstr>'WP AJ2 ITC'!Print_Area</vt:lpstr>
      <vt:lpstr>'WP AJ3 HCM'!Print_Area</vt:lpstr>
      <vt:lpstr>'WP AJ4 LA Merger'!Print_Area</vt:lpstr>
      <vt:lpstr>'WP AJ5 Acadia PB2'!Print_Area</vt:lpstr>
      <vt:lpstr>'WP AJ6 GPRD'!Print_Area</vt:lpstr>
      <vt:lpstr>'WP01 True-Up'!Print_Area</vt:lpstr>
      <vt:lpstr>'WP01 TU Support 1'!Print_Area</vt:lpstr>
      <vt:lpstr>'WP01 TU Support 2'!Print_Area</vt:lpstr>
      <vt:lpstr>'WP02 Support'!Print_Area</vt:lpstr>
      <vt:lpstr>'WP03 W&amp;S'!Print_Area</vt:lpstr>
      <vt:lpstr>'WP04 PIS'!Print_Area</vt:lpstr>
      <vt:lpstr>'WP04 Support'!Print_Area</vt:lpstr>
      <vt:lpstr>'WP05 CapAds'!Print_Area</vt:lpstr>
      <vt:lpstr>'WP06 ADIT'!Print_Area</vt:lpstr>
      <vt:lpstr>'WP06 Support 1'!Print_Area</vt:lpstr>
      <vt:lpstr>'WP06 Support 2'!Print_Area</vt:lpstr>
      <vt:lpstr>'WP07 M&amp;S'!Print_Area</vt:lpstr>
      <vt:lpstr>'WP08 Prepay'!Print_Area</vt:lpstr>
      <vt:lpstr>'WP10 Storm'!Print_Area</vt:lpstr>
      <vt:lpstr>'WP11 Credits'!Print_Area</vt:lpstr>
      <vt:lpstr>'WP12 PBOP'!Print_Area</vt:lpstr>
      <vt:lpstr>'WP13 TOTI'!Print_Area</vt:lpstr>
      <vt:lpstr>'WP15 Radials'!Print_Area</vt:lpstr>
      <vt:lpstr>'WP16 Interconn'!Print_Area</vt:lpstr>
      <vt:lpstr>'WP17 Rev'!Print_Area</vt:lpstr>
      <vt:lpstr>'WP17 Rev Support'!Print_Area</vt:lpstr>
      <vt:lpstr>'WP18 Deprec'!Print_Area</vt:lpstr>
      <vt:lpstr>'WP19 Load'!Print_Area</vt:lpstr>
      <vt:lpstr>'WP21 Pension'!Print_Area</vt:lpstr>
      <vt:lpstr>'WP22 IT Adj'!Print_Area</vt:lpstr>
      <vt:lpstr>'WP22 Support '!Print_Area</vt:lpstr>
      <vt:lpstr>'Appendix A'!Print_Titles</vt:lpstr>
      <vt:lpstr>'WP01 True-Up'!Print_Titles</vt:lpstr>
      <vt:lpstr>'WP01 TU Support 1'!Print_Titles</vt:lpstr>
      <vt:lpstr>'WP01 TU Support 2'!Print_Titles</vt:lpstr>
      <vt:lpstr>'WP02 Support'!Print_Titles</vt:lpstr>
      <vt:lpstr>'WP06 ADIT'!Print_Titles</vt:lpstr>
      <vt:lpstr>'WP06 Support 2'!Print_Titles</vt:lpstr>
      <vt:lpstr>'WP14 COC'!Print_Titles</vt:lpstr>
      <vt:lpstr>'WP15 Radials'!Print_Titles</vt:lpstr>
      <vt:lpstr>'WP20 Reserves'!Print_Titles</vt:lpstr>
      <vt:lpstr>'WP22 Support '!Print_Titles</vt:lpstr>
      <vt:lpstr>TP</vt:lpstr>
      <vt:lpstr>WS</vt:lpstr>
    </vt:vector>
  </TitlesOfParts>
  <Company>PSEG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MISO Attachment O</dc:title>
  <dc:creator>lsande2 - Roger Sanders</dc:creator>
  <cp:lastModifiedBy>lsande2</cp:lastModifiedBy>
  <cp:lastPrinted>2018-06-07T16:10:05Z</cp:lastPrinted>
  <dcterms:created xsi:type="dcterms:W3CDTF">2004-01-21T20:42:01Z</dcterms:created>
  <dcterms:modified xsi:type="dcterms:W3CDTF">2018-06-07T16:13:05Z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ntativeReviewCycleID">
    <vt:i4>-177233148</vt:i4>
  </property>
  <property fmtid="{D5CDD505-2E9C-101B-9397-08002B2CF9AE}" pid="3" name="_ReviewCycleID">
    <vt:i4>-177233148</vt:i4>
  </property>
  <property fmtid="{D5CDD505-2E9C-101B-9397-08002B2CF9AE}" pid="4" name="_NewReviewCycle">
    <vt:lpwstr/>
  </property>
  <property fmtid="{D5CDD505-2E9C-101B-9397-08002B2CF9AE}" pid="5" name="_EmailEntryID">
    <vt:lpwstr>0000000044D383ABCAF1CA4B9F253D55D0D1836144AD4200</vt:lpwstr>
  </property>
  <property fmtid="{D5CDD505-2E9C-101B-9397-08002B2CF9AE}" pid="6" name="_EmailStoreID0">
    <vt:lpwstr>0000000038A1BB1005E5101AA1BB08002B2A56C200006D737073742E646C6C00000000004E495441F9BFB80100AA0037D96E0000000045003A005C00440061007400610020002800440029005C005300650074002000550070005C004F00750074006C006F006F006B005C004F00750074006C006F006F006B002E007000730</vt:lpwstr>
  </property>
  <property fmtid="{D5CDD505-2E9C-101B-9397-08002B2CF9AE}" pid="7" name="_EmailStoreID1">
    <vt:lpwstr>074000000</vt:lpwstr>
  </property>
  <property fmtid="{D5CDD505-2E9C-101B-9397-08002B2CF9AE}" pid="9" name="{A44787D4-0540-4523-9961-78E4036D8C6D}">
    <vt:lpwstr>{4BF7A534-89AB-4BF4-A978-D82DD1E6D344}</vt:lpwstr>
  </property>
</Properties>
</file>