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2120" windowHeight="9120"/>
  </bookViews>
  <sheets>
    <sheet name="Calculations" sheetId="2" r:id="rId1"/>
    <sheet name="Data Entry Form" sheetId="1" r:id="rId2"/>
    <sheet name="Actuarial Cost" sheetId="4" r:id="rId3"/>
  </sheets>
  <definedNames>
    <definedName name="_xlnm.Print_Area" localSheetId="1">'Data Entry Form'!$A$1:$O$64</definedName>
  </definedNames>
  <calcPr calcId="145621"/>
</workbook>
</file>

<file path=xl/calcChain.xml><?xml version="1.0" encoding="utf-8"?>
<calcChain xmlns="http://schemas.openxmlformats.org/spreadsheetml/2006/main">
  <c r="N63" i="2" l="1"/>
  <c r="N64" i="2"/>
  <c r="N62" i="2"/>
  <c r="N58" i="2"/>
  <c r="K63" i="1"/>
  <c r="J58" i="2"/>
  <c r="J64" i="2" l="1"/>
  <c r="J63" i="2"/>
  <c r="J62" i="2"/>
  <c r="N53" i="1"/>
  <c r="N52" i="1"/>
  <c r="O52" i="1" s="1"/>
  <c r="M53" i="1"/>
  <c r="M52" i="1"/>
  <c r="O49" i="1"/>
  <c r="O48" i="1"/>
  <c r="O47" i="1"/>
  <c r="N48" i="1"/>
  <c r="N47" i="1"/>
  <c r="O53" i="1" l="1"/>
  <c r="O54" i="1"/>
  <c r="N57" i="2" l="1"/>
  <c r="N59" i="2" s="1"/>
  <c r="N56" i="2"/>
  <c r="L58" i="2"/>
  <c r="J57" i="2"/>
  <c r="L57" i="2" s="1"/>
  <c r="J56" i="2"/>
  <c r="L56" i="2" s="1"/>
  <c r="J51" i="2" l="1"/>
  <c r="J52" i="2"/>
  <c r="J50" i="2"/>
  <c r="L50" i="2" l="1"/>
  <c r="J54" i="2"/>
  <c r="J45" i="2"/>
  <c r="L45" i="2" s="1"/>
  <c r="J46" i="2"/>
  <c r="L46" i="2" s="1"/>
  <c r="J44" i="2"/>
  <c r="L44" i="2" s="1"/>
  <c r="E35" i="1"/>
  <c r="J9" i="2" s="1"/>
  <c r="J11" i="2" s="1"/>
  <c r="B44" i="2" s="1"/>
  <c r="E36" i="1"/>
  <c r="L9" i="2" s="1"/>
  <c r="E37" i="1"/>
  <c r="N9" i="2" s="1"/>
  <c r="E38" i="1"/>
  <c r="E39" i="1"/>
  <c r="R9" i="2" s="1"/>
  <c r="E33" i="1"/>
  <c r="F9" i="2" s="1"/>
  <c r="F23" i="2" s="1"/>
  <c r="L59" i="2"/>
  <c r="L63" i="2"/>
  <c r="E63" i="1"/>
  <c r="E34" i="1"/>
  <c r="H9" i="2" s="1"/>
  <c r="H30" i="2" s="1"/>
  <c r="E31" i="1"/>
  <c r="B9" i="2" s="1"/>
  <c r="B23" i="2" s="1"/>
  <c r="E32" i="1"/>
  <c r="D9" i="2" s="1"/>
  <c r="I63" i="1"/>
  <c r="I28" i="1"/>
  <c r="E28" i="1"/>
  <c r="P59" i="2"/>
  <c r="T32" i="2"/>
  <c r="J60" i="2" l="1"/>
  <c r="L52" i="2"/>
  <c r="N45" i="2"/>
  <c r="P56" i="2"/>
  <c r="N52" i="2"/>
  <c r="N50" i="2"/>
  <c r="N46" i="2"/>
  <c r="P46" i="2" s="1"/>
  <c r="N51" i="2"/>
  <c r="P51" i="2" s="1"/>
  <c r="N44" i="2"/>
  <c r="P44" i="2" s="1"/>
  <c r="J66" i="2"/>
  <c r="L64" i="2"/>
  <c r="L51" i="2"/>
  <c r="L62" i="2"/>
  <c r="P57" i="2"/>
  <c r="D11" i="2"/>
  <c r="D31" i="2"/>
  <c r="D24" i="2"/>
  <c r="D30" i="2"/>
  <c r="D23" i="2"/>
  <c r="D29" i="2"/>
  <c r="D12" i="2"/>
  <c r="D17" i="2"/>
  <c r="D18" i="2"/>
  <c r="D19" i="2"/>
  <c r="D13" i="2"/>
  <c r="D25" i="2"/>
  <c r="D26" i="2" s="1"/>
  <c r="B30" i="2"/>
  <c r="B13" i="2"/>
  <c r="B24" i="2"/>
  <c r="B31" i="2"/>
  <c r="B12" i="2"/>
  <c r="B17" i="2"/>
  <c r="B18" i="2"/>
  <c r="B11" i="2"/>
  <c r="B29" i="2"/>
  <c r="B19" i="2"/>
  <c r="B25" i="2"/>
  <c r="B26" i="2" s="1"/>
  <c r="H19" i="2"/>
  <c r="H13" i="2"/>
  <c r="H18" i="2"/>
  <c r="H24" i="2"/>
  <c r="H17" i="2"/>
  <c r="H11" i="2"/>
  <c r="H23" i="2"/>
  <c r="H25" i="2"/>
  <c r="H26" i="2" s="1"/>
  <c r="H29" i="2"/>
  <c r="H12" i="2"/>
  <c r="H31" i="2"/>
  <c r="F12" i="2"/>
  <c r="F29" i="2"/>
  <c r="F18" i="2"/>
  <c r="F30" i="2"/>
  <c r="F11" i="2"/>
  <c r="F19" i="2"/>
  <c r="F17" i="2"/>
  <c r="F13" i="2"/>
  <c r="F24" i="2"/>
  <c r="F31" i="2"/>
  <c r="F25" i="2"/>
  <c r="R24" i="2"/>
  <c r="R18" i="2"/>
  <c r="R11" i="2"/>
  <c r="R13" i="2"/>
  <c r="R17" i="2"/>
  <c r="R29" i="2"/>
  <c r="R12" i="2"/>
  <c r="R25" i="2"/>
  <c r="R31" i="2"/>
  <c r="R23" i="2"/>
  <c r="R30" i="2"/>
  <c r="R19" i="2"/>
  <c r="E41" i="1"/>
  <c r="P9" i="2"/>
  <c r="T9" i="2" s="1"/>
  <c r="N30" i="2"/>
  <c r="F63" i="2" s="1"/>
  <c r="N25" i="2"/>
  <c r="N17" i="2"/>
  <c r="F50" i="2" s="1"/>
  <c r="N19" i="2"/>
  <c r="N23" i="2"/>
  <c r="N24" i="2"/>
  <c r="F57" i="2" s="1"/>
  <c r="N11" i="2"/>
  <c r="F44" i="2" s="1"/>
  <c r="N18" i="2"/>
  <c r="F51" i="2" s="1"/>
  <c r="N29" i="2"/>
  <c r="F62" i="2" s="1"/>
  <c r="N31" i="2"/>
  <c r="N12" i="2"/>
  <c r="F45" i="2" s="1"/>
  <c r="N13" i="2"/>
  <c r="F46" i="2" s="1"/>
  <c r="L24" i="2"/>
  <c r="D57" i="2" s="1"/>
  <c r="L13" i="2"/>
  <c r="D46" i="2" s="1"/>
  <c r="L23" i="2"/>
  <c r="L12" i="2"/>
  <c r="D45" i="2" s="1"/>
  <c r="L30" i="2"/>
  <c r="D63" i="2" s="1"/>
  <c r="L31" i="2"/>
  <c r="L29" i="2"/>
  <c r="D62" i="2" s="1"/>
  <c r="L18" i="2"/>
  <c r="D51" i="2" s="1"/>
  <c r="L11" i="2"/>
  <c r="L25" i="2"/>
  <c r="L19" i="2"/>
  <c r="L17" i="2"/>
  <c r="J23" i="2"/>
  <c r="B56" i="2" s="1"/>
  <c r="J13" i="2"/>
  <c r="B46" i="2" s="1"/>
  <c r="J19" i="2"/>
  <c r="J31" i="2"/>
  <c r="B64" i="2" s="1"/>
  <c r="J30" i="2"/>
  <c r="B63" i="2" s="1"/>
  <c r="J24" i="2"/>
  <c r="B57" i="2" s="1"/>
  <c r="J18" i="2"/>
  <c r="B51" i="2" s="1"/>
  <c r="J29" i="2"/>
  <c r="B62" i="2" s="1"/>
  <c r="J12" i="2"/>
  <c r="J17" i="2"/>
  <c r="B50" i="2" s="1"/>
  <c r="J25" i="2"/>
  <c r="J48" i="2"/>
  <c r="P58" i="2"/>
  <c r="P45" i="2"/>
  <c r="P62" i="2"/>
  <c r="P63" i="2"/>
  <c r="L48" i="2"/>
  <c r="B58" i="2" l="1"/>
  <c r="J26" i="2"/>
  <c r="D58" i="2"/>
  <c r="D59" i="2" s="1"/>
  <c r="L26" i="2"/>
  <c r="F58" i="2"/>
  <c r="F59" i="2" s="1"/>
  <c r="N26" i="2"/>
  <c r="R26" i="2"/>
  <c r="F26" i="2"/>
  <c r="L54" i="2"/>
  <c r="P50" i="2"/>
  <c r="N54" i="2"/>
  <c r="D64" i="2"/>
  <c r="J68" i="2"/>
  <c r="N27" i="2"/>
  <c r="P52" i="2"/>
  <c r="F52" i="2"/>
  <c r="F54" i="2" s="1"/>
  <c r="B52" i="2"/>
  <c r="B54" i="2" s="1"/>
  <c r="D52" i="2"/>
  <c r="N48" i="2"/>
  <c r="P48" i="2"/>
  <c r="N15" i="2"/>
  <c r="H57" i="2"/>
  <c r="H33" i="2"/>
  <c r="F15" i="2"/>
  <c r="L66" i="2"/>
  <c r="N21" i="2"/>
  <c r="B33" i="2"/>
  <c r="F21" i="2"/>
  <c r="B21" i="2"/>
  <c r="F48" i="2"/>
  <c r="D56" i="2"/>
  <c r="H21" i="2"/>
  <c r="H63" i="2"/>
  <c r="F56" i="2"/>
  <c r="B15" i="2"/>
  <c r="J27" i="2"/>
  <c r="D15" i="2"/>
  <c r="L60" i="2"/>
  <c r="B27" i="2"/>
  <c r="D33" i="2"/>
  <c r="H27" i="2"/>
  <c r="H62" i="2"/>
  <c r="R27" i="2"/>
  <c r="L33" i="2"/>
  <c r="F33" i="2"/>
  <c r="D21" i="2"/>
  <c r="D27" i="2"/>
  <c r="H15" i="2"/>
  <c r="J33" i="2"/>
  <c r="H51" i="2"/>
  <c r="R33" i="2"/>
  <c r="R15" i="2"/>
  <c r="R21" i="2"/>
  <c r="P17" i="2"/>
  <c r="T17" i="2" s="1"/>
  <c r="P23" i="2"/>
  <c r="P29" i="2"/>
  <c r="T29" i="2" s="1"/>
  <c r="P13" i="2"/>
  <c r="T13" i="2" s="1"/>
  <c r="P24" i="2"/>
  <c r="P11" i="2"/>
  <c r="T11" i="2" s="1"/>
  <c r="P25" i="2"/>
  <c r="P12" i="2"/>
  <c r="T12" i="2" s="1"/>
  <c r="P19" i="2"/>
  <c r="P31" i="2"/>
  <c r="P30" i="2"/>
  <c r="T30" i="2" s="1"/>
  <c r="P18" i="2"/>
  <c r="F64" i="2"/>
  <c r="N33" i="2"/>
  <c r="L21" i="2"/>
  <c r="D50" i="2"/>
  <c r="D54" i="2" s="1"/>
  <c r="L27" i="2"/>
  <c r="D44" i="2"/>
  <c r="L15" i="2"/>
  <c r="J21" i="2"/>
  <c r="J15" i="2"/>
  <c r="B45" i="2"/>
  <c r="P60" i="2"/>
  <c r="N60" i="2"/>
  <c r="P64" i="2"/>
  <c r="N66" i="2"/>
  <c r="H46" i="2"/>
  <c r="D66" i="2"/>
  <c r="F27" i="2" l="1"/>
  <c r="L68" i="2"/>
  <c r="H59" i="2"/>
  <c r="T25" i="2"/>
  <c r="P26" i="2"/>
  <c r="T26" i="2" s="1"/>
  <c r="H50" i="2"/>
  <c r="P54" i="2"/>
  <c r="D60" i="2"/>
  <c r="N35" i="2"/>
  <c r="T19" i="2"/>
  <c r="H52" i="2"/>
  <c r="H56" i="2"/>
  <c r="B35" i="2"/>
  <c r="D35" i="2"/>
  <c r="H35" i="2"/>
  <c r="P21" i="2"/>
  <c r="T23" i="2"/>
  <c r="F60" i="2"/>
  <c r="F35" i="2"/>
  <c r="L35" i="2"/>
  <c r="R35" i="2"/>
  <c r="J35" i="2"/>
  <c r="T15" i="2"/>
  <c r="P15" i="2"/>
  <c r="P33" i="2"/>
  <c r="T18" i="2"/>
  <c r="T31" i="2"/>
  <c r="T24" i="2"/>
  <c r="F66" i="2"/>
  <c r="H44" i="2"/>
  <c r="D48" i="2"/>
  <c r="H58" i="2"/>
  <c r="B60" i="2"/>
  <c r="H45" i="2"/>
  <c r="B48" i="2"/>
  <c r="H64" i="2"/>
  <c r="B66" i="2"/>
  <c r="P66" i="2"/>
  <c r="N68" i="2"/>
  <c r="P27" i="2" l="1"/>
  <c r="H54" i="2"/>
  <c r="F68" i="2"/>
  <c r="T21" i="2"/>
  <c r="H60" i="2"/>
  <c r="T27" i="2"/>
  <c r="D68" i="2"/>
  <c r="P68" i="2"/>
  <c r="P35" i="2"/>
  <c r="T35" i="2" s="1"/>
  <c r="H48" i="2"/>
  <c r="T33" i="2"/>
  <c r="H66" i="2"/>
  <c r="B68" i="2"/>
  <c r="H68" i="2" l="1"/>
  <c r="B71" i="2" s="1"/>
</calcChain>
</file>

<file path=xl/sharedStrings.xml><?xml version="1.0" encoding="utf-8"?>
<sst xmlns="http://schemas.openxmlformats.org/spreadsheetml/2006/main" count="169" uniqueCount="112">
  <si>
    <t>Total Co. Allowance</t>
  </si>
  <si>
    <t>AR</t>
  </si>
  <si>
    <t>KS</t>
  </si>
  <si>
    <t>Water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</si>
  <si>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</si>
  <si>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</si>
  <si>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</si>
  <si>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</si>
  <si>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</si>
  <si>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</si>
  <si>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</si>
  <si>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</si>
  <si>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</si>
  <si>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</si>
  <si>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</si>
  <si>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 xml:space="preserve">DEC </t>
  </si>
  <si>
    <t>MO</t>
  </si>
  <si>
    <t>Total</t>
  </si>
  <si>
    <t>OK</t>
  </si>
  <si>
    <t>FERC</t>
  </si>
  <si>
    <t>Construction</t>
  </si>
  <si>
    <t>4 State Allocation</t>
  </si>
  <si>
    <t>MO Annual</t>
  </si>
  <si>
    <t>Prior Service Cost</t>
  </si>
  <si>
    <t>Actuarial (gain)/loss</t>
  </si>
  <si>
    <t>(reg asset) per actuary</t>
  </si>
  <si>
    <t>Annual adjustment to FAS 158 OCI</t>
  </si>
  <si>
    <t>Q1 Adjustment</t>
  </si>
  <si>
    <t>Q2 Adjustment</t>
  </si>
  <si>
    <t>Q3 Adjustment</t>
  </si>
  <si>
    <t>Q4 Adjustment</t>
  </si>
  <si>
    <t>Actuarial expense estimate as of: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</si>
  <si>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</si>
  <si>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</si>
  <si>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</si>
  <si>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</si>
  <si>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</si>
  <si>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</si>
  <si>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</si>
  <si>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</si>
  <si>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</si>
  <si>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</si>
  <si>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</si>
  <si>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</si>
  <si>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FAS 106</t>
  </si>
  <si>
    <t>Recorded EDE FAS 106 GAAP (actuarial) cost</t>
  </si>
  <si>
    <t>Non Util.</t>
  </si>
  <si>
    <t>Oper.</t>
  </si>
  <si>
    <t>Overhead</t>
  </si>
  <si>
    <t>MO Water</t>
  </si>
  <si>
    <t>800-417540</t>
  </si>
  <si>
    <t>701-690542</t>
  </si>
  <si>
    <t>701-184415</t>
  </si>
  <si>
    <t>800-184415</t>
  </si>
  <si>
    <t>701-926328</t>
  </si>
  <si>
    <t>MO Reg</t>
  </si>
  <si>
    <t>Asset/(Liab)</t>
  </si>
  <si>
    <t>Expense</t>
  </si>
  <si>
    <t>Tracker</t>
  </si>
  <si>
    <t>701-926327</t>
  </si>
  <si>
    <t>Reg Exp</t>
  </si>
  <si>
    <t>Amort.</t>
  </si>
  <si>
    <t>Liability</t>
  </si>
  <si>
    <t>Reg</t>
  </si>
  <si>
    <t>701-926326</t>
  </si>
  <si>
    <t>FAS 158</t>
  </si>
  <si>
    <t>Accumulate Tracker</t>
  </si>
  <si>
    <t>Amortize Tracker</t>
  </si>
  <si>
    <t>FAS 158 Amortization</t>
  </si>
  <si>
    <t>Electric O&amp;M</t>
  </si>
  <si>
    <t>A</t>
  </si>
  <si>
    <t>G</t>
  </si>
  <si>
    <t>Water O&amp;M</t>
  </si>
  <si>
    <t>B</t>
  </si>
  <si>
    <t>H</t>
  </si>
  <si>
    <t>Fiber O&amp;M</t>
  </si>
  <si>
    <t>C</t>
  </si>
  <si>
    <t>I</t>
  </si>
  <si>
    <t>Holdings O&amp;M</t>
  </si>
  <si>
    <t>D</t>
  </si>
  <si>
    <t>J</t>
  </si>
  <si>
    <t>E</t>
  </si>
  <si>
    <t>K</t>
  </si>
  <si>
    <t>Fiber Construction</t>
  </si>
  <si>
    <t>F</t>
  </si>
  <si>
    <t>Calculation of allocation rates</t>
  </si>
  <si>
    <t>=</t>
  </si>
  <si>
    <t>Total Construction OH</t>
  </si>
  <si>
    <t>Non Util Ops</t>
  </si>
  <si>
    <t>Total Construction OH (FIB)</t>
  </si>
  <si>
    <t>A*G</t>
  </si>
  <si>
    <t>A*H</t>
  </si>
  <si>
    <t>A*I</t>
  </si>
  <si>
    <t>A*J</t>
  </si>
  <si>
    <t>A*K</t>
  </si>
  <si>
    <t>Distribution of EE Headcount &amp; Payroll hrs.</t>
  </si>
  <si>
    <t>701-254111</t>
  </si>
  <si>
    <t>KS Annual</t>
  </si>
  <si>
    <t>KS Reg</t>
  </si>
  <si>
    <t>701-182360</t>
  </si>
  <si>
    <t>OK Annual</t>
  </si>
  <si>
    <t>Regulatory amortization</t>
  </si>
  <si>
    <t>Amount allowed in rate case:</t>
  </si>
  <si>
    <t>701-254115</t>
  </si>
  <si>
    <t>701-182361</t>
  </si>
  <si>
    <t>Jan-August</t>
  </si>
  <si>
    <t>October-Dec</t>
  </si>
  <si>
    <t>Pro-Rate: 9/14</t>
  </si>
  <si>
    <t>Allowance</t>
  </si>
  <si>
    <t>Portion of Month</t>
  </si>
  <si>
    <t>Total expense (w/o water and fiber)</t>
  </si>
  <si>
    <t xml:space="preserve">= Sum (1)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</si>
</sst>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000%"/>
    <numFmt numFmtId="168" formatCode="0.0%"/>
    <numFmt numFmtId="169" formatCode="0_);[Red]\(0\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sz val="10"/>
      <name val="Arial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0" fillId="0" borderId="0" xfId="0" applyBorder="1"/>
    <xf numFmtId="41" fontId="0" fillId="0" borderId="0" xfId="0" applyNumberFormat="1"/>
    <xf numFmtId="41" fontId="0" fillId="0" borderId="0" xfId="0" applyNumberFormat="1" applyBorder="1"/>
    <xf numFmtId="0" fontId="0" fillId="0" borderId="0" xfId="0" applyAlignment="1">
      <alignment horizontal="left" indent="3"/>
    </xf>
    <xf numFmtId="4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1" xfId="0" applyNumberFormat="1" applyBorder="1"/>
    <xf numFmtId="0" fontId="3" fillId="0" borderId="0" xfId="0" applyFont="1"/>
    <xf numFmtId="165" fontId="1" fillId="0" borderId="0" xfId="1" applyNumberFormat="1" applyFont="1"/>
    <xf numFmtId="165" fontId="4" fillId="0" borderId="0" xfId="1" applyNumberFormat="1" applyFont="1"/>
    <xf numFmtId="165" fontId="1" fillId="0" borderId="0" xfId="1" applyNumberFormat="1"/>
    <xf numFmtId="165" fontId="3" fillId="0" borderId="0" xfId="1" applyNumberFormat="1" applyFont="1"/>
    <xf numFmtId="165" fontId="3" fillId="0" borderId="0" xfId="1" applyNumberFormat="1" applyFont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5" fillId="0" borderId="0" xfId="1" quotePrefix="1" applyNumberFormat="1" applyFont="1" applyBorder="1" applyAlignment="1">
      <alignment horizontal="center"/>
    </xf>
    <xf numFmtId="165" fontId="5" fillId="0" borderId="1" xfId="1" quotePrefix="1" applyNumberFormat="1" applyFont="1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165" fontId="3" fillId="0" borderId="0" xfId="1" applyNumberFormat="1" applyFont="1" applyAlignment="1"/>
    <xf numFmtId="165" fontId="1" fillId="0" borderId="0" xfId="1" applyNumberFormat="1" applyFont="1" applyAlignment="1"/>
    <xf numFmtId="165" fontId="1" fillId="0" borderId="0" xfId="1" applyNumberFormat="1" applyFont="1" applyAlignment="1">
      <alignment horizontal="left" indent="4"/>
    </xf>
    <xf numFmtId="0" fontId="0" fillId="0" borderId="0" xfId="0" applyAlignment="1"/>
    <xf numFmtId="0" fontId="0" fillId="0" borderId="0" xfId="0" applyAlignment="1">
      <alignment horizontal="right"/>
    </xf>
    <xf numFmtId="166" fontId="0" fillId="0" borderId="0" xfId="0" applyNumberFormat="1" applyAlignment="1"/>
    <xf numFmtId="166" fontId="0" fillId="0" borderId="2" xfId="0" applyNumberFormat="1" applyBorder="1" applyAlignment="1"/>
    <xf numFmtId="166" fontId="0" fillId="0" borderId="0" xfId="0" applyNumberFormat="1" applyBorder="1"/>
    <xf numFmtId="41" fontId="6" fillId="0" borderId="0" xfId="0" applyNumberFormat="1" applyFont="1"/>
    <xf numFmtId="0" fontId="6" fillId="0" borderId="0" xfId="0" applyFont="1" applyBorder="1" applyAlignment="1">
      <alignment horizontal="center"/>
    </xf>
    <xf numFmtId="10" fontId="6" fillId="0" borderId="0" xfId="0" applyNumberFormat="1" applyFont="1"/>
    <xf numFmtId="0" fontId="6" fillId="0" borderId="0" xfId="0" applyFont="1"/>
    <xf numFmtId="0" fontId="6" fillId="0" borderId="0" xfId="0" applyFont="1" applyAlignment="1"/>
    <xf numFmtId="166" fontId="6" fillId="0" borderId="0" xfId="0" applyNumberFormat="1" applyFont="1" applyBorder="1"/>
    <xf numFmtId="0" fontId="6" fillId="0" borderId="0" xfId="0" applyFont="1" applyBorder="1"/>
    <xf numFmtId="41" fontId="6" fillId="0" borderId="0" xfId="0" applyNumberFormat="1" applyFont="1" applyBorder="1"/>
    <xf numFmtId="41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2"/>
    </xf>
    <xf numFmtId="165" fontId="0" fillId="0" borderId="0" xfId="0" applyNumberFormat="1" applyBorder="1"/>
    <xf numFmtId="41" fontId="0" fillId="2" borderId="1" xfId="0" applyNumberFormat="1" applyFill="1" applyBorder="1"/>
    <xf numFmtId="41" fontId="0" fillId="2" borderId="0" xfId="0" applyNumberFormat="1" applyFill="1"/>
    <xf numFmtId="1" fontId="3" fillId="0" borderId="1" xfId="1" applyNumberFormat="1" applyFont="1" applyBorder="1" applyAlignment="1">
      <alignment horizontal="center"/>
    </xf>
    <xf numFmtId="41" fontId="0" fillId="0" borderId="0" xfId="0" applyNumberFormat="1" applyFill="1" applyBorder="1"/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 applyAlignment="1">
      <alignment horizontal="left" indent="3"/>
    </xf>
    <xf numFmtId="165" fontId="3" fillId="0" borderId="0" xfId="1" applyNumberFormat="1" applyFont="1" applyBorder="1" applyAlignment="1">
      <alignment horizontal="center"/>
    </xf>
    <xf numFmtId="10" fontId="4" fillId="0" borderId="0" xfId="0" applyNumberFormat="1" applyFont="1" applyBorder="1"/>
    <xf numFmtId="0" fontId="4" fillId="0" borderId="0" xfId="0" applyFont="1" applyBorder="1"/>
    <xf numFmtId="1" fontId="1" fillId="0" borderId="0" xfId="1" applyNumberFormat="1"/>
    <xf numFmtId="1" fontId="0" fillId="0" borderId="0" xfId="0" applyNumberFormat="1"/>
    <xf numFmtId="1" fontId="3" fillId="0" borderId="0" xfId="1" applyNumberFormat="1" applyFont="1" applyBorder="1" applyAlignment="1">
      <alignment horizontal="center"/>
    </xf>
    <xf numFmtId="41" fontId="0" fillId="0" borderId="2" xfId="0" applyNumberFormat="1" applyBorder="1"/>
    <xf numFmtId="1" fontId="3" fillId="0" borderId="2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" fontId="0" fillId="0" borderId="0" xfId="0" applyNumberFormat="1" applyBorder="1"/>
    <xf numFmtId="0" fontId="0" fillId="0" borderId="0" xfId="0" applyFill="1"/>
    <xf numFmtId="41" fontId="4" fillId="0" borderId="0" xfId="0" applyNumberFormat="1" applyFont="1" applyBorder="1"/>
    <xf numFmtId="49" fontId="9" fillId="0" borderId="0" xfId="0" applyNumberFormat="1" applyFont="1" applyBorder="1"/>
    <xf numFmtId="0" fontId="0" fillId="0" borderId="0" xfId="0" applyBorder="1" applyAlignment="1">
      <alignment horizontal="right"/>
    </xf>
    <xf numFmtId="0" fontId="9" fillId="0" borderId="0" xfId="0" applyFont="1" applyBorder="1"/>
    <xf numFmtId="165" fontId="1" fillId="0" borderId="0" xfId="1" applyNumberFormat="1" applyBorder="1"/>
    <xf numFmtId="49" fontId="9" fillId="0" borderId="0" xfId="1" applyNumberFormat="1" applyFont="1" applyBorder="1" applyAlignment="1"/>
    <xf numFmtId="165" fontId="1" fillId="0" borderId="3" xfId="1" applyNumberFormat="1" applyBorder="1"/>
    <xf numFmtId="165" fontId="1" fillId="0" borderId="3" xfId="1" applyNumberFormat="1" applyFont="1" applyBorder="1" applyAlignment="1"/>
    <xf numFmtId="10" fontId="0" fillId="0" borderId="2" xfId="0" applyNumberFormat="1" applyBorder="1"/>
    <xf numFmtId="10" fontId="6" fillId="0" borderId="0" xfId="0" applyNumberFormat="1" applyFont="1" applyBorder="1"/>
    <xf numFmtId="10" fontId="0" fillId="0" borderId="0" xfId="0" applyNumberFormat="1"/>
    <xf numFmtId="49" fontId="0" fillId="0" borderId="0" xfId="0" applyNumberFormat="1" applyAlignme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165" fontId="5" fillId="0" borderId="0" xfId="1" quotePrefix="1" applyNumberFormat="1" applyFont="1" applyFill="1" applyBorder="1" applyAlignment="1">
      <alignment horizontal="center"/>
    </xf>
    <xf numFmtId="0" fontId="0" fillId="0" borderId="1" xfId="0" applyFill="1" applyBorder="1"/>
    <xf numFmtId="41" fontId="0" fillId="0" borderId="1" xfId="0" applyNumberFormat="1" applyFill="1" applyBorder="1"/>
    <xf numFmtId="41" fontId="6" fillId="2" borderId="0" xfId="0" applyNumberFormat="1" applyFont="1" applyFill="1"/>
    <xf numFmtId="41" fontId="6" fillId="2" borderId="1" xfId="0" applyNumberFormat="1" applyFont="1" applyFill="1" applyBorder="1"/>
    <xf numFmtId="41" fontId="6" fillId="2" borderId="2" xfId="0" applyNumberFormat="1" applyFont="1" applyFill="1" applyBorder="1"/>
    <xf numFmtId="0" fontId="0" fillId="2" borderId="0" xfId="0" applyFill="1" applyAlignment="1">
      <alignment horizontal="right"/>
    </xf>
    <xf numFmtId="0" fontId="0" fillId="2" borderId="0" xfId="0" applyFill="1"/>
    <xf numFmtId="10" fontId="0" fillId="0" borderId="0" xfId="0" applyNumberFormat="1" applyFill="1"/>
    <xf numFmtId="0" fontId="0" fillId="2" borderId="0" xfId="0" applyFill="1" applyAlignment="1">
      <alignment horizontal="left" indent="3"/>
    </xf>
    <xf numFmtId="165" fontId="8" fillId="0" borderId="0" xfId="1" applyNumberFormat="1" applyFont="1" applyFill="1" applyProtection="1">
      <protection locked="0"/>
    </xf>
    <xf numFmtId="41" fontId="0" fillId="0" borderId="0" xfId="0" applyNumberFormat="1" applyFill="1"/>
    <xf numFmtId="165" fontId="1" fillId="0" borderId="0" xfId="1" applyNumberFormat="1" applyFont="1" applyBorder="1"/>
    <xf numFmtId="41" fontId="3" fillId="0" borderId="1" xfId="0" applyNumberFormat="1" applyFont="1" applyFill="1" applyBorder="1" applyAlignment="1">
      <alignment horizontal="center"/>
    </xf>
    <xf numFmtId="10" fontId="6" fillId="0" borderId="0" xfId="1" applyNumberFormat="1" applyFont="1" applyBorder="1" applyAlignment="1">
      <alignment horizontal="center"/>
    </xf>
    <xf numFmtId="9" fontId="6" fillId="0" borderId="0" xfId="1" applyNumberFormat="1" applyFont="1" applyBorder="1" applyAlignment="1">
      <alignment horizontal="center"/>
    </xf>
    <xf numFmtId="1" fontId="7" fillId="0" borderId="4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1" fillId="0" borderId="0" xfId="1" applyNumberFormat="1" applyFont="1" applyFill="1" applyBorder="1"/>
    <xf numFmtId="10" fontId="6" fillId="0" borderId="2" xfId="1" applyNumberFormat="1" applyFont="1" applyBorder="1" applyAlignment="1">
      <alignment horizontal="center"/>
    </xf>
    <xf numFmtId="9" fontId="6" fillId="0" borderId="2" xfId="1" applyNumberFormat="1" applyFont="1" applyBorder="1" applyAlignment="1">
      <alignment horizontal="center"/>
    </xf>
    <xf numFmtId="0" fontId="0" fillId="0" borderId="0" xfId="0" applyBorder="1" applyAlignment="1"/>
    <xf numFmtId="41" fontId="0" fillId="0" borderId="0" xfId="0" applyNumberFormat="1" applyFill="1" applyBorder="1" applyAlignment="1"/>
    <xf numFmtId="0" fontId="0" fillId="2" borderId="0" xfId="0" applyFill="1" applyBorder="1"/>
    <xf numFmtId="10" fontId="0" fillId="0" borderId="0" xfId="0" applyNumberFormat="1" applyFill="1" applyBorder="1"/>
    <xf numFmtId="0" fontId="0" fillId="2" borderId="0" xfId="0" applyFill="1" applyBorder="1" applyAlignment="1">
      <alignment horizontal="right"/>
    </xf>
    <xf numFmtId="0" fontId="6" fillId="0" borderId="0" xfId="0" applyFont="1" applyBorder="1" applyAlignment="1"/>
    <xf numFmtId="0" fontId="3" fillId="0" borderId="0" xfId="0" applyFont="1" applyFill="1"/>
    <xf numFmtId="41" fontId="6" fillId="0" borderId="0" xfId="0" applyNumberFormat="1" applyFont="1" applyFill="1"/>
    <xf numFmtId="165" fontId="5" fillId="0" borderId="1" xfId="1" quotePrefix="1" applyNumberFormat="1" applyFont="1" applyFill="1" applyBorder="1" applyAlignment="1">
      <alignment horizontal="center"/>
    </xf>
    <xf numFmtId="43" fontId="0" fillId="0" borderId="0" xfId="1" applyFont="1"/>
    <xf numFmtId="165" fontId="0" fillId="0" borderId="0" xfId="1" applyNumberFormat="1" applyFont="1"/>
    <xf numFmtId="41" fontId="0" fillId="0" borderId="0" xfId="0" applyNumberFormat="1" applyBorder="1"/>
    <xf numFmtId="166" fontId="0" fillId="0" borderId="0" xfId="0" applyNumberFormat="1" applyFill="1" applyAlignment="1"/>
    <xf numFmtId="165" fontId="5" fillId="0" borderId="0" xfId="1" applyNumberFormat="1" applyFont="1" applyBorder="1"/>
    <xf numFmtId="43" fontId="0" fillId="0" borderId="1" xfId="1" applyFont="1" applyBorder="1"/>
    <xf numFmtId="0" fontId="0" fillId="0" borderId="0" xfId="0"/>
    <xf numFmtId="41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4" applyNumberFormat="1" applyFont="1"/>
    <xf numFmtId="43" fontId="0" fillId="0" borderId="0" xfId="0" applyNumberFormat="1"/>
    <xf numFmtId="16" fontId="0" fillId="0" borderId="1" xfId="0" applyNumberFormat="1" applyBorder="1" applyAlignment="1">
      <alignment horizontal="center"/>
    </xf>
    <xf numFmtId="165" fontId="0" fillId="0" borderId="1" xfId="1" applyNumberFormat="1" applyFont="1" applyBorder="1"/>
    <xf numFmtId="0" fontId="0" fillId="0" borderId="0" xfId="0" applyNumberFormat="1"/>
    <xf numFmtId="41" fontId="0" fillId="0" borderId="1" xfId="0" applyNumberFormat="1" applyFill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/>
    <xf numFmtId="41" fontId="3" fillId="0" borderId="0" xfId="0" applyNumberFormat="1" applyFont="1" applyFill="1" applyBorder="1"/>
    <xf numFmtId="169" fontId="1" fillId="0" borderId="0" xfId="1" applyNumberFormat="1" applyFont="1" applyAlignment="1">
      <alignment horizontal="center"/>
    </xf>
    <xf numFmtId="169" fontId="1" fillId="0" borderId="0" xfId="1" applyNumberFormat="1" applyBorder="1" applyAlignment="1">
      <alignment horizontal="center"/>
    </xf>
    <xf numFmtId="169" fontId="9" fillId="0" borderId="0" xfId="1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1" fillId="0" borderId="0" xfId="1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3" fillId="0" borderId="0" xfId="1" applyNumberFormat="1" applyFont="1" applyBorder="1" applyAlignment="1">
      <alignment horizontal="center"/>
    </xf>
    <xf numFmtId="0" fontId="11" fillId="0" borderId="0" xfId="0" quotePrefix="1" applyFont="1" applyBorder="1"/>
  </cellXfs>
  <cellStyles count="5">
    <cellStyle name="Comma" xfId="1" builtinId="3"/>
    <cellStyle name="Comma 2" xfId="2"/>
    <cellStyle name="Normal" xfId="0" builtinId="0"/>
    <cellStyle name="Percent" xfId="4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</xdr:rowOff>
    </xdr:from>
    <xdr:ext cx="5371086" cy="433452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171450"/>
          <a:ext cx="5371086" cy="433452"/>
        </a:xfrm>
        <a:prstGeom prst="rect">
          <a:avLst/>
        </a:prstGeom>
        <a:noFill/>
        <a:ln>
          <a:noFill/>
        </a:ln>
        <a:extLst/>
      </xdr:spPr>
      <xdr:txBody>
        <a:bodyPr wrap="none" lIns="18288" tIns="2286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Instructions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 Data should only be entered in the shaded cells.  The remaining information will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automatically calculate.  No information should be entered into the Calculations sheet as all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there automatically calculates.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217829</xdr:colOff>
      <xdr:row>47</xdr:row>
      <xdr:rowOff>94287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71429" cy="7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tabSelected="1" topLeftCell="A29" zoomScale="90" zoomScaleNormal="90" workbookViewId="0">
      <selection activeCell="A72" sqref="A72"/>
    </sheetView>
  </sheetViews>
  <sheetFormatPr defaultRowHeight="12.75" x14ac:dyDescent="0.2"/>
  <cols>
    <col min="1" max="1" width="33.140625" style="2" bestFit="1" customWidth="1"/>
    <col min="2" max="2" width="12.42578125" style="2" customWidth="1"/>
    <col min="3" max="3" width="2.7109375" style="2" customWidth="1"/>
    <col min="4" max="4" width="12.42578125" style="2" customWidth="1"/>
    <col min="5" max="5" width="2.7109375" style="2" customWidth="1"/>
    <col min="6" max="6" width="12.42578125" style="2" bestFit="1" customWidth="1"/>
    <col min="7" max="7" width="2.7109375" style="2" customWidth="1"/>
    <col min="8" max="8" width="12.42578125" style="2" customWidth="1"/>
    <col min="9" max="9" width="3.85546875" style="2" bestFit="1" customWidth="1"/>
    <col min="10" max="10" width="13.140625" style="2" bestFit="1" customWidth="1"/>
    <col min="11" max="11" width="3.85546875" style="2" bestFit="1" customWidth="1"/>
    <col min="12" max="12" width="12.42578125" style="2" customWidth="1"/>
    <col min="13" max="13" width="2.7109375" style="2" customWidth="1"/>
    <col min="14" max="14" width="12.42578125" style="2" customWidth="1"/>
    <col min="15" max="15" width="2.7109375" style="2" customWidth="1"/>
    <col min="16" max="16" width="12.42578125" style="2" customWidth="1"/>
    <col min="17" max="17" width="2.7109375" style="2" customWidth="1"/>
    <col min="18" max="18" width="12.42578125" style="2" customWidth="1"/>
    <col min="19" max="19" width="2.7109375" style="2" customWidth="1"/>
    <col min="20" max="20" width="12.42578125" style="2" customWidth="1"/>
    <col min="21" max="21" width="2.7109375" style="2" customWidth="1"/>
    <col min="22" max="22" width="12.42578125" style="2" customWidth="1"/>
    <col min="23" max="23" width="2.7109375" style="2" customWidth="1"/>
    <col min="24" max="24" width="12.42578125" customWidth="1"/>
    <col min="27" max="27" width="12.28515625" bestFit="1" customWidth="1"/>
  </cols>
  <sheetData>
    <row r="1" spans="1:23" x14ac:dyDescent="0.2">
      <c r="A1" s="9" t="s">
        <v>44</v>
      </c>
      <c r="B1" s="9"/>
      <c r="C1" s="9"/>
      <c r="D1" s="9"/>
      <c r="E1" s="9"/>
      <c r="F1"/>
      <c r="G1"/>
      <c r="H1"/>
      <c r="I1"/>
      <c r="J1" s="13"/>
      <c r="K1" s="13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22"/>
      <c r="B2" s="22"/>
      <c r="C2" s="22"/>
      <c r="D2" s="22"/>
      <c r="E2" s="22"/>
      <c r="F2" s="10"/>
      <c r="G2" s="11"/>
      <c r="H2" s="20"/>
      <c r="I2" s="20"/>
      <c r="J2" s="20"/>
      <c r="K2" s="20"/>
      <c r="L2" s="20"/>
      <c r="M2" s="20"/>
      <c r="N2" s="20"/>
      <c r="O2" s="20"/>
      <c r="P2" s="12"/>
      <c r="Q2" s="12"/>
      <c r="R2" s="12"/>
      <c r="S2"/>
      <c r="T2"/>
      <c r="U2"/>
      <c r="V2"/>
      <c r="W2"/>
    </row>
    <row r="3" spans="1:23" ht="15" customHeight="1" x14ac:dyDescent="0.2">
      <c r="A3" s="12"/>
      <c r="B3" s="12"/>
      <c r="C3" s="12"/>
      <c r="D3" s="119" t="s">
        <v>45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/>
      <c r="V3"/>
      <c r="W3"/>
    </row>
    <row r="4" spans="1:23" x14ac:dyDescent="0.2">
      <c r="A4"/>
      <c r="B4" s="12"/>
      <c r="C4"/>
      <c r="D4" s="12"/>
      <c r="E4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/>
      <c r="T4" s="103"/>
      <c r="U4"/>
      <c r="V4"/>
      <c r="W4"/>
    </row>
    <row r="5" spans="1:23" x14ac:dyDescent="0.2">
      <c r="A5" s="12"/>
      <c r="B5" s="14" t="s">
        <v>17</v>
      </c>
      <c r="C5" s="12"/>
      <c r="D5" s="14" t="s">
        <v>17</v>
      </c>
      <c r="E5" s="12"/>
      <c r="F5" s="12"/>
      <c r="G5" s="12"/>
      <c r="H5" s="14"/>
      <c r="I5" s="14"/>
      <c r="J5" s="12"/>
      <c r="K5" s="12"/>
      <c r="L5" s="14"/>
      <c r="M5" s="14"/>
      <c r="N5" s="14"/>
      <c r="O5" s="14"/>
      <c r="P5" s="14"/>
      <c r="Q5" s="14"/>
      <c r="R5" s="14"/>
      <c r="S5"/>
      <c r="T5"/>
      <c r="U5"/>
      <c r="V5"/>
      <c r="W5"/>
    </row>
    <row r="6" spans="1:23" x14ac:dyDescent="0.2">
      <c r="A6" s="12"/>
      <c r="B6" s="14" t="s">
        <v>20</v>
      </c>
      <c r="C6" s="12"/>
      <c r="D6" s="14" t="s">
        <v>20</v>
      </c>
      <c r="E6" s="12"/>
      <c r="F6" s="14" t="s">
        <v>16</v>
      </c>
      <c r="G6" s="14"/>
      <c r="H6" s="14" t="s">
        <v>46</v>
      </c>
      <c r="I6" s="14"/>
      <c r="J6" s="14"/>
      <c r="K6" s="14"/>
      <c r="L6"/>
      <c r="M6"/>
      <c r="N6" s="14"/>
      <c r="O6" s="14"/>
      <c r="P6" s="14"/>
      <c r="Q6" s="14"/>
      <c r="R6" s="14"/>
      <c r="S6"/>
      <c r="T6" s="14"/>
      <c r="U6"/>
      <c r="V6"/>
      <c r="W6"/>
    </row>
    <row r="7" spans="1:23" x14ac:dyDescent="0.2">
      <c r="A7" s="12"/>
      <c r="B7" s="15" t="s">
        <v>48</v>
      </c>
      <c r="C7" s="12"/>
      <c r="D7" s="15" t="s">
        <v>48</v>
      </c>
      <c r="E7" s="12"/>
      <c r="F7" s="15" t="s">
        <v>3</v>
      </c>
      <c r="G7" s="48"/>
      <c r="H7" s="15" t="s">
        <v>47</v>
      </c>
      <c r="I7" s="48"/>
      <c r="J7" s="15" t="s">
        <v>16</v>
      </c>
      <c r="K7" s="48"/>
      <c r="L7" s="15" t="s">
        <v>2</v>
      </c>
      <c r="M7" s="48"/>
      <c r="N7" s="15" t="s">
        <v>18</v>
      </c>
      <c r="O7" s="48"/>
      <c r="P7" s="15" t="s">
        <v>1</v>
      </c>
      <c r="Q7" s="48"/>
      <c r="R7" s="15" t="s">
        <v>19</v>
      </c>
      <c r="T7" s="15" t="s">
        <v>17</v>
      </c>
      <c r="U7"/>
      <c r="V7"/>
      <c r="W7"/>
    </row>
    <row r="8" spans="1:23" s="52" customFormat="1" x14ac:dyDescent="0.2">
      <c r="A8" s="51"/>
      <c r="B8" s="55" t="s">
        <v>52</v>
      </c>
      <c r="C8" s="51"/>
      <c r="D8" s="55" t="s">
        <v>53</v>
      </c>
      <c r="E8" s="51"/>
      <c r="F8" s="41" t="s">
        <v>51</v>
      </c>
      <c r="G8" s="53"/>
      <c r="H8" s="41" t="s">
        <v>50</v>
      </c>
      <c r="I8" s="53"/>
      <c r="J8" s="41" t="s">
        <v>54</v>
      </c>
      <c r="K8" s="53"/>
      <c r="L8" s="41" t="s">
        <v>54</v>
      </c>
      <c r="M8" s="53"/>
      <c r="N8" s="41" t="s">
        <v>54</v>
      </c>
      <c r="O8" s="53"/>
      <c r="P8" s="41" t="s">
        <v>54</v>
      </c>
      <c r="Q8" s="53"/>
      <c r="R8" s="41" t="s">
        <v>54</v>
      </c>
      <c r="S8" s="57"/>
      <c r="T8" s="41">
        <v>228310</v>
      </c>
    </row>
    <row r="9" spans="1:23" s="52" customFormat="1" x14ac:dyDescent="0.2">
      <c r="A9" s="51"/>
      <c r="B9" s="92">
        <f>ROUND('Data Entry Form'!E31,4)</f>
        <v>0.2823</v>
      </c>
      <c r="C9" s="87"/>
      <c r="D9" s="92">
        <f>ROUND('Data Entry Form'!E32,4)</f>
        <v>3.8999999999999998E-3</v>
      </c>
      <c r="E9" s="87"/>
      <c r="F9" s="92">
        <f>ROUND('Data Entry Form'!E33,4)</f>
        <v>7.1999999999999998E-3</v>
      </c>
      <c r="G9" s="87"/>
      <c r="H9" s="92">
        <f>ROUND('Data Entry Form'!E34,4)</f>
        <v>7.7000000000000002E-3</v>
      </c>
      <c r="I9" s="87"/>
      <c r="J9" s="92">
        <f>ROUND('Data Entry Form'!E35,4)</f>
        <v>0.58779999999999999</v>
      </c>
      <c r="K9" s="87"/>
      <c r="L9" s="92">
        <f>ROUND('Data Entry Form'!E36,4)</f>
        <v>3.4299999999999997E-2</v>
      </c>
      <c r="M9" s="87"/>
      <c r="N9" s="92">
        <f>ROUND('Data Entry Form'!E37,4)</f>
        <v>2.01E-2</v>
      </c>
      <c r="O9" s="87"/>
      <c r="P9" s="92">
        <f>ROUND('Data Entry Form'!E38,4)</f>
        <v>2.12E-2</v>
      </c>
      <c r="Q9" s="87"/>
      <c r="R9" s="92">
        <f>ROUND('Data Entry Form'!E39,4)</f>
        <v>3.5400000000000001E-2</v>
      </c>
      <c r="S9" s="2"/>
      <c r="T9" s="93">
        <f>SUM(B9:R9)</f>
        <v>0.99990000000000001</v>
      </c>
    </row>
    <row r="10" spans="1:23" s="52" customFormat="1" x14ac:dyDescent="0.2">
      <c r="A10" s="51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2"/>
      <c r="T10" s="88"/>
    </row>
    <row r="11" spans="1:23" s="2" customFormat="1" x14ac:dyDescent="0.2">
      <c r="A11" s="107" t="s">
        <v>4</v>
      </c>
      <c r="B11" s="73">
        <f>ROUND((('Data Entry Form'!G7/12)*Calculations!$B$9),0)</f>
        <v>54743</v>
      </c>
      <c r="C11" s="91"/>
      <c r="D11" s="73">
        <f>ROUND((('Data Entry Form'!G7/12)*Calculations!$D$9),0)</f>
        <v>756</v>
      </c>
      <c r="E11" s="85"/>
      <c r="F11" s="16">
        <f>ROUND($F$9*('Data Entry Form'!G7/12),0)</f>
        <v>1396</v>
      </c>
      <c r="G11" s="16"/>
      <c r="H11" s="16">
        <f>ROUND($H$9*('Data Entry Form'!G7/12),0)</f>
        <v>1493</v>
      </c>
      <c r="I11" s="16"/>
      <c r="J11" s="16">
        <f>ROUND((('Data Entry Form'!G7)/12*(Calculations!$J$9)),0)</f>
        <v>113984</v>
      </c>
      <c r="K11" s="16"/>
      <c r="L11" s="16">
        <f>ROUND(('Data Entry Form'!G7)/12*(Calculations!$L$9),0)</f>
        <v>6651</v>
      </c>
      <c r="M11" s="16"/>
      <c r="N11" s="16">
        <f>ROUND(('Data Entry Form'!G7)/12*(Calculations!$N$9),0)</f>
        <v>3898</v>
      </c>
      <c r="O11" s="16"/>
      <c r="P11" s="16">
        <f>ROUND(('Data Entry Form'!G7)/12*(Calculations!$P$9),0)</f>
        <v>4111</v>
      </c>
      <c r="Q11" s="16"/>
      <c r="R11" s="16">
        <f>ROUND(('Data Entry Form'!G7)/12*(Calculations!$R$9),0)</f>
        <v>6865</v>
      </c>
      <c r="T11" s="38">
        <f>-(B11+F11+H11+D11+J11+L11+N11+P11+R11)</f>
        <v>-193897</v>
      </c>
    </row>
    <row r="12" spans="1:23" s="2" customFormat="1" x14ac:dyDescent="0.2">
      <c r="A12" s="85" t="s">
        <v>5</v>
      </c>
      <c r="B12" s="73">
        <f>ROUND((('Data Entry Form'!G8/12)*Calculations!$B$9),0)</f>
        <v>54743</v>
      </c>
      <c r="C12" s="91"/>
      <c r="D12" s="73">
        <f>ROUND((('Data Entry Form'!G8/12)*Calculations!$D$9),0)</f>
        <v>756</v>
      </c>
      <c r="E12" s="85"/>
      <c r="F12" s="16">
        <f>ROUND($F$9*('Data Entry Form'!G8/12),0)</f>
        <v>1396</v>
      </c>
      <c r="G12" s="16"/>
      <c r="H12" s="16">
        <f>ROUND($H$9*('Data Entry Form'!G8/12),0)</f>
        <v>1493</v>
      </c>
      <c r="I12" s="16"/>
      <c r="J12" s="16">
        <f>ROUND((('Data Entry Form'!G8)/12*(Calculations!$J$9)),0)</f>
        <v>113984</v>
      </c>
      <c r="K12" s="16"/>
      <c r="L12" s="16">
        <f>ROUND(('Data Entry Form'!G8)/12*(Calculations!$L$9),0)</f>
        <v>6651</v>
      </c>
      <c r="M12" s="16"/>
      <c r="N12" s="16">
        <f>ROUND(('Data Entry Form'!G8)/12*(Calculations!$N$9),0)</f>
        <v>3898</v>
      </c>
      <c r="O12" s="16"/>
      <c r="P12" s="16">
        <f>ROUND(('Data Entry Form'!G8)/12*(Calculations!$P$9),0)</f>
        <v>4111</v>
      </c>
      <c r="Q12" s="16"/>
      <c r="R12" s="16">
        <f>ROUND(('Data Entry Form'!G8)/12*(Calculations!$R$9),0)</f>
        <v>6865</v>
      </c>
      <c r="T12" s="38">
        <f>-(B12+F12+H12+D12+J12+L12+N12+P12+R12)</f>
        <v>-193897</v>
      </c>
    </row>
    <row r="13" spans="1:23" s="2" customFormat="1" x14ac:dyDescent="0.2">
      <c r="A13" s="85" t="s">
        <v>6</v>
      </c>
      <c r="B13" s="73">
        <f>ROUND((('Data Entry Form'!G9/12)*Calculations!$B$9),0)</f>
        <v>54743</v>
      </c>
      <c r="C13" s="91"/>
      <c r="D13" s="73">
        <f>ROUND((('Data Entry Form'!G9/12)*Calculations!$D$9),0)</f>
        <v>756</v>
      </c>
      <c r="E13" s="85"/>
      <c r="F13" s="16">
        <f>ROUND($F$9*('Data Entry Form'!G9/12),0)</f>
        <v>1396</v>
      </c>
      <c r="G13" s="16"/>
      <c r="H13" s="16">
        <f>ROUND($H$9*('Data Entry Form'!G9/12),0)</f>
        <v>1493</v>
      </c>
      <c r="I13" s="16"/>
      <c r="J13" s="16">
        <f>ROUND((('Data Entry Form'!G9)/12*(Calculations!$J$9)),0)</f>
        <v>113984</v>
      </c>
      <c r="K13" s="16"/>
      <c r="L13" s="16">
        <f>ROUND(('Data Entry Form'!G9)/12*(Calculations!$L$9),0)</f>
        <v>6651</v>
      </c>
      <c r="M13" s="16"/>
      <c r="N13" s="16">
        <f>ROUND(('Data Entry Form'!G9)/12*(Calculations!$N$9),0)</f>
        <v>3898</v>
      </c>
      <c r="O13" s="16"/>
      <c r="P13" s="16">
        <f>ROUND(('Data Entry Form'!G9)/12*(Calculations!$P$9),0)</f>
        <v>4111</v>
      </c>
      <c r="Q13" s="16"/>
      <c r="R13" s="16">
        <f>ROUND(('Data Entry Form'!G9)/12*(Calculations!$R$9),0)</f>
        <v>6865</v>
      </c>
      <c r="T13" s="38">
        <f>-(B13+F13+H13+D13+J13+L13+N13+P13+R13)</f>
        <v>-193897</v>
      </c>
    </row>
    <row r="14" spans="1:23" x14ac:dyDescent="0.2">
      <c r="A14" s="10" t="s">
        <v>27</v>
      </c>
      <c r="B14" s="17"/>
      <c r="C14" s="10"/>
      <c r="D14" s="17"/>
      <c r="E14" s="10"/>
      <c r="F14" s="17"/>
      <c r="G14" s="16"/>
      <c r="H14" s="17"/>
      <c r="I14" s="16"/>
      <c r="J14" s="17"/>
      <c r="K14" s="16"/>
      <c r="L14" s="17"/>
      <c r="M14" s="16"/>
      <c r="N14" s="17"/>
      <c r="O14" s="16"/>
      <c r="P14" s="17"/>
      <c r="Q14" s="16"/>
      <c r="R14" s="17"/>
      <c r="S14"/>
      <c r="T14" s="19"/>
      <c r="U14"/>
      <c r="V14"/>
      <c r="W14"/>
    </row>
    <row r="15" spans="1:23" x14ac:dyDescent="0.2">
      <c r="A15" s="10"/>
      <c r="B15" s="16">
        <f>SUM(B11:B14)</f>
        <v>164229</v>
      </c>
      <c r="C15" s="10"/>
      <c r="D15" s="16">
        <f>SUM(D11:D14)</f>
        <v>2268</v>
      </c>
      <c r="E15" s="10"/>
      <c r="F15" s="16">
        <f>SUM(F11:F14)</f>
        <v>4188</v>
      </c>
      <c r="G15" s="16"/>
      <c r="H15" s="16">
        <f t="shared" ref="H15:T15" si="0">SUM(H11:H14)</f>
        <v>4479</v>
      </c>
      <c r="I15" s="16"/>
      <c r="J15" s="16">
        <f t="shared" si="0"/>
        <v>341952</v>
      </c>
      <c r="K15" s="16"/>
      <c r="L15" s="16">
        <f t="shared" si="0"/>
        <v>19953</v>
      </c>
      <c r="M15" s="16"/>
      <c r="N15" s="16">
        <f t="shared" si="0"/>
        <v>11694</v>
      </c>
      <c r="O15" s="16"/>
      <c r="P15" s="16">
        <f t="shared" si="0"/>
        <v>12333</v>
      </c>
      <c r="Q15" s="16"/>
      <c r="R15" s="16">
        <f t="shared" si="0"/>
        <v>20595</v>
      </c>
      <c r="S15" s="16"/>
      <c r="T15" s="16">
        <f t="shared" si="0"/>
        <v>-581691</v>
      </c>
      <c r="U15"/>
      <c r="V15"/>
      <c r="W15"/>
    </row>
    <row r="16" spans="1:23" x14ac:dyDescent="0.2">
      <c r="A16" s="10"/>
      <c r="B16" s="16"/>
      <c r="C16" s="10"/>
      <c r="D16" s="16"/>
      <c r="E16" s="1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/>
      <c r="T16" s="18"/>
      <c r="U16"/>
      <c r="V16"/>
      <c r="W16"/>
    </row>
    <row r="17" spans="1:23" s="2" customFormat="1" x14ac:dyDescent="0.2">
      <c r="A17" s="85" t="s">
        <v>7</v>
      </c>
      <c r="B17" s="73">
        <f>ROUND((('Data Entry Form'!G10/12)*Calculations!$B$9),0)</f>
        <v>54743</v>
      </c>
      <c r="C17" s="85"/>
      <c r="D17" s="16">
        <f>ROUND((('Data Entry Form'!G10/12)*Calculations!$D$9),0)</f>
        <v>756</v>
      </c>
      <c r="E17" s="85"/>
      <c r="F17" s="16">
        <f>ROUND($F$9*('Data Entry Form'!G10/12),0)</f>
        <v>1396</v>
      </c>
      <c r="G17" s="16"/>
      <c r="H17" s="16">
        <f>ROUND($H$9*('Data Entry Form'!G10/12),0)</f>
        <v>1493</v>
      </c>
      <c r="I17" s="16"/>
      <c r="J17" s="16">
        <f>ROUND(('Data Entry Form'!G10)/12*(Calculations!$J$9),0)</f>
        <v>113984</v>
      </c>
      <c r="K17" s="16"/>
      <c r="L17" s="16">
        <f>ROUND(('Data Entry Form'!G10)/12*(Calculations!$L$9),0)</f>
        <v>6651</v>
      </c>
      <c r="M17" s="16"/>
      <c r="N17" s="16">
        <f>ROUND(('Data Entry Form'!G10)/12*(Calculations!$N$9),0)</f>
        <v>3898</v>
      </c>
      <c r="O17" s="16"/>
      <c r="P17" s="16">
        <f>ROUND(('Data Entry Form'!G10)/12*(Calculations!$P$9),0)</f>
        <v>4111</v>
      </c>
      <c r="Q17" s="16"/>
      <c r="R17" s="16">
        <f>ROUND(('Data Entry Form'!G10)/12*(Calculations!$R$9),0)</f>
        <v>6865</v>
      </c>
      <c r="T17" s="38">
        <f>-(B17+F17+H17+D17+J17+L17+N17+P17+R17)</f>
        <v>-193897</v>
      </c>
    </row>
    <row r="18" spans="1:23" s="2" customFormat="1" x14ac:dyDescent="0.2">
      <c r="A18" s="85" t="s">
        <v>8</v>
      </c>
      <c r="B18" s="73">
        <f>ROUND((('Data Entry Form'!G11/12)*Calculations!$B$9),0)</f>
        <v>54743</v>
      </c>
      <c r="C18" s="85"/>
      <c r="D18" s="16">
        <f>ROUND((('Data Entry Form'!G11/12)*Calculations!$D$9),0)</f>
        <v>756</v>
      </c>
      <c r="E18" s="85"/>
      <c r="F18" s="16">
        <f>ROUND($F$9*('Data Entry Form'!G11/12),0)</f>
        <v>1396</v>
      </c>
      <c r="G18" s="16"/>
      <c r="H18" s="16">
        <f>ROUND($H$9*('Data Entry Form'!G11/12),0)</f>
        <v>1493</v>
      </c>
      <c r="I18" s="16"/>
      <c r="J18" s="16">
        <f>ROUND(('Data Entry Form'!G11)/12*(Calculations!$J$9),0)</f>
        <v>113984</v>
      </c>
      <c r="K18" s="16"/>
      <c r="L18" s="16">
        <f>ROUND(('Data Entry Form'!G11)/12*(Calculations!$L$9),0)</f>
        <v>6651</v>
      </c>
      <c r="M18" s="16"/>
      <c r="N18" s="16">
        <f>ROUND(('Data Entry Form'!G11)/12*(Calculations!$N$9),0)</f>
        <v>3898</v>
      </c>
      <c r="O18" s="16"/>
      <c r="P18" s="16">
        <f>ROUND(('Data Entry Form'!G11)/12*(Calculations!$P$9),0)</f>
        <v>4111</v>
      </c>
      <c r="Q18" s="16"/>
      <c r="R18" s="16">
        <f>ROUND(('Data Entry Form'!G11)/12*(Calculations!$R$9),0)</f>
        <v>6865</v>
      </c>
      <c r="T18" s="38">
        <f>-(B18+F18+H18+D18+J18+L18+N18+P18+R18)</f>
        <v>-193897</v>
      </c>
    </row>
    <row r="19" spans="1:23" x14ac:dyDescent="0.2">
      <c r="A19" s="85" t="s">
        <v>9</v>
      </c>
      <c r="B19" s="73">
        <f>ROUND((('Data Entry Form'!G12/12)*Calculations!$B$9),0)</f>
        <v>54743</v>
      </c>
      <c r="C19" s="85"/>
      <c r="D19" s="16">
        <f>ROUND((('Data Entry Form'!G12/12)*Calculations!$D$9),0)</f>
        <v>756</v>
      </c>
      <c r="E19" s="85"/>
      <c r="F19" s="16">
        <f>ROUND($F$9*('Data Entry Form'!G12/12),0)</f>
        <v>1396</v>
      </c>
      <c r="G19" s="16"/>
      <c r="H19" s="16">
        <f>ROUND($H$9*('Data Entry Form'!G12/12),0)</f>
        <v>1493</v>
      </c>
      <c r="I19" s="16"/>
      <c r="J19" s="16">
        <f>ROUND(('Data Entry Form'!G12)/12*(Calculations!$J$9),0)</f>
        <v>113984</v>
      </c>
      <c r="K19" s="16"/>
      <c r="L19" s="16">
        <f>ROUND(('Data Entry Form'!G12)/12*(Calculations!$L$9),0)</f>
        <v>6651</v>
      </c>
      <c r="M19" s="16"/>
      <c r="N19" s="16">
        <f>ROUND(('Data Entry Form'!G12)/12*(Calculations!$N$9),0)</f>
        <v>3898</v>
      </c>
      <c r="O19" s="16"/>
      <c r="P19" s="16">
        <f>ROUND(('Data Entry Form'!G12)/12*(Calculations!$P$9),0)</f>
        <v>4111</v>
      </c>
      <c r="Q19" s="16"/>
      <c r="R19" s="16">
        <f>ROUND(('Data Entry Form'!G12)/12*(Calculations!$R$9),0)</f>
        <v>6865</v>
      </c>
      <c r="T19" s="38">
        <f>-(B19+F19+H19+D19+J19+L19+N19+P19+R19)</f>
        <v>-193897</v>
      </c>
      <c r="U19"/>
      <c r="V19"/>
      <c r="W19"/>
    </row>
    <row r="20" spans="1:23" x14ac:dyDescent="0.2">
      <c r="A20" s="85" t="s">
        <v>28</v>
      </c>
      <c r="B20" s="102"/>
      <c r="C20" s="91"/>
      <c r="D20" s="102"/>
      <c r="E20" s="91"/>
      <c r="F20" s="102"/>
      <c r="G20" s="73"/>
      <c r="H20" s="102"/>
      <c r="I20" s="73"/>
      <c r="J20" s="17"/>
      <c r="K20" s="73"/>
      <c r="L20" s="102"/>
      <c r="M20" s="73"/>
      <c r="N20" s="102"/>
      <c r="O20" s="73"/>
      <c r="P20" s="102"/>
      <c r="Q20" s="73"/>
      <c r="R20" s="102"/>
      <c r="S20" s="43"/>
      <c r="T20" s="19"/>
      <c r="U20"/>
      <c r="V20"/>
      <c r="W20"/>
    </row>
    <row r="21" spans="1:23" x14ac:dyDescent="0.2">
      <c r="A21" s="10"/>
      <c r="B21" s="16">
        <f>SUM(B17:B20)</f>
        <v>164229</v>
      </c>
      <c r="C21" s="10"/>
      <c r="D21" s="16">
        <f>SUM(D17:D20)</f>
        <v>2268</v>
      </c>
      <c r="E21" s="10"/>
      <c r="F21" s="16">
        <f>SUM(F17:F20)</f>
        <v>4188</v>
      </c>
      <c r="G21" s="16"/>
      <c r="H21" s="16">
        <f t="shared" ref="H21:T21" si="1">SUM(H17:H20)</f>
        <v>4479</v>
      </c>
      <c r="I21" s="16"/>
      <c r="J21" s="16">
        <f t="shared" si="1"/>
        <v>341952</v>
      </c>
      <c r="K21" s="16"/>
      <c r="L21" s="16">
        <f t="shared" si="1"/>
        <v>19953</v>
      </c>
      <c r="M21" s="16"/>
      <c r="N21" s="16">
        <f t="shared" si="1"/>
        <v>11694</v>
      </c>
      <c r="O21" s="16"/>
      <c r="P21" s="16">
        <f t="shared" si="1"/>
        <v>12333</v>
      </c>
      <c r="Q21" s="16"/>
      <c r="R21" s="16">
        <f t="shared" si="1"/>
        <v>20595</v>
      </c>
      <c r="S21" s="16"/>
      <c r="T21" s="16">
        <f t="shared" si="1"/>
        <v>-581691</v>
      </c>
      <c r="U21"/>
      <c r="V21"/>
      <c r="W21"/>
    </row>
    <row r="22" spans="1:23" x14ac:dyDescent="0.2">
      <c r="A22" s="10"/>
      <c r="B22" s="16"/>
      <c r="C22" s="10"/>
      <c r="D22" s="16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/>
      <c r="T22" s="18"/>
      <c r="U22"/>
      <c r="V22"/>
      <c r="W22"/>
    </row>
    <row r="23" spans="1:23" s="2" customFormat="1" x14ac:dyDescent="0.2">
      <c r="A23" s="85" t="s">
        <v>10</v>
      </c>
      <c r="B23" s="16">
        <f>ROUND((('Data Entry Form'!G13/12)*Calculations!$B$9),0)</f>
        <v>54743</v>
      </c>
      <c r="C23" s="85"/>
      <c r="D23" s="16">
        <f>ROUND((('Data Entry Form'!G13/12)*Calculations!$D$9),0)</f>
        <v>756</v>
      </c>
      <c r="E23" s="85"/>
      <c r="F23" s="16">
        <f>ROUND($F$9*('Data Entry Form'!G13/12),0)</f>
        <v>1396</v>
      </c>
      <c r="G23" s="16"/>
      <c r="H23" s="16">
        <f>ROUND($H$9*('Data Entry Form'!G13/12),0)</f>
        <v>1493</v>
      </c>
      <c r="I23" s="16"/>
      <c r="J23" s="16">
        <f>ROUND(('Data Entry Form'!G13)/12*(Calculations!$J$9),0)</f>
        <v>113984</v>
      </c>
      <c r="K23" s="16"/>
      <c r="L23" s="16">
        <f>ROUND(('Data Entry Form'!G13)/12*(Calculations!$L$9),0)</f>
        <v>6651</v>
      </c>
      <c r="M23" s="16"/>
      <c r="N23" s="16">
        <f>ROUND(('Data Entry Form'!G13)/12*(Calculations!$N$9),0)</f>
        <v>3898</v>
      </c>
      <c r="O23" s="16"/>
      <c r="P23" s="16">
        <f>ROUND(('Data Entry Form'!G13)/12*(Calculations!$P$9),0)</f>
        <v>4111</v>
      </c>
      <c r="Q23" s="16"/>
      <c r="R23" s="16">
        <f>ROUND(('Data Entry Form'!G13)/12*(Calculations!$R$9),0)</f>
        <v>6865</v>
      </c>
      <c r="T23" s="38">
        <f>-(B23+F23+H23+D23+J23+L23+N23+P23+R23)</f>
        <v>-193897</v>
      </c>
    </row>
    <row r="24" spans="1:23" x14ac:dyDescent="0.2">
      <c r="A24" s="85" t="s">
        <v>11</v>
      </c>
      <c r="B24" s="16">
        <f>ROUND((('Data Entry Form'!G14/12)*Calculations!$B$9),0)</f>
        <v>54743</v>
      </c>
      <c r="C24" s="85"/>
      <c r="D24" s="16">
        <f>ROUND((('Data Entry Form'!G14/12)*Calculations!$D$9),0)</f>
        <v>756</v>
      </c>
      <c r="E24" s="85"/>
      <c r="F24" s="16">
        <f>ROUND($F$9*('Data Entry Form'!G14/12),0)</f>
        <v>1396</v>
      </c>
      <c r="G24" s="16"/>
      <c r="H24" s="16">
        <f>ROUND($H$9*('Data Entry Form'!G14/12),0)</f>
        <v>1493</v>
      </c>
      <c r="I24" s="16"/>
      <c r="J24" s="16">
        <f>ROUND(('Data Entry Form'!G14)/12*(Calculations!$J$9),0)</f>
        <v>113984</v>
      </c>
      <c r="K24" s="16"/>
      <c r="L24" s="16">
        <f>ROUND(('Data Entry Form'!G14)/12*(Calculations!$L$9),0)</f>
        <v>6651</v>
      </c>
      <c r="M24" s="16"/>
      <c r="N24" s="16">
        <f>ROUND(('Data Entry Form'!G14)/12*(Calculations!$N$9),0)</f>
        <v>3898</v>
      </c>
      <c r="O24" s="16"/>
      <c r="P24" s="16">
        <f>ROUND(('Data Entry Form'!G14)/12*(Calculations!$P$9),0)</f>
        <v>4111</v>
      </c>
      <c r="Q24" s="16"/>
      <c r="R24" s="16">
        <f>ROUND(('Data Entry Form'!G14)/12*(Calculations!$R$9),0)</f>
        <v>6865</v>
      </c>
      <c r="T24" s="38">
        <f>-(B24+F24+H24+D24+J24+L24+N24+P24+R24)</f>
        <v>-193897</v>
      </c>
      <c r="V24"/>
      <c r="W24"/>
    </row>
    <row r="25" spans="1:23" s="2" customFormat="1" x14ac:dyDescent="0.2">
      <c r="A25" s="85" t="s">
        <v>12</v>
      </c>
      <c r="B25" s="16">
        <f>ROUND((('Data Entry Form'!G15/12)*Calculations!$B$9),0)</f>
        <v>58680</v>
      </c>
      <c r="C25" s="85"/>
      <c r="D25" s="16">
        <f>ROUND((('Data Entry Form'!G15/12)*Calculations!$D$9),0)</f>
        <v>811</v>
      </c>
      <c r="E25" s="85"/>
      <c r="F25" s="16">
        <f>ROUND($F$9*('Data Entry Form'!G15/12),0)</f>
        <v>1497</v>
      </c>
      <c r="G25" s="16"/>
      <c r="H25" s="16">
        <f>ROUND($H$9*('Data Entry Form'!G15/12),0)</f>
        <v>1601</v>
      </c>
      <c r="I25" s="16"/>
      <c r="J25" s="16">
        <f>ROUND(('Data Entry Form'!G15)/12*(Calculations!$J$9),0)</f>
        <v>122183</v>
      </c>
      <c r="K25" s="16"/>
      <c r="L25" s="16">
        <f>ROUND(('Data Entry Form'!G15)/12*(Calculations!$L$9),0)</f>
        <v>7130</v>
      </c>
      <c r="M25" s="16"/>
      <c r="N25" s="16">
        <f>ROUND(('Data Entry Form'!G15)/12*(Calculations!$N$9),0)</f>
        <v>4178</v>
      </c>
      <c r="O25" s="16"/>
      <c r="P25" s="16">
        <f>ROUND(('Data Entry Form'!G15)/12*(Calculations!$P$9),0)</f>
        <v>4407</v>
      </c>
      <c r="Q25" s="16"/>
      <c r="R25" s="16">
        <f>ROUND(('Data Entry Form'!G15)/12*(Calculations!$R$9),0)</f>
        <v>7358</v>
      </c>
      <c r="T25" s="38">
        <f>-(B25+F25+H25+D25+J25+L25+N25+P25+R25)</f>
        <v>-207845</v>
      </c>
    </row>
    <row r="26" spans="1:23" s="2" customFormat="1" x14ac:dyDescent="0.2">
      <c r="A26" s="85" t="s">
        <v>29</v>
      </c>
      <c r="B26" s="17">
        <f>(B25-B24)*8</f>
        <v>31496</v>
      </c>
      <c r="C26" s="85"/>
      <c r="D26" s="17">
        <f>(D25-D24)*8</f>
        <v>440</v>
      </c>
      <c r="E26" s="16"/>
      <c r="F26" s="17">
        <f>(F25-F24)*8</f>
        <v>808</v>
      </c>
      <c r="G26" s="16"/>
      <c r="H26" s="17">
        <f>(H25-H24)*8</f>
        <v>864</v>
      </c>
      <c r="I26" s="16"/>
      <c r="J26" s="17">
        <f>(J25-J24)*8</f>
        <v>65592</v>
      </c>
      <c r="K26" s="16"/>
      <c r="L26" s="17">
        <f>(L25-L24)*8</f>
        <v>3832</v>
      </c>
      <c r="M26" s="16"/>
      <c r="N26" s="17">
        <f>(N25-N24)*8</f>
        <v>2240</v>
      </c>
      <c r="O26" s="16"/>
      <c r="P26" s="17">
        <f>(P25-P24)*8</f>
        <v>2368</v>
      </c>
      <c r="Q26" s="16"/>
      <c r="R26" s="17">
        <f>(R25-R24)*8</f>
        <v>3944</v>
      </c>
      <c r="T26" s="19">
        <f>-(B26+F26+H26+D26+J26+L26+N26+P26+R26)</f>
        <v>-111584</v>
      </c>
    </row>
    <row r="27" spans="1:23" x14ac:dyDescent="0.2">
      <c r="A27" s="10"/>
      <c r="B27" s="16">
        <f>SUM(B23:B26)</f>
        <v>199662</v>
      </c>
      <c r="C27" s="10"/>
      <c r="D27" s="16">
        <f>SUM(D23:D26)</f>
        <v>2763</v>
      </c>
      <c r="E27" s="85"/>
      <c r="F27" s="16">
        <f>SUM(F23:F26)</f>
        <v>5097</v>
      </c>
      <c r="G27" s="16"/>
      <c r="H27" s="16">
        <f>SUM(H23:H26)</f>
        <v>5451</v>
      </c>
      <c r="I27" s="16"/>
      <c r="J27" s="16">
        <f>SUM(J23:J26)</f>
        <v>415743</v>
      </c>
      <c r="K27" s="16"/>
      <c r="L27" s="16">
        <f>SUM(L23:L26)</f>
        <v>24264</v>
      </c>
      <c r="M27" s="16"/>
      <c r="N27" s="16">
        <f>SUM(N23:N26)</f>
        <v>14214</v>
      </c>
      <c r="O27" s="16"/>
      <c r="P27" s="16">
        <f>SUM(P23:P26)</f>
        <v>14997</v>
      </c>
      <c r="Q27" s="16"/>
      <c r="R27" s="16">
        <f>SUM(R23:R26)</f>
        <v>25032</v>
      </c>
      <c r="S27" s="16"/>
      <c r="T27" s="16">
        <f>SUM(T23:T26)</f>
        <v>-707223</v>
      </c>
      <c r="U27"/>
      <c r="V27"/>
      <c r="W27"/>
    </row>
    <row r="28" spans="1:23" x14ac:dyDescent="0.2">
      <c r="A28" s="10"/>
      <c r="B28" s="16"/>
      <c r="C28" s="10"/>
      <c r="D28" s="16"/>
      <c r="E28" s="10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/>
      <c r="T28" s="18"/>
      <c r="U28"/>
      <c r="V28"/>
      <c r="W28"/>
    </row>
    <row r="29" spans="1:23" s="2" customFormat="1" x14ac:dyDescent="0.2">
      <c r="A29" s="85" t="s">
        <v>13</v>
      </c>
      <c r="B29" s="16">
        <f>ROUND((('Data Entry Form'!G16/12)*Calculations!$B$9),0)</f>
        <v>58680</v>
      </c>
      <c r="C29" s="85"/>
      <c r="D29" s="16">
        <f>ROUND((('Data Entry Form'!G16/12)*Calculations!$D$9),0)</f>
        <v>811</v>
      </c>
      <c r="E29" s="85"/>
      <c r="F29" s="16">
        <f>ROUND($F$9*('Data Entry Form'!G16/12),0)</f>
        <v>1497</v>
      </c>
      <c r="G29" s="16"/>
      <c r="H29" s="16">
        <f>ROUND($H$9*('Data Entry Form'!G16/12),0)</f>
        <v>1601</v>
      </c>
      <c r="I29" s="16"/>
      <c r="J29" s="16">
        <f>ROUND(('Data Entry Form'!G16)/12*(Calculations!$J$9),0)</f>
        <v>122183</v>
      </c>
      <c r="K29" s="16"/>
      <c r="L29" s="16">
        <f>ROUND(('Data Entry Form'!G16)/12*(Calculations!$L$9),0)</f>
        <v>7130</v>
      </c>
      <c r="M29" s="16"/>
      <c r="N29" s="16">
        <f>ROUND(('Data Entry Form'!G16)/12*(Calculations!$N$9),0)</f>
        <v>4178</v>
      </c>
      <c r="O29" s="16"/>
      <c r="P29" s="16">
        <f>ROUND(('Data Entry Form'!G16)/12*(Calculations!$P$9),0)</f>
        <v>4407</v>
      </c>
      <c r="Q29" s="16"/>
      <c r="R29" s="16">
        <f>ROUND(('Data Entry Form'!G16)/12*(Calculations!$R$9),0)</f>
        <v>7358</v>
      </c>
      <c r="T29" s="38">
        <f>-(B29+F29+H29+D29+J29+L29+N29+P29+R29)</f>
        <v>-207845</v>
      </c>
    </row>
    <row r="30" spans="1:23" s="2" customFormat="1" x14ac:dyDescent="0.2">
      <c r="A30" s="85" t="s">
        <v>14</v>
      </c>
      <c r="B30" s="16">
        <f>ROUND((('Data Entry Form'!G17/12)*Calculations!$B$9),0)</f>
        <v>58680</v>
      </c>
      <c r="C30" s="85"/>
      <c r="D30" s="16">
        <f>ROUND((('Data Entry Form'!G17/12)*Calculations!$D$9),0)</f>
        <v>811</v>
      </c>
      <c r="E30" s="85"/>
      <c r="F30" s="16">
        <f>ROUND($F$9*('Data Entry Form'!G17/12),0)</f>
        <v>1497</v>
      </c>
      <c r="G30" s="16"/>
      <c r="H30" s="16">
        <f>ROUND($H$9*('Data Entry Form'!G17/12),0)</f>
        <v>1601</v>
      </c>
      <c r="I30" s="16"/>
      <c r="J30" s="16">
        <f>ROUND(('Data Entry Form'!G17)/12*(Calculations!$J$9),0)</f>
        <v>122183</v>
      </c>
      <c r="K30" s="16"/>
      <c r="L30" s="16">
        <f>ROUND(('Data Entry Form'!G17)/12*(Calculations!$L$9),0)</f>
        <v>7130</v>
      </c>
      <c r="M30" s="16"/>
      <c r="N30" s="16">
        <f>ROUND(('Data Entry Form'!G17)/12*(Calculations!$N$9),0)</f>
        <v>4178</v>
      </c>
      <c r="O30" s="16"/>
      <c r="P30" s="16">
        <f>ROUND(('Data Entry Form'!G17)/12*(Calculations!$P$9),0)</f>
        <v>4407</v>
      </c>
      <c r="Q30" s="16"/>
      <c r="R30" s="16">
        <f>ROUND(('Data Entry Form'!G17)/12*(Calculations!$R$9),0)</f>
        <v>7358</v>
      </c>
      <c r="T30" s="38">
        <f>-(B30+F30+H30+D30+J30+L30+N30+P30+R30)</f>
        <v>-207845</v>
      </c>
    </row>
    <row r="31" spans="1:23" s="2" customFormat="1" x14ac:dyDescent="0.2">
      <c r="A31" s="85" t="s">
        <v>15</v>
      </c>
      <c r="B31" s="16">
        <f>ROUND((('Data Entry Form'!G18/12)*Calculations!$B$9),0)</f>
        <v>58680</v>
      </c>
      <c r="C31" s="85"/>
      <c r="D31" s="16">
        <f>ROUND((('Data Entry Form'!G18/12)*Calculations!$D$9),0)</f>
        <v>811</v>
      </c>
      <c r="E31" s="85"/>
      <c r="F31" s="16">
        <f>ROUND($F$9*('Data Entry Form'!G18/12),0)</f>
        <v>1497</v>
      </c>
      <c r="G31" s="16"/>
      <c r="H31" s="16">
        <f>ROUND($H$9*('Data Entry Form'!G18/12),0)</f>
        <v>1601</v>
      </c>
      <c r="I31" s="16"/>
      <c r="J31" s="16">
        <f>ROUND(('Data Entry Form'!G18)/12*(Calculations!$J$9),0)</f>
        <v>122183</v>
      </c>
      <c r="K31" s="16"/>
      <c r="L31" s="16">
        <f>ROUND(('Data Entry Form'!G18)/12*(Calculations!$L$9),0)</f>
        <v>7130</v>
      </c>
      <c r="M31" s="16"/>
      <c r="N31" s="16">
        <f>ROUND(('Data Entry Form'!G18)/12*(Calculations!$N$9),0)</f>
        <v>4178</v>
      </c>
      <c r="O31" s="16"/>
      <c r="P31" s="16">
        <f>ROUND(('Data Entry Form'!G18)/12*(Calculations!$P$9),0)</f>
        <v>4407</v>
      </c>
      <c r="Q31" s="16"/>
      <c r="R31" s="16">
        <f>ROUND(('Data Entry Form'!G18)/12*(Calculations!$R$9),0)</f>
        <v>7358</v>
      </c>
      <c r="T31" s="38">
        <f>-(B31+F31+H31+D31+J31+L31+N31+P31+R31)</f>
        <v>-207845</v>
      </c>
    </row>
    <row r="32" spans="1:23" x14ac:dyDescent="0.2">
      <c r="A32" s="10" t="s">
        <v>30</v>
      </c>
      <c r="B32" s="17"/>
      <c r="C32" s="10"/>
      <c r="D32" s="17"/>
      <c r="E32" s="10"/>
      <c r="F32" s="17"/>
      <c r="G32" s="16"/>
      <c r="H32" s="17"/>
      <c r="I32" s="16"/>
      <c r="J32" s="17"/>
      <c r="K32" s="16"/>
      <c r="L32" s="17"/>
      <c r="M32" s="16"/>
      <c r="N32" s="17"/>
      <c r="O32" s="16"/>
      <c r="P32" s="17"/>
      <c r="Q32" s="16"/>
      <c r="R32" s="17"/>
      <c r="T32" s="19">
        <f>-(B32+F32+H32+D32+J32+L32+N32+P32+R32)</f>
        <v>0</v>
      </c>
      <c r="U32"/>
      <c r="V32"/>
      <c r="W32"/>
    </row>
    <row r="33" spans="1:23" x14ac:dyDescent="0.2">
      <c r="A33" s="10"/>
      <c r="B33" s="16">
        <f>SUM(B29:B32)</f>
        <v>176040</v>
      </c>
      <c r="C33" s="10"/>
      <c r="D33" s="16">
        <f>SUM(D29:D32)</f>
        <v>2433</v>
      </c>
      <c r="E33" s="10"/>
      <c r="F33" s="16">
        <f>SUM(F29:F32)</f>
        <v>4491</v>
      </c>
      <c r="G33" s="16"/>
      <c r="H33" s="16">
        <f t="shared" ref="H33:T33" si="2">SUM(H29:H32)</f>
        <v>4803</v>
      </c>
      <c r="I33" s="16"/>
      <c r="J33" s="16">
        <f t="shared" si="2"/>
        <v>366549</v>
      </c>
      <c r="K33" s="16"/>
      <c r="L33" s="16">
        <f t="shared" si="2"/>
        <v>21390</v>
      </c>
      <c r="M33" s="16"/>
      <c r="N33" s="16">
        <f t="shared" si="2"/>
        <v>12534</v>
      </c>
      <c r="O33" s="16"/>
      <c r="P33" s="16">
        <f t="shared" si="2"/>
        <v>13221</v>
      </c>
      <c r="Q33" s="16"/>
      <c r="R33" s="16">
        <f t="shared" si="2"/>
        <v>22074</v>
      </c>
      <c r="S33" s="16"/>
      <c r="T33" s="16">
        <f t="shared" si="2"/>
        <v>-623535</v>
      </c>
      <c r="U33"/>
      <c r="V33"/>
      <c r="W33"/>
    </row>
    <row r="34" spans="1:23" x14ac:dyDescent="0.2">
      <c r="A34" s="10"/>
      <c r="B34" s="16"/>
      <c r="C34" s="10"/>
      <c r="D34" s="16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T34" s="38"/>
      <c r="U34"/>
      <c r="V34"/>
      <c r="W34"/>
    </row>
    <row r="35" spans="1:23" ht="13.5" thickBot="1" x14ac:dyDescent="0.25">
      <c r="A35" s="21" t="s">
        <v>17</v>
      </c>
      <c r="B35" s="65">
        <f>B33+B27+B21+B15</f>
        <v>704160</v>
      </c>
      <c r="C35" s="21"/>
      <c r="D35" s="65">
        <f>D33+D27+D21+D15</f>
        <v>9732</v>
      </c>
      <c r="E35" s="21"/>
      <c r="F35" s="65">
        <f>F33+F27+F21+F15</f>
        <v>17964</v>
      </c>
      <c r="G35" s="63"/>
      <c r="H35" s="65">
        <f>H33+H27+H21+H15</f>
        <v>19212</v>
      </c>
      <c r="I35" s="63"/>
      <c r="J35" s="65">
        <f>J33+J27+J21+J15</f>
        <v>1466196</v>
      </c>
      <c r="K35" s="64"/>
      <c r="L35" s="65">
        <f>L33+L27+L21+L15</f>
        <v>85560</v>
      </c>
      <c r="N35" s="65">
        <f>N33+N27+N21+N15</f>
        <v>50136</v>
      </c>
      <c r="P35" s="65">
        <f>P33+P27+P21+P15</f>
        <v>52884</v>
      </c>
      <c r="R35" s="65">
        <f>R33+R27+R21+R15</f>
        <v>88296</v>
      </c>
      <c r="T35" s="66">
        <f>-(B35+F35+H35+D35+J35+L35+N35+P35+R35)</f>
        <v>-2494140</v>
      </c>
      <c r="U35"/>
      <c r="V35"/>
      <c r="W35"/>
    </row>
    <row r="36" spans="1:23" s="129" customFormat="1" ht="13.5" thickTop="1" x14ac:dyDescent="0.2">
      <c r="A36" s="124"/>
      <c r="B36" s="125"/>
      <c r="C36" s="124"/>
      <c r="D36" s="125"/>
      <c r="E36" s="124"/>
      <c r="F36" s="125"/>
      <c r="G36" s="125"/>
      <c r="H36" s="125"/>
      <c r="I36" s="125"/>
      <c r="J36" s="130">
        <v>-1</v>
      </c>
      <c r="K36" s="126"/>
      <c r="L36" s="130">
        <v>-1</v>
      </c>
      <c r="M36" s="127"/>
      <c r="N36" s="130">
        <v>-1</v>
      </c>
      <c r="O36" s="127"/>
      <c r="P36" s="130">
        <v>-1</v>
      </c>
      <c r="Q36" s="127"/>
      <c r="R36" s="130">
        <v>-1</v>
      </c>
      <c r="S36" s="127"/>
      <c r="T36" s="128"/>
    </row>
    <row r="37" spans="1:23" x14ac:dyDescent="0.2">
      <c r="D37" s="49"/>
      <c r="E37" s="50"/>
      <c r="F37" s="49"/>
      <c r="G37" s="50"/>
      <c r="H37" s="49"/>
      <c r="I37" s="50"/>
      <c r="J37" s="59"/>
      <c r="K37" s="50"/>
      <c r="L37" s="49"/>
      <c r="M37" s="50"/>
      <c r="N37" s="49"/>
      <c r="O37" s="50"/>
      <c r="P37" s="49"/>
      <c r="Q37" s="50"/>
      <c r="R37" s="49"/>
      <c r="U37"/>
      <c r="V37"/>
      <c r="W37"/>
    </row>
    <row r="38" spans="1:23" s="58" customFormat="1" x14ac:dyDescent="0.2">
      <c r="A38" s="43"/>
      <c r="B38" s="118" t="s">
        <v>66</v>
      </c>
      <c r="C38" s="118"/>
      <c r="D38" s="118"/>
      <c r="E38" s="118"/>
      <c r="F38" s="118"/>
      <c r="G38" s="118"/>
      <c r="H38" s="118"/>
      <c r="J38" s="118" t="s">
        <v>67</v>
      </c>
      <c r="K38" s="118"/>
      <c r="L38" s="118"/>
      <c r="M38" s="95"/>
      <c r="N38" s="118" t="s">
        <v>68</v>
      </c>
      <c r="O38" s="118"/>
      <c r="P38" s="118"/>
    </row>
    <row r="39" spans="1:23" x14ac:dyDescent="0.2">
      <c r="B39" s="14" t="s">
        <v>55</v>
      </c>
      <c r="D39" s="14" t="s">
        <v>98</v>
      </c>
      <c r="F39" s="14" t="s">
        <v>18</v>
      </c>
      <c r="G39" s="4"/>
      <c r="H39" s="14"/>
      <c r="J39" s="14" t="s">
        <v>63</v>
      </c>
      <c r="K39" s="4"/>
      <c r="L39" s="14" t="s">
        <v>60</v>
      </c>
      <c r="M39" s="4"/>
      <c r="N39" s="14"/>
      <c r="O39" s="4"/>
      <c r="P39" s="14" t="s">
        <v>65</v>
      </c>
      <c r="Q39"/>
      <c r="R39"/>
      <c r="S39"/>
      <c r="T39"/>
      <c r="U39"/>
      <c r="V39"/>
      <c r="W39"/>
    </row>
    <row r="40" spans="1:23" x14ac:dyDescent="0.2">
      <c r="B40" s="14" t="s">
        <v>56</v>
      </c>
      <c r="D40" s="14" t="s">
        <v>56</v>
      </c>
      <c r="F40" s="14" t="s">
        <v>56</v>
      </c>
      <c r="G40" s="4"/>
      <c r="H40" s="14" t="s">
        <v>57</v>
      </c>
      <c r="J40" s="14" t="s">
        <v>62</v>
      </c>
      <c r="K40" s="4"/>
      <c r="L40" s="14" t="s">
        <v>61</v>
      </c>
      <c r="M40" s="4"/>
      <c r="N40" s="14"/>
      <c r="O40" s="4"/>
      <c r="P40" s="14"/>
      <c r="Q40"/>
      <c r="R40"/>
      <c r="S40"/>
      <c r="T40"/>
      <c r="U40"/>
      <c r="V40"/>
      <c r="W40"/>
    </row>
    <row r="41" spans="1:23" x14ac:dyDescent="0.2">
      <c r="B41" s="14"/>
      <c r="F41" s="14"/>
      <c r="G41" s="4"/>
      <c r="H41" s="14" t="s">
        <v>58</v>
      </c>
      <c r="J41" s="14"/>
      <c r="K41" s="4"/>
      <c r="L41" s="14"/>
      <c r="M41" s="4"/>
      <c r="N41" s="14"/>
      <c r="O41" s="4"/>
      <c r="P41" s="14"/>
      <c r="Q41"/>
      <c r="R41"/>
      <c r="S41"/>
      <c r="T41"/>
      <c r="U41"/>
      <c r="V41"/>
      <c r="W41"/>
    </row>
    <row r="42" spans="1:23" x14ac:dyDescent="0.2">
      <c r="B42" s="56" t="s">
        <v>104</v>
      </c>
      <c r="D42" s="56" t="s">
        <v>99</v>
      </c>
      <c r="F42" s="56" t="s">
        <v>103</v>
      </c>
      <c r="H42" s="56" t="s">
        <v>59</v>
      </c>
      <c r="J42" s="56" t="s">
        <v>96</v>
      </c>
      <c r="L42" s="56" t="s">
        <v>64</v>
      </c>
      <c r="N42" s="55">
        <v>228310</v>
      </c>
      <c r="O42" s="57"/>
      <c r="P42" s="55">
        <v>182357</v>
      </c>
      <c r="Q42"/>
      <c r="R42" s="55"/>
      <c r="S42"/>
      <c r="T42" s="55"/>
      <c r="U42"/>
      <c r="V42"/>
      <c r="W42"/>
    </row>
    <row r="43" spans="1:23" x14ac:dyDescent="0.2">
      <c r="B43" s="89"/>
      <c r="H43" s="90"/>
      <c r="J43" s="89"/>
      <c r="L43" s="90"/>
      <c r="N43" s="90"/>
      <c r="P43" s="90"/>
      <c r="Q43"/>
      <c r="R43"/>
      <c r="S43"/>
      <c r="T43"/>
      <c r="U43"/>
      <c r="V43"/>
      <c r="W43"/>
    </row>
    <row r="44" spans="1:23" s="2" customFormat="1" x14ac:dyDescent="0.2">
      <c r="A44" s="85" t="s">
        <v>4</v>
      </c>
      <c r="B44" s="105">
        <f>ROUND((Calculations!J11)-(('Data Entry Form'!$E$47)/12),0)</f>
        <v>14659</v>
      </c>
      <c r="C44" s="43"/>
      <c r="D44" s="105">
        <f>ROUND((Calculations!L11)-(('Data Entry Form'!$G$47)/12),0)</f>
        <v>2257</v>
      </c>
      <c r="F44" s="105">
        <f>ROUND((Calculations!N11)-(('Data Entry Form'!$I$47)/12),0)</f>
        <v>-2510</v>
      </c>
      <c r="G44" s="42"/>
      <c r="H44" s="42">
        <f>-SUM(B44:F44)</f>
        <v>-14406</v>
      </c>
      <c r="J44" s="105">
        <f>ROUND('Data Entry Form'!$E$55/12,0)</f>
        <v>25730</v>
      </c>
      <c r="K44" s="105"/>
      <c r="L44" s="105">
        <f t="shared" ref="L44" si="3">-J44</f>
        <v>-25730</v>
      </c>
      <c r="M44" s="105"/>
      <c r="N44" s="105">
        <f>ROUND('Data Entry Form'!$E$63/12,0)</f>
        <v>5250</v>
      </c>
      <c r="P44" s="105">
        <f t="shared" ref="P44" si="4">-N44</f>
        <v>-5250</v>
      </c>
      <c r="R44" s="105"/>
      <c r="T44" s="105"/>
    </row>
    <row r="45" spans="1:23" s="2" customFormat="1" x14ac:dyDescent="0.2">
      <c r="A45" s="85" t="s">
        <v>5</v>
      </c>
      <c r="B45" s="105">
        <f>ROUND((Calculations!J12)-(('Data Entry Form'!$E$47)/12),0)</f>
        <v>14659</v>
      </c>
      <c r="C45" s="43"/>
      <c r="D45" s="105">
        <f>ROUND((Calculations!L12)-(('Data Entry Form'!$G$47)/12),0)</f>
        <v>2257</v>
      </c>
      <c r="F45" s="105">
        <f>ROUND((Calculations!N12)-(('Data Entry Form'!$I$47)/12),0)</f>
        <v>-2510</v>
      </c>
      <c r="G45" s="42"/>
      <c r="H45" s="42">
        <f>-SUM(B45:F45)</f>
        <v>-14406</v>
      </c>
      <c r="J45" s="105">
        <f>ROUND('Data Entry Form'!$E$55/12,0)</f>
        <v>25730</v>
      </c>
      <c r="K45" s="105"/>
      <c r="L45" s="105">
        <f t="shared" ref="L45:L46" si="5">-J45</f>
        <v>-25730</v>
      </c>
      <c r="M45" s="105"/>
      <c r="N45" s="105">
        <f>ROUND('Data Entry Form'!$E$63/12,0)</f>
        <v>5250</v>
      </c>
      <c r="P45" s="105">
        <f t="shared" ref="P45:P64" si="6">-N45</f>
        <v>-5250</v>
      </c>
      <c r="R45" s="105"/>
      <c r="T45" s="105"/>
    </row>
    <row r="46" spans="1:23" s="2" customFormat="1" x14ac:dyDescent="0.2">
      <c r="A46" s="85" t="s">
        <v>6</v>
      </c>
      <c r="B46" s="105">
        <f>ROUND((Calculations!J13)-(('Data Entry Form'!$E$47)/12),0)</f>
        <v>14659</v>
      </c>
      <c r="C46" s="43"/>
      <c r="D46" s="105">
        <f>ROUND((Calculations!L13)-(('Data Entry Form'!$G$47)/12),0)</f>
        <v>2257</v>
      </c>
      <c r="F46" s="105">
        <f>ROUND((Calculations!N13)-(('Data Entry Form'!$I$47)/12),0)</f>
        <v>-2510</v>
      </c>
      <c r="G46" s="42"/>
      <c r="H46" s="42">
        <f>-SUM(B46:F46)</f>
        <v>-14406</v>
      </c>
      <c r="J46" s="105">
        <f>ROUND('Data Entry Form'!$E$55/12,0)</f>
        <v>25730</v>
      </c>
      <c r="K46" s="105"/>
      <c r="L46" s="105">
        <f t="shared" si="5"/>
        <v>-25730</v>
      </c>
      <c r="M46" s="105"/>
      <c r="N46" s="105">
        <f>ROUND('Data Entry Form'!$E$63/12,0)</f>
        <v>5250</v>
      </c>
      <c r="P46" s="105">
        <f t="shared" si="6"/>
        <v>-5250</v>
      </c>
      <c r="R46" s="4"/>
      <c r="T46" s="4"/>
    </row>
    <row r="47" spans="1:23" x14ac:dyDescent="0.2">
      <c r="A47" s="10" t="s">
        <v>27</v>
      </c>
      <c r="B47" s="74"/>
      <c r="C47" s="43"/>
      <c r="D47" s="1"/>
      <c r="F47" s="1"/>
      <c r="G47" s="42"/>
      <c r="H47" s="75"/>
      <c r="J47" s="75"/>
      <c r="K47" s="4"/>
      <c r="L47" s="8"/>
      <c r="M47" s="4"/>
      <c r="N47" s="8"/>
      <c r="P47" s="8"/>
      <c r="Q47"/>
      <c r="R47" s="8"/>
      <c r="S47"/>
      <c r="T47" s="8"/>
      <c r="U47"/>
      <c r="V47"/>
      <c r="W47"/>
    </row>
    <row r="48" spans="1:23" x14ac:dyDescent="0.2">
      <c r="A48" s="10"/>
      <c r="B48" s="4">
        <f>SUM(B44:B47)</f>
        <v>43977</v>
      </c>
      <c r="D48" s="4">
        <f>SUM(D44:D47)</f>
        <v>6771</v>
      </c>
      <c r="F48" s="4">
        <f>SUM(F44:F47)</f>
        <v>-7530</v>
      </c>
      <c r="G48" s="4"/>
      <c r="H48" s="4">
        <f>SUM(H44:H47)</f>
        <v>-43218</v>
      </c>
      <c r="J48" s="4">
        <f>SUM(J44:J47)</f>
        <v>77190</v>
      </c>
      <c r="K48" s="4"/>
      <c r="L48" s="4">
        <f>SUM(L44:L47)</f>
        <v>-77190</v>
      </c>
      <c r="M48" s="4"/>
      <c r="N48" s="4">
        <f>SUM(N44:N47)</f>
        <v>15750</v>
      </c>
      <c r="P48" s="4">
        <f>SUM(P44:P47)</f>
        <v>-15750</v>
      </c>
      <c r="Q48"/>
      <c r="R48" s="4"/>
      <c r="S48"/>
      <c r="T48" s="4"/>
      <c r="U48"/>
      <c r="V48"/>
      <c r="W48"/>
    </row>
    <row r="49" spans="1:23" x14ac:dyDescent="0.2">
      <c r="A49" s="10"/>
      <c r="G49" s="4"/>
      <c r="H49" s="4"/>
      <c r="J49" s="4"/>
      <c r="K49" s="4"/>
      <c r="L49" s="4"/>
      <c r="M49" s="4"/>
      <c r="N49" s="4"/>
      <c r="P49" s="4"/>
      <c r="Q49"/>
      <c r="R49" s="4"/>
      <c r="S49"/>
      <c r="T49" s="4"/>
      <c r="U49"/>
      <c r="V49"/>
      <c r="W49"/>
    </row>
    <row r="50" spans="1:23" s="2" customFormat="1" x14ac:dyDescent="0.2">
      <c r="A50" s="85" t="s">
        <v>7</v>
      </c>
      <c r="B50" s="105">
        <f>ROUND((Calculations!J17)-(('Data Entry Form'!$E$47)/12),0)</f>
        <v>14659</v>
      </c>
      <c r="D50" s="105">
        <f>ROUND((Calculations!L17)-(('Data Entry Form'!$G$47)/12),0)</f>
        <v>2257</v>
      </c>
      <c r="F50" s="105">
        <f>ROUND((Calculations!N17)-(('Data Entry Form'!$I$47)/12),0)</f>
        <v>-2510</v>
      </c>
      <c r="G50" s="105"/>
      <c r="H50" s="42">
        <f>-SUM(B50:F50)</f>
        <v>-14406</v>
      </c>
      <c r="J50" s="105">
        <f>ROUND('Data Entry Form'!$E$55/12,0)</f>
        <v>25730</v>
      </c>
      <c r="K50" s="105"/>
      <c r="L50" s="105">
        <f t="shared" ref="L50:L64" si="7">-J50</f>
        <v>-25730</v>
      </c>
      <c r="M50" s="105"/>
      <c r="N50" s="105">
        <f>ROUND('Data Entry Form'!$E$63/12,0)</f>
        <v>5250</v>
      </c>
      <c r="P50" s="105">
        <f t="shared" si="6"/>
        <v>-5250</v>
      </c>
      <c r="R50" s="105"/>
      <c r="T50" s="105"/>
    </row>
    <row r="51" spans="1:23" s="2" customFormat="1" x14ac:dyDescent="0.2">
      <c r="A51" s="85" t="s">
        <v>8</v>
      </c>
      <c r="B51" s="105">
        <f>ROUND((Calculations!J18)-(('Data Entry Form'!$E$47)/12),0)</f>
        <v>14659</v>
      </c>
      <c r="D51" s="105">
        <f>ROUND((Calculations!L18)-(('Data Entry Form'!$G$47)/12),0)</f>
        <v>2257</v>
      </c>
      <c r="F51" s="105">
        <f>ROUND((Calculations!N18)-(('Data Entry Form'!$I$47)/12),0)</f>
        <v>-2510</v>
      </c>
      <c r="G51" s="105"/>
      <c r="H51" s="42">
        <f>-SUM(B51:F51)</f>
        <v>-14406</v>
      </c>
      <c r="J51" s="105">
        <f>ROUND('Data Entry Form'!$E$55/12,0)</f>
        <v>25730</v>
      </c>
      <c r="K51" s="105"/>
      <c r="L51" s="105">
        <f t="shared" si="7"/>
        <v>-25730</v>
      </c>
      <c r="M51" s="105"/>
      <c r="N51" s="105">
        <f>ROUND('Data Entry Form'!$E$63/12,0)</f>
        <v>5250</v>
      </c>
      <c r="P51" s="105">
        <f t="shared" si="6"/>
        <v>-5250</v>
      </c>
      <c r="R51" s="105"/>
      <c r="T51" s="105"/>
    </row>
    <row r="52" spans="1:23" x14ac:dyDescent="0.2">
      <c r="A52" s="85" t="s">
        <v>9</v>
      </c>
      <c r="B52" s="105">
        <f>ROUND((Calculations!J19)-(('Data Entry Form'!$E$47)/12),0)</f>
        <v>14659</v>
      </c>
      <c r="D52" s="105">
        <f>ROUND((Calculations!L19)-(('Data Entry Form'!$G$47)/12),0)</f>
        <v>2257</v>
      </c>
      <c r="F52" s="105">
        <f>ROUND((Calculations!N19)-(('Data Entry Form'!$I$47)/12),0)</f>
        <v>-2510</v>
      </c>
      <c r="G52" s="105"/>
      <c r="H52" s="42">
        <f>-SUM(B52:F52)</f>
        <v>-14406</v>
      </c>
      <c r="J52" s="105">
        <f>ROUND('Data Entry Form'!$E$55/12,0)</f>
        <v>25730</v>
      </c>
      <c r="K52" s="105"/>
      <c r="L52" s="105">
        <f t="shared" si="7"/>
        <v>-25730</v>
      </c>
      <c r="M52" s="105"/>
      <c r="N52" s="105">
        <f>ROUND('Data Entry Form'!$E$63/12,0)</f>
        <v>5250</v>
      </c>
      <c r="P52" s="105">
        <f t="shared" si="6"/>
        <v>-5250</v>
      </c>
      <c r="R52" s="4"/>
      <c r="T52" s="4"/>
      <c r="U52"/>
      <c r="V52"/>
      <c r="W52"/>
    </row>
    <row r="53" spans="1:23" x14ac:dyDescent="0.2">
      <c r="A53" s="85" t="s">
        <v>28</v>
      </c>
      <c r="B53" s="75"/>
      <c r="C53" s="43"/>
      <c r="D53" s="75"/>
      <c r="F53" s="75"/>
      <c r="G53" s="42"/>
      <c r="H53" s="75"/>
      <c r="J53" s="75"/>
      <c r="K53" s="42"/>
      <c r="L53" s="75"/>
      <c r="M53" s="42"/>
      <c r="N53" s="75"/>
      <c r="O53" s="43"/>
      <c r="P53" s="75"/>
      <c r="Q53"/>
      <c r="R53" s="75"/>
      <c r="S53"/>
      <c r="T53" s="8"/>
      <c r="U53"/>
      <c r="V53"/>
      <c r="W53"/>
    </row>
    <row r="54" spans="1:23" x14ac:dyDescent="0.2">
      <c r="A54" s="10"/>
      <c r="B54" s="4">
        <f>SUM(B50:B53)</f>
        <v>43977</v>
      </c>
      <c r="D54" s="4">
        <f>SUM(D50:D53)</f>
        <v>6771</v>
      </c>
      <c r="F54" s="4">
        <f>SUM(F50:F53)</f>
        <v>-7530</v>
      </c>
      <c r="G54" s="4"/>
      <c r="H54" s="4">
        <f>SUM(H50:H53)</f>
        <v>-43218</v>
      </c>
      <c r="J54" s="4">
        <f>SUM(J50:J53)</f>
        <v>77190</v>
      </c>
      <c r="K54" s="4"/>
      <c r="L54" s="4">
        <f>SUM(L50:L53)</f>
        <v>-77190</v>
      </c>
      <c r="M54" s="4"/>
      <c r="N54" s="4">
        <f>SUM(N50:N53)</f>
        <v>15750</v>
      </c>
      <c r="P54" s="4">
        <f>SUM(P50:P53)</f>
        <v>-15750</v>
      </c>
      <c r="Q54"/>
      <c r="R54" s="4"/>
      <c r="S54"/>
      <c r="T54" s="4"/>
      <c r="U54"/>
      <c r="V54"/>
      <c r="W54"/>
    </row>
    <row r="55" spans="1:23" x14ac:dyDescent="0.2">
      <c r="A55" s="10"/>
      <c r="G55" s="4"/>
      <c r="H55" s="4"/>
      <c r="J55" s="4"/>
      <c r="K55" s="4"/>
      <c r="L55" s="4"/>
      <c r="M55" s="4"/>
      <c r="N55" s="4"/>
      <c r="P55" s="4"/>
      <c r="Q55"/>
      <c r="R55" s="4"/>
      <c r="S55"/>
      <c r="T55" s="4"/>
      <c r="U55"/>
      <c r="V55"/>
      <c r="W55"/>
    </row>
    <row r="56" spans="1:23" s="2" customFormat="1" x14ac:dyDescent="0.2">
      <c r="A56" s="85" t="s">
        <v>10</v>
      </c>
      <c r="B56" s="105">
        <f>ROUND((Calculations!J23)-(('Data Entry Form'!$E$47)/12),0)</f>
        <v>14659</v>
      </c>
      <c r="D56" s="105">
        <f>ROUND((Calculations!L23)-(('Data Entry Form'!$G$47)/12),0)</f>
        <v>2257</v>
      </c>
      <c r="F56" s="105">
        <f>ROUND((Calculations!N23)-(('Data Entry Form'!$I$47)/12),0)</f>
        <v>-2510</v>
      </c>
      <c r="G56" s="105"/>
      <c r="H56" s="42">
        <f>-SUM(B56:F56)</f>
        <v>-14406</v>
      </c>
      <c r="J56" s="105">
        <f>ROUND('Data Entry Form'!$E$55/12,0)</f>
        <v>25730</v>
      </c>
      <c r="K56" s="105"/>
      <c r="L56" s="105">
        <f t="shared" si="7"/>
        <v>-25730</v>
      </c>
      <c r="M56" s="105"/>
      <c r="N56" s="105">
        <f>ROUND('Data Entry Form'!$E$63/12,0)</f>
        <v>5250</v>
      </c>
      <c r="P56" s="105">
        <f t="shared" si="6"/>
        <v>-5250</v>
      </c>
      <c r="R56" s="4"/>
      <c r="T56" s="4"/>
    </row>
    <row r="57" spans="1:23" x14ac:dyDescent="0.2">
      <c r="A57" s="85" t="s">
        <v>11</v>
      </c>
      <c r="B57" s="105">
        <f>ROUND((Calculations!J24)-(('Data Entry Form'!$E$47)/12),0)</f>
        <v>14659</v>
      </c>
      <c r="D57" s="105">
        <f>ROUND((Calculations!L24)-(('Data Entry Form'!$G$47)/12),0)</f>
        <v>2257</v>
      </c>
      <c r="F57" s="105">
        <f>ROUND((Calculations!N24)-(('Data Entry Form'!$I$47)/12),0)</f>
        <v>-2510</v>
      </c>
      <c r="G57" s="105"/>
      <c r="H57" s="42">
        <f>-SUM(B57:F57)</f>
        <v>-14406</v>
      </c>
      <c r="J57" s="105">
        <f>ROUND('Data Entry Form'!$E$55/12,0)</f>
        <v>25730</v>
      </c>
      <c r="K57" s="105"/>
      <c r="L57" s="105">
        <f t="shared" si="7"/>
        <v>-25730</v>
      </c>
      <c r="M57" s="105"/>
      <c r="N57" s="105">
        <f>ROUND('Data Entry Form'!$E$63/12,0)</f>
        <v>5250</v>
      </c>
      <c r="P57" s="105">
        <f t="shared" si="6"/>
        <v>-5250</v>
      </c>
      <c r="R57" s="4"/>
      <c r="T57" s="4"/>
      <c r="U57"/>
      <c r="V57"/>
      <c r="W57"/>
    </row>
    <row r="58" spans="1:23" s="2" customFormat="1" x14ac:dyDescent="0.2">
      <c r="A58" s="85" t="s">
        <v>12</v>
      </c>
      <c r="B58" s="105">
        <f>ROUND((Calculations!J25)-(('Data Entry Form'!$O$49)/12),0)</f>
        <v>-49823</v>
      </c>
      <c r="D58" s="105">
        <f>ROUND((Calculations!L25)-(('Data Entry Form'!$G$47)/12),0)</f>
        <v>2736</v>
      </c>
      <c r="F58" s="105">
        <f>ROUND((Calculations!N25)-(('Data Entry Form'!$I$47)/12),0)</f>
        <v>-2230</v>
      </c>
      <c r="G58" s="105"/>
      <c r="H58" s="42">
        <f>-SUM(B58:F58)</f>
        <v>49317</v>
      </c>
      <c r="J58" s="105">
        <f>ROUND('Data Entry Form'!$O$54/12,0)</f>
        <v>13381</v>
      </c>
      <c r="K58" s="105"/>
      <c r="L58" s="105">
        <f t="shared" si="7"/>
        <v>-13381</v>
      </c>
      <c r="M58" s="105"/>
      <c r="N58" s="105">
        <f>ROUND('Data Entry Form'!$K$63/12,0)</f>
        <v>13451</v>
      </c>
      <c r="P58" s="105">
        <f t="shared" si="6"/>
        <v>-13451</v>
      </c>
      <c r="R58" s="105"/>
      <c r="T58" s="105"/>
    </row>
    <row r="59" spans="1:23" s="2" customFormat="1" x14ac:dyDescent="0.2">
      <c r="A59" s="85" t="s">
        <v>29</v>
      </c>
      <c r="B59" s="116">
        <v>65589</v>
      </c>
      <c r="D59" s="116">
        <f>(D58-D57)*8</f>
        <v>3832</v>
      </c>
      <c r="F59" s="116">
        <f>(F58-F57)*8</f>
        <v>2240</v>
      </c>
      <c r="G59" s="105"/>
      <c r="H59" s="8">
        <f>-SUM(B59:F59)</f>
        <v>-71661</v>
      </c>
      <c r="J59" s="8"/>
      <c r="K59" s="105"/>
      <c r="L59" s="8">
        <f t="shared" si="7"/>
        <v>0</v>
      </c>
      <c r="M59" s="105"/>
      <c r="N59" s="8">
        <f>(N58-N57)*8</f>
        <v>65608</v>
      </c>
      <c r="P59" s="8">
        <f t="shared" si="6"/>
        <v>-65608</v>
      </c>
      <c r="R59" s="8"/>
      <c r="T59" s="8"/>
    </row>
    <row r="60" spans="1:23" x14ac:dyDescent="0.2">
      <c r="A60" s="10"/>
      <c r="B60" s="4">
        <f>SUM(B56:B59)</f>
        <v>45084</v>
      </c>
      <c r="D60" s="4">
        <f>SUM(D56:D59)</f>
        <v>11082</v>
      </c>
      <c r="F60" s="4">
        <f>SUM(F56:F59)</f>
        <v>-5010</v>
      </c>
      <c r="G60" s="4"/>
      <c r="H60" s="4">
        <f>SUM(H56:H59)</f>
        <v>-51156</v>
      </c>
      <c r="J60" s="4">
        <f>SUM(J56:J59)</f>
        <v>64841</v>
      </c>
      <c r="K60" s="4"/>
      <c r="L60" s="4">
        <f>SUM(L56:L59)</f>
        <v>-64841</v>
      </c>
      <c r="M60" s="4"/>
      <c r="N60" s="4">
        <f>SUM(N56:N59)</f>
        <v>89559</v>
      </c>
      <c r="P60" s="4">
        <f>SUM(P56:P59)</f>
        <v>-89559</v>
      </c>
      <c r="Q60"/>
      <c r="R60" s="4"/>
      <c r="S60"/>
      <c r="T60" s="4"/>
      <c r="U60"/>
      <c r="V60"/>
      <c r="W60"/>
    </row>
    <row r="61" spans="1:23" x14ac:dyDescent="0.2">
      <c r="A61" s="10"/>
      <c r="G61" s="4"/>
      <c r="H61" s="4"/>
      <c r="J61" s="4"/>
      <c r="K61" s="4"/>
      <c r="L61" s="4"/>
      <c r="M61" s="4"/>
      <c r="N61" s="4"/>
      <c r="P61" s="4"/>
      <c r="Q61"/>
      <c r="R61" s="4"/>
      <c r="S61"/>
      <c r="T61" s="4"/>
      <c r="U61"/>
      <c r="V61"/>
      <c r="W61"/>
    </row>
    <row r="62" spans="1:23" s="2" customFormat="1" x14ac:dyDescent="0.2">
      <c r="A62" s="85" t="s">
        <v>13</v>
      </c>
      <c r="B62" s="105">
        <f>ROUND((Calculations!J29)-(('Data Entry Form'!$K$47)/12),0)</f>
        <v>-105402</v>
      </c>
      <c r="D62" s="105">
        <f>ROUND((Calculations!L29)-(('Data Entry Form'!$G$47)/12),0)</f>
        <v>2736</v>
      </c>
      <c r="F62" s="105">
        <f>ROUND((Calculations!N29)-(('Data Entry Form'!$I$47)/12),0)</f>
        <v>-2230</v>
      </c>
      <c r="G62" s="105"/>
      <c r="H62" s="42">
        <f>-SUM(B62:F62)</f>
        <v>104896</v>
      </c>
      <c r="J62" s="105">
        <f>ROUND('Data Entry Form'!$K$55/12,0)</f>
        <v>3938</v>
      </c>
      <c r="K62" s="105"/>
      <c r="L62" s="105">
        <f t="shared" si="7"/>
        <v>-3938</v>
      </c>
      <c r="M62" s="105"/>
      <c r="N62" s="105">
        <f>ROUND('Data Entry Form'!$K$63/12,0)</f>
        <v>13451</v>
      </c>
      <c r="P62" s="105">
        <f t="shared" si="6"/>
        <v>-13451</v>
      </c>
      <c r="R62" s="105"/>
      <c r="T62" s="105"/>
    </row>
    <row r="63" spans="1:23" s="2" customFormat="1" x14ac:dyDescent="0.2">
      <c r="A63" s="85" t="s">
        <v>14</v>
      </c>
      <c r="B63" s="105">
        <f>ROUND((Calculations!J30)-(('Data Entry Form'!$K$47)/12),0)</f>
        <v>-105402</v>
      </c>
      <c r="D63" s="105">
        <f>ROUND((Calculations!L30)-(('Data Entry Form'!$G$47)/12),0)</f>
        <v>2736</v>
      </c>
      <c r="F63" s="105">
        <f>ROUND((Calculations!N30)-(('Data Entry Form'!$I$47)/12),0)</f>
        <v>-2230</v>
      </c>
      <c r="G63" s="105"/>
      <c r="H63" s="42">
        <f>-SUM(B63:F63)</f>
        <v>104896</v>
      </c>
      <c r="J63" s="105">
        <f>ROUND('Data Entry Form'!$K$55/12,0)</f>
        <v>3938</v>
      </c>
      <c r="K63" s="105"/>
      <c r="L63" s="105">
        <f t="shared" si="7"/>
        <v>-3938</v>
      </c>
      <c r="M63" s="105"/>
      <c r="N63" s="105">
        <f>ROUND('Data Entry Form'!$K$63/12,0)</f>
        <v>13451</v>
      </c>
      <c r="P63" s="105">
        <f t="shared" si="6"/>
        <v>-13451</v>
      </c>
      <c r="R63" s="4"/>
      <c r="T63" s="4"/>
    </row>
    <row r="64" spans="1:23" s="2" customFormat="1" x14ac:dyDescent="0.2">
      <c r="A64" s="85" t="s">
        <v>15</v>
      </c>
      <c r="B64" s="105">
        <f>ROUND((Calculations!J31)-(('Data Entry Form'!$K$47)/12),0)</f>
        <v>-105402</v>
      </c>
      <c r="D64" s="105">
        <f>ROUND((Calculations!L31)-(('Data Entry Form'!$G$47)/12),0)</f>
        <v>2736</v>
      </c>
      <c r="F64" s="105">
        <f>ROUND((Calculations!N31)-(('Data Entry Form'!$I$47)/12),0)</f>
        <v>-2230</v>
      </c>
      <c r="G64" s="105"/>
      <c r="H64" s="42">
        <f>-SUM(B64:F64)</f>
        <v>104896</v>
      </c>
      <c r="J64" s="105">
        <f>ROUND('Data Entry Form'!$K$55/12,0)</f>
        <v>3938</v>
      </c>
      <c r="K64" s="105"/>
      <c r="L64" s="105">
        <f t="shared" si="7"/>
        <v>-3938</v>
      </c>
      <c r="M64" s="105"/>
      <c r="N64" s="105">
        <f>ROUND('Data Entry Form'!$K$63/12,0)</f>
        <v>13451</v>
      </c>
      <c r="P64" s="105">
        <f t="shared" si="6"/>
        <v>-13451</v>
      </c>
      <c r="R64" s="105"/>
      <c r="T64" s="105"/>
    </row>
    <row r="65" spans="1:23" x14ac:dyDescent="0.2">
      <c r="A65" s="10" t="s">
        <v>30</v>
      </c>
      <c r="B65" s="1"/>
      <c r="D65" s="1"/>
      <c r="F65" s="1"/>
      <c r="G65" s="4"/>
      <c r="H65" s="8"/>
      <c r="J65" s="8"/>
      <c r="K65" s="4"/>
      <c r="L65" s="8"/>
      <c r="M65" s="4"/>
      <c r="N65" s="8"/>
      <c r="P65" s="8"/>
      <c r="Q65"/>
      <c r="R65" s="8"/>
      <c r="S65"/>
      <c r="T65" s="8"/>
      <c r="U65"/>
      <c r="V65"/>
      <c r="W65"/>
    </row>
    <row r="66" spans="1:23" x14ac:dyDescent="0.2">
      <c r="A66" s="10"/>
      <c r="B66" s="4">
        <f>SUM(B62:B65)</f>
        <v>-316206</v>
      </c>
      <c r="D66" s="4">
        <f>SUM(D62:D65)</f>
        <v>8208</v>
      </c>
      <c r="F66" s="4">
        <f>SUM(F62:F65)</f>
        <v>-6690</v>
      </c>
      <c r="G66" s="4"/>
      <c r="H66" s="4">
        <f>SUM(H62:H65)</f>
        <v>314688</v>
      </c>
      <c r="J66" s="4">
        <f>SUM(J62:J65)</f>
        <v>11814</v>
      </c>
      <c r="K66" s="4"/>
      <c r="L66" s="4">
        <f>SUM(L62:L65)</f>
        <v>-11814</v>
      </c>
      <c r="M66" s="4"/>
      <c r="N66" s="4">
        <f>SUM(N62:N65)</f>
        <v>40353</v>
      </c>
      <c r="P66" s="4">
        <f>SUM(P62:P65)</f>
        <v>-40353</v>
      </c>
      <c r="Q66"/>
      <c r="R66" s="4"/>
      <c r="S66"/>
      <c r="T66" s="4"/>
      <c r="U66"/>
      <c r="V66"/>
      <c r="W66"/>
    </row>
    <row r="67" spans="1:23" x14ac:dyDescent="0.2">
      <c r="A67" s="10"/>
      <c r="G67" s="4"/>
      <c r="H67" s="4"/>
      <c r="J67" s="4"/>
      <c r="K67" s="4"/>
      <c r="L67" s="4"/>
      <c r="M67" s="4"/>
      <c r="N67" s="4"/>
      <c r="Q67"/>
      <c r="S67"/>
      <c r="U67"/>
      <c r="V67"/>
      <c r="W67"/>
    </row>
    <row r="68" spans="1:23" x14ac:dyDescent="0.2">
      <c r="A68" s="21" t="s">
        <v>17</v>
      </c>
      <c r="B68" s="54">
        <f>(B48+B54+B60+B66)</f>
        <v>-183168</v>
      </c>
      <c r="C68" s="62"/>
      <c r="D68" s="54">
        <f>(D48+D54+D60+D66)</f>
        <v>32832</v>
      </c>
      <c r="F68" s="54">
        <f>(F48+F54+F60+F66)</f>
        <v>-26760</v>
      </c>
      <c r="G68" s="4"/>
      <c r="H68" s="54">
        <f>(H48+H54+H60+H66)</f>
        <v>177096</v>
      </c>
      <c r="J68" s="54">
        <f>(J48+J54+J60+J66)</f>
        <v>231035</v>
      </c>
      <c r="K68" s="4"/>
      <c r="L68" s="54">
        <f>(L48+L54+L60+L66)</f>
        <v>-231035</v>
      </c>
      <c r="M68" s="4"/>
      <c r="N68" s="54">
        <f>(N48+N54+N60+N66)</f>
        <v>161412</v>
      </c>
      <c r="P68" s="54">
        <f>(P48+P54+P60+P66)</f>
        <v>-161412</v>
      </c>
      <c r="Q68"/>
      <c r="R68" s="54"/>
      <c r="S68"/>
      <c r="T68" s="54"/>
      <c r="U68"/>
      <c r="V68"/>
      <c r="W68"/>
    </row>
    <row r="69" spans="1:23" x14ac:dyDescent="0.2">
      <c r="G69" s="4"/>
      <c r="H69" s="130">
        <v>-1</v>
      </c>
      <c r="I69" s="4"/>
      <c r="J69" s="4"/>
      <c r="K69" s="4"/>
      <c r="L69" s="130">
        <v>-1</v>
      </c>
      <c r="M69" s="4"/>
      <c r="N69" s="4"/>
      <c r="O69" s="4"/>
      <c r="P69" s="4"/>
      <c r="U69"/>
      <c r="V69"/>
      <c r="W69"/>
    </row>
    <row r="70" spans="1:23" x14ac:dyDescent="0.2"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23" x14ac:dyDescent="0.2">
      <c r="A71" s="122" t="s">
        <v>110</v>
      </c>
      <c r="B71" s="123">
        <f>SUM(J35:R35,H68,L68)</f>
        <v>1689133</v>
      </c>
      <c r="C71" s="131" t="s">
        <v>111</v>
      </c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23" x14ac:dyDescent="0.2">
      <c r="J72" s="4"/>
      <c r="L72" s="4"/>
      <c r="M72" s="4"/>
      <c r="N72" s="4"/>
      <c r="O72" s="4"/>
      <c r="P72" s="4"/>
      <c r="Q72" s="4"/>
      <c r="R72" s="4"/>
      <c r="S72" s="4"/>
    </row>
    <row r="73" spans="1:23" x14ac:dyDescent="0.2">
      <c r="K73" s="4"/>
      <c r="L73" s="4"/>
      <c r="M73" s="4"/>
      <c r="N73" s="4"/>
      <c r="O73" s="4"/>
      <c r="P73" s="4"/>
      <c r="Q73" s="4"/>
      <c r="R73" s="4"/>
      <c r="S73" s="4"/>
    </row>
    <row r="74" spans="1:23" x14ac:dyDescent="0.2">
      <c r="H74" s="61"/>
      <c r="I74" s="60"/>
      <c r="J74" s="4"/>
      <c r="L74" s="4"/>
      <c r="M74" s="4"/>
      <c r="N74" s="4"/>
      <c r="O74" s="4"/>
      <c r="P74" s="4"/>
      <c r="Q74" s="4"/>
      <c r="R74" s="4"/>
      <c r="S74" s="4"/>
    </row>
    <row r="75" spans="1:23" x14ac:dyDescent="0.2">
      <c r="H75" s="61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23" x14ac:dyDescent="0.2">
      <c r="H76" s="61"/>
      <c r="I76" s="62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23" x14ac:dyDescent="0.2">
      <c r="J77" s="4"/>
      <c r="K77" s="4"/>
      <c r="L77" s="4"/>
      <c r="M77" s="4"/>
      <c r="N77" s="4"/>
      <c r="O77" s="4"/>
      <c r="P77" s="4"/>
      <c r="Q77" s="4"/>
      <c r="R77" s="4"/>
      <c r="S77" s="4"/>
    </row>
  </sheetData>
  <mergeCells count="4">
    <mergeCell ref="N38:P38"/>
    <mergeCell ref="B38:H38"/>
    <mergeCell ref="D3:T3"/>
    <mergeCell ref="J38:L38"/>
  </mergeCells>
  <phoneticPr fontId="2" type="noConversion"/>
  <pageMargins left="0.75" right="0.75" top="0.71" bottom="0.61" header="0.37" footer="0.39"/>
  <pageSetup scale="55" orientation="landscape" r:id="rId1"/>
  <headerFooter alignWithMargins="0">
    <oddHeader>&amp;CEDE
FAS 106 &amp;A
December 31, 2016</oddHead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S64"/>
  <sheetViews>
    <sheetView workbookViewId="0">
      <selection activeCell="E35" sqref="E35"/>
    </sheetView>
  </sheetViews>
  <sheetFormatPr defaultRowHeight="12.75" x14ac:dyDescent="0.2"/>
  <cols>
    <col min="1" max="1" width="5.42578125" bestFit="1" customWidth="1"/>
    <col min="2" max="2" width="2.140625" bestFit="1" customWidth="1"/>
    <col min="3" max="3" width="33.7109375" customWidth="1"/>
    <col min="4" max="4" width="1.7109375" customWidth="1"/>
    <col min="5" max="5" width="12.140625" style="3" bestFit="1" customWidth="1"/>
    <col min="6" max="6" width="2.7109375" style="28" customWidth="1"/>
    <col min="7" max="7" width="11.28515625" customWidth="1"/>
    <col min="8" max="8" width="1.7109375" customWidth="1"/>
    <col min="9" max="9" width="11.28515625" customWidth="1"/>
    <col min="10" max="10" width="2.7109375" style="31" customWidth="1"/>
    <col min="11" max="11" width="13.42578125" bestFit="1" customWidth="1"/>
    <col min="12" max="12" width="2.7109375" customWidth="1"/>
    <col min="13" max="13" width="13.42578125" bestFit="1" customWidth="1"/>
    <col min="14" max="14" width="14.7109375" bestFit="1" customWidth="1"/>
    <col min="15" max="15" width="12.85546875" bestFit="1" customWidth="1"/>
    <col min="17" max="17" width="13.5703125" bestFit="1" customWidth="1"/>
    <col min="19" max="19" width="12.85546875" bestFit="1" customWidth="1"/>
  </cols>
  <sheetData>
    <row r="7" spans="3:8" x14ac:dyDescent="0.2">
      <c r="C7" s="9" t="s">
        <v>31</v>
      </c>
      <c r="D7" s="9"/>
      <c r="E7" s="3" t="s">
        <v>32</v>
      </c>
      <c r="F7" s="77"/>
      <c r="G7" s="75">
        <v>2327000</v>
      </c>
      <c r="H7" s="42"/>
    </row>
    <row r="8" spans="3:8" x14ac:dyDescent="0.2">
      <c r="E8" s="3" t="s">
        <v>33</v>
      </c>
      <c r="F8" s="78"/>
      <c r="G8" s="75">
        <v>2327000</v>
      </c>
      <c r="H8" s="42"/>
    </row>
    <row r="9" spans="3:8" x14ac:dyDescent="0.2">
      <c r="E9" s="3" t="s">
        <v>34</v>
      </c>
      <c r="F9" s="78"/>
      <c r="G9" s="75">
        <v>2327000</v>
      </c>
      <c r="H9" s="42"/>
    </row>
    <row r="10" spans="3:8" x14ac:dyDescent="0.2">
      <c r="E10" s="3" t="s">
        <v>35</v>
      </c>
      <c r="F10" s="78"/>
      <c r="G10" s="75">
        <v>2327000</v>
      </c>
      <c r="H10" s="42"/>
    </row>
    <row r="11" spans="3:8" x14ac:dyDescent="0.2">
      <c r="E11" s="3" t="s">
        <v>36</v>
      </c>
      <c r="F11" s="78"/>
      <c r="G11" s="75">
        <v>2327000</v>
      </c>
      <c r="H11" s="42"/>
    </row>
    <row r="12" spans="3:8" x14ac:dyDescent="0.2">
      <c r="E12" s="3" t="s">
        <v>37</v>
      </c>
      <c r="F12" s="78"/>
      <c r="G12" s="75">
        <v>2327000</v>
      </c>
      <c r="H12" s="42"/>
    </row>
    <row r="13" spans="3:8" x14ac:dyDescent="0.2">
      <c r="E13" s="3" t="s">
        <v>38</v>
      </c>
      <c r="F13" s="78"/>
      <c r="G13" s="75">
        <v>2327000</v>
      </c>
      <c r="H13" s="42"/>
    </row>
    <row r="14" spans="3:8" x14ac:dyDescent="0.2">
      <c r="E14" s="3" t="s">
        <v>39</v>
      </c>
      <c r="F14" s="78"/>
      <c r="G14" s="75">
        <v>2327000</v>
      </c>
      <c r="H14" s="42"/>
    </row>
    <row r="15" spans="3:8" x14ac:dyDescent="0.2">
      <c r="E15" s="3" t="s">
        <v>40</v>
      </c>
      <c r="F15" s="78"/>
      <c r="G15" s="75">
        <v>2494381</v>
      </c>
      <c r="H15" s="42"/>
    </row>
    <row r="16" spans="3:8" x14ac:dyDescent="0.2">
      <c r="E16" s="3" t="s">
        <v>41</v>
      </c>
      <c r="F16" s="77"/>
      <c r="G16" s="75">
        <v>2494381</v>
      </c>
      <c r="H16" s="42"/>
    </row>
    <row r="17" spans="1:14" x14ac:dyDescent="0.2">
      <c r="E17" s="3" t="s">
        <v>42</v>
      </c>
      <c r="F17" s="78"/>
      <c r="G17" s="75">
        <v>2494381</v>
      </c>
      <c r="H17" s="42"/>
    </row>
    <row r="18" spans="1:14" x14ac:dyDescent="0.2">
      <c r="E18" s="3" t="s">
        <v>43</v>
      </c>
      <c r="F18" s="78"/>
      <c r="G18" s="75">
        <v>2494381</v>
      </c>
      <c r="H18" s="42"/>
    </row>
    <row r="19" spans="1:14" x14ac:dyDescent="0.2">
      <c r="G19" s="58"/>
      <c r="H19" s="58"/>
    </row>
    <row r="20" spans="1:14" x14ac:dyDescent="0.2">
      <c r="E20"/>
      <c r="F20"/>
      <c r="J20"/>
    </row>
    <row r="21" spans="1:14" x14ac:dyDescent="0.2">
      <c r="C21" s="120" t="s">
        <v>95</v>
      </c>
      <c r="D21" s="120"/>
      <c r="E21" s="120"/>
      <c r="F21" s="29"/>
      <c r="G21" s="120" t="s">
        <v>21</v>
      </c>
      <c r="H21" s="120"/>
      <c r="I21" s="120"/>
      <c r="K21" s="71"/>
    </row>
    <row r="22" spans="1:14" x14ac:dyDescent="0.2">
      <c r="C22" t="s">
        <v>69</v>
      </c>
      <c r="D22" s="80"/>
      <c r="E22" s="81">
        <v>0.69889999999999997</v>
      </c>
      <c r="F22" s="30" t="s">
        <v>70</v>
      </c>
      <c r="G22" s="24" t="s">
        <v>16</v>
      </c>
      <c r="H22" s="79"/>
      <c r="I22" s="106">
        <v>0.84109599999999995</v>
      </c>
      <c r="J22" s="32" t="s">
        <v>71</v>
      </c>
      <c r="K22" s="72"/>
      <c r="L22" s="23"/>
    </row>
    <row r="23" spans="1:14" x14ac:dyDescent="0.2">
      <c r="C23" t="s">
        <v>72</v>
      </c>
      <c r="D23" s="80"/>
      <c r="E23" s="81">
        <v>7.1999999999999998E-3</v>
      </c>
      <c r="F23" s="30" t="s">
        <v>73</v>
      </c>
      <c r="G23" s="24" t="s">
        <v>2</v>
      </c>
      <c r="H23" s="79"/>
      <c r="I23" s="106">
        <v>4.9064000000000003E-2</v>
      </c>
      <c r="J23" s="32" t="s">
        <v>74</v>
      </c>
      <c r="K23" s="72"/>
      <c r="L23" s="23"/>
    </row>
    <row r="24" spans="1:14" x14ac:dyDescent="0.2">
      <c r="C24" t="s">
        <v>75</v>
      </c>
      <c r="D24" s="80"/>
      <c r="E24" s="81">
        <v>7.7000000000000002E-3</v>
      </c>
      <c r="F24" s="30" t="s">
        <v>76</v>
      </c>
      <c r="G24" s="24" t="s">
        <v>18</v>
      </c>
      <c r="H24" s="79"/>
      <c r="I24" s="106">
        <v>2.8818E-2</v>
      </c>
      <c r="J24" s="32" t="s">
        <v>77</v>
      </c>
      <c r="K24" s="72"/>
      <c r="L24" s="23"/>
    </row>
    <row r="25" spans="1:14" x14ac:dyDescent="0.2">
      <c r="A25" s="2"/>
      <c r="B25" s="2"/>
      <c r="C25" s="2" t="s">
        <v>78</v>
      </c>
      <c r="D25" s="96"/>
      <c r="E25" s="97">
        <v>0</v>
      </c>
      <c r="F25" s="68" t="s">
        <v>79</v>
      </c>
      <c r="G25" s="61" t="s">
        <v>1</v>
      </c>
      <c r="H25" s="98"/>
      <c r="I25" s="106">
        <v>3.0355E-2</v>
      </c>
      <c r="J25" s="99" t="s">
        <v>80</v>
      </c>
      <c r="K25" s="72"/>
      <c r="L25" s="94"/>
      <c r="M25" s="2"/>
      <c r="N25" s="2"/>
    </row>
    <row r="26" spans="1:14" x14ac:dyDescent="0.2">
      <c r="A26" s="2"/>
      <c r="B26" s="2"/>
      <c r="C26" s="2" t="s">
        <v>20</v>
      </c>
      <c r="D26" s="96"/>
      <c r="E26" s="97">
        <v>0.2823</v>
      </c>
      <c r="F26" s="68" t="s">
        <v>81</v>
      </c>
      <c r="G26" s="61" t="s">
        <v>19</v>
      </c>
      <c r="H26" s="98"/>
      <c r="I26" s="106">
        <v>5.0666999999999997E-2</v>
      </c>
      <c r="J26" s="99" t="s">
        <v>82</v>
      </c>
      <c r="K26" s="71"/>
      <c r="L26" s="94"/>
      <c r="M26" s="2"/>
      <c r="N26" s="2"/>
    </row>
    <row r="27" spans="1:14" x14ac:dyDescent="0.2">
      <c r="C27" t="s">
        <v>83</v>
      </c>
      <c r="D27" s="80"/>
      <c r="E27" s="81">
        <v>3.8999999999999998E-3</v>
      </c>
      <c r="F27" s="30" t="s">
        <v>84</v>
      </c>
      <c r="I27" s="25"/>
      <c r="J27" s="32"/>
      <c r="K27" s="71"/>
      <c r="L27" s="23"/>
    </row>
    <row r="28" spans="1:14" x14ac:dyDescent="0.2">
      <c r="E28" s="67">
        <f>SUM(E22:E27)</f>
        <v>1</v>
      </c>
      <c r="F28" s="68"/>
      <c r="I28" s="26">
        <f>SUM(I22:I27)</f>
        <v>1</v>
      </c>
      <c r="J28" s="32"/>
      <c r="K28" s="71"/>
      <c r="L28" s="23"/>
    </row>
    <row r="29" spans="1:14" x14ac:dyDescent="0.2">
      <c r="F29" s="30"/>
      <c r="K29" s="23"/>
      <c r="L29" s="23"/>
    </row>
    <row r="30" spans="1:14" x14ac:dyDescent="0.2">
      <c r="A30" s="120" t="s">
        <v>85</v>
      </c>
      <c r="B30" s="120"/>
      <c r="C30" s="120"/>
      <c r="D30" s="120"/>
      <c r="E30" s="120"/>
      <c r="F30" s="30"/>
      <c r="K30" s="23"/>
      <c r="L30" s="23"/>
    </row>
    <row r="31" spans="1:14" x14ac:dyDescent="0.2">
      <c r="A31" s="30" t="s">
        <v>79</v>
      </c>
      <c r="B31" s="30" t="s">
        <v>86</v>
      </c>
      <c r="C31" s="70" t="s">
        <v>87</v>
      </c>
      <c r="D31" s="70"/>
      <c r="E31" s="69">
        <f>E26</f>
        <v>0.2823</v>
      </c>
      <c r="K31" s="23"/>
      <c r="L31" s="23"/>
    </row>
    <row r="32" spans="1:14" x14ac:dyDescent="0.2">
      <c r="A32" s="30" t="s">
        <v>84</v>
      </c>
      <c r="B32" s="30" t="s">
        <v>86</v>
      </c>
      <c r="C32" s="70" t="s">
        <v>89</v>
      </c>
      <c r="D32" s="70"/>
      <c r="E32" s="69">
        <f>E27</f>
        <v>3.8999999999999998E-3</v>
      </c>
      <c r="K32" s="23"/>
      <c r="L32" s="23"/>
    </row>
    <row r="33" spans="1:19" x14ac:dyDescent="0.2">
      <c r="A33" s="30" t="s">
        <v>73</v>
      </c>
      <c r="B33" s="30" t="s">
        <v>86</v>
      </c>
      <c r="C33" s="70" t="s">
        <v>49</v>
      </c>
      <c r="D33" s="70"/>
      <c r="E33" s="69">
        <f>E23</f>
        <v>7.1999999999999998E-3</v>
      </c>
    </row>
    <row r="34" spans="1:19" x14ac:dyDescent="0.2">
      <c r="A34" s="30" t="s">
        <v>76</v>
      </c>
      <c r="B34" s="30" t="s">
        <v>86</v>
      </c>
      <c r="C34" s="70" t="s">
        <v>88</v>
      </c>
      <c r="D34" s="70"/>
      <c r="E34" s="69">
        <f>E24</f>
        <v>7.7000000000000002E-3</v>
      </c>
    </row>
    <row r="35" spans="1:19" x14ac:dyDescent="0.2">
      <c r="A35" s="30" t="s">
        <v>90</v>
      </c>
      <c r="B35" s="30" t="s">
        <v>86</v>
      </c>
      <c r="C35" s="70" t="s">
        <v>16</v>
      </c>
      <c r="D35" s="70"/>
      <c r="E35" s="69">
        <f>I22*E22</f>
        <v>0.58784199439999996</v>
      </c>
      <c r="Q35" s="103"/>
    </row>
    <row r="36" spans="1:19" x14ac:dyDescent="0.2">
      <c r="A36" s="30" t="s">
        <v>91</v>
      </c>
      <c r="B36" s="30" t="s">
        <v>86</v>
      </c>
      <c r="C36" s="70" t="s">
        <v>2</v>
      </c>
      <c r="D36" s="70"/>
      <c r="E36" s="69">
        <f>I23*E22</f>
        <v>3.4290829600000003E-2</v>
      </c>
      <c r="Q36" s="103"/>
    </row>
    <row r="37" spans="1:19" x14ac:dyDescent="0.2">
      <c r="A37" s="30" t="s">
        <v>92</v>
      </c>
      <c r="B37" s="30" t="s">
        <v>86</v>
      </c>
      <c r="C37" s="70" t="s">
        <v>18</v>
      </c>
      <c r="D37" s="70"/>
      <c r="E37" s="69">
        <f>I24*E22</f>
        <v>2.0140900199999999E-2</v>
      </c>
    </row>
    <row r="38" spans="1:19" x14ac:dyDescent="0.2">
      <c r="A38" s="30" t="s">
        <v>93</v>
      </c>
      <c r="B38" s="30" t="s">
        <v>86</v>
      </c>
      <c r="C38" s="70" t="s">
        <v>1</v>
      </c>
      <c r="D38" s="70"/>
      <c r="E38" s="69">
        <f>I25*E22</f>
        <v>2.1215109499999999E-2</v>
      </c>
    </row>
    <row r="39" spans="1:19" x14ac:dyDescent="0.2">
      <c r="A39" s="68" t="s">
        <v>94</v>
      </c>
      <c r="B39" s="30" t="s">
        <v>86</v>
      </c>
      <c r="C39" s="70" t="s">
        <v>19</v>
      </c>
      <c r="D39" s="70"/>
      <c r="E39" s="69">
        <f>I26*E22</f>
        <v>3.5411166299999998E-2</v>
      </c>
      <c r="M39" s="103"/>
    </row>
    <row r="40" spans="1:19" x14ac:dyDescent="0.2">
      <c r="A40" s="28"/>
      <c r="B40" s="30" t="s">
        <v>86</v>
      </c>
      <c r="C40" s="70"/>
      <c r="D40" s="70"/>
      <c r="E40" s="69"/>
    </row>
    <row r="41" spans="1:19" x14ac:dyDescent="0.2">
      <c r="E41" s="67">
        <f>SUM(E31:E40)</f>
        <v>0.99999999999999989</v>
      </c>
    </row>
    <row r="42" spans="1:19" x14ac:dyDescent="0.2">
      <c r="A42" s="30"/>
      <c r="B42" s="30"/>
      <c r="C42" s="70"/>
      <c r="D42" s="70"/>
      <c r="E42" s="69"/>
      <c r="O42" s="103"/>
    </row>
    <row r="43" spans="1:19" x14ac:dyDescent="0.2">
      <c r="F43" s="30"/>
    </row>
    <row r="44" spans="1:19" x14ac:dyDescent="0.2">
      <c r="Q44" s="103"/>
      <c r="R44" s="117"/>
      <c r="S44" s="103"/>
    </row>
    <row r="45" spans="1:19" x14ac:dyDescent="0.2">
      <c r="C45" s="9" t="s">
        <v>102</v>
      </c>
      <c r="D45" s="9"/>
      <c r="E45" s="6" t="s">
        <v>105</v>
      </c>
      <c r="F45" s="35"/>
      <c r="G45" s="7"/>
      <c r="H45" s="7"/>
      <c r="I45" s="7"/>
      <c r="J45" s="94"/>
      <c r="K45" t="s">
        <v>106</v>
      </c>
      <c r="M45" s="121" t="s">
        <v>107</v>
      </c>
      <c r="N45" s="121"/>
      <c r="Q45" s="103"/>
      <c r="R45" s="117"/>
      <c r="S45" s="103"/>
    </row>
    <row r="46" spans="1:19" x14ac:dyDescent="0.2">
      <c r="E46" s="36" t="s">
        <v>22</v>
      </c>
      <c r="F46" s="35"/>
      <c r="G46" s="86" t="s">
        <v>97</v>
      </c>
      <c r="H46" s="45"/>
      <c r="I46" s="86" t="s">
        <v>100</v>
      </c>
      <c r="J46" s="44"/>
      <c r="K46" s="36" t="s">
        <v>22</v>
      </c>
      <c r="M46" s="115" t="s">
        <v>108</v>
      </c>
      <c r="N46" s="112" t="s">
        <v>109</v>
      </c>
      <c r="Q46" s="103"/>
      <c r="R46" s="117"/>
      <c r="S46" s="103"/>
    </row>
    <row r="47" spans="1:19" x14ac:dyDescent="0.2">
      <c r="C47" s="5" t="s">
        <v>0</v>
      </c>
      <c r="D47" s="82"/>
      <c r="E47" s="42">
        <v>1191905</v>
      </c>
      <c r="F47" s="35"/>
      <c r="G47" s="42">
        <v>52728</v>
      </c>
      <c r="H47" s="42"/>
      <c r="I47" s="42">
        <v>76892</v>
      </c>
      <c r="J47" s="44"/>
      <c r="K47" s="104">
        <v>2731018</v>
      </c>
      <c r="M47" s="104">
        <v>1191905</v>
      </c>
      <c r="N47" s="113">
        <f>13/30</f>
        <v>0.43333333333333335</v>
      </c>
      <c r="O47" s="103">
        <f>M47*N47</f>
        <v>516492.16666666669</v>
      </c>
      <c r="S47" s="103"/>
    </row>
    <row r="48" spans="1:19" x14ac:dyDescent="0.2">
      <c r="C48" s="47"/>
      <c r="D48" s="47"/>
      <c r="E48" s="46"/>
      <c r="F48" s="35"/>
      <c r="G48" s="46"/>
      <c r="H48" s="46"/>
      <c r="I48" s="42"/>
      <c r="J48" s="44"/>
      <c r="M48" s="104">
        <v>2731018</v>
      </c>
      <c r="N48" s="113">
        <f>17/30</f>
        <v>0.56666666666666665</v>
      </c>
      <c r="O48" s="108">
        <f>M48*N48</f>
        <v>1547576.8666666667</v>
      </c>
    </row>
    <row r="49" spans="3:19" x14ac:dyDescent="0.2">
      <c r="C49" s="43"/>
      <c r="D49" s="43"/>
      <c r="E49" s="42"/>
      <c r="F49" s="35"/>
      <c r="G49" s="42"/>
      <c r="H49" s="42"/>
      <c r="I49" s="42"/>
      <c r="J49" s="44"/>
      <c r="O49" s="114">
        <f>SUM(O47:O48)</f>
        <v>2064069.0333333334</v>
      </c>
      <c r="Q49" s="103"/>
      <c r="S49" s="114"/>
    </row>
    <row r="50" spans="3:19" x14ac:dyDescent="0.2">
      <c r="C50" s="47"/>
      <c r="D50" s="47"/>
      <c r="E50" s="46"/>
      <c r="G50" s="42"/>
      <c r="H50" s="42"/>
      <c r="I50" s="43"/>
      <c r="J50" s="44"/>
      <c r="Q50" s="103"/>
      <c r="S50" s="114"/>
    </row>
    <row r="51" spans="3:19" x14ac:dyDescent="0.2">
      <c r="C51" s="100"/>
      <c r="D51" s="100"/>
      <c r="E51" s="42"/>
      <c r="F51" s="101"/>
      <c r="G51" s="42"/>
      <c r="H51" s="42"/>
      <c r="I51" s="43"/>
      <c r="J51" s="44"/>
      <c r="M51" s="115" t="s">
        <v>108</v>
      </c>
      <c r="N51" s="112" t="s">
        <v>109</v>
      </c>
      <c r="S51" s="114"/>
    </row>
    <row r="52" spans="3:19" x14ac:dyDescent="0.2">
      <c r="C52" s="58"/>
      <c r="D52" s="58"/>
      <c r="E52" s="83"/>
      <c r="F52" s="101"/>
      <c r="G52" s="84"/>
      <c r="H52" s="3"/>
      <c r="M52" s="110">
        <f>E55</f>
        <v>308761</v>
      </c>
      <c r="N52" s="113">
        <f>13/30</f>
        <v>0.43333333333333335</v>
      </c>
      <c r="O52" s="103">
        <f>M52*N52</f>
        <v>133796.43333333335</v>
      </c>
    </row>
    <row r="53" spans="3:19" x14ac:dyDescent="0.2">
      <c r="C53" s="58"/>
      <c r="D53" s="58"/>
      <c r="E53" s="84"/>
      <c r="F53" s="101"/>
      <c r="G53" s="42"/>
      <c r="H53" s="4"/>
      <c r="I53" s="7"/>
      <c r="J53" s="29"/>
      <c r="M53" s="111">
        <f>K55</f>
        <v>47261</v>
      </c>
      <c r="N53" s="113">
        <f>17/30</f>
        <v>0.56666666666666665</v>
      </c>
      <c r="O53" s="108">
        <f>M53*N53</f>
        <v>26781.233333333334</v>
      </c>
    </row>
    <row r="54" spans="3:19" x14ac:dyDescent="0.2">
      <c r="C54" s="58"/>
      <c r="D54" s="58"/>
      <c r="E54" s="84"/>
      <c r="F54" s="101"/>
      <c r="G54" s="42"/>
      <c r="H54" s="4"/>
      <c r="I54" s="27"/>
      <c r="J54" s="33"/>
      <c r="N54" s="109"/>
      <c r="O54" s="114">
        <f>SUM(O52:O53)</f>
        <v>160577.66666666669</v>
      </c>
    </row>
    <row r="55" spans="3:19" x14ac:dyDescent="0.2">
      <c r="C55" s="58" t="s">
        <v>101</v>
      </c>
      <c r="D55" s="58"/>
      <c r="E55" s="42">
        <v>308761</v>
      </c>
      <c r="F55" s="101"/>
      <c r="G55" s="42"/>
      <c r="H55" s="4"/>
      <c r="I55" s="4"/>
      <c r="J55" s="33"/>
      <c r="K55" s="104">
        <v>47261</v>
      </c>
    </row>
    <row r="56" spans="3:19" x14ac:dyDescent="0.2">
      <c r="C56" s="58"/>
      <c r="D56" s="58"/>
      <c r="E56" s="42"/>
      <c r="F56" s="101"/>
      <c r="G56" s="42"/>
      <c r="H56" s="4"/>
      <c r="I56" s="27"/>
      <c r="J56" s="33"/>
    </row>
    <row r="57" spans="3:19" x14ac:dyDescent="0.2">
      <c r="E57" s="42"/>
      <c r="G57" s="4"/>
      <c r="H57" s="4"/>
      <c r="I57" s="27"/>
      <c r="J57" s="33"/>
    </row>
    <row r="58" spans="3:19" x14ac:dyDescent="0.2">
      <c r="G58" s="4"/>
      <c r="H58" s="4"/>
      <c r="I58" s="2"/>
      <c r="J58" s="34"/>
    </row>
    <row r="59" spans="3:19" x14ac:dyDescent="0.2">
      <c r="G59" s="3"/>
      <c r="H59" s="3"/>
    </row>
    <row r="60" spans="3:19" x14ac:dyDescent="0.2">
      <c r="C60" t="s">
        <v>23</v>
      </c>
      <c r="D60" s="80"/>
      <c r="E60" s="84">
        <v>-990000</v>
      </c>
      <c r="F60" s="76"/>
      <c r="G60" s="84"/>
      <c r="H60" s="40"/>
      <c r="I60" s="84"/>
      <c r="K60" s="104">
        <v>-989470</v>
      </c>
    </row>
    <row r="61" spans="3:19" x14ac:dyDescent="0.2">
      <c r="C61" t="s">
        <v>24</v>
      </c>
      <c r="D61" s="80"/>
      <c r="E61" s="75">
        <v>1053000</v>
      </c>
      <c r="F61" s="76"/>
      <c r="G61" s="75"/>
      <c r="H61" s="39"/>
      <c r="I61" s="75"/>
      <c r="K61" s="116">
        <v>1150880</v>
      </c>
    </row>
    <row r="62" spans="3:19" x14ac:dyDescent="0.2">
      <c r="C62" t="s">
        <v>26</v>
      </c>
      <c r="G62" s="3"/>
      <c r="H62" s="3"/>
    </row>
    <row r="63" spans="3:19" x14ac:dyDescent="0.2">
      <c r="C63" s="37" t="s">
        <v>25</v>
      </c>
      <c r="D63" s="37"/>
      <c r="E63" s="3">
        <f>SUM(E60:E61)</f>
        <v>63000</v>
      </c>
      <c r="G63" s="3"/>
      <c r="H63" s="3"/>
      <c r="I63" s="3">
        <f>SUM(I60:I61)</f>
        <v>0</v>
      </c>
      <c r="K63" s="110">
        <f>SUM(K60:K61)</f>
        <v>161410</v>
      </c>
    </row>
    <row r="64" spans="3:19" x14ac:dyDescent="0.2">
      <c r="C64" s="24"/>
      <c r="D64" s="24"/>
    </row>
  </sheetData>
  <mergeCells count="4">
    <mergeCell ref="A30:E30"/>
    <mergeCell ref="C21:E21"/>
    <mergeCell ref="G21:I21"/>
    <mergeCell ref="M45:N45"/>
  </mergeCells>
  <phoneticPr fontId="2" type="noConversion"/>
  <pageMargins left="0.75" right="0.75" top="1" bottom="1" header="0.5" footer="0.5"/>
  <pageSetup scale="64" orientation="portrait" r:id="rId1"/>
  <headerFooter alignWithMargins="0">
    <oddHeader>&amp;CEDE
FAS 106 &amp;A
December 31, 2016</oddHeader>
    <oddFooter>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8" sqref="S38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Calculations</vt:lpstr>
      <vt:lpstr>Data Entry Form</vt:lpstr>
      <vt:lpstr>Actuarial Cost</vt:lpstr>
      <vt:lpstr>'Data Entry Form'!Print_Area</vt:lpstr>
    </vt:vector>
  </TitlesOfParts>
  <Company>Empire District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jlee</dc:creator>
  <cp:lastModifiedBy>Jeff Lee</cp:lastModifiedBy>
  <cp:lastPrinted>2016-10-31T18:20:45Z</cp:lastPrinted>
  <dcterms:created xsi:type="dcterms:W3CDTF">2009-02-24T14:47:36Z</dcterms:created>
  <dcterms:modified xsi:type="dcterms:W3CDTF">2017-09-12T14:12:54Z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SV_QUERY_LIST_4F35BF76-6C0D-4D9B-82B2-816C12CF3733">
    <vt:lpwstr>empty_477D106A-C0D6-4607-AEBD-E2C9D60EA279</vt:lpwstr>
  </property>
</Properties>
</file>