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tabRatio="821"/>
  </bookViews>
  <sheets>
    <sheet name="Prepayments 2015-2016" sheetId="1" r:id="rId1"/>
    <sheet name="165100-2016" sheetId="5" r:id="rId2"/>
    <sheet name="165100-2015" sheetId="6" r:id="rId3"/>
    <sheet name="165200-2016" sheetId="8" r:id="rId4"/>
    <sheet name="165200-2015" sheetId="7" r:id="rId5"/>
    <sheet name="165300" sheetId="2" r:id="rId6"/>
    <sheet name="165350" sheetId="9" r:id="rId7"/>
    <sheet name="165351" sheetId="10" r:id="rId8"/>
    <sheet name="165352" sheetId="11" r:id="rId9"/>
    <sheet name="165400-2016" sheetId="15" r:id="rId10"/>
    <sheet name="165400-2015" sheetId="14" r:id="rId11"/>
    <sheet name="165600" sheetId="13" r:id="rId12"/>
    <sheet name="165800-2016" sheetId="17" r:id="rId13"/>
    <sheet name="165800-2015" sheetId="16" r:id="rId14"/>
    <sheet name="165900" sheetId="12" r:id="rId15"/>
  </sheets>
  <externalReferences>
    <externalReference r:id="rId16"/>
    <externalReference r:id="rId17"/>
    <externalReference r:id="rId18"/>
    <externalReference r:id="rId19"/>
    <externalReference r:id="rId20"/>
  </externalReferences>
  <definedNames>
    <definedName name="\p" localSheetId="2">'165100-2015'!#REF!</definedName>
    <definedName name="\p" localSheetId="4">'165200-2015'!#REF!</definedName>
    <definedName name="\p" localSheetId="3">'165200-2016'!#REF!</definedName>
    <definedName name="\p" localSheetId="11">'[1]165100-2016'!#REF!</definedName>
    <definedName name="\p" localSheetId="14">#REF!</definedName>
    <definedName name="\p">'165100-2016'!#REF!</definedName>
    <definedName name="\w">#REF!</definedName>
    <definedName name="_xlnm._FilterDatabase" localSheetId="13" hidden="1">'165800-2015'!$A$2:$K$39</definedName>
    <definedName name="_xlnm._FilterDatabase" localSheetId="12" hidden="1">'165800-2016'!$A$2:$K$35</definedName>
    <definedName name="_Regression_Int" localSheetId="2" hidden="1">1</definedName>
    <definedName name="_Regression_Int" localSheetId="1" hidden="1">1</definedName>
    <definedName name="_Regression_Int" localSheetId="4" hidden="1">1</definedName>
    <definedName name="_Regression_Int" localSheetId="3" hidden="1">1</definedName>
    <definedName name="BEGIN" localSheetId="3">'165200-2016'!$D$1</definedName>
    <definedName name="BEGIN">'165200-2015'!$D$1</definedName>
    <definedName name="END" localSheetId="3">'165200-2016'!$D$2</definedName>
    <definedName name="END">'165200-2015'!$D$2</definedName>
    <definedName name="INTBOOK" localSheetId="2">'165100-2015'!$A$1:$H$163</definedName>
    <definedName name="INTBOOK" localSheetId="14">#REF!</definedName>
    <definedName name="INTBOOK">'165100-2016'!$A$1:$H$163</definedName>
    <definedName name="INTP" localSheetId="3">'165200-2016'!$U$9:$U$29</definedName>
    <definedName name="INTP">'165200-2015'!$U$9:$U$31</definedName>
    <definedName name="MAT" localSheetId="3">'165200-2016'!$L$9:$N$29</definedName>
    <definedName name="MAT">'165200-2015'!$L$9:$N$31</definedName>
    <definedName name="_xlnm.Print_Area" localSheetId="2">'165100-2015'!$A$1:$K$265</definedName>
    <definedName name="_xlnm.Print_Area" localSheetId="1">'165100-2016'!$A$1:$K$265</definedName>
    <definedName name="_xlnm.Print_Area" localSheetId="4">'165200-2015'!$F$9:$K$29</definedName>
    <definedName name="_xlnm.Print_Area" localSheetId="3">'165200-2016'!$F$9:$K$27</definedName>
    <definedName name="_xlnm.Print_Area" localSheetId="8">'165352'!$A$1:$F$203</definedName>
    <definedName name="_xlnm.Print_Area" localSheetId="11">'165600'!$A$1:$N$45</definedName>
    <definedName name="_xlnm.Print_Area" localSheetId="14">'165900'!$B:$G</definedName>
    <definedName name="Print_Area_MI" localSheetId="2">'165100-2015'!$B$1:$F$219</definedName>
    <definedName name="Print_Area_MI" localSheetId="1">'165100-2016'!$B$1:$F$219</definedName>
    <definedName name="Print_Area_MI" localSheetId="3">'165200-2016'!$F$9:$K$27</definedName>
    <definedName name="Print_Area_MI" localSheetId="14">#REF!</definedName>
    <definedName name="Print_Area_MI">'165200-2015'!$F$9:$K$29</definedName>
    <definedName name="_xlnm.Print_Titles" localSheetId="4">'165200-2015'!$A:$F,'165200-2015'!$4:$9</definedName>
    <definedName name="_xlnm.Print_Titles" localSheetId="3">'165200-2016'!$A:$F,'165200-2016'!$4:$9</definedName>
    <definedName name="_xlnm.Print_Titles" localSheetId="8">'165352'!$1:$9</definedName>
    <definedName name="_xlnm.Print_Titles" localSheetId="11">'165600'!$A:$A</definedName>
    <definedName name="Print_Titles_MI" localSheetId="4">'165200-2015'!$4:$9,'165200-2015'!$A:$F</definedName>
    <definedName name="Print_Titles_MI" localSheetId="3">'165200-2016'!$4:$9,'165200-2016'!$A:$F</definedName>
    <definedName name="SALES" localSheetId="3">'165200-2016'!$Q$9:$S$29</definedName>
    <definedName name="SALES">'165200-2015'!$Q$9:$S$31</definedName>
    <definedName name="SUMM" localSheetId="2">'165100-2015'!$A$213:$H$254</definedName>
    <definedName name="SUMM">'165100-2016'!$A$213:$H$254</definedName>
    <definedName name="YTDA" localSheetId="3">'165200-2016'!$F$9:$K$27</definedName>
    <definedName name="YTDA">'165200-2015'!$F$9:$K$29</definedName>
  </definedNames>
  <calcPr calcId="145621" iterate="1"/>
</workbook>
</file>

<file path=xl/calcChain.xml><?xml version="1.0" encoding="utf-8"?>
<calcChain xmlns="http://schemas.openxmlformats.org/spreadsheetml/2006/main">
  <c r="G36" i="17" l="1"/>
  <c r="G40" i="16"/>
  <c r="H99" i="15" l="1"/>
  <c r="H97" i="15"/>
  <c r="H102" i="15" s="1"/>
  <c r="F58" i="15"/>
  <c r="J57" i="15"/>
  <c r="P53" i="15"/>
  <c r="F49" i="15"/>
  <c r="B48" i="15"/>
  <c r="B45" i="15"/>
  <c r="B102" i="15" s="1"/>
  <c r="D43" i="15"/>
  <c r="B42" i="15"/>
  <c r="F41" i="15"/>
  <c r="J39" i="15"/>
  <c r="J102" i="15" s="1"/>
  <c r="F39" i="15"/>
  <c r="F37" i="15"/>
  <c r="F36" i="15"/>
  <c r="F32" i="15"/>
  <c r="F31" i="15"/>
  <c r="F30" i="15"/>
  <c r="F102" i="15" s="1"/>
  <c r="D30" i="15"/>
  <c r="D102" i="15" s="1"/>
  <c r="L11" i="15"/>
  <c r="P9" i="15"/>
  <c r="N8" i="15"/>
  <c r="F58" i="14"/>
  <c r="H57" i="14"/>
  <c r="N53" i="14"/>
  <c r="F49" i="14"/>
  <c r="B48" i="14"/>
  <c r="B45" i="14"/>
  <c r="D43" i="14"/>
  <c r="D97" i="14" s="1"/>
  <c r="B42" i="14"/>
  <c r="B97" i="14" s="1"/>
  <c r="F41" i="14"/>
  <c r="H39" i="14"/>
  <c r="H97" i="14" s="1"/>
  <c r="F39" i="14"/>
  <c r="F37" i="14"/>
  <c r="F36" i="14"/>
  <c r="F32" i="14"/>
  <c r="F31" i="14"/>
  <c r="F30" i="14"/>
  <c r="F97" i="14" s="1"/>
  <c r="D30" i="14"/>
  <c r="J11" i="14"/>
  <c r="N9" i="14"/>
  <c r="L8" i="14"/>
  <c r="L102" i="15" l="1"/>
  <c r="L104" i="15" s="1"/>
  <c r="L106" i="15" s="1"/>
  <c r="J97" i="14"/>
  <c r="J99" i="14" s="1"/>
  <c r="J101" i="14" s="1"/>
  <c r="N29" i="13" l="1"/>
  <c r="N31" i="13" s="1"/>
  <c r="N35" i="13" s="1"/>
  <c r="J29" i="13"/>
  <c r="J31" i="13" s="1"/>
  <c r="J35" i="13" s="1"/>
  <c r="C29" i="13"/>
  <c r="C31" i="13" s="1"/>
  <c r="C35" i="13" s="1"/>
  <c r="N27" i="13"/>
  <c r="M27" i="13"/>
  <c r="L27" i="13"/>
  <c r="K27" i="13"/>
  <c r="J27" i="13"/>
  <c r="I27" i="13"/>
  <c r="H27" i="13"/>
  <c r="G27" i="13"/>
  <c r="F27" i="13"/>
  <c r="M26" i="13"/>
  <c r="M29" i="13" s="1"/>
  <c r="M31" i="13" s="1"/>
  <c r="M35" i="13" s="1"/>
  <c r="L26" i="13"/>
  <c r="K26" i="13"/>
  <c r="K29" i="13" s="1"/>
  <c r="K31" i="13" s="1"/>
  <c r="K35" i="13" s="1"/>
  <c r="I26" i="13"/>
  <c r="H26" i="13"/>
  <c r="G26" i="13"/>
  <c r="G29" i="13" s="1"/>
  <c r="G31" i="13" s="1"/>
  <c r="G35" i="13" s="1"/>
  <c r="F26" i="13"/>
  <c r="F29" i="13" s="1"/>
  <c r="F31" i="13" s="1"/>
  <c r="F35" i="13" s="1"/>
  <c r="E26" i="13"/>
  <c r="E29" i="13" s="1"/>
  <c r="E31" i="13" s="1"/>
  <c r="E35" i="13" s="1"/>
  <c r="C25" i="13"/>
  <c r="N12" i="13"/>
  <c r="L12" i="13"/>
  <c r="L29" i="13" s="1"/>
  <c r="L31" i="13" s="1"/>
  <c r="L35" i="13" s="1"/>
  <c r="K12" i="13"/>
  <c r="J12" i="13"/>
  <c r="I12" i="13"/>
  <c r="I29" i="13" s="1"/>
  <c r="I31" i="13" s="1"/>
  <c r="I35" i="13" s="1"/>
  <c r="H12" i="13"/>
  <c r="H29" i="13" s="1"/>
  <c r="H31" i="13" s="1"/>
  <c r="H35" i="13" s="1"/>
  <c r="G12" i="13"/>
  <c r="F12" i="13"/>
  <c r="D12" i="13"/>
  <c r="D29" i="13" s="1"/>
  <c r="D31" i="13" s="1"/>
  <c r="D35" i="13" s="1"/>
  <c r="B12" i="13"/>
  <c r="B29" i="13" s="1"/>
  <c r="B31" i="13" s="1"/>
  <c r="B35" i="13" s="1"/>
  <c r="N8" i="13"/>
  <c r="M8" i="13"/>
  <c r="L8" i="13"/>
  <c r="K8" i="13"/>
  <c r="J8" i="13"/>
  <c r="I8" i="13"/>
  <c r="H8" i="13"/>
  <c r="G8" i="13"/>
  <c r="F8" i="13"/>
  <c r="E8" i="13"/>
  <c r="D8" i="13"/>
  <c r="C8" i="13"/>
  <c r="B8" i="13"/>
  <c r="F28" i="12" l="1"/>
  <c r="F29" i="12" s="1"/>
  <c r="F30" i="12" s="1"/>
  <c r="F31" i="12" s="1"/>
  <c r="F32" i="12" s="1"/>
  <c r="F33" i="12" s="1"/>
  <c r="F34" i="12" s="1"/>
  <c r="F35" i="12" s="1"/>
  <c r="F36" i="12" s="1"/>
  <c r="F37" i="12" s="1"/>
  <c r="F27" i="12"/>
  <c r="F26" i="12"/>
  <c r="E15" i="12"/>
  <c r="E8" i="12"/>
  <c r="C8" i="12"/>
  <c r="F7" i="12"/>
  <c r="F8" i="12" s="1"/>
  <c r="F9" i="12" s="1"/>
  <c r="F10" i="12" s="1"/>
  <c r="F11" i="12" s="1"/>
  <c r="F12" i="12" s="1"/>
  <c r="F13" i="12" s="1"/>
  <c r="F14" i="12" s="1"/>
  <c r="F15" i="12" s="1"/>
  <c r="F16" i="12" s="1"/>
  <c r="F17" i="12" s="1"/>
  <c r="F18" i="12" s="1"/>
  <c r="E19" i="11"/>
  <c r="E23" i="11" s="1"/>
  <c r="E27" i="11" s="1"/>
  <c r="E31" i="11" s="1"/>
  <c r="E35" i="11" s="1"/>
  <c r="E39" i="11" s="1"/>
  <c r="E43" i="11" s="1"/>
  <c r="E47" i="11" s="1"/>
  <c r="E51" i="11" s="1"/>
  <c r="E55" i="11" s="1"/>
  <c r="E59" i="11" s="1"/>
  <c r="E63" i="11" s="1"/>
  <c r="E67" i="11" s="1"/>
  <c r="E71" i="11" s="1"/>
  <c r="E75" i="11" s="1"/>
  <c r="E79" i="11" s="1"/>
  <c r="E83" i="11" s="1"/>
  <c r="E87" i="11" s="1"/>
  <c r="E91" i="11" s="1"/>
  <c r="E95" i="11" s="1"/>
  <c r="E99" i="11" s="1"/>
  <c r="E103" i="11" s="1"/>
  <c r="E107" i="11" s="1"/>
  <c r="E111" i="11" s="1"/>
  <c r="E115" i="11" s="1"/>
  <c r="E119" i="11" s="1"/>
  <c r="E123" i="11" s="1"/>
  <c r="E127" i="11" s="1"/>
  <c r="E131" i="11" s="1"/>
  <c r="E135" i="11" s="1"/>
  <c r="E139" i="11" s="1"/>
  <c r="E143" i="11" s="1"/>
  <c r="E147" i="11" s="1"/>
  <c r="E151" i="11" s="1"/>
  <c r="E155" i="11" s="1"/>
  <c r="E159" i="11" s="1"/>
  <c r="E163" i="11" s="1"/>
  <c r="E167" i="11" s="1"/>
  <c r="E171" i="11" s="1"/>
  <c r="E175" i="11" s="1"/>
  <c r="E179" i="11" s="1"/>
  <c r="E183" i="11" s="1"/>
  <c r="E187" i="11" s="1"/>
  <c r="E191" i="11" s="1"/>
  <c r="E195" i="11" s="1"/>
  <c r="E199" i="11" s="1"/>
  <c r="E203" i="11" s="1"/>
  <c r="E207" i="11" s="1"/>
  <c r="E211" i="11" s="1"/>
  <c r="E215" i="11" s="1"/>
  <c r="E219" i="11" s="1"/>
  <c r="E223" i="11" s="1"/>
  <c r="E227" i="11" s="1"/>
  <c r="E231" i="11" s="1"/>
  <c r="E235" i="11" s="1"/>
  <c r="E239" i="11" s="1"/>
  <c r="E243" i="11" s="1"/>
  <c r="E247" i="11" s="1"/>
  <c r="E251" i="11" s="1"/>
  <c r="E255" i="11" s="1"/>
  <c r="E259" i="11" s="1"/>
  <c r="E263" i="11" s="1"/>
  <c r="E267" i="11" s="1"/>
  <c r="E271" i="11" s="1"/>
  <c r="E275" i="11" s="1"/>
  <c r="E279" i="11" s="1"/>
  <c r="E283" i="11" s="1"/>
  <c r="E287" i="11" s="1"/>
  <c r="E291" i="11" s="1"/>
  <c r="E295" i="11" s="1"/>
  <c r="E299" i="11" s="1"/>
  <c r="E303" i="11" s="1"/>
  <c r="E307" i="11" s="1"/>
  <c r="E311" i="11" s="1"/>
  <c r="E315" i="11" s="1"/>
  <c r="E319" i="11" s="1"/>
  <c r="E323" i="11" s="1"/>
  <c r="E327" i="11" s="1"/>
  <c r="F11" i="11"/>
  <c r="D13" i="11" s="1"/>
  <c r="D11" i="11"/>
  <c r="C72" i="9"/>
  <c r="C54" i="9"/>
  <c r="C11" i="9"/>
  <c r="K26" i="8"/>
  <c r="J26" i="8"/>
  <c r="I26" i="8"/>
  <c r="E25" i="8"/>
  <c r="D25" i="8"/>
  <c r="J25" i="8" s="1"/>
  <c r="H25" i="8" s="1"/>
  <c r="I25" i="8" s="1"/>
  <c r="E24" i="8"/>
  <c r="D24" i="8"/>
  <c r="E23" i="8"/>
  <c r="D23" i="8"/>
  <c r="E22" i="8"/>
  <c r="D22" i="8"/>
  <c r="J22" i="8" s="1"/>
  <c r="H22" i="8" s="1"/>
  <c r="I22" i="8" s="1"/>
  <c r="E21" i="8"/>
  <c r="D21" i="8"/>
  <c r="E20" i="8"/>
  <c r="J20" i="8" s="1"/>
  <c r="H20" i="8" s="1"/>
  <c r="I20" i="8" s="1"/>
  <c r="D20" i="8"/>
  <c r="E19" i="8"/>
  <c r="D19" i="8"/>
  <c r="E18" i="8"/>
  <c r="J18" i="8" s="1"/>
  <c r="H18" i="8" s="1"/>
  <c r="I18" i="8" s="1"/>
  <c r="D18" i="8"/>
  <c r="E17" i="8"/>
  <c r="D17" i="8"/>
  <c r="J17" i="8" s="1"/>
  <c r="H17" i="8" s="1"/>
  <c r="I17" i="8" s="1"/>
  <c r="E16" i="8"/>
  <c r="D16" i="8"/>
  <c r="E15" i="8"/>
  <c r="D15" i="8"/>
  <c r="E14" i="8"/>
  <c r="D14" i="8"/>
  <c r="E13" i="8"/>
  <c r="D13" i="8"/>
  <c r="J13" i="8" s="1"/>
  <c r="H13" i="8" s="1"/>
  <c r="I13" i="8" s="1"/>
  <c r="E12" i="8"/>
  <c r="D12" i="8"/>
  <c r="E11" i="8"/>
  <c r="D11" i="8"/>
  <c r="D2" i="8"/>
  <c r="D1" i="8"/>
  <c r="K28" i="7"/>
  <c r="J28" i="7"/>
  <c r="I28" i="7"/>
  <c r="E26" i="7"/>
  <c r="D26" i="7"/>
  <c r="E25" i="7"/>
  <c r="D25" i="7"/>
  <c r="E24" i="7"/>
  <c r="J24" i="7" s="1"/>
  <c r="H24" i="7" s="1"/>
  <c r="I24" i="7" s="1"/>
  <c r="D24" i="7"/>
  <c r="E23" i="7"/>
  <c r="D23" i="7"/>
  <c r="E22" i="7"/>
  <c r="D22" i="7"/>
  <c r="E21" i="7"/>
  <c r="D21" i="7"/>
  <c r="E20" i="7"/>
  <c r="D20" i="7"/>
  <c r="E19" i="7"/>
  <c r="D19" i="7"/>
  <c r="E18" i="7"/>
  <c r="D18" i="7"/>
  <c r="E17" i="7"/>
  <c r="D17" i="7"/>
  <c r="E16" i="7"/>
  <c r="D16" i="7"/>
  <c r="E15" i="7"/>
  <c r="D15" i="7"/>
  <c r="E14" i="7"/>
  <c r="D14" i="7"/>
  <c r="E13" i="7"/>
  <c r="D13" i="7"/>
  <c r="E12" i="7"/>
  <c r="D12" i="7"/>
  <c r="E11" i="7"/>
  <c r="D11" i="7"/>
  <c r="D2" i="7"/>
  <c r="D1" i="7"/>
  <c r="C262" i="6"/>
  <c r="C261" i="6"/>
  <c r="C263" i="6" s="1"/>
  <c r="C264" i="6" s="1"/>
  <c r="E256" i="6"/>
  <c r="C256" i="6"/>
  <c r="F244" i="6"/>
  <c r="F245" i="6" s="1"/>
  <c r="F246" i="6" s="1"/>
  <c r="F247" i="6" s="1"/>
  <c r="F248" i="6" s="1"/>
  <c r="F249" i="6" s="1"/>
  <c r="F250" i="6" s="1"/>
  <c r="F251" i="6" s="1"/>
  <c r="F252" i="6" s="1"/>
  <c r="F253" i="6" s="1"/>
  <c r="F254" i="6" s="1"/>
  <c r="F255" i="6" s="1"/>
  <c r="B242" i="6"/>
  <c r="E237" i="6"/>
  <c r="C237" i="6"/>
  <c r="F225" i="6"/>
  <c r="F226" i="6" s="1"/>
  <c r="F227" i="6" s="1"/>
  <c r="F228" i="6" s="1"/>
  <c r="F229" i="6" s="1"/>
  <c r="F230" i="6" s="1"/>
  <c r="F231" i="6" s="1"/>
  <c r="F232" i="6" s="1"/>
  <c r="F233" i="6" s="1"/>
  <c r="F234" i="6" s="1"/>
  <c r="F235" i="6" s="1"/>
  <c r="F236" i="6" s="1"/>
  <c r="B223" i="6"/>
  <c r="E218" i="6"/>
  <c r="C218" i="6"/>
  <c r="F206" i="6"/>
  <c r="F207" i="6" s="1"/>
  <c r="F208" i="6" s="1"/>
  <c r="F209" i="6" s="1"/>
  <c r="F210" i="6" s="1"/>
  <c r="F211" i="6" s="1"/>
  <c r="F212" i="6" s="1"/>
  <c r="F213" i="6" s="1"/>
  <c r="F214" i="6" s="1"/>
  <c r="F215" i="6" s="1"/>
  <c r="F216" i="6" s="1"/>
  <c r="F217" i="6" s="1"/>
  <c r="B204" i="6"/>
  <c r="E199" i="6"/>
  <c r="C199" i="6"/>
  <c r="F188" i="6"/>
  <c r="F189" i="6" s="1"/>
  <c r="F190" i="6" s="1"/>
  <c r="F191" i="6" s="1"/>
  <c r="F192" i="6" s="1"/>
  <c r="F193" i="6" s="1"/>
  <c r="F194" i="6" s="1"/>
  <c r="F195" i="6" s="1"/>
  <c r="F196" i="6" s="1"/>
  <c r="F197" i="6" s="1"/>
  <c r="F198" i="6" s="1"/>
  <c r="F187" i="6"/>
  <c r="B185" i="6"/>
  <c r="C180" i="6"/>
  <c r="E179" i="6"/>
  <c r="E173" i="6"/>
  <c r="E172" i="6"/>
  <c r="E180" i="6" s="1"/>
  <c r="E170" i="6"/>
  <c r="F168" i="6"/>
  <c r="F169" i="6" s="1"/>
  <c r="F170" i="6" s="1"/>
  <c r="F171" i="6" s="1"/>
  <c r="F172" i="6" s="1"/>
  <c r="F173" i="6" s="1"/>
  <c r="F174" i="6" s="1"/>
  <c r="F175" i="6" s="1"/>
  <c r="F176" i="6" s="1"/>
  <c r="F177" i="6" s="1"/>
  <c r="F178" i="6" s="1"/>
  <c r="F179" i="6" s="1"/>
  <c r="B166" i="6"/>
  <c r="E161" i="6"/>
  <c r="C161" i="6"/>
  <c r="F149" i="6"/>
  <c r="F150" i="6" s="1"/>
  <c r="F151" i="6" s="1"/>
  <c r="F152" i="6" s="1"/>
  <c r="F153" i="6" s="1"/>
  <c r="F154" i="6" s="1"/>
  <c r="F155" i="6" s="1"/>
  <c r="F156" i="6" s="1"/>
  <c r="F157" i="6" s="1"/>
  <c r="F158" i="6" s="1"/>
  <c r="F159" i="6" s="1"/>
  <c r="F160" i="6" s="1"/>
  <c r="B147" i="6"/>
  <c r="C140" i="6"/>
  <c r="E139" i="6"/>
  <c r="E138" i="6"/>
  <c r="E137" i="6"/>
  <c r="E136" i="6"/>
  <c r="E130" i="6"/>
  <c r="E140" i="6" s="1"/>
  <c r="F128" i="6"/>
  <c r="F129" i="6" s="1"/>
  <c r="F130" i="6" s="1"/>
  <c r="F131" i="6" s="1"/>
  <c r="F132" i="6" s="1"/>
  <c r="F133" i="6" s="1"/>
  <c r="F134" i="6" s="1"/>
  <c r="F135" i="6" s="1"/>
  <c r="F136" i="6" s="1"/>
  <c r="F137" i="6" s="1"/>
  <c r="F138" i="6" s="1"/>
  <c r="F139" i="6" s="1"/>
  <c r="B126" i="6"/>
  <c r="J124" i="6"/>
  <c r="E121" i="6"/>
  <c r="C121" i="6"/>
  <c r="F109" i="6"/>
  <c r="F110" i="6" s="1"/>
  <c r="F111" i="6" s="1"/>
  <c r="F112" i="6" s="1"/>
  <c r="F113" i="6" s="1"/>
  <c r="F114" i="6" s="1"/>
  <c r="F115" i="6" s="1"/>
  <c r="F116" i="6" s="1"/>
  <c r="F117" i="6" s="1"/>
  <c r="F118" i="6" s="1"/>
  <c r="F119" i="6" s="1"/>
  <c r="F120" i="6" s="1"/>
  <c r="B107" i="6"/>
  <c r="C259" i="6" s="1"/>
  <c r="D276" i="6" s="1"/>
  <c r="C102" i="6"/>
  <c r="J97" i="6"/>
  <c r="E97" i="6"/>
  <c r="E91" i="6"/>
  <c r="F91" i="6" s="1"/>
  <c r="F92" i="6" s="1"/>
  <c r="F93" i="6" s="1"/>
  <c r="F94" i="6" s="1"/>
  <c r="F95" i="6" s="1"/>
  <c r="F96" i="6" s="1"/>
  <c r="F97" i="6" s="1"/>
  <c r="F98" i="6" s="1"/>
  <c r="F99" i="6" s="1"/>
  <c r="F100" i="6" s="1"/>
  <c r="F101" i="6" s="1"/>
  <c r="J90" i="6"/>
  <c r="F90" i="6"/>
  <c r="B88" i="6"/>
  <c r="C265" i="6" s="1"/>
  <c r="F87" i="6"/>
  <c r="E82" i="6"/>
  <c r="C82" i="6"/>
  <c r="F70" i="6"/>
  <c r="F71" i="6" s="1"/>
  <c r="F72" i="6" s="1"/>
  <c r="F73" i="6" s="1"/>
  <c r="F74" i="6" s="1"/>
  <c r="F75" i="6" s="1"/>
  <c r="F76" i="6" s="1"/>
  <c r="F77" i="6" s="1"/>
  <c r="F78" i="6" s="1"/>
  <c r="F79" i="6" s="1"/>
  <c r="F80" i="6" s="1"/>
  <c r="F81" i="6" s="1"/>
  <c r="B68" i="6"/>
  <c r="F67" i="6"/>
  <c r="E61" i="6"/>
  <c r="C61" i="6"/>
  <c r="F49" i="6"/>
  <c r="F50" i="6" s="1"/>
  <c r="F51" i="6" s="1"/>
  <c r="F52" i="6" s="1"/>
  <c r="F53" i="6" s="1"/>
  <c r="F54" i="6" s="1"/>
  <c r="F55" i="6" s="1"/>
  <c r="F56" i="6" s="1"/>
  <c r="F57" i="6" s="1"/>
  <c r="F58" i="6" s="1"/>
  <c r="F59" i="6" s="1"/>
  <c r="F60" i="6" s="1"/>
  <c r="B47" i="6"/>
  <c r="E39" i="6"/>
  <c r="C39" i="6"/>
  <c r="E31" i="6"/>
  <c r="F27" i="6"/>
  <c r="F28" i="6" s="1"/>
  <c r="F29" i="6" s="1"/>
  <c r="F30" i="6" s="1"/>
  <c r="F31" i="6" s="1"/>
  <c r="F32" i="6" s="1"/>
  <c r="F33" i="6" s="1"/>
  <c r="F34" i="6" s="1"/>
  <c r="F35" i="6" s="1"/>
  <c r="F36" i="6" s="1"/>
  <c r="F37" i="6" s="1"/>
  <c r="F38" i="6" s="1"/>
  <c r="B25" i="6"/>
  <c r="C258" i="6" s="1"/>
  <c r="E19" i="6"/>
  <c r="C19" i="6"/>
  <c r="E13" i="6"/>
  <c r="E7" i="6"/>
  <c r="F7" i="6" s="1"/>
  <c r="F8" i="6" s="1"/>
  <c r="F9" i="6" s="1"/>
  <c r="F10" i="6" s="1"/>
  <c r="F11" i="6" s="1"/>
  <c r="F12" i="6" s="1"/>
  <c r="F13" i="6" s="1"/>
  <c r="F14" i="6" s="1"/>
  <c r="F15" i="6" s="1"/>
  <c r="F16" i="6" s="1"/>
  <c r="F17" i="6" s="1"/>
  <c r="F18" i="6" s="1"/>
  <c r="C262" i="5"/>
  <c r="C261" i="5"/>
  <c r="C263" i="5" s="1"/>
  <c r="E256" i="5"/>
  <c r="C256" i="5"/>
  <c r="F245" i="5"/>
  <c r="F246" i="5" s="1"/>
  <c r="F247" i="5" s="1"/>
  <c r="F248" i="5" s="1"/>
  <c r="F249" i="5" s="1"/>
  <c r="F250" i="5" s="1"/>
  <c r="F251" i="5" s="1"/>
  <c r="F252" i="5" s="1"/>
  <c r="F253" i="5" s="1"/>
  <c r="F254" i="5" s="1"/>
  <c r="F255" i="5" s="1"/>
  <c r="F244" i="5"/>
  <c r="B242" i="5"/>
  <c r="E237" i="5"/>
  <c r="C237" i="5"/>
  <c r="F225" i="5"/>
  <c r="F226" i="5" s="1"/>
  <c r="F227" i="5" s="1"/>
  <c r="F228" i="5" s="1"/>
  <c r="F229" i="5" s="1"/>
  <c r="F230" i="5" s="1"/>
  <c r="F231" i="5" s="1"/>
  <c r="F232" i="5" s="1"/>
  <c r="F233" i="5" s="1"/>
  <c r="F234" i="5" s="1"/>
  <c r="F235" i="5" s="1"/>
  <c r="F236" i="5" s="1"/>
  <c r="B223" i="5"/>
  <c r="E218" i="5"/>
  <c r="C218" i="5"/>
  <c r="F207" i="5"/>
  <c r="F208" i="5" s="1"/>
  <c r="F209" i="5" s="1"/>
  <c r="F210" i="5" s="1"/>
  <c r="F211" i="5" s="1"/>
  <c r="F212" i="5" s="1"/>
  <c r="F213" i="5" s="1"/>
  <c r="F214" i="5" s="1"/>
  <c r="F215" i="5" s="1"/>
  <c r="F216" i="5" s="1"/>
  <c r="F217" i="5" s="1"/>
  <c r="F206" i="5"/>
  <c r="B204" i="5"/>
  <c r="E199" i="5"/>
  <c r="C199" i="5"/>
  <c r="F187" i="5"/>
  <c r="F188" i="5" s="1"/>
  <c r="F189" i="5" s="1"/>
  <c r="F190" i="5" s="1"/>
  <c r="F191" i="5" s="1"/>
  <c r="F192" i="5" s="1"/>
  <c r="F193" i="5" s="1"/>
  <c r="F194" i="5" s="1"/>
  <c r="F195" i="5" s="1"/>
  <c r="F196" i="5" s="1"/>
  <c r="F197" i="5" s="1"/>
  <c r="F198" i="5" s="1"/>
  <c r="B185" i="5"/>
  <c r="C180" i="5"/>
  <c r="E179" i="5"/>
  <c r="E173" i="5"/>
  <c r="E180" i="5" s="1"/>
  <c r="F169" i="5"/>
  <c r="F170" i="5" s="1"/>
  <c r="F171" i="5" s="1"/>
  <c r="F172" i="5" s="1"/>
  <c r="F173" i="5" s="1"/>
  <c r="F174" i="5" s="1"/>
  <c r="F175" i="5" s="1"/>
  <c r="F176" i="5" s="1"/>
  <c r="F177" i="5" s="1"/>
  <c r="F178" i="5" s="1"/>
  <c r="F179" i="5" s="1"/>
  <c r="F168" i="5"/>
  <c r="B166" i="5"/>
  <c r="E161" i="5"/>
  <c r="C161" i="5"/>
  <c r="F149" i="5"/>
  <c r="F150" i="5" s="1"/>
  <c r="F151" i="5" s="1"/>
  <c r="F152" i="5" s="1"/>
  <c r="F153" i="5" s="1"/>
  <c r="F154" i="5" s="1"/>
  <c r="F155" i="5" s="1"/>
  <c r="F156" i="5" s="1"/>
  <c r="F157" i="5" s="1"/>
  <c r="F158" i="5" s="1"/>
  <c r="F159" i="5" s="1"/>
  <c r="F160" i="5" s="1"/>
  <c r="B147" i="5"/>
  <c r="C140" i="5"/>
  <c r="J138" i="5"/>
  <c r="E138" i="5"/>
  <c r="E137" i="5"/>
  <c r="E136" i="5"/>
  <c r="E133" i="5"/>
  <c r="F128" i="5"/>
  <c r="F129" i="5" s="1"/>
  <c r="F130" i="5" s="1"/>
  <c r="F131" i="5" s="1"/>
  <c r="F132" i="5" s="1"/>
  <c r="F133" i="5" s="1"/>
  <c r="F134" i="5" s="1"/>
  <c r="F135" i="5" s="1"/>
  <c r="F136" i="5" s="1"/>
  <c r="F137" i="5" s="1"/>
  <c r="F138" i="5" s="1"/>
  <c r="F139" i="5" s="1"/>
  <c r="E128" i="5"/>
  <c r="E140" i="5" s="1"/>
  <c r="B126" i="5"/>
  <c r="J124" i="5"/>
  <c r="E121" i="5"/>
  <c r="C121" i="5"/>
  <c r="F109" i="5"/>
  <c r="F110" i="5" s="1"/>
  <c r="F111" i="5" s="1"/>
  <c r="F112" i="5" s="1"/>
  <c r="F113" i="5" s="1"/>
  <c r="F114" i="5" s="1"/>
  <c r="F115" i="5" s="1"/>
  <c r="F116" i="5" s="1"/>
  <c r="F117" i="5" s="1"/>
  <c r="F118" i="5" s="1"/>
  <c r="F119" i="5" s="1"/>
  <c r="F120" i="5" s="1"/>
  <c r="B107" i="5"/>
  <c r="C102" i="5"/>
  <c r="E98" i="5"/>
  <c r="E102" i="5" s="1"/>
  <c r="F90" i="5"/>
  <c r="F91" i="5" s="1"/>
  <c r="F92" i="5" s="1"/>
  <c r="F93" i="5" s="1"/>
  <c r="F94" i="5" s="1"/>
  <c r="F95" i="5" s="1"/>
  <c r="F96" i="5" s="1"/>
  <c r="F97" i="5" s="1"/>
  <c r="F98" i="5" s="1"/>
  <c r="F99" i="5" s="1"/>
  <c r="F100" i="5" s="1"/>
  <c r="F101" i="5" s="1"/>
  <c r="B88" i="5"/>
  <c r="C265" i="5" s="1"/>
  <c r="F87" i="5"/>
  <c r="E82" i="5"/>
  <c r="C82" i="5"/>
  <c r="F70" i="5"/>
  <c r="F71" i="5" s="1"/>
  <c r="F72" i="5" s="1"/>
  <c r="F73" i="5" s="1"/>
  <c r="F74" i="5" s="1"/>
  <c r="F75" i="5" s="1"/>
  <c r="F76" i="5" s="1"/>
  <c r="F77" i="5" s="1"/>
  <c r="F78" i="5" s="1"/>
  <c r="F79" i="5" s="1"/>
  <c r="F80" i="5" s="1"/>
  <c r="F81" i="5" s="1"/>
  <c r="B68" i="5"/>
  <c r="C61" i="5"/>
  <c r="E55" i="5"/>
  <c r="E61" i="5" s="1"/>
  <c r="F49" i="5"/>
  <c r="F50" i="5" s="1"/>
  <c r="F51" i="5" s="1"/>
  <c r="F52" i="5" s="1"/>
  <c r="F53" i="5" s="1"/>
  <c r="F54" i="5" s="1"/>
  <c r="F55" i="5" s="1"/>
  <c r="F56" i="5" s="1"/>
  <c r="F57" i="5" s="1"/>
  <c r="F58" i="5" s="1"/>
  <c r="F59" i="5" s="1"/>
  <c r="F60" i="5" s="1"/>
  <c r="B47" i="5"/>
  <c r="C39" i="5"/>
  <c r="E33" i="5"/>
  <c r="E32" i="5"/>
  <c r="E39" i="5" s="1"/>
  <c r="F27" i="5"/>
  <c r="F28" i="5" s="1"/>
  <c r="F29" i="5" s="1"/>
  <c r="F30" i="5" s="1"/>
  <c r="F31" i="5" s="1"/>
  <c r="F32" i="5" s="1"/>
  <c r="F33" i="5" s="1"/>
  <c r="F34" i="5" s="1"/>
  <c r="F35" i="5" s="1"/>
  <c r="F36" i="5" s="1"/>
  <c r="F37" i="5" s="1"/>
  <c r="F38" i="5" s="1"/>
  <c r="B25" i="5"/>
  <c r="C258" i="5" s="1"/>
  <c r="C19" i="5"/>
  <c r="C259" i="5" s="1"/>
  <c r="D276" i="5" s="1"/>
  <c r="E7" i="5"/>
  <c r="F7" i="5" s="1"/>
  <c r="F8" i="5" s="1"/>
  <c r="F9" i="5" s="1"/>
  <c r="F10" i="5" s="1"/>
  <c r="F11" i="5" s="1"/>
  <c r="F12" i="5" s="1"/>
  <c r="F13" i="5" s="1"/>
  <c r="F14" i="5" s="1"/>
  <c r="F15" i="5" s="1"/>
  <c r="F16" i="5" s="1"/>
  <c r="F17" i="5" s="1"/>
  <c r="F18" i="5" s="1"/>
  <c r="C40" i="2"/>
  <c r="C21" i="2"/>
  <c r="G2" i="1"/>
  <c r="G3" i="1"/>
  <c r="G4" i="1"/>
  <c r="G5" i="1"/>
  <c r="G6" i="1"/>
  <c r="G7" i="1"/>
  <c r="D15" i="11" l="1"/>
  <c r="J14" i="8"/>
  <c r="H14" i="8" s="1"/>
  <c r="I14" i="8" s="1"/>
  <c r="J16" i="8"/>
  <c r="H16" i="8" s="1"/>
  <c r="I16" i="8" s="1"/>
  <c r="J24" i="8"/>
  <c r="H24" i="8" s="1"/>
  <c r="I24" i="8" s="1"/>
  <c r="J21" i="8"/>
  <c r="H21" i="8" s="1"/>
  <c r="I21" i="8" s="1"/>
  <c r="Q26" i="8"/>
  <c r="S26" i="8" s="1"/>
  <c r="O13" i="8"/>
  <c r="O12" i="8"/>
  <c r="O15" i="8"/>
  <c r="O11" i="8"/>
  <c r="O14" i="8"/>
  <c r="N26" i="8"/>
  <c r="N25" i="8"/>
  <c r="P24" i="8"/>
  <c r="N21" i="8"/>
  <c r="P20" i="8"/>
  <c r="N17" i="8"/>
  <c r="M26" i="8"/>
  <c r="N24" i="8"/>
  <c r="P23" i="8"/>
  <c r="N20" i="8"/>
  <c r="P19" i="8"/>
  <c r="N23" i="8"/>
  <c r="P22" i="8"/>
  <c r="U22" i="8" s="1"/>
  <c r="N19" i="8"/>
  <c r="P18" i="8"/>
  <c r="P25" i="8"/>
  <c r="U25" i="8" s="1"/>
  <c r="N22" i="8"/>
  <c r="P21" i="8"/>
  <c r="N18" i="8"/>
  <c r="P17" i="8"/>
  <c r="U12" i="8"/>
  <c r="N12" i="8"/>
  <c r="P12" i="8"/>
  <c r="J12" i="8"/>
  <c r="H12" i="8" s="1"/>
  <c r="I12" i="8" s="1"/>
  <c r="U11" i="8"/>
  <c r="N11" i="8"/>
  <c r="P11" i="8"/>
  <c r="J11" i="8"/>
  <c r="H11" i="8" s="1"/>
  <c r="I11" i="8" s="1"/>
  <c r="U18" i="8"/>
  <c r="U15" i="8"/>
  <c r="N15" i="8"/>
  <c r="P15" i="8"/>
  <c r="J15" i="8"/>
  <c r="H15" i="8" s="1"/>
  <c r="I15" i="8" s="1"/>
  <c r="U13" i="8"/>
  <c r="M13" i="8"/>
  <c r="N13" i="8"/>
  <c r="P13" i="8"/>
  <c r="Q19" i="8"/>
  <c r="O19" i="8"/>
  <c r="J19" i="8"/>
  <c r="H19" i="8" s="1"/>
  <c r="I19" i="8" s="1"/>
  <c r="Q23" i="8"/>
  <c r="O23" i="8"/>
  <c r="J23" i="8"/>
  <c r="H23" i="8" s="1"/>
  <c r="I23" i="8" s="1"/>
  <c r="U14" i="8"/>
  <c r="M14" i="8"/>
  <c r="N14" i="8"/>
  <c r="P14" i="8"/>
  <c r="Q11" i="8"/>
  <c r="Q12" i="8"/>
  <c r="Q13" i="8"/>
  <c r="Q14" i="8"/>
  <c r="Q15" i="8"/>
  <c r="Q16" i="8"/>
  <c r="O16" i="8"/>
  <c r="U19" i="8"/>
  <c r="Q20" i="8"/>
  <c r="O20" i="8"/>
  <c r="Q24" i="8"/>
  <c r="O24" i="8"/>
  <c r="U16" i="8"/>
  <c r="M16" i="8"/>
  <c r="N16" i="8"/>
  <c r="Q17" i="8"/>
  <c r="O17" i="8"/>
  <c r="U20" i="8"/>
  <c r="Q21" i="8"/>
  <c r="O21" i="8"/>
  <c r="K21" i="8" s="1"/>
  <c r="U24" i="8"/>
  <c r="Q25" i="8"/>
  <c r="O25" i="8"/>
  <c r="K25" i="8" s="1"/>
  <c r="P16" i="8"/>
  <c r="U17" i="8"/>
  <c r="Q18" i="8"/>
  <c r="O18" i="8"/>
  <c r="U21" i="8"/>
  <c r="Q22" i="8"/>
  <c r="O22" i="8"/>
  <c r="M17" i="8"/>
  <c r="M18" i="8"/>
  <c r="M19" i="8"/>
  <c r="M20" i="8"/>
  <c r="M21" i="8"/>
  <c r="M22" i="8"/>
  <c r="M23" i="8"/>
  <c r="M24" i="8"/>
  <c r="M25" i="8"/>
  <c r="Q28" i="7"/>
  <c r="S28" i="7" s="1"/>
  <c r="Q26" i="7"/>
  <c r="Q22" i="7"/>
  <c r="Q25" i="7"/>
  <c r="N28" i="7"/>
  <c r="L28" i="7" s="1"/>
  <c r="M28" i="7"/>
  <c r="N25" i="7"/>
  <c r="N24" i="7"/>
  <c r="M26" i="7"/>
  <c r="M24" i="7"/>
  <c r="N23" i="7"/>
  <c r="M25" i="7"/>
  <c r="M23" i="7"/>
  <c r="P11" i="7"/>
  <c r="U11" i="7"/>
  <c r="J11" i="7"/>
  <c r="H11" i="7" s="1"/>
  <c r="I11" i="7" s="1"/>
  <c r="N11" i="7"/>
  <c r="P13" i="7"/>
  <c r="U13" i="7"/>
  <c r="J13" i="7"/>
  <c r="H13" i="7" s="1"/>
  <c r="I13" i="7" s="1"/>
  <c r="N13" i="7"/>
  <c r="P15" i="7"/>
  <c r="U15" i="7"/>
  <c r="J15" i="7"/>
  <c r="H15" i="7" s="1"/>
  <c r="I15" i="7" s="1"/>
  <c r="N15" i="7"/>
  <c r="P17" i="7"/>
  <c r="U17" i="7"/>
  <c r="J17" i="7"/>
  <c r="H17" i="7" s="1"/>
  <c r="I17" i="7" s="1"/>
  <c r="N17" i="7"/>
  <c r="P19" i="7"/>
  <c r="U19" i="7"/>
  <c r="J19" i="7"/>
  <c r="H19" i="7" s="1"/>
  <c r="I19" i="7" s="1"/>
  <c r="N19" i="7"/>
  <c r="P21" i="7"/>
  <c r="U21" i="7"/>
  <c r="J21" i="7"/>
  <c r="H21" i="7" s="1"/>
  <c r="I21" i="7" s="1"/>
  <c r="N21" i="7"/>
  <c r="P12" i="7"/>
  <c r="U12" i="7"/>
  <c r="J12" i="7"/>
  <c r="H12" i="7" s="1"/>
  <c r="I12" i="7" s="1"/>
  <c r="N12" i="7"/>
  <c r="P14" i="7"/>
  <c r="U14" i="7"/>
  <c r="J14" i="7"/>
  <c r="H14" i="7" s="1"/>
  <c r="I14" i="7" s="1"/>
  <c r="N14" i="7"/>
  <c r="P16" i="7"/>
  <c r="U16" i="7"/>
  <c r="J16" i="7"/>
  <c r="H16" i="7" s="1"/>
  <c r="I16" i="7" s="1"/>
  <c r="N16" i="7"/>
  <c r="P18" i="7"/>
  <c r="U18" i="7"/>
  <c r="J18" i="7"/>
  <c r="H18" i="7" s="1"/>
  <c r="I18" i="7" s="1"/>
  <c r="N18" i="7"/>
  <c r="P20" i="7"/>
  <c r="U20" i="7"/>
  <c r="J20" i="7"/>
  <c r="H20" i="7" s="1"/>
  <c r="I20" i="7" s="1"/>
  <c r="N20" i="7"/>
  <c r="M20" i="7"/>
  <c r="P22" i="7"/>
  <c r="J22" i="7"/>
  <c r="H22" i="7" s="1"/>
  <c r="I22" i="7" s="1"/>
  <c r="U22" i="7"/>
  <c r="M22" i="7"/>
  <c r="N22" i="7"/>
  <c r="O11" i="7"/>
  <c r="O12" i="7"/>
  <c r="O13" i="7"/>
  <c r="O14" i="7"/>
  <c r="O15" i="7"/>
  <c r="O16" i="7"/>
  <c r="O17" i="7"/>
  <c r="O18" i="7"/>
  <c r="O19" i="7"/>
  <c r="O20" i="7"/>
  <c r="O21" i="7"/>
  <c r="O25" i="7"/>
  <c r="O23" i="7"/>
  <c r="Q23" i="7"/>
  <c r="J23" i="7"/>
  <c r="H23" i="7" s="1"/>
  <c r="I23" i="7" s="1"/>
  <c r="Q11" i="7"/>
  <c r="Q12" i="7"/>
  <c r="Q13" i="7"/>
  <c r="Q14" i="7"/>
  <c r="Q15" i="7"/>
  <c r="Q16" i="7"/>
  <c r="Q17" i="7"/>
  <c r="Q18" i="7"/>
  <c r="Q19" i="7"/>
  <c r="Q20" i="7"/>
  <c r="Q21" i="7"/>
  <c r="O22" i="7"/>
  <c r="P26" i="7"/>
  <c r="P23" i="7"/>
  <c r="O24" i="7"/>
  <c r="P25" i="7"/>
  <c r="P24" i="7"/>
  <c r="U24" i="7" s="1"/>
  <c r="Q24" i="7"/>
  <c r="O26" i="7"/>
  <c r="J25" i="7"/>
  <c r="H25" i="7" s="1"/>
  <c r="I25" i="7" s="1"/>
  <c r="J26" i="7"/>
  <c r="H26" i="7" s="1"/>
  <c r="I26" i="7" s="1"/>
  <c r="N26" i="7"/>
  <c r="L26" i="7" s="1"/>
  <c r="E259" i="6"/>
  <c r="D277" i="6" s="1"/>
  <c r="F259" i="6"/>
  <c r="E102" i="6"/>
  <c r="E258" i="6"/>
  <c r="D275" i="6"/>
  <c r="D278" i="6" s="1"/>
  <c r="F259" i="5"/>
  <c r="E19" i="5"/>
  <c r="E259" i="5" s="1"/>
  <c r="D277" i="5" s="1"/>
  <c r="E258" i="5"/>
  <c r="D275" i="5"/>
  <c r="C264" i="5"/>
  <c r="G8" i="1"/>
  <c r="G9" i="1"/>
  <c r="G10" i="1"/>
  <c r="G11" i="1"/>
  <c r="G12" i="1"/>
  <c r="F15" i="11" l="1"/>
  <c r="D17" i="11" s="1"/>
  <c r="D19" i="11"/>
  <c r="M14" i="7"/>
  <c r="K22" i="7"/>
  <c r="K19" i="7"/>
  <c r="L13" i="8"/>
  <c r="M11" i="8"/>
  <c r="L11" i="8" s="1"/>
  <c r="L20" i="8"/>
  <c r="L17" i="8"/>
  <c r="L25" i="8"/>
  <c r="U23" i="8"/>
  <c r="L16" i="8"/>
  <c r="K20" i="8"/>
  <c r="K24" i="8"/>
  <c r="K18" i="8"/>
  <c r="L26" i="8"/>
  <c r="K22" i="8"/>
  <c r="L14" i="8"/>
  <c r="K23" i="8"/>
  <c r="U27" i="8"/>
  <c r="T24" i="8"/>
  <c r="R24" i="8"/>
  <c r="S24" i="8" s="1"/>
  <c r="R14" i="8"/>
  <c r="S14" i="8" s="1"/>
  <c r="T14" i="8"/>
  <c r="K17" i="8"/>
  <c r="T16" i="8"/>
  <c r="R16" i="8"/>
  <c r="S16" i="8" s="1"/>
  <c r="T12" i="8"/>
  <c r="R12" i="8"/>
  <c r="S12" i="8" s="1"/>
  <c r="L23" i="8"/>
  <c r="L24" i="8"/>
  <c r="L21" i="8"/>
  <c r="K14" i="8"/>
  <c r="K15" i="8"/>
  <c r="K13" i="8"/>
  <c r="T18" i="8"/>
  <c r="R18" i="8"/>
  <c r="S18" i="8" s="1"/>
  <c r="R19" i="8"/>
  <c r="S19" i="8" s="1"/>
  <c r="T19" i="8"/>
  <c r="L19" i="8"/>
  <c r="T17" i="8"/>
  <c r="R17" i="8"/>
  <c r="S17" i="8" s="1"/>
  <c r="T20" i="8"/>
  <c r="R20" i="8"/>
  <c r="S20" i="8" s="1"/>
  <c r="T15" i="8"/>
  <c r="R15" i="8"/>
  <c r="S15" i="8" s="1"/>
  <c r="T11" i="8"/>
  <c r="R11" i="8"/>
  <c r="S11" i="8" s="1"/>
  <c r="K19" i="8"/>
  <c r="M15" i="8"/>
  <c r="L15" i="8" s="1"/>
  <c r="M12" i="8"/>
  <c r="L12" i="8" s="1"/>
  <c r="L22" i="8"/>
  <c r="N27" i="8"/>
  <c r="T21" i="8"/>
  <c r="R21" i="8"/>
  <c r="S21" i="8" s="1"/>
  <c r="K12" i="8"/>
  <c r="T22" i="8"/>
  <c r="R22" i="8"/>
  <c r="S22" i="8" s="1"/>
  <c r="T25" i="8"/>
  <c r="R25" i="8"/>
  <c r="S25" i="8" s="1"/>
  <c r="K16" i="8"/>
  <c r="R13" i="8"/>
  <c r="S13" i="8" s="1"/>
  <c r="T13" i="8"/>
  <c r="R23" i="8"/>
  <c r="S23" i="8" s="1"/>
  <c r="T23" i="8"/>
  <c r="Q27" i="8"/>
  <c r="L18" i="8"/>
  <c r="K11" i="8"/>
  <c r="K15" i="7"/>
  <c r="K11" i="7"/>
  <c r="M19" i="7"/>
  <c r="L25" i="7"/>
  <c r="U26" i="7"/>
  <c r="M17" i="7"/>
  <c r="L17" i="7" s="1"/>
  <c r="U25" i="7"/>
  <c r="U23" i="7"/>
  <c r="L24" i="7"/>
  <c r="L23" i="7"/>
  <c r="L19" i="7"/>
  <c r="L14" i="7"/>
  <c r="M12" i="7"/>
  <c r="M11" i="7"/>
  <c r="L11" i="7" s="1"/>
  <c r="T17" i="7"/>
  <c r="R17" i="7"/>
  <c r="S17" i="7" s="1"/>
  <c r="T23" i="7"/>
  <c r="R23" i="7"/>
  <c r="S23" i="7" s="1"/>
  <c r="K26" i="7"/>
  <c r="T19" i="7"/>
  <c r="R19" i="7"/>
  <c r="S19" i="7" s="1"/>
  <c r="T15" i="7"/>
  <c r="R15" i="7"/>
  <c r="S15" i="7" s="1"/>
  <c r="T11" i="7"/>
  <c r="R11" i="7"/>
  <c r="S11" i="7" s="1"/>
  <c r="K21" i="7"/>
  <c r="K17" i="7"/>
  <c r="K13" i="7"/>
  <c r="M16" i="7"/>
  <c r="L16" i="7" s="1"/>
  <c r="M21" i="7"/>
  <c r="L21" i="7" s="1"/>
  <c r="M13" i="7"/>
  <c r="T25" i="7"/>
  <c r="R25" i="7"/>
  <c r="S25" i="7" s="1"/>
  <c r="T26" i="7"/>
  <c r="R26" i="7"/>
  <c r="S26" i="7" s="1"/>
  <c r="T24" i="7"/>
  <c r="R24" i="7"/>
  <c r="S24" i="7" s="1"/>
  <c r="T18" i="7"/>
  <c r="R18" i="7"/>
  <c r="S18" i="7" s="1"/>
  <c r="T14" i="7"/>
  <c r="R14" i="7"/>
  <c r="S14" i="7" s="1"/>
  <c r="K20" i="7"/>
  <c r="K16" i="7"/>
  <c r="K12" i="7"/>
  <c r="L22" i="7"/>
  <c r="L13" i="7"/>
  <c r="N29" i="7"/>
  <c r="Q29" i="7"/>
  <c r="T21" i="7"/>
  <c r="R21" i="7"/>
  <c r="S21" i="7" s="1"/>
  <c r="T13" i="7"/>
  <c r="R13" i="7"/>
  <c r="S13" i="7" s="1"/>
  <c r="K24" i="7"/>
  <c r="T20" i="7"/>
  <c r="R20" i="7"/>
  <c r="S20" i="7" s="1"/>
  <c r="T16" i="7"/>
  <c r="R16" i="7"/>
  <c r="S16" i="7" s="1"/>
  <c r="T12" i="7"/>
  <c r="R12" i="7"/>
  <c r="S12" i="7" s="1"/>
  <c r="K23" i="7"/>
  <c r="K25" i="7"/>
  <c r="K18" i="7"/>
  <c r="K14" i="7"/>
  <c r="L20" i="7"/>
  <c r="M18" i="7"/>
  <c r="L18" i="7" s="1"/>
  <c r="L12" i="7"/>
  <c r="M15" i="7"/>
  <c r="L15" i="7" s="1"/>
  <c r="T22" i="7"/>
  <c r="S22" i="7"/>
  <c r="R22" i="7"/>
  <c r="F261" i="6"/>
  <c r="F263" i="6"/>
  <c r="F265" i="6" s="1"/>
  <c r="D278" i="5"/>
  <c r="F261" i="5"/>
  <c r="F263" i="5"/>
  <c r="F265" i="5" s="1"/>
  <c r="G13" i="1"/>
  <c r="F19" i="11" l="1"/>
  <c r="D21" i="11" s="1"/>
  <c r="D23" i="11" s="1"/>
  <c r="U29" i="7"/>
  <c r="K27" i="8"/>
  <c r="R27" i="8"/>
  <c r="S27" i="8"/>
  <c r="L27" i="8"/>
  <c r="M27" i="8"/>
  <c r="K29" i="7"/>
  <c r="M29" i="7"/>
  <c r="R29" i="7"/>
  <c r="L29" i="7"/>
  <c r="S29" i="7"/>
  <c r="F23" i="11" l="1"/>
  <c r="D25" i="11" s="1"/>
  <c r="D27" i="11" s="1"/>
  <c r="F27" i="11" l="1"/>
  <c r="D29" i="11" s="1"/>
  <c r="D31" i="11" s="1"/>
  <c r="F31" i="11" l="1"/>
  <c r="D33" i="11" s="1"/>
  <c r="D35" i="11" s="1"/>
  <c r="F35" i="11" l="1"/>
  <c r="D37" i="11" s="1"/>
  <c r="D39" i="11" s="1"/>
  <c r="F39" i="11" l="1"/>
  <c r="D41" i="11" s="1"/>
  <c r="D43" i="11" s="1"/>
  <c r="F43" i="11" l="1"/>
  <c r="D45" i="11" s="1"/>
  <c r="D47" i="11"/>
  <c r="F47" i="11" l="1"/>
  <c r="D49" i="11" s="1"/>
  <c r="D51" i="11"/>
  <c r="F51" i="11" l="1"/>
  <c r="D53" i="11" s="1"/>
  <c r="D55" i="11" s="1"/>
  <c r="F55" i="11" l="1"/>
  <c r="D57" i="11" s="1"/>
  <c r="D59" i="11" s="1"/>
  <c r="F59" i="11" l="1"/>
  <c r="D61" i="11" s="1"/>
  <c r="D63" i="11" s="1"/>
  <c r="F63" i="11" l="1"/>
  <c r="D65" i="11" s="1"/>
  <c r="D67" i="11" s="1"/>
  <c r="F67" i="11" l="1"/>
  <c r="D69" i="11" s="1"/>
  <c r="D71" i="11" s="1"/>
  <c r="F71" i="11" l="1"/>
  <c r="D73" i="11" s="1"/>
  <c r="D75" i="11" s="1"/>
  <c r="F75" i="11" l="1"/>
  <c r="D77" i="11" s="1"/>
  <c r="D79" i="11"/>
  <c r="F79" i="11" l="1"/>
  <c r="D81" i="11" s="1"/>
  <c r="D83" i="11" s="1"/>
  <c r="F83" i="11" l="1"/>
  <c r="D85" i="11" s="1"/>
  <c r="D87" i="11" s="1"/>
  <c r="F87" i="11" l="1"/>
  <c r="D89" i="11" s="1"/>
  <c r="D91" i="11" s="1"/>
  <c r="F91" i="11" l="1"/>
  <c r="D93" i="11" s="1"/>
  <c r="D95" i="11" s="1"/>
  <c r="F95" i="11" l="1"/>
  <c r="D97" i="11" s="1"/>
  <c r="D99" i="11"/>
  <c r="F99" i="11" l="1"/>
  <c r="D101" i="11" s="1"/>
  <c r="D103" i="11"/>
  <c r="F103" i="11" l="1"/>
  <c r="D105" i="11" s="1"/>
  <c r="D107" i="11"/>
  <c r="F107" i="11" l="1"/>
  <c r="D109" i="11" s="1"/>
  <c r="D111" i="11"/>
  <c r="F111" i="11" l="1"/>
  <c r="D113" i="11" s="1"/>
  <c r="D115" i="11"/>
  <c r="F115" i="11" l="1"/>
  <c r="D117" i="11" s="1"/>
  <c r="D119" i="11"/>
  <c r="F119" i="11" l="1"/>
  <c r="D121" i="11" s="1"/>
  <c r="D123" i="11"/>
  <c r="F123" i="11" l="1"/>
  <c r="D125" i="11" s="1"/>
  <c r="D127" i="11"/>
  <c r="F127" i="11" l="1"/>
  <c r="D129" i="11" s="1"/>
  <c r="D131" i="11"/>
  <c r="F131" i="11" l="1"/>
  <c r="D133" i="11" s="1"/>
  <c r="D135" i="11"/>
  <c r="F135" i="11" l="1"/>
  <c r="D137" i="11" s="1"/>
  <c r="D139" i="11" s="1"/>
  <c r="F139" i="11" l="1"/>
  <c r="D141" i="11" s="1"/>
  <c r="D143" i="11" s="1"/>
  <c r="F143" i="11" l="1"/>
  <c r="D145" i="11" s="1"/>
  <c r="D147" i="11" s="1"/>
  <c r="F147" i="11" l="1"/>
  <c r="D149" i="11" s="1"/>
  <c r="D151" i="11" s="1"/>
  <c r="F151" i="11" l="1"/>
  <c r="D153" i="11" s="1"/>
  <c r="D155" i="11" s="1"/>
  <c r="F155" i="11" l="1"/>
  <c r="D157" i="11" s="1"/>
  <c r="D159" i="11" s="1"/>
  <c r="F159" i="11" l="1"/>
  <c r="D161" i="11" s="1"/>
  <c r="D163" i="11" s="1"/>
  <c r="F163" i="11" l="1"/>
  <c r="D165" i="11" s="1"/>
  <c r="D167" i="11" s="1"/>
  <c r="F167" i="11" l="1"/>
  <c r="D169" i="11" s="1"/>
  <c r="D171" i="11" s="1"/>
  <c r="F171" i="11" l="1"/>
  <c r="D173" i="11" s="1"/>
  <c r="D175" i="11" s="1"/>
  <c r="F175" i="11" l="1"/>
  <c r="D177" i="11" s="1"/>
  <c r="D179" i="11" s="1"/>
  <c r="F179" i="11" l="1"/>
  <c r="D181" i="11" s="1"/>
  <c r="D183" i="11" s="1"/>
  <c r="F183" i="11" l="1"/>
  <c r="D185" i="11" s="1"/>
  <c r="D187" i="11"/>
  <c r="F187" i="11" l="1"/>
  <c r="D189" i="11" s="1"/>
  <c r="D191" i="11" s="1"/>
  <c r="F191" i="11" l="1"/>
  <c r="D193" i="11" s="1"/>
  <c r="D195" i="11" s="1"/>
  <c r="F195" i="11" l="1"/>
  <c r="D197" i="11" s="1"/>
  <c r="D199" i="11" s="1"/>
  <c r="F199" i="11" l="1"/>
  <c r="D201" i="11" s="1"/>
  <c r="D203" i="11"/>
  <c r="F203" i="11" l="1"/>
  <c r="D205" i="11" s="1"/>
  <c r="D207" i="11" s="1"/>
  <c r="F207" i="11" l="1"/>
  <c r="D209" i="11" s="1"/>
  <c r="D211" i="11" s="1"/>
  <c r="F211" i="11" l="1"/>
  <c r="D213" i="11" s="1"/>
  <c r="D215" i="11"/>
  <c r="F215" i="11" l="1"/>
  <c r="D217" i="11" s="1"/>
  <c r="D219" i="11"/>
  <c r="F219" i="11" l="1"/>
  <c r="D221" i="11" s="1"/>
  <c r="D223" i="11"/>
  <c r="F223" i="11" l="1"/>
  <c r="D225" i="11" s="1"/>
  <c r="D227" i="11"/>
  <c r="F227" i="11" l="1"/>
  <c r="D229" i="11" s="1"/>
  <c r="D231" i="11"/>
  <c r="F231" i="11" l="1"/>
  <c r="D233" i="11" s="1"/>
  <c r="D235" i="11"/>
  <c r="F235" i="11" l="1"/>
  <c r="D237" i="11" s="1"/>
  <c r="D239" i="11" s="1"/>
  <c r="F239" i="11" l="1"/>
  <c r="D241" i="11" s="1"/>
  <c r="D243" i="11" s="1"/>
  <c r="F243" i="11" l="1"/>
  <c r="D245" i="11" s="1"/>
  <c r="D247" i="11" s="1"/>
  <c r="F247" i="11" l="1"/>
  <c r="D249" i="11" s="1"/>
  <c r="D251" i="11"/>
  <c r="F251" i="11" l="1"/>
  <c r="D253" i="11" s="1"/>
  <c r="D255" i="11"/>
  <c r="F255" i="11" l="1"/>
  <c r="D257" i="11" s="1"/>
  <c r="D259" i="11"/>
  <c r="F259" i="11" l="1"/>
  <c r="D261" i="11" s="1"/>
  <c r="D263" i="11" s="1"/>
  <c r="F263" i="11" l="1"/>
  <c r="D265" i="11" s="1"/>
  <c r="D267" i="11" s="1"/>
  <c r="F267" i="11" l="1"/>
  <c r="D269" i="11" s="1"/>
  <c r="D271" i="11"/>
  <c r="F271" i="11" l="1"/>
  <c r="D273" i="11" s="1"/>
  <c r="D275" i="11"/>
  <c r="F275" i="11" l="1"/>
  <c r="D277" i="11" s="1"/>
  <c r="D279" i="11"/>
  <c r="F279" i="11" l="1"/>
  <c r="D281" i="11" s="1"/>
  <c r="D283" i="11"/>
  <c r="F283" i="11" l="1"/>
  <c r="D285" i="11" s="1"/>
  <c r="D287" i="11" s="1"/>
  <c r="F287" i="11" l="1"/>
  <c r="D289" i="11" s="1"/>
  <c r="D291" i="11"/>
  <c r="F291" i="11" l="1"/>
  <c r="D293" i="11" s="1"/>
  <c r="D295" i="11"/>
  <c r="F295" i="11" l="1"/>
  <c r="D297" i="11" s="1"/>
  <c r="D299" i="11"/>
  <c r="F299" i="11" l="1"/>
  <c r="D301" i="11" s="1"/>
  <c r="D303" i="11" s="1"/>
  <c r="F303" i="11" l="1"/>
  <c r="D305" i="11" s="1"/>
  <c r="D307" i="11" s="1"/>
  <c r="F307" i="11" l="1"/>
  <c r="D309" i="11" s="1"/>
  <c r="D311" i="11"/>
  <c r="F311" i="11" l="1"/>
  <c r="D313" i="11" s="1"/>
  <c r="D315" i="11" s="1"/>
  <c r="F315" i="11" l="1"/>
  <c r="D317" i="11" s="1"/>
  <c r="D319" i="11" s="1"/>
  <c r="F319" i="11" l="1"/>
  <c r="D321" i="11" s="1"/>
  <c r="D323" i="11" s="1"/>
  <c r="F323" i="11" l="1"/>
  <c r="D325" i="11" s="1"/>
  <c r="D327" i="11" s="1"/>
  <c r="F327" i="11" s="1"/>
</calcChain>
</file>

<file path=xl/comments1.xml><?xml version="1.0" encoding="utf-8"?>
<comments xmlns="http://schemas.openxmlformats.org/spreadsheetml/2006/main">
  <authors>
    <author>Melody Wright</author>
    <author>Christy Hartner</author>
  </authors>
  <commentList>
    <comment ref="G124" authorId="0">
      <text>
        <r>
          <rPr>
            <b/>
            <sz val="9"/>
            <color indexed="81"/>
            <rFont val="Tahoma"/>
            <family val="2"/>
          </rPr>
          <t>Melody Wright:</t>
        </r>
        <r>
          <rPr>
            <sz val="9"/>
            <color indexed="81"/>
            <rFont val="Tahoma"/>
            <family val="2"/>
          </rPr>
          <t xml:space="preserve">
Navigators $(1,530)
Princeton $(8,160)
Liberty $(7,650)</t>
        </r>
      </text>
    </comment>
    <comment ref="I125" authorId="1">
      <text>
        <r>
          <rPr>
            <b/>
            <sz val="9"/>
            <color indexed="81"/>
            <rFont val="Tahoma"/>
            <family val="2"/>
          </rPr>
          <t>Christy Hartner:</t>
        </r>
        <r>
          <rPr>
            <sz val="9"/>
            <color indexed="81"/>
            <rFont val="Tahoma"/>
            <family val="2"/>
          </rPr>
          <t xml:space="preserve">
3000017302
3000017375</t>
        </r>
      </text>
    </comment>
    <comment ref="I126" authorId="1">
      <text>
        <r>
          <rPr>
            <b/>
            <sz val="9"/>
            <color indexed="81"/>
            <rFont val="Tahoma"/>
            <family val="2"/>
          </rPr>
          <t>Christy Hartner:</t>
        </r>
        <r>
          <rPr>
            <sz val="9"/>
            <color indexed="81"/>
            <rFont val="Tahoma"/>
            <family val="2"/>
          </rPr>
          <t xml:space="preserve">
3000017337
3000017333
3000017343</t>
        </r>
      </text>
    </comment>
    <comment ref="I127" authorId="0">
      <text>
        <r>
          <rPr>
            <b/>
            <sz val="9"/>
            <color indexed="81"/>
            <rFont val="Tahoma"/>
            <family val="2"/>
          </rPr>
          <t>Melody Wright:</t>
        </r>
        <r>
          <rPr>
            <sz val="9"/>
            <color indexed="81"/>
            <rFont val="Tahoma"/>
            <family val="2"/>
          </rPr>
          <t xml:space="preserve">
Policy Numbers:
31084615GP
UTP045359504
15NMNY140001
100017108201
DG164515
58A3PP000010904
PO5331103P</t>
        </r>
      </text>
    </comment>
    <comment ref="I132" authorId="1">
      <text>
        <r>
          <rPr>
            <b/>
            <sz val="9"/>
            <color indexed="81"/>
            <rFont val="Tahoma"/>
            <family val="2"/>
          </rPr>
          <t>Christy Hartner:</t>
        </r>
        <r>
          <rPr>
            <sz val="9"/>
            <color indexed="81"/>
            <rFont val="Tahoma"/>
            <family val="2"/>
          </rPr>
          <t xml:space="preserve">
Policy Numbers:
PO5331104P
100017108202
31092016GP
UTP045359505
58A3PP000010905
16NMNY149101
B0509BOWUI1600371</t>
        </r>
      </text>
    </comment>
  </commentList>
</comments>
</file>

<file path=xl/comments2.xml><?xml version="1.0" encoding="utf-8"?>
<comments xmlns="http://schemas.openxmlformats.org/spreadsheetml/2006/main">
  <authors>
    <author>Melody Wright</author>
  </authors>
  <commentList>
    <comment ref="I131" authorId="0">
      <text>
        <r>
          <rPr>
            <b/>
            <sz val="9"/>
            <color indexed="81"/>
            <rFont val="Tahoma"/>
            <family val="2"/>
          </rPr>
          <t>Melody Wright:</t>
        </r>
        <r>
          <rPr>
            <sz val="9"/>
            <color indexed="81"/>
            <rFont val="Tahoma"/>
            <family val="2"/>
          </rPr>
          <t xml:space="preserve">
Policy Numbers:
3000017348
3000017343
3000017340
3000017333
3000017337</t>
        </r>
      </text>
    </comment>
    <comment ref="I132" authorId="0">
      <text>
        <r>
          <rPr>
            <b/>
            <sz val="9"/>
            <color indexed="81"/>
            <rFont val="Tahoma"/>
            <family val="2"/>
          </rPr>
          <t>Melody Wright:</t>
        </r>
        <r>
          <rPr>
            <sz val="9"/>
            <color indexed="81"/>
            <rFont val="Tahoma"/>
            <family val="2"/>
          </rPr>
          <t xml:space="preserve">
Policy Numbers:
3000017375
3000017302</t>
        </r>
      </text>
    </comment>
    <comment ref="I134" authorId="0">
      <text>
        <r>
          <rPr>
            <b/>
            <sz val="9"/>
            <color indexed="81"/>
            <rFont val="Tahoma"/>
            <family val="2"/>
          </rPr>
          <t>Melody Wright:</t>
        </r>
        <r>
          <rPr>
            <sz val="9"/>
            <color indexed="81"/>
            <rFont val="Tahoma"/>
            <family val="2"/>
          </rPr>
          <t xml:space="preserve">
Policy Numbers:
3C268500010
DG147414
PO5331102P
UTP045359503
58A3PP000010903
14NMNY132101
31078314GP</t>
        </r>
      </text>
    </comment>
    <comment ref="I136" authorId="0">
      <text>
        <r>
          <rPr>
            <b/>
            <sz val="9"/>
            <color indexed="81"/>
            <rFont val="Tahoma"/>
            <family val="2"/>
          </rPr>
          <t>Melody Wright:</t>
        </r>
        <r>
          <rPr>
            <sz val="9"/>
            <color indexed="81"/>
            <rFont val="Tahoma"/>
            <family val="2"/>
          </rPr>
          <t xml:space="preserve">
Policy Numbers:
31084615GP
UTP045359504
15NMNY140001
100017108201
DG164515
58A3PP000010904
PO5331103P</t>
        </r>
      </text>
    </comment>
  </commentList>
</comments>
</file>

<file path=xl/sharedStrings.xml><?xml version="1.0" encoding="utf-8"?>
<sst xmlns="http://schemas.openxmlformats.org/spreadsheetml/2006/main" count="3042" uniqueCount="835">
  <si>
    <t>Prepayments - Insurance</t>
  </si>
  <si>
    <t>165100</t>
  </si>
  <si>
    <t>Prepayments - Interest</t>
  </si>
  <si>
    <t>165200</t>
  </si>
  <si>
    <t>Prepayments-Other</t>
  </si>
  <si>
    <t>165300</t>
  </si>
  <si>
    <t>Prepayments-Wrking Funds Iatan</t>
  </si>
  <si>
    <t>165350</t>
  </si>
  <si>
    <t>Prepmts-Wrking Funds PlumPoint</t>
  </si>
  <si>
    <t>165351</t>
  </si>
  <si>
    <t>Prepayments-KCP&amp;L Land Lease</t>
  </si>
  <si>
    <t>165352</t>
  </si>
  <si>
    <t>Prepayments - Fuel</t>
  </si>
  <si>
    <t>165400</t>
  </si>
  <si>
    <t>Prepaid Purchased Power</t>
  </si>
  <si>
    <t>165500</t>
  </si>
  <si>
    <t>Prepayments - Plum Point</t>
  </si>
  <si>
    <t>165600</t>
  </si>
  <si>
    <t>Prepayments - Fleet Card</t>
  </si>
  <si>
    <t>165800</t>
  </si>
  <si>
    <t>Prepmts Riverton Def Mtce</t>
  </si>
  <si>
    <t>165900</t>
  </si>
  <si>
    <t>Prepayments (165)</t>
  </si>
  <si>
    <t>Increase/(Decrease)</t>
  </si>
  <si>
    <t>Explanation of Increase</t>
  </si>
  <si>
    <t>Computer Software Upgrades/Maintenance</t>
  </si>
  <si>
    <t xml:space="preserve">   Intergraph</t>
  </si>
  <si>
    <t xml:space="preserve">   VITEC, Inc.</t>
  </si>
  <si>
    <t xml:space="preserve">   Total Resource Management</t>
  </si>
  <si>
    <t xml:space="preserve">   PowerPlant System</t>
  </si>
  <si>
    <t xml:space="preserve">   Thomson Reuters-Expense in Jan '17</t>
  </si>
  <si>
    <t xml:space="preserve">   Oracle America, Inc.</t>
  </si>
  <si>
    <t xml:space="preserve">   Power Costs, Inc. (PCI)</t>
  </si>
  <si>
    <r>
      <t xml:space="preserve">   Power Costs, Inc. (PCI)  </t>
    </r>
    <r>
      <rPr>
        <u/>
        <sz val="11"/>
        <rFont val="Arial"/>
        <family val="2"/>
      </rPr>
      <t>GLGAS</t>
    </r>
  </si>
  <si>
    <t xml:space="preserve">   Four Winds Interactive</t>
  </si>
  <si>
    <t xml:space="preserve">   Embassy</t>
  </si>
  <si>
    <t xml:space="preserve">   InstaNext</t>
  </si>
  <si>
    <t xml:space="preserve">   Siemens</t>
  </si>
  <si>
    <t xml:space="preserve">   Triple Point</t>
  </si>
  <si>
    <t xml:space="preserve">   Thomson Reuters-Expense in Jan '16</t>
  </si>
  <si>
    <t xml:space="preserve"> </t>
  </si>
  <si>
    <t>Additional computer upgrades/maintenance</t>
  </si>
  <si>
    <t xml:space="preserve">COMMERCIAL AUTO </t>
  </si>
  <si>
    <t>This journal posted by Property Accounting</t>
  </si>
  <si>
    <t>DEBIT ACCOUNT</t>
  </si>
  <si>
    <t>VARIOUS</t>
  </si>
  <si>
    <t>Allocated based on vehicle usage and charged to expense and capital.</t>
  </si>
  <si>
    <t>CREDIT ACCOUNT</t>
  </si>
  <si>
    <t>000/165100</t>
  </si>
  <si>
    <t>PROD PI</t>
  </si>
  <si>
    <t>BALANCE AT 12-31-15</t>
  </si>
  <si>
    <t>POLICIES ADDED THIS YEAR</t>
  </si>
  <si>
    <t>MONTH</t>
  </si>
  <si>
    <t>ACCRUAL</t>
  </si>
  <si>
    <t>VOUCHER/REF.</t>
  </si>
  <si>
    <t>PAYMENT</t>
  </si>
  <si>
    <t>BALANCE</t>
  </si>
  <si>
    <t>BROKER</t>
  </si>
  <si>
    <t>POLICY</t>
  </si>
  <si>
    <t>NUMBER</t>
  </si>
  <si>
    <t>AMOUNT</t>
  </si>
  <si>
    <t>EFF. DATE</t>
  </si>
  <si>
    <t>JANUARY</t>
  </si>
  <si>
    <t>V00098977, PREPDINS16</t>
  </si>
  <si>
    <t>The Insurancenter</t>
  </si>
  <si>
    <t>Auto</t>
  </si>
  <si>
    <t>CAP5223883</t>
  </si>
  <si>
    <t>1/1/16</t>
  </si>
  <si>
    <t>FEBRUARY</t>
  </si>
  <si>
    <t>EDG Portion of Auto</t>
  </si>
  <si>
    <t>MARCH</t>
  </si>
  <si>
    <t>The Insurancenter-Auto Rebate</t>
  </si>
  <si>
    <t>APRIL</t>
  </si>
  <si>
    <t>AR00030063</t>
  </si>
  <si>
    <t>MAY</t>
  </si>
  <si>
    <t>JUNE</t>
  </si>
  <si>
    <t>V00111367</t>
  </si>
  <si>
    <t>Westar portion</t>
  </si>
  <si>
    <t>JULY</t>
  </si>
  <si>
    <t>AUGUST</t>
  </si>
  <si>
    <t>JRNL SLC433</t>
  </si>
  <si>
    <t>SEPTEMBER</t>
  </si>
  <si>
    <t>OCTOBER</t>
  </si>
  <si>
    <t>NOVEMBER</t>
  </si>
  <si>
    <t>DECEMBER</t>
  </si>
  <si>
    <t>Total</t>
  </si>
  <si>
    <t>EXCESS LIABILITY - Public Liability &amp; Property Damage</t>
  </si>
  <si>
    <t>Allocated 1/2 to  O&amp;M  1/2 to capital.</t>
  </si>
  <si>
    <t>Automated</t>
  </si>
  <si>
    <t>PROD XL</t>
  </si>
  <si>
    <t>EIM-Continuity Credit</t>
  </si>
  <si>
    <t>2014-2015 Year</t>
  </si>
  <si>
    <t>Energy Insurance Mutual</t>
  </si>
  <si>
    <t>Excess Liability</t>
  </si>
  <si>
    <t>253400-16GL</t>
  </si>
  <si>
    <t>6/17/16</t>
  </si>
  <si>
    <t>Accrual for June</t>
  </si>
  <si>
    <t>6/1/16</t>
  </si>
  <si>
    <t>EDG Allocation of PL &amp; PD</t>
  </si>
  <si>
    <t>Reverse A/P Accruals</t>
  </si>
  <si>
    <t>V00110976, PREPDINS16</t>
  </si>
  <si>
    <t>Marsh/Aegis</t>
  </si>
  <si>
    <t>Energy Casualty</t>
  </si>
  <si>
    <t>XL5099805P</t>
  </si>
  <si>
    <t>V00112428, PREPDINS16</t>
  </si>
  <si>
    <t>Surplus Ln Tax</t>
  </si>
  <si>
    <t>Marsh/EIM</t>
  </si>
  <si>
    <t>25340016GL</t>
  </si>
  <si>
    <t>Marsh</t>
  </si>
  <si>
    <t>Casualty Brokerage Fee</t>
  </si>
  <si>
    <t>1/31/16</t>
  </si>
  <si>
    <t>Marsh/FINPRO</t>
  </si>
  <si>
    <t>5/17/16</t>
  </si>
  <si>
    <t>EXCESS WORKER'S COMPENSATION</t>
  </si>
  <si>
    <t>PROD XW</t>
  </si>
  <si>
    <t>Marsh/LM Insurance</t>
  </si>
  <si>
    <t>Excess Work Comp</t>
  </si>
  <si>
    <t>EW569N544580046</t>
  </si>
  <si>
    <t>W569N54458004</t>
  </si>
  <si>
    <t>IATAN GENERATING STATIONS BOILER &amp; MACHINERY</t>
  </si>
  <si>
    <t>Starting with renewal in Jun 2012</t>
  </si>
  <si>
    <t>145/924000</t>
  </si>
  <si>
    <t>monthly breakdown</t>
  </si>
  <si>
    <t>146/924000</t>
  </si>
  <si>
    <t>147/924000</t>
  </si>
  <si>
    <t>KCP&amp;L</t>
  </si>
  <si>
    <t>Iatan Liability</t>
  </si>
  <si>
    <t>n/a</t>
  </si>
  <si>
    <t>5/19/16</t>
  </si>
  <si>
    <t>V00114172</t>
  </si>
  <si>
    <t>PLUM POINT LIABILITY AND PROPERTY COVERAGE</t>
  </si>
  <si>
    <t>160/924000</t>
  </si>
  <si>
    <t>160/925000</t>
  </si>
  <si>
    <t>Will need to adjust the split when any payments or adjustments are made on the</t>
  </si>
  <si>
    <t>160/165100</t>
  </si>
  <si>
    <t>Plum Point worksheet.</t>
  </si>
  <si>
    <t>Accrual for May &amp; June</t>
  </si>
  <si>
    <t>6/1/2016</t>
  </si>
  <si>
    <t>Accrual for July</t>
  </si>
  <si>
    <t>7/1/2016</t>
  </si>
  <si>
    <t>Accrual for Aug</t>
  </si>
  <si>
    <t>8/1/2016</t>
  </si>
  <si>
    <t>McGriff, Seibels etal</t>
  </si>
  <si>
    <t>Prop &amp; Liab</t>
  </si>
  <si>
    <t xml:space="preserve">Various </t>
  </si>
  <si>
    <t>5/3/16</t>
  </si>
  <si>
    <t>PREPDINS16</t>
  </si>
  <si>
    <t>RKHarrison Ins Brokers</t>
  </si>
  <si>
    <t>PREPDINS16, V114101 (July)</t>
  </si>
  <si>
    <t>COMPREHENSIVE BOND (CRIME COVERAGE)</t>
  </si>
  <si>
    <t>All remitted to Plum Point Serv Co, Inc.</t>
  </si>
  <si>
    <t>310/930240</t>
  </si>
  <si>
    <t>Marsh/Federal Ins</t>
  </si>
  <si>
    <t>Fidelity Bond-Crime</t>
  </si>
  <si>
    <t>82236392</t>
  </si>
  <si>
    <t>4/16/16</t>
  </si>
  <si>
    <t>PROPERTY, BOILER, FIRE &amp; EXTRA EXPENSES</t>
  </si>
  <si>
    <t>310/924000</t>
  </si>
  <si>
    <t>Various-see comment</t>
  </si>
  <si>
    <t>Property-fee rebate</t>
  </si>
  <si>
    <t>9/1/15</t>
  </si>
  <si>
    <t>Homesite Insurance Co</t>
  </si>
  <si>
    <t>Flood Insurance</t>
  </si>
  <si>
    <t>Various-See Comments</t>
  </si>
  <si>
    <t>8/12/16</t>
  </si>
  <si>
    <t>6/22/16</t>
  </si>
  <si>
    <t>Marsh-Annual renewal</t>
  </si>
  <si>
    <t>Property-Riv CC</t>
  </si>
  <si>
    <t>Various-See Comment</t>
  </si>
  <si>
    <t>AR00028378, AR00028626</t>
  </si>
  <si>
    <t>September Accruals</t>
  </si>
  <si>
    <t>Various</t>
  </si>
  <si>
    <t>9/1/16</t>
  </si>
  <si>
    <t>EDG Portion of Prop Ins</t>
  </si>
  <si>
    <t>Property</t>
  </si>
  <si>
    <t>Marsh-Prop Consulting Fee</t>
  </si>
  <si>
    <t>V00111913, V00109760</t>
  </si>
  <si>
    <t>Westar Portion of Prop Ins</t>
  </si>
  <si>
    <t>Global Asset Protection Services</t>
  </si>
  <si>
    <t>Loss Prevention</t>
  </si>
  <si>
    <t>V00116651</t>
  </si>
  <si>
    <t>Arise Incorporated</t>
  </si>
  <si>
    <t>1898-03</t>
  </si>
  <si>
    <t>V00118854, PREPDINS16</t>
  </si>
  <si>
    <t>Global Risk Consultants</t>
  </si>
  <si>
    <t>Engineering Consult Fee</t>
  </si>
  <si>
    <t>SLCxxx, V00120192, V00120193</t>
  </si>
  <si>
    <t>C&amp;H Sales &amp; Service</t>
  </si>
  <si>
    <t>September Accrual Reversals</t>
  </si>
  <si>
    <t>October Accruals</t>
  </si>
  <si>
    <t>November Accrual Reversals</t>
  </si>
  <si>
    <t>DIRECTORS &amp; OFFICERS LIABILITY (COMMERCIAL CRIME)</t>
  </si>
  <si>
    <t>310/930220</t>
  </si>
  <si>
    <t>Marsh/Endurance</t>
  </si>
  <si>
    <t>Stand Alone Side-A</t>
  </si>
  <si>
    <t>ADX10003935002</t>
  </si>
  <si>
    <t>4/16/15</t>
  </si>
  <si>
    <t>Marsh/QBE Ins Corp</t>
  </si>
  <si>
    <t>QPL0081927</t>
  </si>
  <si>
    <t>D&amp;O Liab</t>
  </si>
  <si>
    <t>DP5122504P</t>
  </si>
  <si>
    <t>Marsh/Federal Insurance</t>
  </si>
  <si>
    <t>82252740</t>
  </si>
  <si>
    <t>0000034801</t>
  </si>
  <si>
    <t>RENEWAL-SURETY BONDS</t>
  </si>
  <si>
    <t>000/228220</t>
  </si>
  <si>
    <t>Christian Co. Bond</t>
  </si>
  <si>
    <t>S32109056</t>
  </si>
  <si>
    <t>3/8/16</t>
  </si>
  <si>
    <t>V00100772</t>
  </si>
  <si>
    <t>Johnson Co ROW Bond</t>
  </si>
  <si>
    <t>S32109051</t>
  </si>
  <si>
    <t>4/2/16</t>
  </si>
  <si>
    <t>V00103221</t>
  </si>
  <si>
    <t>Kansas WC Bond</t>
  </si>
  <si>
    <t>39S007752</t>
  </si>
  <si>
    <t>5/26/16</t>
  </si>
  <si>
    <t>Missouri WC Bond</t>
  </si>
  <si>
    <t>39S007756</t>
  </si>
  <si>
    <t>7/13/16</t>
  </si>
  <si>
    <t>Arkansas WC Bond</t>
  </si>
  <si>
    <t>39S007755</t>
  </si>
  <si>
    <t>V00111368, V00111459</t>
  </si>
  <si>
    <t>OK W/C Bond</t>
  </si>
  <si>
    <t>39S007761</t>
  </si>
  <si>
    <t>1/1/17</t>
  </si>
  <si>
    <t>V00116039</t>
  </si>
  <si>
    <t>GIG/Liberty Mutual</t>
  </si>
  <si>
    <t>AR ROW</t>
  </si>
  <si>
    <t>32S110306-E7949630000</t>
  </si>
  <si>
    <t>2/27/17</t>
  </si>
  <si>
    <t>V00127096, V0126574</t>
  </si>
  <si>
    <t>FIDUCIARY AND EMPLOYEE BENEFIT LIABILITY</t>
  </si>
  <si>
    <t>DEBIT</t>
  </si>
  <si>
    <t>310/926226</t>
  </si>
  <si>
    <t>CREDIT</t>
  </si>
  <si>
    <t>Fiduciary Liability</t>
  </si>
  <si>
    <t>82116394</t>
  </si>
  <si>
    <t>Marsh/RLI</t>
  </si>
  <si>
    <t>EPG0016987</t>
  </si>
  <si>
    <t>Marsh/National UN-PA</t>
  </si>
  <si>
    <t>013106544</t>
  </si>
  <si>
    <t>AVIATION POLICY</t>
  </si>
  <si>
    <t>310/924001</t>
  </si>
  <si>
    <t>Non-Owned Aircraft</t>
  </si>
  <si>
    <t>AV00339011717</t>
  </si>
  <si>
    <t>4/13/16</t>
  </si>
  <si>
    <t>V00112762</t>
  </si>
  <si>
    <t>GROUP AD&amp;D</t>
  </si>
  <si>
    <t>301/924000</t>
  </si>
  <si>
    <t>CYBER SECURITY</t>
  </si>
  <si>
    <t>310/905045</t>
  </si>
  <si>
    <t>Marsh/2623 AFB</t>
  </si>
  <si>
    <t>Cyber Risk</t>
  </si>
  <si>
    <t>W1453D160301</t>
  </si>
  <si>
    <t>Current Mo Accr</t>
  </si>
  <si>
    <t>Current Mo Payments</t>
  </si>
  <si>
    <t>YTD Accr</t>
  </si>
  <si>
    <t>YTD Payments</t>
  </si>
  <si>
    <t>Ending Balance</t>
  </si>
  <si>
    <t>PREPDINS JRNL</t>
  </si>
  <si>
    <t>Plum Pt</t>
  </si>
  <si>
    <t>Iatan</t>
  </si>
  <si>
    <t>Other</t>
  </si>
  <si>
    <t>Total Elec and Gas</t>
  </si>
  <si>
    <t>JOURNAL TOTAL</t>
  </si>
  <si>
    <t>Ledger Balance</t>
  </si>
  <si>
    <t>Difference:</t>
  </si>
  <si>
    <t>UPDATE NAME IN FORMULA TO THE CURRENT MONTH FOR CELLS C258, C261, C262, C263, C265, E258, AND F259.</t>
  </si>
  <si>
    <t>PROOF OF BALANCE:</t>
  </si>
  <si>
    <t>BALANCE, BEGINNING OF YEAR</t>
  </si>
  <si>
    <t>YTD ACCRUALS</t>
  </si>
  <si>
    <t>YTD PAYMENTS</t>
  </si>
  <si>
    <t>ENDING BALANCE</t>
  </si>
  <si>
    <t>Should Agree to F261</t>
  </si>
  <si>
    <t>BALANCE AT 12-31-14</t>
  </si>
  <si>
    <t>V00067654, PREPDINS15</t>
  </si>
  <si>
    <t>Commercial Auto</t>
  </si>
  <si>
    <t>1/1/15</t>
  </si>
  <si>
    <t>EDG Portion of Auto Policy</t>
  </si>
  <si>
    <t>7/1/15</t>
  </si>
  <si>
    <t>V00080975, PREPDINS15</t>
  </si>
  <si>
    <t>JRNL SLCLIABINS</t>
  </si>
  <si>
    <t>XL5099804P</t>
  </si>
  <si>
    <t>5/17/15</t>
  </si>
  <si>
    <t>JRNL AR00023205</t>
  </si>
  <si>
    <t>25308015GL</t>
  </si>
  <si>
    <t>V00077236, V00076854, JRNL PREPDINS15</t>
  </si>
  <si>
    <t>Spreadsheet reallocation from PL&amp;PD to D&amp;O</t>
  </si>
  <si>
    <t>2/1/15</t>
  </si>
  <si>
    <t>Reallocation from PL&amp;PD to D&amp;O</t>
  </si>
  <si>
    <t>EW569N544580045</t>
  </si>
  <si>
    <t>V00077236</t>
  </si>
  <si>
    <t>5/19/15</t>
  </si>
  <si>
    <t>V00079725</t>
  </si>
  <si>
    <t>February operations invoice</t>
  </si>
  <si>
    <t>Boiler &amp; Pollution</t>
  </si>
  <si>
    <t>2/2015</t>
  </si>
  <si>
    <t>V00070443</t>
  </si>
  <si>
    <t>Estimated May expense-renewal not yet received</t>
  </si>
  <si>
    <t>Estimated June expense-renewal not yet received</t>
  </si>
  <si>
    <t>Estimated July expense-renewal not yet received</t>
  </si>
  <si>
    <t>JRNL PREPDINS15</t>
  </si>
  <si>
    <t>5/3/15</t>
  </si>
  <si>
    <t>Prop &amp; Liab-Prem correction</t>
  </si>
  <si>
    <t>JRNL 25544 (July), V80065 (July), JRNL APCORGL (Aug)</t>
  </si>
  <si>
    <t>V00075699</t>
  </si>
  <si>
    <t>Homesite-Flood refund</t>
  </si>
  <si>
    <t>Flood</t>
  </si>
  <si>
    <t>EIM-Engineering fee rebate</t>
  </si>
  <si>
    <t>Aegis-Engineering fee rebate</t>
  </si>
  <si>
    <t>Princeton E&amp;S-Engineering fee rebate</t>
  </si>
  <si>
    <t>Marsh-Engineering fee rebate</t>
  </si>
  <si>
    <t>Liberty-Engineering fee rebate</t>
  </si>
  <si>
    <t>Navigators-Fee rebate</t>
  </si>
  <si>
    <t>JRNL AR00023394</t>
  </si>
  <si>
    <t>Homesite Ins Company</t>
  </si>
  <si>
    <t>6/22/15</t>
  </si>
  <si>
    <t>V00076075</t>
  </si>
  <si>
    <t>8/12/15</t>
  </si>
  <si>
    <t>V00081363</t>
  </si>
  <si>
    <t>Marsh-Addl Prem for AQCS</t>
  </si>
  <si>
    <t>12/15/14</t>
  </si>
  <si>
    <t>JRNL PREPDINS15, JRNL SLCxxx, V00088201, V00088200, V00086403</t>
  </si>
  <si>
    <t>JRNL PREPDINS15, V00089932, V00090955</t>
  </si>
  <si>
    <t>JRNL PREPDINS15, V00092552</t>
  </si>
  <si>
    <t>9/24/15</t>
  </si>
  <si>
    <t>JRNL PREPDINS15, V00095428, JRNL AR00028074</t>
  </si>
  <si>
    <t>Consulting Fee Credit</t>
  </si>
  <si>
    <t>V00068397</t>
  </si>
  <si>
    <t>Greene Co ROW</t>
  </si>
  <si>
    <t>32S110352-E9215090000</t>
  </si>
  <si>
    <t>4/11/15</t>
  </si>
  <si>
    <t>Johnson Co ROW</t>
  </si>
  <si>
    <t>32S109051</t>
  </si>
  <si>
    <t>4/2/15</t>
  </si>
  <si>
    <t>V00072029, V00072030</t>
  </si>
  <si>
    <t>Christian Co ROW</t>
  </si>
  <si>
    <t>32S109056</t>
  </si>
  <si>
    <t>3/8/15</t>
  </si>
  <si>
    <t>V00076744, V00076080, V00076349</t>
  </si>
  <si>
    <t>5/26/15</t>
  </si>
  <si>
    <t>V00079181, V00080319</t>
  </si>
  <si>
    <t>Bond Rider-KS WC</t>
  </si>
  <si>
    <t>V00080729</t>
  </si>
  <si>
    <t>MO Right of Way</t>
  </si>
  <si>
    <t>32S109053</t>
  </si>
  <si>
    <t>MO W/C Bond</t>
  </si>
  <si>
    <t>7/13/15</t>
  </si>
  <si>
    <t>V00088547</t>
  </si>
  <si>
    <t>AR W/C Bond</t>
  </si>
  <si>
    <t>MO Hwy &amp; Transp Comm</t>
  </si>
  <si>
    <t>32S110309-E795023000</t>
  </si>
  <si>
    <t>12/3/15</t>
  </si>
  <si>
    <t>S39007761</t>
  </si>
  <si>
    <t>V00095552, V00095874</t>
  </si>
  <si>
    <t>2/27/16</t>
  </si>
  <si>
    <t>EPG0016800</t>
  </si>
  <si>
    <t>012113296</t>
  </si>
  <si>
    <t>AV00339011716</t>
  </si>
  <si>
    <t>4/13/15</t>
  </si>
  <si>
    <t>V00074840</t>
  </si>
  <si>
    <t>W1453C150201</t>
  </si>
  <si>
    <t>Prior month period end date</t>
  </si>
  <si>
    <t>Current month period end date</t>
  </si>
  <si>
    <t>2015 BORROWINGS</t>
  </si>
  <si>
    <t>BORROWINGS MATURITIES</t>
  </si>
  <si>
    <t>SALES OF COMMERCIAL PAPER</t>
  </si>
  <si>
    <t>Date</t>
  </si>
  <si>
    <t>No.</t>
  </si>
  <si>
    <t>Current</t>
  </si>
  <si>
    <t>Memo</t>
  </si>
  <si>
    <t>Issuance</t>
  </si>
  <si>
    <t>of</t>
  </si>
  <si>
    <t>Interest</t>
  </si>
  <si>
    <t>Issued</t>
  </si>
  <si>
    <t>Net</t>
  </si>
  <si>
    <t>Total Cash</t>
  </si>
  <si>
    <t>Start</t>
  </si>
  <si>
    <t>End</t>
  </si>
  <si>
    <t>Borrowed</t>
  </si>
  <si>
    <t>Unamortized</t>
  </si>
  <si>
    <t>Type</t>
  </si>
  <si>
    <t>Maturity</t>
  </si>
  <si>
    <t>Rate</t>
  </si>
  <si>
    <t>Amount</t>
  </si>
  <si>
    <t>Discount</t>
  </si>
  <si>
    <t>Proceeds</t>
  </si>
  <si>
    <t>Days</t>
  </si>
  <si>
    <t>Expense</t>
  </si>
  <si>
    <t>Paid</t>
  </si>
  <si>
    <t>COMMERCIAL PAPER</t>
  </si>
  <si>
    <t>15-146</t>
  </si>
  <si>
    <t>15-147</t>
  </si>
  <si>
    <t>15-148</t>
  </si>
  <si>
    <t>15-149</t>
  </si>
  <si>
    <t>15-150</t>
  </si>
  <si>
    <t>15-151</t>
  </si>
  <si>
    <t>15-152</t>
  </si>
  <si>
    <t>15-153</t>
  </si>
  <si>
    <t>15-154</t>
  </si>
  <si>
    <t>15-155</t>
  </si>
  <si>
    <t>15-156</t>
  </si>
  <si>
    <t>15-157</t>
  </si>
  <si>
    <t>15-158</t>
  </si>
  <si>
    <t>15-159</t>
  </si>
  <si>
    <t>15-160</t>
  </si>
  <si>
    <t>15-161</t>
  </si>
  <si>
    <t>15-162</t>
  </si>
  <si>
    <t/>
  </si>
  <si>
    <t>2016 BORROWINGS</t>
  </si>
  <si>
    <t>16-99</t>
  </si>
  <si>
    <t>16-100</t>
  </si>
  <si>
    <t>16-101</t>
  </si>
  <si>
    <t>16-102</t>
  </si>
  <si>
    <t>16-103</t>
  </si>
  <si>
    <t>16-104</t>
  </si>
  <si>
    <t>16-105</t>
  </si>
  <si>
    <t>16-106</t>
  </si>
  <si>
    <t>16-107</t>
  </si>
  <si>
    <t>16-108</t>
  </si>
  <si>
    <t>16-109</t>
  </si>
  <si>
    <t>16-110</t>
  </si>
  <si>
    <t>16-111</t>
  </si>
  <si>
    <t>16-112</t>
  </si>
  <si>
    <t>16-113</t>
  </si>
  <si>
    <t>16-114</t>
  </si>
  <si>
    <t>GL Detail by Acct, All Periods</t>
  </si>
  <si>
    <t xml:space="preserve"> 3</t>
  </si>
  <si>
    <t>Journal ID</t>
  </si>
  <si>
    <t>Account</t>
  </si>
  <si>
    <t>Line Descr</t>
  </si>
  <si>
    <t>Period</t>
  </si>
  <si>
    <t>Product</t>
  </si>
  <si>
    <t>Dept</t>
  </si>
  <si>
    <t>Unit</t>
  </si>
  <si>
    <t>Year</t>
  </si>
  <si>
    <t>0000064570</t>
  </si>
  <si>
    <t>OT</t>
  </si>
  <si>
    <t>145</t>
  </si>
  <si>
    <t>GL001</t>
  </si>
  <si>
    <t>146</t>
  </si>
  <si>
    <t>147</t>
  </si>
  <si>
    <t>APA0008405</t>
  </si>
  <si>
    <t>AP Accruals</t>
  </si>
  <si>
    <t>RL</t>
  </si>
  <si>
    <t>0000008765</t>
  </si>
  <si>
    <t>Kansas City Power &amp; Light Co</t>
  </si>
  <si>
    <t>KCPL Iatan #2</t>
  </si>
  <si>
    <t>No changes.</t>
  </si>
  <si>
    <t>AGREED TO GL. MW 2-20-13</t>
  </si>
  <si>
    <t>AGREED TO GL. MW 3-11-13</t>
  </si>
  <si>
    <t>AGREED TO GL. MW 4-10-13</t>
  </si>
  <si>
    <t>AGREED TO GL. MW 5-13-13</t>
  </si>
  <si>
    <t>AGREED TO GL. MW 6-13-13</t>
  </si>
  <si>
    <t>AGREED TO GL. MW 7-17-13</t>
  </si>
  <si>
    <t>AGREED TO GL. MW 8-13-13</t>
  </si>
  <si>
    <t>AGREED TO GL. MW 9-11-13</t>
  </si>
  <si>
    <t>AGREED TO GL. MW 10-15-13</t>
  </si>
  <si>
    <t>AGREED TO GL. MW 11-15-13</t>
  </si>
  <si>
    <t>AGREED TO GL. MW 12-10-13</t>
  </si>
  <si>
    <t>AGREED TO GL. MW 1-16-14</t>
  </si>
  <si>
    <t>AGREED TO GL. MW 2-20-14</t>
  </si>
  <si>
    <t>AGREED TO GL. MW 3-19-14</t>
  </si>
  <si>
    <t>AGREED TO GL. MW 4-8-14</t>
  </si>
  <si>
    <t>AGREED TO GL. MW 5-14-14</t>
  </si>
  <si>
    <t>AGREED TO GL. MW 6-6-14</t>
  </si>
  <si>
    <t>AGREED TO GL. MW 7-16-14</t>
  </si>
  <si>
    <t>AGREED TO GL. MW 8-6-14</t>
  </si>
  <si>
    <t>AGREED TO GL. MW 9-5-14</t>
  </si>
  <si>
    <t>AGREED TO GL. MW 10-10-14</t>
  </si>
  <si>
    <t>AGREED TO GL. MW 11-12-14</t>
  </si>
  <si>
    <t>AGREED TO GL. MW 12-9-14</t>
  </si>
  <si>
    <t>AGREED TO GL. MW 1-10-15</t>
  </si>
  <si>
    <t>AGREED TO GL. MW 2-13-15</t>
  </si>
  <si>
    <t>AGREED TO GL. MW 3-9-15</t>
  </si>
  <si>
    <t>AGREED TO GL. MW 4-16-15</t>
  </si>
  <si>
    <t>AGREED TO GL. MW 5-11-15</t>
  </si>
  <si>
    <t>AGREED TO GL. MW 6-8-15</t>
  </si>
  <si>
    <t>AGREED TO GL. MW 7-13-15</t>
  </si>
  <si>
    <t>AGREED TO GL. MW 8-14-15</t>
  </si>
  <si>
    <t>AGREED TO GL. MW 9-10-15</t>
  </si>
  <si>
    <t>AGREED TO GL. MW 10-9-15</t>
  </si>
  <si>
    <t>AGREED TO GL. MW 11-4-15</t>
  </si>
  <si>
    <t>AGREED TO GL. MW 12-14-15</t>
  </si>
  <si>
    <t>APA0028162</t>
  </si>
  <si>
    <t>FU</t>
  </si>
  <si>
    <t>000</t>
  </si>
  <si>
    <t>No change from prior month</t>
  </si>
  <si>
    <t>AGREED TO GL.  MW 2-17-16</t>
  </si>
  <si>
    <t>AGREED TO GL.  MW 3-9-16</t>
  </si>
  <si>
    <t>AGREED TO GL.  MW 4-7-16</t>
  </si>
  <si>
    <t>AGREED TO GL.  MW 5-18-16</t>
  </si>
  <si>
    <t>AGREED TO GL.  CR 6-22-16</t>
  </si>
  <si>
    <t>AGREED TO GL.  CR 7-28-16</t>
  </si>
  <si>
    <t>AGREED TO GL.  CR 8-17-16</t>
  </si>
  <si>
    <t>AGREED TO GL.  CR 9-21-16</t>
  </si>
  <si>
    <t>AGREED TO GL.  CR 10-24-16</t>
  </si>
  <si>
    <t>AGREED TO GL.  CR 11-21-16</t>
  </si>
  <si>
    <t>AGREED TO GL.  CR 12-21-16</t>
  </si>
  <si>
    <t>APA0034597</t>
  </si>
  <si>
    <t>AGREED TO GL.  CR 1-24-17</t>
  </si>
  <si>
    <t>Decrease</t>
  </si>
  <si>
    <t>No Change</t>
  </si>
  <si>
    <t xml:space="preserve"> 1</t>
  </si>
  <si>
    <t>0000064571</t>
  </si>
  <si>
    <t>AGREED TO GL. MW 1-12-16</t>
  </si>
  <si>
    <t>AGREED TO GL. MW 2-17-16</t>
  </si>
  <si>
    <t>AGREED TO GL. MW 3-9-16</t>
  </si>
  <si>
    <t>AGREED TO GL. MW 4-7-16</t>
  </si>
  <si>
    <t>AGREED TO GL. MW 5-18-16</t>
  </si>
  <si>
    <t>AGREED TO GL. CR 6-22-16</t>
  </si>
  <si>
    <t>AGREED TO GL. CR 7-28-16</t>
  </si>
  <si>
    <t>AGREED TO GL. CR 8-17-16</t>
  </si>
  <si>
    <t>AGREED TO GL. CR 9-21-16</t>
  </si>
  <si>
    <t>AGREED TO GL. CR 10-24-16</t>
  </si>
  <si>
    <t>AGREED TO GL. CR 11-21-16</t>
  </si>
  <si>
    <t>AGREED TO GL. CR 12-21-16</t>
  </si>
  <si>
    <t>AGREED TO GL. CR 1-24-17</t>
  </si>
  <si>
    <t>AMORTIZATION OF IATAN (KCPL) LAND LEASE</t>
  </si>
  <si>
    <t>AMORTIZATION PERIOD 1-1-13 THROUGH 12-31-59</t>
  </si>
  <si>
    <t>DR. 507129-146, CR. 165352-146 (RECURRING JRNL IATLANDLSE)</t>
  </si>
  <si>
    <t>DATE</t>
  </si>
  <si>
    <t>DESCRIPTION</t>
  </si>
  <si>
    <t>AMOUNTS</t>
  </si>
  <si>
    <t>MONTHS</t>
  </si>
  <si>
    <t>AMORTIZATION</t>
  </si>
  <si>
    <t>REMAINING</t>
  </si>
  <si>
    <t>DEC 2012</t>
  </si>
  <si>
    <t>DIRECT COSTS</t>
  </si>
  <si>
    <t>JAN 2013</t>
  </si>
  <si>
    <t>FEB 2013</t>
  </si>
  <si>
    <t>AGREED TO GL. MW 2-20-12</t>
  </si>
  <si>
    <t>MAR 2013</t>
  </si>
  <si>
    <t>APR 2013</t>
  </si>
  <si>
    <t>MAY 2013</t>
  </si>
  <si>
    <t>JUN 2013</t>
  </si>
  <si>
    <t>JUL 2013</t>
  </si>
  <si>
    <t>AUG 2013</t>
  </si>
  <si>
    <t>SEP 2013</t>
  </si>
  <si>
    <t>OCT 2013</t>
  </si>
  <si>
    <t>NOV 2013</t>
  </si>
  <si>
    <t>DEC 2013</t>
  </si>
  <si>
    <t>JAN 2014</t>
  </si>
  <si>
    <t>FEB 2014</t>
  </si>
  <si>
    <t>MAR 2014</t>
  </si>
  <si>
    <t>APR 2014</t>
  </si>
  <si>
    <t>MAY 2014</t>
  </si>
  <si>
    <t>JUN 2014</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</si>
  <si>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</si>
  <si>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</si>
  <si>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</si>
  <si>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</si>
  <si>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</si>
  <si>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</si>
  <si>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</si>
  <si>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</si>
  <si>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</si>
  <si>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</si>
  <si>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</si>
  <si>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</si>
  <si>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</si>
  <si>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</si>
  <si>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</si>
  <si>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</si>
  <si>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</si>
  <si>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</si>
  <si>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</si>
  <si>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</si>
  <si>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</si>
  <si>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</si>
  <si>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</si>
  <si>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</si>
  <si>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</si>
  <si>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</si>
  <si>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</si>
  <si>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</si>
  <si>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</si>
  <si>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DEC 2016</t>
  </si>
  <si>
    <t>JAN 2017</t>
  </si>
  <si>
    <t>FEB 2017</t>
  </si>
  <si>
    <t>AGREED TO GL. CR 2-27-17</t>
  </si>
  <si>
    <t>MAR 2017</t>
  </si>
  <si>
    <t>AGREED TO GL. CR 3-20-17</t>
  </si>
  <si>
    <t>APR 2017</t>
  </si>
  <si>
    <t>AGREED TO GL. CR 4-20-17</t>
  </si>
  <si>
    <t>MAY 2017</t>
  </si>
  <si>
    <t>AGREED TO GL. CR 5-26-17</t>
  </si>
  <si>
    <t>JUN 2017</t>
  </si>
  <si>
    <t>AGREED TO GL. CR 6-20-17</t>
  </si>
  <si>
    <t>JUL 2017</t>
  </si>
  <si>
    <t>AGREED TO GL. CR 7-18-17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</si>
  <si>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</si>
  <si>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</si>
  <si>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</si>
  <si>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</si>
  <si>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</si>
  <si>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</si>
  <si>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</si>
  <si>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</si>
  <si>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</si>
  <si>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</si>
  <si>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</si>
  <si>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</si>
  <si>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</si>
  <si>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</si>
  <si>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</si>
  <si>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</si>
  <si>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</si>
  <si>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</si>
  <si>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</si>
  <si>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</si>
  <si>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</si>
  <si>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</si>
  <si>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</si>
  <si>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</si>
  <si>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</si>
  <si>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</si>
  <si>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</si>
  <si>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</si>
  <si>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</si>
  <si>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DEC</t>
  </si>
  <si>
    <t>JAN</t>
  </si>
  <si>
    <t>FEB</t>
  </si>
  <si>
    <t>MAR</t>
  </si>
  <si>
    <t>APR</t>
  </si>
  <si>
    <t>JUN</t>
  </si>
  <si>
    <t>JUL</t>
  </si>
  <si>
    <t>AUG</t>
  </si>
  <si>
    <t>SEP</t>
  </si>
  <si>
    <t>OCT</t>
  </si>
  <si>
    <t>NOV</t>
  </si>
  <si>
    <t>PREPAYMENTS-RIVERTON DEFERRED MAINTENANCE</t>
  </si>
  <si>
    <t>120/553168</t>
  </si>
  <si>
    <t>000/165900</t>
  </si>
  <si>
    <t>PAYMENT &amp; MISC</t>
  </si>
  <si>
    <t>AGREED TO GL.</t>
  </si>
  <si>
    <t xml:space="preserve">JRNL MISC-AP-15--Current amort  </t>
  </si>
  <si>
    <t>MW 3/13/15</t>
  </si>
  <si>
    <t>JRNL MISC-AP-15--Current amort &amp; establish current portion</t>
  </si>
  <si>
    <t>MW 4/16/15</t>
  </si>
  <si>
    <t>MW 5/11/15</t>
  </si>
  <si>
    <t>MW 6/8/15</t>
  </si>
  <si>
    <t>MW 7/13/15</t>
  </si>
  <si>
    <t>JRNL MISC-AP-15</t>
  </si>
  <si>
    <t>MW 8/14/15</t>
  </si>
  <si>
    <t>MW 9/10/15</t>
  </si>
  <si>
    <t>MW 10/9/15</t>
  </si>
  <si>
    <t>MW 11/4/15</t>
  </si>
  <si>
    <t>V00092688</t>
  </si>
  <si>
    <t>MW 12/14/15</t>
  </si>
  <si>
    <t>MW 1/12/16</t>
  </si>
  <si>
    <t>MISC-AP-16; V00098632</t>
  </si>
  <si>
    <t>MW 2/17/16</t>
  </si>
  <si>
    <t>MW 3/9/16</t>
  </si>
  <si>
    <t>MISC-AP-16</t>
  </si>
  <si>
    <t>MW 4/7/16</t>
  </si>
  <si>
    <t>MW 5/16/16</t>
  </si>
  <si>
    <t xml:space="preserve">MISC-AP-16; V00107210 </t>
  </si>
  <si>
    <t>CR 6/22/16</t>
  </si>
  <si>
    <t>CR 7/28/16</t>
  </si>
  <si>
    <t>MISC-AP-16; V00114004</t>
  </si>
  <si>
    <t>CR 8/17/16</t>
  </si>
  <si>
    <t>CR 9/21/16</t>
  </si>
  <si>
    <t>CR 10/24/16</t>
  </si>
  <si>
    <t>CR 11/21/16</t>
  </si>
  <si>
    <t>V123003; V122779; V122453</t>
  </si>
  <si>
    <t>CR 12/21/16</t>
  </si>
  <si>
    <t>CR 1/24/17</t>
  </si>
  <si>
    <t>Dec 2015</t>
  </si>
  <si>
    <t>Jan 2016</t>
  </si>
  <si>
    <t>Feb 2016</t>
  </si>
  <si>
    <t>Mar 2016</t>
  </si>
  <si>
    <t>Apr 2016</t>
  </si>
  <si>
    <t>May 2016</t>
  </si>
  <si>
    <t>Jun 2016</t>
  </si>
  <si>
    <t>Jul 2016</t>
  </si>
  <si>
    <t>Aug 2016</t>
  </si>
  <si>
    <t>Sep 2016</t>
  </si>
  <si>
    <t>Oct 2016</t>
  </si>
  <si>
    <t>Nov 2016</t>
  </si>
  <si>
    <t>Dec 2016</t>
  </si>
  <si>
    <t>Prior Month Prepaid Advance (Balance from Invoice Plus Reconciling Items)</t>
  </si>
  <si>
    <t>Next Month Prepaid Advance (Invoice)</t>
  </si>
  <si>
    <t>Reclass Current Month Advance to Expense (JE)</t>
  </si>
  <si>
    <t>Reversal of Reclass Last Month Advance to Expense (JE)</t>
  </si>
  <si>
    <t>Reversal of Prior Month Prepaid Advance (Invoice)</t>
  </si>
  <si>
    <t xml:space="preserve">  Total Account 165600</t>
  </si>
  <si>
    <t>Reconciling Items:</t>
  </si>
  <si>
    <t>Capex Advance (Invoice)</t>
  </si>
  <si>
    <t>Reverse Capex Advance (Invoice)</t>
  </si>
  <si>
    <t>Variable Exp</t>
  </si>
  <si>
    <t>Feedwater Proj Adv</t>
  </si>
  <si>
    <t>Vib Monitoring Install</t>
  </si>
  <si>
    <t>Air Heater Basket Replacement</t>
  </si>
  <si>
    <t>BFP Monitors</t>
  </si>
  <si>
    <t>HP Heater #5</t>
  </si>
  <si>
    <t>Capital Spares</t>
  </si>
  <si>
    <t>Miscellaneous Items</t>
  </si>
  <si>
    <t>Prefund Carbon Settlement</t>
  </si>
  <si>
    <t>Elect Fault</t>
  </si>
  <si>
    <t>Working Capital Fund March 2015</t>
  </si>
  <si>
    <t>Install Large Particle Ash Screen in Ductwork</t>
  </si>
  <si>
    <t>Actuals-Prepayments-Plum Point</t>
  </si>
  <si>
    <t>Invoices for Budgeted Expenses-Outstanding at EOM</t>
  </si>
  <si>
    <t>Invoices for Budgeted Expenses-Reversal of Previous Month(s)</t>
  </si>
  <si>
    <t>Balance Account 165600</t>
  </si>
  <si>
    <t>General Ledger Account Balance</t>
  </si>
  <si>
    <t>Difference</t>
  </si>
  <si>
    <t>Notes:</t>
  </si>
  <si>
    <t>Prepaid for Plum Point is a three month process. Plum Point first invoices EDE for an estimated prepaid they think they will incur in expenses, then the next month Plum Points incurs the actual expenses but EDE is not</t>
  </si>
  <si>
    <t xml:space="preserve"> billed yet so EDE reverses the prepaid by journal entry and records expense and then the third month Plum Point invoices EDE for the true up of the expenses and EDE's journal entry is reversed.</t>
  </si>
  <si>
    <t>Items highlighted in green, are outstanding prepaids at the end of December 2015.</t>
  </si>
  <si>
    <t>Items highlighted in yellow, are outstanding prepaids at the end of December 2016 which accounts for $205,759.69 difference from Dec 2015.</t>
  </si>
  <si>
    <t>Prepaid for Plum Point is a three month process. Plum Point first invoices EDE for an estimated prepaid they think they will incur in expenses, then the next month Plum Points incurs the actual expenses but EDE is not billed yet so EDE reverses the prepaid by journal entry and records expense and then the third month Plum Point invoices EDE for the true up of the expenses and EDE's journal entry is reversed.</t>
  </si>
  <si>
    <t>PPM Energy</t>
  </si>
  <si>
    <t>Community Energy</t>
  </si>
  <si>
    <t>Nexant Inc</t>
  </si>
  <si>
    <t>Renew Choice</t>
  </si>
  <si>
    <t>600,000 units</t>
  </si>
  <si>
    <t>Green-E</t>
  </si>
  <si>
    <t>100,000 units</t>
  </si>
  <si>
    <t>81,574 units</t>
  </si>
  <si>
    <t>2009-2012</t>
  </si>
  <si>
    <t>Annual Fee</t>
  </si>
  <si>
    <t>Prepaid Railcar</t>
  </si>
  <si>
    <t>Plum Point</t>
  </si>
  <si>
    <t>Aprl 14</t>
  </si>
  <si>
    <t>Balance - Acct 165400</t>
  </si>
  <si>
    <t>BNSF</t>
  </si>
  <si>
    <t>We started prepaying BNSF quarterly in 2016</t>
  </si>
  <si>
    <t>for more info see Jared Wickland</t>
  </si>
  <si>
    <t>Account = 165800,Year=2015</t>
  </si>
  <si>
    <t xml:space="preserve"> 37</t>
  </si>
  <si>
    <t>Project</t>
  </si>
  <si>
    <t>Status</t>
  </si>
  <si>
    <t>230</t>
  </si>
  <si>
    <t>MS</t>
  </si>
  <si>
    <t>YREND22105</t>
  </si>
  <si>
    <t>P</t>
  </si>
  <si>
    <t>T-CHEK SYSTEMS FUEL EXP</t>
  </si>
  <si>
    <t>T-CHEK</t>
  </si>
  <si>
    <t>APA0021911</t>
  </si>
  <si>
    <t>FE</t>
  </si>
  <si>
    <t>APA0022445</t>
  </si>
  <si>
    <t>APA0022459</t>
  </si>
  <si>
    <t>APA0023100</t>
  </si>
  <si>
    <t>APA0023088</t>
  </si>
  <si>
    <t>APA0023574</t>
  </si>
  <si>
    <t>APA0023582</t>
  </si>
  <si>
    <t>APA0024142</t>
  </si>
  <si>
    <t>APA0024132</t>
  </si>
  <si>
    <t>APA0024754</t>
  </si>
  <si>
    <t>APA0024769</t>
  </si>
  <si>
    <t>APA0025141</t>
  </si>
  <si>
    <t>APA0025149</t>
  </si>
  <si>
    <t>APA0025158</t>
  </si>
  <si>
    <t>APA0025822</t>
  </si>
  <si>
    <t>APA0025810</t>
  </si>
  <si>
    <t>APA0026435</t>
  </si>
  <si>
    <t>APA0026445</t>
  </si>
  <si>
    <t>APA0027006</t>
  </si>
  <si>
    <t>MA</t>
  </si>
  <si>
    <t>T-Chek Systems Inc</t>
  </si>
  <si>
    <t>AP-UPLOAD3</t>
  </si>
  <si>
    <t>APA0027557</t>
  </si>
  <si>
    <t>APA0027568</t>
  </si>
  <si>
    <t>APA0028150</t>
  </si>
  <si>
    <t>Account = 165800,Year=2016</t>
  </si>
  <si>
    <t xml:space="preserve"> 33</t>
  </si>
  <si>
    <t>YREND31135</t>
  </si>
  <si>
    <t>APA0028695</t>
  </si>
  <si>
    <t>APA0028710</t>
  </si>
  <si>
    <t>APA0029314</t>
  </si>
  <si>
    <t>APA0029778</t>
  </si>
  <si>
    <t>APA0030353</t>
  </si>
  <si>
    <t>APA0030851</t>
  </si>
  <si>
    <t>APA0030860</t>
  </si>
  <si>
    <t>APA0031427</t>
  </si>
  <si>
    <t>APA0031442</t>
  </si>
  <si>
    <t>APA0031910</t>
  </si>
  <si>
    <t>APA0031915</t>
  </si>
  <si>
    <t>APA0032447</t>
  </si>
  <si>
    <t>APA0032970</t>
  </si>
  <si>
    <t>APA0032978</t>
  </si>
  <si>
    <t>APA0032990</t>
  </si>
  <si>
    <t>APA0033507</t>
  </si>
  <si>
    <t>APA0034039</t>
  </si>
  <si>
    <t>APA0034056</t>
  </si>
  <si>
    <t>APA0034589</t>
  </si>
  <si>
    <t>AP001</t>
  </si>
  <si>
    <t>12-12-16 PREPAY FUEL FLEET</t>
  </si>
  <si>
    <t>PRE-PAY FUEL FOR CO. FLEET</t>
  </si>
  <si>
    <t>11-16 FUEL FOR COMPANY FLEET</t>
  </si>
  <si>
    <t>Prepay fuel-Company Fleet</t>
  </si>
  <si>
    <t>10-17 PREPAY FUEL FOR FLEET</t>
  </si>
  <si>
    <t>9-29-16 Prepay Fuel Comp Fleet</t>
  </si>
  <si>
    <t>9-13-16 Fuel prepay comp fleet</t>
  </si>
  <si>
    <t>8-29-16 Fuel Prepay Comp Fleet</t>
  </si>
  <si>
    <t>8-5 Company Fleet Fuel</t>
  </si>
  <si>
    <t>7-18 PREPAY FUEL FOR FLEET</t>
  </si>
  <si>
    <t>7-06 FUEL FOR COMPANY FLEET</t>
  </si>
  <si>
    <t>Prepay Fuel Comp Fleet</t>
  </si>
  <si>
    <t>6-6-16 Fuel Company Fleet</t>
  </si>
  <si>
    <t>5-16 FUEL FOR COMPANY FLEET</t>
  </si>
  <si>
    <t>5-2 PREPAY FUEL FOR FLEET</t>
  </si>
  <si>
    <t>Prepay for Comp Fuel</t>
  </si>
  <si>
    <t>3-11 PREPAY FLEET FUEL</t>
  </si>
  <si>
    <t>2-16 Prepay Fuel Company Fleet</t>
  </si>
  <si>
    <t>1-28-16 PREPAY FUEL FOR FLEET</t>
  </si>
  <si>
    <t>12-7 PREPAY FUEL COMP FLEET</t>
  </si>
  <si>
    <t>10-29-15 PREPAY FUEL FOR FLEET</t>
  </si>
  <si>
    <t>11-17-15 PREPAY FUEL FOR FLEET</t>
  </si>
  <si>
    <t>1-15 PREPAY FUEL FOR FLEET</t>
  </si>
  <si>
    <t>10/15 PREPAY FUEL FOR FLEET</t>
  </si>
  <si>
    <t>9-21 FUEL FOR FLEET</t>
  </si>
  <si>
    <t>9-2 PREPAY FUEL FOR FLEET</t>
  </si>
  <si>
    <t>8-20 PREPAY FUEL FOR FLEET</t>
  </si>
  <si>
    <t>8-3 PREPAY FUEL FOR FLEET</t>
  </si>
  <si>
    <t>7-22 FUEL FOR COMPANY FLEET</t>
  </si>
  <si>
    <t>7-15 PREPAY FUEL FOR FLEET</t>
  </si>
  <si>
    <t>7-3-15 PREPAY FUEL COMP FLEET</t>
  </si>
  <si>
    <t>6-24 PEPAY FUEL COMPANY FLEET</t>
  </si>
  <si>
    <t>6-15 PREPAY FUEL FOR FLEET</t>
  </si>
  <si>
    <t>5-14 PRE-PAY FUEL FLEET</t>
  </si>
  <si>
    <t>5-1 PREPAY FUEL FOR FLEET</t>
  </si>
  <si>
    <t>3-31 PREPAY FUEL FOR FLEET</t>
  </si>
  <si>
    <t>4-14 PRE-PAY FUEL FOR FLEET</t>
  </si>
  <si>
    <t>3-20 PREPAY FUEL FOR FLEET</t>
  </si>
  <si>
    <t>3-11 PRE-PAY FUEL FOR FLEET</t>
  </si>
  <si>
    <t>2-24-15 PRE-PAY FUEL FOR FLEET</t>
  </si>
  <si>
    <t>2-11 PRE-PAY FUEL FOR FLEET</t>
  </si>
  <si>
    <t>Increase in fuel expense.</t>
  </si>
  <si>
    <t>Due to a change in rail transport contracts, we started prepaying BNSF quarterly in 2016.</t>
  </si>
  <si>
    <t>The monthly wind farm prepayment for 2016 was $1,290,417.  An error was made in the December 2016 entry, which was corrected in 2017, causing the the prepaid balance to exceed the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</si>
</sst>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0_);\(0.00\)"/>
    <numFmt numFmtId="167" formatCode="mm/dd/yy_)"/>
    <numFmt numFmtId="168" formatCode="0.0000_)"/>
    <numFmt numFmtId="169" formatCode="#,##0.00000_);\(#,##0.00000\)"/>
    <numFmt numFmtId="170" formatCode="#,##0.0000_);\(#,##0.0000\)"/>
    <numFmt numFmtId="171" formatCode="#,##0.00000000_);\(#,##0.00000000\)"/>
    <numFmt numFmtId="172" formatCode="General_)"/>
    <numFmt numFmtId="173" formatCode="[$-409]mmm\-yy;@"/>
    <numFmt numFmtId="174" formatCode="0.000"/>
    <numFmt numFmtId="175" formatCode="mmmmddyyyy"/>
    <numFmt numFmtId="176" formatCode="#,##0.0\ \ \ _);\(#,##0.0\)"/>
    <numFmt numFmtId="177" formatCode="#,##0;\-#,##0;&quot;-&quot;"/>
    <numFmt numFmtId="178" formatCode="&quot;$&quot;#,##0\ ;\(&quot;$&quot;#,##0\)"/>
    <numFmt numFmtId="179" formatCode="_([$€-2]* #,##0.00_);_([$€-2]* \(#,##0.00\);_([$€-2]* &quot;-&quot;??_)"/>
    <numFmt numFmtId="180" formatCode="_-* #,##0.0_-;\-* #,##0.0_-;_-* &quot;-&quot;??_-;_-@_-"/>
    <numFmt numFmtId="181" formatCode="_(&quot;$&quot;* #,##0.0_);_(&quot;$&quot;* \(#,##0.0\);_(&quot;$&quot;* &quot;-&quot;??_);_(@_)"/>
    <numFmt numFmtId="182" formatCode="#,##0.00&quot; $&quot;;\-#,##0.00&quot; $&quot;"/>
    <numFmt numFmtId="183" formatCode="dd\-mmm\-yy_)"/>
    <numFmt numFmtId="184" formatCode="#,##0&quot; $&quot;;[Red]\-#,##0&quot; $&quot;"/>
    <numFmt numFmtId="185" formatCode="#,##0,_);\(#,##0,\)"/>
    <numFmt numFmtId="186" formatCode="0.0%"/>
    <numFmt numFmtId="187" formatCode="_(* #,##0,_);_(* \(#,##0,\);_(* &quot;-&quot;_);_(@_)"/>
    <numFmt numFmtId="188" formatCode="mm/dd/yy"/>
  </numFmts>
  <fonts count="73">
    <font>
      <sz val="11"/>
      <color theme="1"/>
      <name val="Calibri"/>
      <family val="2"/>
      <scheme val="minor"/>
    </font>
    <font>
      <sz val="11"/>
      <color theme="1"/>
      <name val="Calibri"/>
      <family val="2"/>
      <scheme val="minor"/>
    </font>
    <font>
      <sz val="10"/>
      <name val="Arial Unicode MS"/>
      <family val="2"/>
    </font>
    <font>
      <b/>
      <sz val="10"/>
      <name val="Arial Unicode MS"/>
      <family val="2"/>
    </font>
    <font>
      <sz val="10"/>
      <color theme="1"/>
      <name val="Arial Unicode MS"/>
      <family val="2"/>
    </font>
    <font>
      <b/>
      <sz val="10"/>
      <color theme="1"/>
      <name val="Arial Unicode MS"/>
      <family val="2"/>
    </font>
    <font>
      <b/>
      <sz val="11"/>
      <name val="Arial"/>
      <family val="2"/>
    </font>
    <font>
      <sz val="11"/>
      <name val="Arial"/>
      <family val="2"/>
    </font>
    <font>
      <sz val="10"/>
      <name val="Arial"/>
      <family val="2"/>
    </font>
    <font>
      <u/>
      <sz val="11"/>
      <name val="Arial"/>
      <family val="2"/>
    </font>
    <font>
      <sz val="12"/>
      <name val="Helv"/>
    </font>
    <font>
      <b/>
      <sz val="9"/>
      <name val="Arial"/>
      <family val="2"/>
    </font>
    <font>
      <sz val="9"/>
      <name val="Arial"/>
      <family val="2"/>
    </font>
    <font>
      <sz val="8"/>
      <name val="Arial"/>
      <family val="2"/>
    </font>
    <font>
      <sz val="7"/>
      <name val="Arial"/>
      <family val="2"/>
    </font>
    <font>
      <b/>
      <sz val="8"/>
      <name val="Arial"/>
      <family val="2"/>
    </font>
    <font>
      <sz val="9"/>
      <name val="Helv"/>
    </font>
    <font>
      <b/>
      <sz val="9"/>
      <name val="Helv"/>
    </font>
    <font>
      <b/>
      <sz val="9"/>
      <color indexed="10"/>
      <name val="Arial"/>
      <family val="2"/>
    </font>
    <font>
      <b/>
      <sz val="9"/>
      <color rgb="FFFF0000"/>
      <name val="Arial"/>
      <family val="2"/>
    </font>
    <font>
      <b/>
      <sz val="9"/>
      <color indexed="81"/>
      <name val="Tahoma"/>
      <family val="2"/>
    </font>
    <font>
      <sz val="9"/>
      <color indexed="81"/>
      <name val="Tahoma"/>
      <family val="2"/>
    </font>
    <font>
      <b/>
      <sz val="10"/>
      <name val="Arial"/>
      <family val="2"/>
    </font>
    <font>
      <b/>
      <sz val="10"/>
      <name val="Arial"/>
    </font>
    <font>
      <sz val="8"/>
      <name val="Arial Narrow"/>
      <family val="2"/>
    </font>
    <font>
      <b/>
      <sz val="12"/>
      <color rgb="FFFF0000"/>
      <name val="Helv"/>
    </font>
    <font>
      <b/>
      <sz val="11"/>
      <color theme="1"/>
      <name val="Calibri"/>
      <family val="2"/>
      <scheme val="minor"/>
    </font>
    <font>
      <sz val="10"/>
      <name val="MS Sans Serif"/>
      <family val="2"/>
    </font>
    <font>
      <b/>
      <sz val="10"/>
      <name val="MS Sans Serif"/>
      <family val="2"/>
    </font>
    <font>
      <sz val="10"/>
      <color indexed="10"/>
      <name val="Arial"/>
      <family val="2"/>
    </font>
    <font>
      <sz val="10"/>
      <name val="Courier"/>
      <family val="3"/>
    </font>
    <font>
      <sz val="8"/>
      <name val="Times New Roman"/>
      <family val="1"/>
    </font>
    <font>
      <sz val="10"/>
      <name val="Times New Roman"/>
      <family val="1"/>
    </font>
    <font>
      <sz val="12"/>
      <name val="Tms Rmn"/>
    </font>
    <font>
      <sz val="12"/>
      <name val="±¼¸²Ã¼"/>
      <charset val="129"/>
    </font>
    <font>
      <sz val="10"/>
      <color indexed="8"/>
      <name val="Arial"/>
      <family val="2"/>
    </font>
    <font>
      <sz val="11"/>
      <color indexed="8"/>
      <name val="Calibri"/>
      <family val="2"/>
    </font>
    <font>
      <sz val="12"/>
      <color indexed="24"/>
      <name val="Arial"/>
      <family val="2"/>
    </font>
    <font>
      <sz val="10"/>
      <name val="Helv"/>
    </font>
    <font>
      <b/>
      <sz val="14"/>
      <name val="Arial"/>
      <family val="2"/>
    </font>
    <font>
      <sz val="10"/>
      <name val="MS Serif"/>
      <family val="1"/>
    </font>
    <font>
      <sz val="11"/>
      <name val="??"/>
      <family val="3"/>
      <charset val="129"/>
    </font>
    <font>
      <sz val="10"/>
      <color indexed="16"/>
      <name val="MS Serif"/>
      <family val="1"/>
    </font>
    <font>
      <b/>
      <sz val="12"/>
      <name val="Arial"/>
      <family val="2"/>
    </font>
    <font>
      <sz val="18"/>
      <color indexed="24"/>
      <name val="Arial"/>
      <family val="2"/>
    </font>
    <font>
      <sz val="8"/>
      <color indexed="24"/>
      <name val="Arial"/>
      <family val="2"/>
    </font>
    <font>
      <b/>
      <u/>
      <sz val="14"/>
      <name val="Arial Narrow"/>
      <family val="2"/>
    </font>
    <font>
      <sz val="10"/>
      <color indexed="12"/>
      <name val="Arial"/>
      <family val="2"/>
    </font>
    <font>
      <sz val="12"/>
      <color indexed="37"/>
      <name val="swiss"/>
    </font>
    <font>
      <b/>
      <sz val="10"/>
      <color indexed="37"/>
      <name val="Arial MT"/>
    </font>
    <font>
      <sz val="7"/>
      <name val="Small Fonts"/>
      <family val="2"/>
    </font>
    <font>
      <sz val="9"/>
      <color indexed="8"/>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55"/>
      <name val="Arial"/>
      <family val="2"/>
    </font>
    <font>
      <sz val="14"/>
      <name val="Haettenschweiler"/>
      <family val="2"/>
    </font>
    <font>
      <sz val="10"/>
      <color indexed="56"/>
      <name val="Arial"/>
      <family val="2"/>
    </font>
    <font>
      <sz val="8"/>
      <name val="Helv"/>
    </font>
    <font>
      <b/>
      <u/>
      <sz val="12"/>
      <name val="Arial Narrow"/>
      <family val="2"/>
    </font>
    <font>
      <b/>
      <sz val="12"/>
      <color indexed="8"/>
      <name val="Times New Roman"/>
      <family val="1"/>
    </font>
    <font>
      <sz val="10"/>
      <color indexed="8"/>
      <name val="Times New Roman"/>
      <family val="1"/>
    </font>
    <font>
      <b/>
      <i/>
      <sz val="14"/>
      <color indexed="10"/>
      <name val="Arial"/>
      <family val="2"/>
    </font>
    <font>
      <sz val="10"/>
      <color indexed="18"/>
      <name val="Times New Roman"/>
      <family val="1"/>
    </font>
    <font>
      <b/>
      <sz val="10"/>
      <color indexed="8"/>
      <name val="Times New Roman"/>
      <family val="1"/>
    </font>
    <font>
      <b/>
      <u/>
      <sz val="10"/>
      <name val="Arial Narrow"/>
      <family val="2"/>
    </font>
    <font>
      <b/>
      <sz val="8"/>
      <color indexed="8"/>
      <name val="Helv"/>
    </font>
    <font>
      <sz val="9"/>
      <name val="Helvetica-Black"/>
    </font>
    <font>
      <b/>
      <sz val="7"/>
      <color indexed="12"/>
      <name val="Arial"/>
      <family val="2"/>
    </font>
    <font>
      <i/>
      <sz val="12"/>
      <color indexed="8"/>
      <name val="Arial MT"/>
    </font>
    <font>
      <sz val="8"/>
      <color indexed="12"/>
      <name val="Arial"/>
      <family val="2"/>
    </font>
    <font>
      <b/>
      <i/>
      <sz val="9"/>
      <name val="Arial"/>
      <family val="2"/>
    </font>
  </fonts>
  <fills count="1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indexed="44"/>
        <bgColor indexed="64"/>
      </patternFill>
    </fill>
    <fill>
      <patternFill patternType="solid">
        <fgColor indexed="26"/>
        <bgColor indexed="64"/>
      </patternFill>
    </fill>
    <fill>
      <patternFill patternType="solid">
        <fgColor indexed="43"/>
        <bgColor indexed="8"/>
      </patternFill>
    </fill>
    <fill>
      <patternFill patternType="gray0625">
        <fgColor indexed="26"/>
        <bgColor indexed="43"/>
      </patternFill>
    </fill>
    <fill>
      <patternFill patternType="solid">
        <fgColor indexed="9"/>
      </patternFill>
    </fill>
    <fill>
      <patternFill patternType="solid">
        <fgColor indexed="13"/>
      </patternFill>
    </fill>
    <fill>
      <patternFill patternType="solid">
        <fgColor indexed="17"/>
      </patternFill>
    </fill>
    <fill>
      <patternFill patternType="mediumGray">
        <fgColor indexed="22"/>
      </patternFill>
    </fill>
    <fill>
      <patternFill patternType="gray0625"/>
    </fill>
    <fill>
      <patternFill patternType="solid">
        <fgColor indexed="42"/>
        <bgColor indexed="64"/>
      </patternFill>
    </fill>
    <fill>
      <patternFill patternType="solid">
        <fgColor indexed="43"/>
        <bgColor indexed="64"/>
      </patternFill>
    </fill>
  </fills>
  <borders count="42">
    <border>
      <left/>
      <right/>
      <top/>
      <bottom/>
      <diagonal/>
    </border>
    <border>
      <left/>
      <right/>
      <top/>
      <bottom style="thin">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64"/>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right/>
      <top style="thin">
        <color indexed="64"/>
      </top>
      <bottom style="thin">
        <color indexed="64"/>
      </bottom>
      <diagonal/>
    </border>
    <border>
      <left style="double">
        <color indexed="64"/>
      </left>
      <right/>
      <top/>
      <bottom style="hair">
        <color indexed="64"/>
      </bottom>
      <diagonal/>
    </border>
    <border>
      <left/>
      <right/>
      <top style="medium">
        <color indexed="64"/>
      </top>
      <bottom style="medium">
        <color indexed="64"/>
      </bottom>
      <diagonal/>
    </border>
    <border>
      <left/>
      <right/>
      <top style="medium">
        <color indexed="8"/>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11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43" fontId="8" fillId="0" borderId="0" applyFont="0" applyFill="0" applyBorder="0" applyAlignment="0" applyProtection="0"/>
    <xf numFmtId="39" fontId="10" fillId="0" borderId="0"/>
    <xf numFmtId="0" fontId="2" fillId="0" borderId="0"/>
    <xf numFmtId="43" fontId="3" fillId="0" borderId="0" applyFont="0" applyFill="0" applyBorder="0" applyAlignment="0" applyProtection="0"/>
    <xf numFmtId="0" fontId="8" fillId="0" borderId="0"/>
    <xf numFmtId="172" fontId="10" fillId="0" borderId="0"/>
    <xf numFmtId="0" fontId="27" fillId="0" borderId="0"/>
    <xf numFmtId="40" fontId="27" fillId="0" borderId="0" applyFont="0" applyFill="0" applyBorder="0" applyAlignment="0" applyProtection="0"/>
    <xf numFmtId="0" fontId="2" fillId="0" borderId="0"/>
    <xf numFmtId="0" fontId="29" fillId="0" borderId="0">
      <alignment vertical="top"/>
    </xf>
    <xf numFmtId="0" fontId="8" fillId="0" borderId="0"/>
    <xf numFmtId="0" fontId="8" fillId="0" borderId="0"/>
    <xf numFmtId="0" fontId="8" fillId="0" borderId="0"/>
    <xf numFmtId="0" fontId="8"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8" fillId="0" borderId="0"/>
    <xf numFmtId="0" fontId="30" fillId="0" borderId="0"/>
    <xf numFmtId="175" fontId="8" fillId="8" borderId="33">
      <alignment horizontal="center" vertical="center"/>
    </xf>
    <xf numFmtId="176" fontId="31" fillId="0" borderId="0"/>
    <xf numFmtId="0" fontId="32" fillId="0" borderId="0" applyFont="0" applyFill="0" applyBorder="0" applyAlignment="0" applyProtection="0"/>
    <xf numFmtId="0" fontId="32" fillId="0" borderId="0" applyFont="0" applyFill="0" applyBorder="0" applyAlignment="0" applyProtection="0"/>
    <xf numFmtId="165" fontId="32" fillId="0" borderId="0" applyFont="0" applyFill="0" applyBorder="0" applyAlignment="0" applyProtection="0"/>
    <xf numFmtId="0" fontId="32" fillId="0" borderId="0" applyFont="0" applyFill="0" applyBorder="0" applyAlignment="0" applyProtection="0"/>
    <xf numFmtId="0" fontId="6" fillId="0" borderId="0" applyFont="0" applyFill="0" applyBorder="0" applyAlignment="0" applyProtection="0">
      <alignment horizontal="right"/>
    </xf>
    <xf numFmtId="0" fontId="33" fillId="0" borderId="0" applyNumberFormat="0" applyFill="0" applyBorder="0" applyAlignment="0" applyProtection="0"/>
    <xf numFmtId="0" fontId="34" fillId="0" borderId="0"/>
    <xf numFmtId="177" fontId="35" fillId="0" borderId="0" applyFill="0" applyBorder="0" applyAlignment="0"/>
    <xf numFmtId="0" fontId="6" fillId="0" borderId="0" applyFill="0" applyBorder="0" applyProtection="0">
      <alignment horizontal="center"/>
      <protection locked="0"/>
    </xf>
    <xf numFmtId="0" fontId="13" fillId="0" borderId="0" applyBorder="0"/>
    <xf numFmtId="40" fontId="8" fillId="0" borderId="0" applyBorder="0" applyProtection="0"/>
    <xf numFmtId="37" fontId="35" fillId="0" borderId="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7" fillId="0" borderId="0" applyFont="0" applyFill="0" applyBorder="0" applyAlignment="0" applyProtection="0"/>
    <xf numFmtId="0" fontId="38" fillId="0" borderId="0"/>
    <xf numFmtId="0" fontId="39" fillId="0" borderId="0" applyFill="0" applyBorder="0" applyAlignment="0" applyProtection="0">
      <protection locked="0"/>
    </xf>
    <xf numFmtId="0" fontId="40" fillId="0" borderId="0" applyNumberFormat="0" applyAlignment="0">
      <alignment horizontal="left"/>
    </xf>
    <xf numFmtId="0" fontId="38" fillId="0" borderId="0"/>
    <xf numFmtId="0" fontId="38" fillId="0" borderId="0"/>
    <xf numFmtId="44" fontId="3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8" fontId="37" fillId="0" borderId="0" applyFont="0" applyFill="0" applyBorder="0" applyAlignment="0" applyProtection="0"/>
    <xf numFmtId="43" fontId="8" fillId="0" borderId="0" applyBorder="0"/>
    <xf numFmtId="6" fontId="41" fillId="0" borderId="0">
      <protection locked="0"/>
    </xf>
    <xf numFmtId="0" fontId="42" fillId="0" borderId="0" applyNumberFormat="0" applyAlignment="0">
      <alignment horizontal="left"/>
    </xf>
    <xf numFmtId="179" fontId="27" fillId="0" borderId="0" applyFont="0" applyFill="0" applyBorder="0" applyAlignment="0" applyProtection="0"/>
    <xf numFmtId="180" fontId="8" fillId="0" borderId="0">
      <protection locked="0"/>
    </xf>
    <xf numFmtId="0" fontId="38" fillId="0" borderId="0"/>
    <xf numFmtId="38" fontId="13" fillId="5" borderId="0" applyNumberFormat="0" applyBorder="0" applyAlignment="0" applyProtection="0"/>
    <xf numFmtId="181" fontId="6" fillId="0" borderId="0" applyNumberFormat="0" applyFill="0" applyBorder="0" applyProtection="0">
      <alignment horizontal="right"/>
    </xf>
    <xf numFmtId="0" fontId="43" fillId="0" borderId="34" applyNumberFormat="0" applyAlignment="0" applyProtection="0">
      <alignment horizontal="left" vertical="center"/>
    </xf>
    <xf numFmtId="0" fontId="43" fillId="0" borderId="32">
      <alignment horizontal="left" vertical="center"/>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0" borderId="0" applyFill="0" applyAlignment="0" applyProtection="0">
      <protection locked="0"/>
    </xf>
    <xf numFmtId="0" fontId="6" fillId="0" borderId="1" applyFill="0" applyAlignment="0" applyProtection="0">
      <protection locked="0"/>
    </xf>
    <xf numFmtId="182" fontId="8" fillId="0" borderId="0">
      <protection locked="0"/>
    </xf>
    <xf numFmtId="182" fontId="8" fillId="0" borderId="0">
      <protection locked="0"/>
    </xf>
    <xf numFmtId="0" fontId="46" fillId="0" borderId="0"/>
    <xf numFmtId="0" fontId="47" fillId="0" borderId="24" applyNumberFormat="0" applyFill="0" applyAlignment="0" applyProtection="0"/>
    <xf numFmtId="10" fontId="13" fillId="9" borderId="6" applyNumberFormat="0" applyBorder="0" applyAlignment="0" applyProtection="0"/>
    <xf numFmtId="37" fontId="12" fillId="5" borderId="0" applyNumberFormat="0" applyFont="0" applyBorder="0" applyAlignment="0">
      <protection locked="0"/>
    </xf>
    <xf numFmtId="183" fontId="48" fillId="10" borderId="35" applyNumberFormat="0" applyBorder="0" applyAlignment="0" applyProtection="0"/>
    <xf numFmtId="0" fontId="49" fillId="11" borderId="0" applyNumberFormat="0"/>
    <xf numFmtId="37" fontId="50" fillId="0" borderId="0"/>
    <xf numFmtId="184" fontId="8" fillId="0" borderId="0"/>
    <xf numFmtId="184" fontId="8" fillId="0" borderId="0"/>
    <xf numFmtId="185" fontId="51" fillId="0" borderId="1"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35" fillId="12" borderId="0">
      <alignment horizontal="right"/>
    </xf>
    <xf numFmtId="0" fontId="52" fillId="13" borderId="0">
      <alignment horizontal="center"/>
    </xf>
    <xf numFmtId="0" fontId="53" fillId="14" borderId="0"/>
    <xf numFmtId="0" fontId="54" fillId="12" borderId="0" applyBorder="0">
      <alignment horizontal="centerContinuous"/>
    </xf>
    <xf numFmtId="0" fontId="55" fillId="14" borderId="0" applyBorder="0">
      <alignment horizontal="centerContinuous"/>
    </xf>
    <xf numFmtId="0" fontId="38" fillId="0" borderId="0"/>
    <xf numFmtId="186" fontId="8" fillId="0" borderId="0" applyFont="0" applyFill="0" applyBorder="0" applyAlignment="0" applyProtection="0"/>
    <xf numFmtId="186"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86" fontId="56" fillId="0" borderId="0"/>
    <xf numFmtId="0" fontId="57" fillId="0" borderId="0"/>
    <xf numFmtId="4" fontId="12" fillId="0" borderId="0"/>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1" fontId="13" fillId="0" borderId="0"/>
    <xf numFmtId="43" fontId="58" fillId="0" borderId="0" applyAlignment="0"/>
    <xf numFmtId="0" fontId="28" fillId="0" borderId="31">
      <alignment horizontal="center"/>
    </xf>
    <xf numFmtId="0" fontId="28" fillId="0" borderId="31">
      <alignment horizontal="center"/>
    </xf>
    <xf numFmtId="0" fontId="28" fillId="0" borderId="31">
      <alignment horizontal="center"/>
    </xf>
    <xf numFmtId="3" fontId="27" fillId="0" borderId="0" applyFont="0" applyFill="0" applyBorder="0" applyAlignment="0" applyProtection="0"/>
    <xf numFmtId="3" fontId="27" fillId="0" borderId="0" applyFont="0" applyFill="0" applyBorder="0" applyAlignment="0" applyProtection="0"/>
    <xf numFmtId="0" fontId="27" fillId="15" borderId="0" applyNumberFormat="0" applyFont="0" applyBorder="0" applyAlignment="0" applyProtection="0"/>
    <xf numFmtId="0" fontId="27" fillId="15" borderId="0" applyNumberFormat="0" applyFont="0" applyBorder="0" applyAlignment="0" applyProtection="0"/>
    <xf numFmtId="187" fontId="8" fillId="0" borderId="0"/>
    <xf numFmtId="188" fontId="59" fillId="0" borderId="0" applyNumberFormat="0" applyFill="0" applyBorder="0" applyAlignment="0" applyProtection="0">
      <alignment horizontal="left"/>
    </xf>
    <xf numFmtId="38" fontId="8" fillId="16" borderId="0" applyNumberFormat="0" applyFont="0" applyBorder="0" applyAlignment="0" applyProtection="0"/>
    <xf numFmtId="0" fontId="24" fillId="17" borderId="0" applyNumberFormat="0" applyFont="0" applyBorder="0" applyAlignment="0" applyProtection="0">
      <alignment horizontal="center"/>
    </xf>
    <xf numFmtId="0" fontId="60" fillId="0" borderId="0"/>
    <xf numFmtId="37" fontId="2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applyNumberFormat="0" applyBorder="0" applyAlignment="0"/>
    <xf numFmtId="0" fontId="61" fillId="0" borderId="0" applyNumberFormat="0" applyBorder="0" applyAlignment="0"/>
    <xf numFmtId="0" fontId="62" fillId="0" borderId="0" applyNumberFormat="0" applyBorder="0" applyAlignment="0"/>
    <xf numFmtId="0" fontId="61" fillId="0" borderId="0" applyNumberFormat="0" applyBorder="0" applyAlignment="0"/>
    <xf numFmtId="0" fontId="63" fillId="0" borderId="0" applyNumberFormat="0" applyBorder="0" applyAlignment="0"/>
    <xf numFmtId="0" fontId="64" fillId="0" borderId="0" applyNumberFormat="0" applyBorder="0" applyAlignment="0"/>
    <xf numFmtId="0" fontId="65" fillId="0" borderId="0" applyNumberFormat="0" applyBorder="0" applyAlignment="0"/>
    <xf numFmtId="0" fontId="66" fillId="0" borderId="0"/>
    <xf numFmtId="40" fontId="67" fillId="0" borderId="0" applyBorder="0">
      <alignment horizontal="right"/>
    </xf>
    <xf numFmtId="0" fontId="68" fillId="0" borderId="0" applyFill="0" applyBorder="0" applyProtection="0">
      <alignment horizontal="left"/>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82" fontId="8" fillId="0" borderId="2">
      <protection locked="0"/>
    </xf>
    <xf numFmtId="172" fontId="69" fillId="0" borderId="0">
      <alignment horizontal="left"/>
      <protection locked="0"/>
    </xf>
    <xf numFmtId="0" fontId="70" fillId="0" borderId="0" applyNumberFormat="0" applyFont="0" applyFill="0"/>
    <xf numFmtId="37" fontId="13" fillId="18" borderId="0" applyNumberFormat="0" applyBorder="0" applyAlignment="0" applyProtection="0"/>
    <xf numFmtId="37" fontId="13" fillId="0" borderId="0"/>
    <xf numFmtId="3" fontId="71" fillId="0" borderId="24" applyProtection="0"/>
    <xf numFmtId="14" fontId="24" fillId="0" borderId="0" applyNumberFormat="0" applyFont="0" applyBorder="0" applyAlignment="0" applyProtection="0">
      <alignment horizontal="center"/>
    </xf>
    <xf numFmtId="165" fontId="72" fillId="0" borderId="0" applyBorder="0" applyProtection="0">
      <alignment horizontal="right" vertical="center"/>
    </xf>
  </cellStyleXfs>
  <cellXfs count="324">
    <xf numFmtId="0" fontId="0" fillId="0" borderId="0" xfId="0"/>
    <xf numFmtId="0" fontId="4" fillId="0" borderId="0" xfId="0" applyFont="1"/>
    <xf numFmtId="0" fontId="6" fillId="0" borderId="0" xfId="0" applyFont="1" applyAlignment="1" applyProtection="1">
      <alignment horizontal="left"/>
    </xf>
    <xf numFmtId="165" fontId="7" fillId="0" borderId="0" xfId="0" applyNumberFormat="1" applyFont="1" applyAlignment="1">
      <alignment horizontal="center"/>
    </xf>
    <xf numFmtId="0" fontId="7" fillId="0" borderId="0" xfId="0" applyFont="1" applyFill="1" applyAlignment="1" applyProtection="1">
      <alignment horizontal="left"/>
    </xf>
    <xf numFmtId="165" fontId="7" fillId="0" borderId="0" xfId="0" applyNumberFormat="1" applyFont="1" applyFill="1" applyAlignment="1" applyProtection="1">
      <alignment horizontal="center"/>
    </xf>
    <xf numFmtId="43" fontId="7" fillId="0" borderId="0" xfId="1" applyFont="1" applyFill="1" applyProtection="1"/>
    <xf numFmtId="0" fontId="7" fillId="0" borderId="0" xfId="0" applyFont="1" applyFill="1" applyBorder="1" applyAlignment="1" applyProtection="1">
      <alignment horizontal="left"/>
    </xf>
    <xf numFmtId="165" fontId="7" fillId="0" borderId="0" xfId="0" applyNumberFormat="1" applyFont="1" applyFill="1" applyBorder="1" applyAlignment="1" applyProtection="1">
      <alignment horizontal="center"/>
    </xf>
    <xf numFmtId="43" fontId="7" fillId="0" borderId="0" xfId="1" applyFont="1" applyFill="1" applyBorder="1" applyProtection="1"/>
    <xf numFmtId="0" fontId="8" fillId="0" borderId="0" xfId="0" applyFont="1" applyFill="1" applyAlignment="1" applyProtection="1">
      <alignment horizontal="left"/>
    </xf>
    <xf numFmtId="0" fontId="8" fillId="0" borderId="0" xfId="0" applyFont="1" applyFill="1"/>
    <xf numFmtId="165" fontId="6" fillId="0" borderId="2" xfId="0" applyNumberFormat="1" applyFont="1" applyFill="1" applyBorder="1" applyAlignment="1">
      <alignment horizontal="center"/>
    </xf>
    <xf numFmtId="43" fontId="6" fillId="0" borderId="2" xfId="1" applyFont="1" applyFill="1" applyBorder="1"/>
    <xf numFmtId="0" fontId="6" fillId="0" borderId="0" xfId="0" applyFont="1" applyAlignment="1" applyProtection="1">
      <alignment horizontal="center"/>
    </xf>
    <xf numFmtId="0" fontId="7" fillId="0" borderId="0" xfId="0" applyFont="1" applyAlignment="1" applyProtection="1">
      <alignment horizontal="left"/>
    </xf>
    <xf numFmtId="165" fontId="7" fillId="0" borderId="0" xfId="0" applyNumberFormat="1" applyFont="1" applyAlignment="1" applyProtection="1">
      <alignment horizontal="center"/>
    </xf>
    <xf numFmtId="0" fontId="8" fillId="0" borderId="0" xfId="0" applyFont="1" applyAlignment="1" applyProtection="1">
      <alignment horizontal="left"/>
    </xf>
    <xf numFmtId="0" fontId="8" fillId="0" borderId="0" xfId="0" applyFont="1"/>
    <xf numFmtId="165" fontId="6" fillId="0" borderId="2" xfId="0" applyNumberFormat="1" applyFont="1" applyBorder="1" applyAlignment="1">
      <alignment horizontal="center"/>
    </xf>
    <xf numFmtId="165" fontId="6" fillId="0" borderId="0" xfId="0" applyNumberFormat="1" applyFont="1" applyFill="1" applyBorder="1" applyAlignment="1">
      <alignment horizontal="center"/>
    </xf>
    <xf numFmtId="43" fontId="6" fillId="0" borderId="0" xfId="1" applyFont="1" applyFill="1" applyBorder="1"/>
    <xf numFmtId="0" fontId="11" fillId="0" borderId="0" xfId="3" applyFont="1"/>
    <xf numFmtId="0" fontId="11" fillId="0" borderId="0" xfId="3" applyFont="1" applyAlignment="1" applyProtection="1">
      <alignment horizontal="left"/>
    </xf>
    <xf numFmtId="0" fontId="12" fillId="0" borderId="0" xfId="3" applyFont="1"/>
    <xf numFmtId="0" fontId="12" fillId="0" borderId="0" xfId="3" applyFont="1" applyAlignment="1" applyProtection="1">
      <alignment horizontal="left"/>
    </xf>
    <xf numFmtId="49" fontId="11" fillId="0" borderId="0" xfId="3" applyNumberFormat="1" applyFont="1" applyAlignment="1" applyProtection="1">
      <alignment horizontal="left"/>
    </xf>
    <xf numFmtId="7" fontId="11" fillId="0" borderId="0" xfId="3" applyNumberFormat="1" applyFont="1" applyAlignment="1" applyProtection="1">
      <alignment horizontal="right"/>
    </xf>
    <xf numFmtId="0" fontId="11" fillId="0" borderId="3" xfId="3" applyFont="1" applyBorder="1" applyAlignment="1" applyProtection="1">
      <alignment horizontal="left"/>
    </xf>
    <xf numFmtId="0" fontId="11" fillId="0" borderId="3" xfId="3" applyFont="1" applyBorder="1" applyAlignment="1" applyProtection="1">
      <alignment horizontal="center"/>
    </xf>
    <xf numFmtId="0" fontId="11" fillId="0" borderId="4" xfId="3" applyFont="1" applyBorder="1" applyAlignment="1" applyProtection="1">
      <alignment horizontal="center"/>
    </xf>
    <xf numFmtId="0" fontId="11" fillId="0" borderId="5" xfId="3" applyFont="1" applyBorder="1" applyAlignment="1">
      <alignment horizontal="center"/>
    </xf>
    <xf numFmtId="0" fontId="11" fillId="0" borderId="6" xfId="3" applyFont="1" applyBorder="1" applyAlignment="1">
      <alignment horizontal="center"/>
    </xf>
    <xf numFmtId="39" fontId="11" fillId="0" borderId="3" xfId="3" applyNumberFormat="1" applyFont="1" applyFill="1" applyBorder="1" applyAlignment="1" applyProtection="1">
      <alignment horizontal="right"/>
    </xf>
    <xf numFmtId="0" fontId="11" fillId="0" borderId="0" xfId="3" applyFont="1" applyAlignment="1">
      <alignment horizontal="left"/>
    </xf>
    <xf numFmtId="39" fontId="11" fillId="0" borderId="3" xfId="3" applyNumberFormat="1" applyFont="1" applyBorder="1" applyProtection="1"/>
    <xf numFmtId="39" fontId="11" fillId="0" borderId="7" xfId="3" applyNumberFormat="1" applyFont="1" applyBorder="1" applyProtection="1"/>
    <xf numFmtId="39" fontId="12" fillId="0" borderId="6" xfId="3" applyNumberFormat="1" applyFont="1" applyBorder="1" applyAlignment="1" applyProtection="1">
      <alignment horizontal="center"/>
    </xf>
    <xf numFmtId="0" fontId="12" fillId="0" borderId="6" xfId="3" applyFont="1" applyBorder="1" applyAlignment="1">
      <alignment horizontal="center"/>
    </xf>
    <xf numFmtId="49" fontId="12" fillId="0" borderId="6" xfId="3" applyNumberFormat="1" applyFont="1" applyBorder="1" applyAlignment="1">
      <alignment horizontal="center"/>
    </xf>
    <xf numFmtId="43" fontId="12" fillId="0" borderId="6" xfId="3" applyNumberFormat="1" applyFont="1" applyBorder="1" applyAlignment="1">
      <alignment horizontal="center"/>
    </xf>
    <xf numFmtId="39" fontId="11" fillId="0" borderId="3" xfId="3" applyNumberFormat="1" applyFont="1" applyBorder="1" applyAlignment="1" applyProtection="1">
      <alignment horizontal="right"/>
    </xf>
    <xf numFmtId="49" fontId="11" fillId="0" borderId="3" xfId="3" applyNumberFormat="1" applyFont="1" applyFill="1" applyBorder="1" applyAlignment="1" applyProtection="1">
      <alignment wrapText="1"/>
    </xf>
    <xf numFmtId="49" fontId="11" fillId="0" borderId="3" xfId="3" applyNumberFormat="1" applyFont="1" applyBorder="1" applyProtection="1"/>
    <xf numFmtId="39" fontId="13" fillId="0" borderId="6" xfId="3" applyNumberFormat="1" applyFont="1" applyBorder="1" applyAlignment="1" applyProtection="1">
      <alignment horizontal="center"/>
    </xf>
    <xf numFmtId="166" fontId="12" fillId="0" borderId="6" xfId="3" applyNumberFormat="1" applyFont="1" applyBorder="1"/>
    <xf numFmtId="49" fontId="13" fillId="0" borderId="6" xfId="3" applyNumberFormat="1" applyFont="1" applyBorder="1" applyAlignment="1">
      <alignment horizontal="center"/>
    </xf>
    <xf numFmtId="39" fontId="12" fillId="0" borderId="6" xfId="3" applyNumberFormat="1" applyFont="1" applyBorder="1" applyProtection="1"/>
    <xf numFmtId="39" fontId="11" fillId="0" borderId="6" xfId="3" applyNumberFormat="1" applyFont="1" applyBorder="1" applyProtection="1"/>
    <xf numFmtId="0" fontId="12" fillId="0" borderId="6" xfId="3" applyFont="1" applyBorder="1"/>
    <xf numFmtId="0" fontId="11" fillId="0" borderId="0" xfId="3" applyFont="1" applyBorder="1" applyAlignment="1" applyProtection="1">
      <alignment horizontal="left"/>
    </xf>
    <xf numFmtId="39" fontId="11" fillId="0" borderId="0" xfId="3" applyNumberFormat="1" applyFont="1" applyBorder="1" applyAlignment="1" applyProtection="1">
      <alignment horizontal="right"/>
    </xf>
    <xf numFmtId="49" fontId="11" fillId="0" borderId="0" xfId="3" applyNumberFormat="1" applyFont="1" applyBorder="1" applyProtection="1"/>
    <xf numFmtId="39" fontId="11" fillId="0" borderId="0" xfId="3" applyNumberFormat="1" applyFont="1" applyBorder="1" applyProtection="1"/>
    <xf numFmtId="0" fontId="12" fillId="0" borderId="0" xfId="3" applyFont="1" applyBorder="1"/>
    <xf numFmtId="39" fontId="12" fillId="0" borderId="5" xfId="3" applyNumberFormat="1" applyFont="1" applyBorder="1" applyAlignment="1" applyProtection="1">
      <alignment horizontal="center"/>
    </xf>
    <xf numFmtId="0" fontId="12" fillId="0" borderId="6" xfId="3" quotePrefix="1" applyFont="1" applyBorder="1" applyAlignment="1">
      <alignment horizontal="center"/>
    </xf>
    <xf numFmtId="0" fontId="12" fillId="0" borderId="8" xfId="3" applyFont="1" applyBorder="1" applyAlignment="1">
      <alignment horizontal="center"/>
    </xf>
    <xf numFmtId="49" fontId="12" fillId="0" borderId="8" xfId="3" applyNumberFormat="1" applyFont="1" applyBorder="1" applyAlignment="1">
      <alignment horizontal="center"/>
    </xf>
    <xf numFmtId="43" fontId="12" fillId="0" borderId="8" xfId="3" applyNumberFormat="1" applyFont="1" applyBorder="1" applyAlignment="1">
      <alignment horizontal="center"/>
    </xf>
    <xf numFmtId="43" fontId="12" fillId="0" borderId="6" xfId="4" applyFont="1" applyBorder="1" applyAlignment="1">
      <alignment horizontal="center"/>
    </xf>
    <xf numFmtId="49" fontId="11" fillId="0" borderId="3" xfId="3" applyNumberFormat="1" applyFont="1" applyBorder="1" applyAlignment="1" applyProtection="1">
      <alignment horizontal="left"/>
    </xf>
    <xf numFmtId="39" fontId="12" fillId="0" borderId="6" xfId="3" applyNumberFormat="1" applyFont="1" applyBorder="1"/>
    <xf numFmtId="0" fontId="12" fillId="0" borderId="6" xfId="3" applyFont="1" applyBorder="1" applyAlignment="1">
      <alignment horizontal="left"/>
    </xf>
    <xf numFmtId="39" fontId="11" fillId="0" borderId="0" xfId="3" applyNumberFormat="1" applyFont="1"/>
    <xf numFmtId="39" fontId="12" fillId="0" borderId="0" xfId="3" applyNumberFormat="1" applyFont="1" applyBorder="1" applyAlignment="1" applyProtection="1">
      <alignment horizontal="center"/>
    </xf>
    <xf numFmtId="0" fontId="11" fillId="0" borderId="7" xfId="3" applyFont="1" applyBorder="1" applyAlignment="1" applyProtection="1">
      <alignment horizontal="left"/>
    </xf>
    <xf numFmtId="0" fontId="11" fillId="0" borderId="9" xfId="3" applyFont="1" applyBorder="1" applyAlignment="1" applyProtection="1">
      <alignment horizontal="center"/>
    </xf>
    <xf numFmtId="0" fontId="11" fillId="0" borderId="10" xfId="3" applyFont="1" applyBorder="1" applyAlignment="1" applyProtection="1">
      <alignment horizontal="center"/>
    </xf>
    <xf numFmtId="49" fontId="11" fillId="0" borderId="0" xfId="3" applyNumberFormat="1" applyFont="1" applyAlignment="1">
      <alignment horizontal="left"/>
    </xf>
    <xf numFmtId="49" fontId="11" fillId="0" borderId="3" xfId="3" applyNumberFormat="1" applyFont="1" applyBorder="1" applyAlignment="1" applyProtection="1">
      <alignment horizontal="left" wrapText="1"/>
    </xf>
    <xf numFmtId="0" fontId="12" fillId="0" borderId="11" xfId="3" applyFont="1" applyBorder="1" applyAlignment="1">
      <alignment horizontal="center"/>
    </xf>
    <xf numFmtId="39" fontId="12" fillId="0" borderId="5" xfId="3" applyNumberFormat="1" applyFont="1" applyFill="1" applyBorder="1" applyAlignment="1" applyProtection="1">
      <alignment horizontal="center"/>
    </xf>
    <xf numFmtId="0" fontId="12" fillId="0" borderId="6" xfId="3" applyFont="1" applyFill="1" applyBorder="1" applyAlignment="1">
      <alignment horizontal="center"/>
    </xf>
    <xf numFmtId="49" fontId="12" fillId="0" borderId="6" xfId="3" applyNumberFormat="1" applyFont="1" applyFill="1" applyBorder="1" applyAlignment="1">
      <alignment horizontal="center"/>
    </xf>
    <xf numFmtId="43" fontId="12" fillId="0" borderId="6" xfId="3" applyNumberFormat="1" applyFont="1" applyFill="1" applyBorder="1" applyAlignment="1">
      <alignment horizontal="center"/>
    </xf>
    <xf numFmtId="4" fontId="11" fillId="3" borderId="0" xfId="3" applyNumberFormat="1" applyFont="1" applyFill="1"/>
    <xf numFmtId="7" fontId="11" fillId="0" borderId="0" xfId="3" applyNumberFormat="1" applyFont="1" applyProtection="1"/>
    <xf numFmtId="49" fontId="11" fillId="0" borderId="3" xfId="3" applyNumberFormat="1" applyFont="1" applyBorder="1" applyAlignment="1" applyProtection="1">
      <alignment horizontal="right"/>
    </xf>
    <xf numFmtId="39" fontId="11" fillId="0" borderId="5" xfId="3" applyNumberFormat="1" applyFont="1" applyBorder="1" applyAlignment="1" applyProtection="1">
      <alignment horizontal="center"/>
    </xf>
    <xf numFmtId="39" fontId="11" fillId="0" borderId="12" xfId="3" applyNumberFormat="1" applyFont="1" applyBorder="1" applyAlignment="1" applyProtection="1">
      <alignment horizontal="center"/>
    </xf>
    <xf numFmtId="39" fontId="11" fillId="0" borderId="13" xfId="3" applyNumberFormat="1" applyFont="1" applyBorder="1" applyProtection="1"/>
    <xf numFmtId="39" fontId="11" fillId="0" borderId="14" xfId="3" applyNumberFormat="1" applyFont="1" applyBorder="1" applyProtection="1"/>
    <xf numFmtId="43" fontId="11" fillId="3" borderId="0" xfId="4" applyFont="1" applyFill="1"/>
    <xf numFmtId="49" fontId="13" fillId="0" borderId="8" xfId="3" applyNumberFormat="1" applyFont="1" applyBorder="1" applyAlignment="1">
      <alignment horizontal="center"/>
    </xf>
    <xf numFmtId="49" fontId="12" fillId="0" borderId="6" xfId="3" quotePrefix="1" applyNumberFormat="1" applyFont="1" applyBorder="1" applyAlignment="1">
      <alignment horizontal="center"/>
    </xf>
    <xf numFmtId="39" fontId="12" fillId="0" borderId="5" xfId="3" applyNumberFormat="1" applyFont="1" applyBorder="1" applyAlignment="1" applyProtection="1">
      <alignment horizontal="left"/>
    </xf>
    <xf numFmtId="43" fontId="12" fillId="0" borderId="6" xfId="4" applyFont="1" applyBorder="1"/>
    <xf numFmtId="0" fontId="14" fillId="0" borderId="6" xfId="3" applyFont="1" applyBorder="1" applyAlignment="1">
      <alignment horizontal="center"/>
    </xf>
    <xf numFmtId="0" fontId="13" fillId="0" borderId="6" xfId="3" applyFont="1" applyBorder="1" applyAlignment="1">
      <alignment horizontal="center"/>
    </xf>
    <xf numFmtId="39" fontId="13" fillId="0" borderId="5" xfId="3" applyNumberFormat="1" applyFont="1" applyBorder="1" applyAlignment="1" applyProtection="1">
      <alignment horizontal="center"/>
    </xf>
    <xf numFmtId="49" fontId="13" fillId="0" borderId="6" xfId="3" quotePrefix="1" applyNumberFormat="1" applyFont="1" applyBorder="1" applyAlignment="1">
      <alignment horizontal="center"/>
    </xf>
    <xf numFmtId="39" fontId="11" fillId="0" borderId="3" xfId="3" applyNumberFormat="1" applyFont="1" applyFill="1" applyBorder="1" applyAlignment="1" applyProtection="1">
      <alignment horizontal="left"/>
    </xf>
    <xf numFmtId="39" fontId="12" fillId="0" borderId="5" xfId="3" applyNumberFormat="1" applyFont="1" applyBorder="1" applyAlignment="1" applyProtection="1"/>
    <xf numFmtId="49" fontId="13" fillId="0" borderId="6" xfId="3" applyNumberFormat="1" applyFont="1" applyBorder="1" applyAlignment="1">
      <alignment horizontal="left"/>
    </xf>
    <xf numFmtId="39" fontId="12" fillId="0" borderId="15" xfId="3" applyNumberFormat="1" applyFont="1" applyBorder="1" applyAlignment="1" applyProtection="1"/>
    <xf numFmtId="43" fontId="12" fillId="0" borderId="16" xfId="3" applyNumberFormat="1" applyFont="1" applyBorder="1" applyAlignment="1">
      <alignment horizontal="center"/>
    </xf>
    <xf numFmtId="49" fontId="12" fillId="0" borderId="16" xfId="3" applyNumberFormat="1" applyFont="1" applyBorder="1" applyAlignment="1">
      <alignment horizontal="center"/>
    </xf>
    <xf numFmtId="39" fontId="13" fillId="0" borderId="5" xfId="3" applyNumberFormat="1" applyFont="1" applyBorder="1" applyAlignment="1" applyProtection="1"/>
    <xf numFmtId="0" fontId="12" fillId="0" borderId="6" xfId="3" applyFont="1" applyBorder="1" applyAlignment="1">
      <alignment horizontal="center" wrapText="1"/>
    </xf>
    <xf numFmtId="39" fontId="13" fillId="0" borderId="5" xfId="3" applyNumberFormat="1" applyFont="1" applyFill="1" applyBorder="1" applyAlignment="1" applyProtection="1"/>
    <xf numFmtId="0" fontId="12" fillId="0" borderId="6" xfId="3" applyFont="1" applyFill="1" applyBorder="1" applyAlignment="1">
      <alignment horizontal="center" wrapText="1"/>
    </xf>
    <xf numFmtId="39" fontId="11" fillId="0" borderId="3" xfId="3" applyNumberFormat="1" applyFont="1" applyBorder="1" applyAlignment="1" applyProtection="1">
      <alignment wrapText="1"/>
    </xf>
    <xf numFmtId="39" fontId="12" fillId="0" borderId="5" xfId="3" applyNumberFormat="1" applyFont="1" applyFill="1" applyBorder="1" applyAlignment="1" applyProtection="1"/>
    <xf numFmtId="39" fontId="11" fillId="0" borderId="3" xfId="3" applyNumberFormat="1" applyFont="1" applyFill="1" applyBorder="1" applyProtection="1"/>
    <xf numFmtId="39" fontId="15" fillId="0" borderId="3" xfId="3" applyNumberFormat="1" applyFont="1" applyBorder="1" applyAlignment="1" applyProtection="1">
      <alignment wrapText="1"/>
    </xf>
    <xf numFmtId="39" fontId="11" fillId="0" borderId="13" xfId="3" applyNumberFormat="1" applyFont="1" applyBorder="1" applyAlignment="1" applyProtection="1">
      <alignment horizontal="right"/>
    </xf>
    <xf numFmtId="39" fontId="11" fillId="0" borderId="0" xfId="3" applyNumberFormat="1" applyFont="1" applyBorder="1" applyAlignment="1" applyProtection="1">
      <alignment wrapText="1"/>
    </xf>
    <xf numFmtId="39" fontId="12" fillId="0" borderId="15" xfId="3" applyNumberFormat="1" applyFont="1" applyBorder="1" applyAlignment="1" applyProtection="1">
      <alignment horizontal="center"/>
    </xf>
    <xf numFmtId="49" fontId="12" fillId="0" borderId="16" xfId="3" applyNumberFormat="1" applyFont="1" applyBorder="1" applyAlignment="1">
      <alignment horizontal="center" wrapText="1"/>
    </xf>
    <xf numFmtId="39" fontId="13" fillId="0" borderId="5" xfId="3" applyNumberFormat="1" applyFont="1" applyBorder="1" applyAlignment="1" applyProtection="1">
      <alignment horizontal="left"/>
    </xf>
    <xf numFmtId="49" fontId="15" fillId="0" borderId="3" xfId="3" applyNumberFormat="1" applyFont="1" applyBorder="1" applyProtection="1"/>
    <xf numFmtId="0" fontId="11" fillId="0" borderId="17" xfId="3" applyFont="1" applyBorder="1" applyAlignment="1" applyProtection="1">
      <alignment horizontal="left"/>
    </xf>
    <xf numFmtId="0" fontId="11" fillId="0" borderId="17" xfId="3" applyFont="1" applyBorder="1" applyAlignment="1" applyProtection="1">
      <alignment horizontal="center"/>
    </xf>
    <xf numFmtId="0" fontId="11" fillId="0" borderId="18" xfId="3" applyFont="1" applyBorder="1" applyAlignment="1" applyProtection="1">
      <alignment horizontal="center"/>
    </xf>
    <xf numFmtId="0" fontId="11" fillId="0" borderId="14" xfId="3" applyFont="1" applyBorder="1" applyAlignment="1" applyProtection="1">
      <alignment horizontal="left"/>
    </xf>
    <xf numFmtId="39" fontId="8" fillId="0" borderId="5" xfId="3" applyNumberFormat="1" applyFont="1" applyBorder="1" applyAlignment="1" applyProtection="1">
      <alignment horizontal="center"/>
    </xf>
    <xf numFmtId="0" fontId="13" fillId="0" borderId="6" xfId="3" quotePrefix="1" applyFont="1" applyBorder="1"/>
    <xf numFmtId="39" fontId="11" fillId="0" borderId="3" xfId="3" applyNumberFormat="1" applyFont="1" applyBorder="1" applyAlignment="1" applyProtection="1">
      <alignment horizontal="left"/>
    </xf>
    <xf numFmtId="0" fontId="13" fillId="0" borderId="6" xfId="3" applyFont="1" applyFill="1" applyBorder="1" applyAlignment="1">
      <alignment horizontal="center"/>
    </xf>
    <xf numFmtId="49" fontId="13" fillId="0" borderId="6" xfId="3" applyNumberFormat="1" applyFont="1" applyFill="1" applyBorder="1" applyAlignment="1">
      <alignment horizontal="center"/>
    </xf>
    <xf numFmtId="0" fontId="16" fillId="0" borderId="0" xfId="3" applyFont="1"/>
    <xf numFmtId="0" fontId="12" fillId="0" borderId="0" xfId="3" applyFont="1" applyAlignment="1">
      <alignment horizontal="center"/>
    </xf>
    <xf numFmtId="49" fontId="12" fillId="0" borderId="8" xfId="3" quotePrefix="1" applyNumberFormat="1" applyFont="1" applyBorder="1" applyAlignment="1">
      <alignment horizontal="center"/>
    </xf>
    <xf numFmtId="0" fontId="11" fillId="0" borderId="6" xfId="3" applyFont="1" applyBorder="1" applyAlignment="1" applyProtection="1">
      <alignment horizontal="center"/>
    </xf>
    <xf numFmtId="49" fontId="11" fillId="0" borderId="14" xfId="3" applyNumberFormat="1" applyFont="1" applyBorder="1" applyProtection="1"/>
    <xf numFmtId="0" fontId="12" fillId="0" borderId="5" xfId="3" applyFont="1" applyBorder="1" applyAlignment="1">
      <alignment horizontal="center"/>
    </xf>
    <xf numFmtId="0" fontId="12" fillId="0" borderId="14" xfId="3" applyFont="1" applyBorder="1" applyAlignment="1" applyProtection="1">
      <alignment horizontal="left"/>
    </xf>
    <xf numFmtId="0" fontId="12" fillId="0" borderId="14" xfId="3" applyFont="1" applyBorder="1" applyAlignment="1" applyProtection="1">
      <alignment horizontal="center"/>
    </xf>
    <xf numFmtId="39" fontId="12" fillId="0" borderId="3" xfId="3" applyNumberFormat="1" applyFont="1" applyBorder="1" applyProtection="1"/>
    <xf numFmtId="39" fontId="11" fillId="0" borderId="3" xfId="3" applyNumberFormat="1" applyFont="1" applyBorder="1" applyAlignment="1" applyProtection="1">
      <alignment horizontal="center"/>
    </xf>
    <xf numFmtId="43" fontId="17" fillId="0" borderId="0" xfId="3" applyNumberFormat="1" applyFont="1"/>
    <xf numFmtId="39" fontId="11" fillId="0" borderId="19" xfId="3" applyNumberFormat="1" applyFont="1" applyBorder="1" applyProtection="1"/>
    <xf numFmtId="49" fontId="12" fillId="0" borderId="11" xfId="3" applyNumberFormat="1" applyFont="1" applyBorder="1" applyAlignment="1">
      <alignment horizontal="center"/>
    </xf>
    <xf numFmtId="0" fontId="17" fillId="0" borderId="0" xfId="3" applyFont="1"/>
    <xf numFmtId="39" fontId="18" fillId="4" borderId="0" xfId="3" applyNumberFormat="1" applyFont="1" applyFill="1"/>
    <xf numFmtId="0" fontId="12" fillId="0" borderId="0" xfId="3" applyFont="1" applyAlignment="1">
      <alignment horizontal="right"/>
    </xf>
    <xf numFmtId="39" fontId="11" fillId="4" borderId="0" xfId="3" applyNumberFormat="1" applyFont="1" applyFill="1"/>
    <xf numFmtId="39" fontId="11" fillId="0" borderId="1" xfId="3" applyNumberFormat="1" applyFont="1" applyBorder="1"/>
    <xf numFmtId="39" fontId="18" fillId="2" borderId="0" xfId="3" applyNumberFormat="1" applyFont="1" applyFill="1"/>
    <xf numFmtId="43" fontId="12" fillId="0" borderId="0" xfId="4" applyFont="1" applyBorder="1"/>
    <xf numFmtId="39" fontId="18" fillId="0" borderId="0" xfId="3" applyNumberFormat="1" applyFont="1"/>
    <xf numFmtId="43" fontId="11" fillId="2" borderId="0" xfId="4" applyFont="1" applyFill="1"/>
    <xf numFmtId="43" fontId="11" fillId="0" borderId="2" xfId="3" applyNumberFormat="1" applyFont="1" applyBorder="1"/>
    <xf numFmtId="0" fontId="19" fillId="0" borderId="0" xfId="3" applyFont="1"/>
    <xf numFmtId="43" fontId="12" fillId="0" borderId="0" xfId="4" applyFont="1"/>
    <xf numFmtId="39" fontId="12" fillId="0" borderId="0" xfId="3" applyNumberFormat="1" applyFont="1"/>
    <xf numFmtId="43" fontId="12" fillId="0" borderId="2" xfId="3" applyNumberFormat="1" applyFont="1" applyBorder="1"/>
    <xf numFmtId="39" fontId="12" fillId="0" borderId="6" xfId="3" applyNumberFormat="1" applyFont="1" applyBorder="1" applyAlignment="1">
      <alignment horizontal="right"/>
    </xf>
    <xf numFmtId="4" fontId="11" fillId="0" borderId="0" xfId="3" applyNumberFormat="1" applyFont="1" applyFill="1"/>
    <xf numFmtId="43" fontId="11" fillId="0" borderId="0" xfId="4" applyFont="1" applyFill="1"/>
    <xf numFmtId="39" fontId="15" fillId="0" borderId="3" xfId="3" applyNumberFormat="1" applyFont="1" applyBorder="1" applyAlignment="1" applyProtection="1">
      <alignment horizontal="left"/>
    </xf>
    <xf numFmtId="39" fontId="15" fillId="0" borderId="3" xfId="3" applyNumberFormat="1" applyFont="1" applyBorder="1" applyAlignment="1" applyProtection="1">
      <alignment horizontal="left" wrapText="1"/>
    </xf>
    <xf numFmtId="39" fontId="13" fillId="0" borderId="15" xfId="3" applyNumberFormat="1" applyFont="1" applyBorder="1" applyAlignment="1" applyProtection="1">
      <alignment horizontal="center"/>
    </xf>
    <xf numFmtId="43" fontId="11" fillId="0" borderId="0" xfId="4" applyFont="1"/>
    <xf numFmtId="49" fontId="22" fillId="0" borderId="0" xfId="5" applyNumberFormat="1" applyFont="1" applyAlignment="1" applyProtection="1">
      <alignment horizontal="left"/>
    </xf>
    <xf numFmtId="39" fontId="22" fillId="0" borderId="0" xfId="5" applyFont="1"/>
    <xf numFmtId="167" fontId="8" fillId="0" borderId="0" xfId="5" applyNumberFormat="1" applyFont="1" applyProtection="1"/>
    <xf numFmtId="37" fontId="22" fillId="0" borderId="0" xfId="5" applyNumberFormat="1" applyFont="1"/>
    <xf numFmtId="49" fontId="22" fillId="0" borderId="0" xfId="5" applyNumberFormat="1" applyFont="1"/>
    <xf numFmtId="167" fontId="22" fillId="0" borderId="0" xfId="5" applyNumberFormat="1" applyFont="1" applyProtection="1"/>
    <xf numFmtId="49" fontId="22" fillId="0" borderId="0" xfId="5" quotePrefix="1" applyNumberFormat="1" applyFont="1" applyAlignment="1" applyProtection="1">
      <alignment horizontal="centerContinuous"/>
    </xf>
    <xf numFmtId="39" fontId="22" fillId="0" borderId="0" xfId="5" applyFont="1" applyAlignment="1">
      <alignment horizontal="centerContinuous"/>
    </xf>
    <xf numFmtId="39" fontId="22" fillId="0" borderId="0" xfId="5" applyFont="1" applyAlignment="1" applyProtection="1">
      <alignment horizontal="centerContinuous"/>
    </xf>
    <xf numFmtId="37" fontId="22" fillId="0" borderId="0" xfId="5" applyNumberFormat="1" applyFont="1" applyAlignment="1">
      <alignment horizontal="centerContinuous"/>
    </xf>
    <xf numFmtId="49" fontId="22" fillId="0" borderId="20" xfId="5" applyNumberFormat="1" applyFont="1" applyBorder="1"/>
    <xf numFmtId="39" fontId="22" fillId="0" borderId="21" xfId="5" applyFont="1" applyBorder="1"/>
    <xf numFmtId="39" fontId="22" fillId="0" borderId="21" xfId="5" applyFont="1" applyBorder="1" applyAlignment="1" applyProtection="1">
      <alignment horizontal="center"/>
    </xf>
    <xf numFmtId="37" fontId="22" fillId="0" borderId="21" xfId="5" applyNumberFormat="1" applyFont="1" applyBorder="1" applyAlignment="1" applyProtection="1">
      <alignment horizontal="center"/>
    </xf>
    <xf numFmtId="49" fontId="22" fillId="0" borderId="22" xfId="5" applyNumberFormat="1" applyFont="1" applyBorder="1" applyAlignment="1" applyProtection="1">
      <alignment horizontal="center"/>
    </xf>
    <xf numFmtId="39" fontId="22" fillId="0" borderId="0" xfId="5" applyFont="1" applyAlignment="1" applyProtection="1">
      <alignment horizontal="center"/>
    </xf>
    <xf numFmtId="37" fontId="22" fillId="0" borderId="0" xfId="5" applyNumberFormat="1" applyFont="1" applyAlignment="1" applyProtection="1">
      <alignment horizontal="center"/>
    </xf>
    <xf numFmtId="49" fontId="22" fillId="0" borderId="19" xfId="5" applyNumberFormat="1" applyFont="1" applyBorder="1" applyAlignment="1" applyProtection="1">
      <alignment horizontal="center"/>
    </xf>
    <xf numFmtId="39" fontId="22" fillId="0" borderId="23" xfId="5" applyFont="1" applyBorder="1" applyAlignment="1" applyProtection="1">
      <alignment horizontal="center"/>
    </xf>
    <xf numFmtId="39" fontId="22" fillId="0" borderId="23" xfId="5" applyFont="1" applyBorder="1"/>
    <xf numFmtId="37" fontId="22" fillId="0" borderId="23" xfId="5" applyNumberFormat="1" applyFont="1" applyBorder="1" applyAlignment="1" applyProtection="1">
      <alignment horizontal="center"/>
    </xf>
    <xf numFmtId="49" fontId="8" fillId="0" borderId="0" xfId="5" applyNumberFormat="1" applyFont="1"/>
    <xf numFmtId="39" fontId="8" fillId="0" borderId="0" xfId="5" applyFont="1"/>
    <xf numFmtId="37" fontId="8" fillId="0" borderId="0" xfId="5" applyNumberFormat="1" applyFont="1"/>
    <xf numFmtId="39" fontId="8" fillId="0" borderId="0" xfId="5" applyFont="1" applyAlignment="1" applyProtection="1">
      <alignment horizontal="left"/>
    </xf>
    <xf numFmtId="168" fontId="8" fillId="0" borderId="0" xfId="5" applyNumberFormat="1" applyFont="1" applyProtection="1"/>
    <xf numFmtId="39" fontId="8" fillId="0" borderId="0" xfId="5" applyNumberFormat="1" applyFont="1" applyProtection="1"/>
    <xf numFmtId="37" fontId="8" fillId="0" borderId="0" xfId="5" applyNumberFormat="1" applyFont="1" applyProtection="1"/>
    <xf numFmtId="39" fontId="8" fillId="0" borderId="0" xfId="5" applyFont="1" applyProtection="1"/>
    <xf numFmtId="49" fontId="8" fillId="0" borderId="0" xfId="5" applyNumberFormat="1" applyFont="1" applyBorder="1" applyAlignment="1" applyProtection="1">
      <alignment horizontal="left"/>
    </xf>
    <xf numFmtId="39" fontId="8" fillId="0" borderId="0" xfId="5" applyFont="1" applyBorder="1"/>
    <xf numFmtId="167" fontId="8" fillId="0" borderId="0" xfId="5" applyNumberFormat="1" applyFont="1" applyBorder="1" applyProtection="1"/>
    <xf numFmtId="168" fontId="8" fillId="0" borderId="0" xfId="5" applyNumberFormat="1" applyFont="1" applyBorder="1" applyProtection="1"/>
    <xf numFmtId="39" fontId="8" fillId="0" borderId="0" xfId="5" applyNumberFormat="1" applyFont="1" applyBorder="1" applyProtection="1"/>
    <xf numFmtId="49" fontId="8" fillId="0" borderId="2" xfId="5" applyNumberFormat="1" applyFont="1" applyBorder="1" applyProtection="1"/>
    <xf numFmtId="39" fontId="8" fillId="0" borderId="2" xfId="5" applyFont="1" applyBorder="1"/>
    <xf numFmtId="167" fontId="8" fillId="0" borderId="2" xfId="5" applyNumberFormat="1" applyFont="1" applyBorder="1" applyProtection="1"/>
    <xf numFmtId="37" fontId="8" fillId="0" borderId="2" xfId="5" applyNumberFormat="1" applyFont="1" applyBorder="1" applyProtection="1"/>
    <xf numFmtId="39" fontId="8" fillId="0" borderId="2" xfId="5" applyNumberFormat="1" applyFont="1" applyBorder="1" applyProtection="1"/>
    <xf numFmtId="39" fontId="8" fillId="0" borderId="2" xfId="5" applyFont="1" applyBorder="1" applyProtection="1"/>
    <xf numFmtId="37" fontId="8" fillId="0" borderId="2" xfId="5" applyNumberFormat="1" applyFont="1" applyBorder="1"/>
    <xf numFmtId="169" fontId="8" fillId="0" borderId="0" xfId="5" applyNumberFormat="1" applyFont="1"/>
    <xf numFmtId="170" fontId="8" fillId="0" borderId="0" xfId="5" applyNumberFormat="1" applyFont="1"/>
    <xf numFmtId="171" fontId="8" fillId="0" borderId="0" xfId="5" applyNumberFormat="1" applyFont="1"/>
    <xf numFmtId="49" fontId="22" fillId="5" borderId="24" xfId="6" applyNumberFormat="1" applyFont="1" applyFill="1" applyBorder="1"/>
    <xf numFmtId="43" fontId="8" fillId="0" borderId="0" xfId="6" applyNumberFormat="1" applyFont="1"/>
    <xf numFmtId="43" fontId="8" fillId="0" borderId="0" xfId="7" applyFont="1"/>
    <xf numFmtId="0" fontId="8" fillId="0" borderId="0" xfId="6" applyFont="1"/>
    <xf numFmtId="43" fontId="22" fillId="5" borderId="24" xfId="7" applyFont="1" applyFill="1" applyBorder="1"/>
    <xf numFmtId="49" fontId="8" fillId="0" borderId="0" xfId="6" applyNumberFormat="1" applyFont="1"/>
    <xf numFmtId="14" fontId="8" fillId="0" borderId="0" xfId="6" applyNumberFormat="1" applyFont="1"/>
    <xf numFmtId="0" fontId="8" fillId="0" borderId="0" xfId="6" quotePrefix="1" applyFont="1"/>
    <xf numFmtId="43" fontId="8" fillId="0" borderId="2" xfId="7" applyFont="1" applyBorder="1"/>
    <xf numFmtId="0" fontId="11" fillId="0" borderId="0" xfId="6" applyFont="1"/>
    <xf numFmtId="14" fontId="8" fillId="0" borderId="2" xfId="6" applyNumberFormat="1" applyFont="1" applyBorder="1"/>
    <xf numFmtId="49" fontId="11" fillId="0" borderId="0" xfId="8" applyNumberFormat="1" applyFont="1"/>
    <xf numFmtId="0" fontId="12" fillId="0" borderId="0" xfId="8" applyFont="1"/>
    <xf numFmtId="49" fontId="11" fillId="0" borderId="0" xfId="8" applyNumberFormat="1" applyFont="1" applyAlignment="1" applyProtection="1">
      <alignment horizontal="centerContinuous"/>
    </xf>
    <xf numFmtId="0" fontId="11" fillId="0" borderId="0" xfId="8" applyFont="1" applyAlignment="1">
      <alignment horizontal="centerContinuous"/>
    </xf>
    <xf numFmtId="0" fontId="12" fillId="0" borderId="0" xfId="8" applyFont="1" applyAlignment="1">
      <alignment horizontal="centerContinuous"/>
    </xf>
    <xf numFmtId="49" fontId="11" fillId="6" borderId="25" xfId="8" applyNumberFormat="1" applyFont="1" applyFill="1" applyBorder="1" applyAlignment="1" applyProtection="1">
      <alignment horizontal="center"/>
    </xf>
    <xf numFmtId="0" fontId="11" fillId="6" borderId="25" xfId="8" applyFont="1" applyFill="1" applyBorder="1" applyAlignment="1" applyProtection="1">
      <alignment horizontal="center"/>
    </xf>
    <xf numFmtId="0" fontId="11" fillId="6" borderId="25" xfId="8" applyFont="1" applyFill="1" applyBorder="1" applyAlignment="1">
      <alignment horizontal="center"/>
    </xf>
    <xf numFmtId="0" fontId="11" fillId="6" borderId="26" xfId="8" applyFont="1" applyFill="1" applyBorder="1" applyAlignment="1" applyProtection="1">
      <alignment horizontal="center"/>
    </xf>
    <xf numFmtId="0" fontId="12" fillId="0" borderId="0" xfId="8" applyFont="1" applyAlignment="1">
      <alignment horizontal="center"/>
    </xf>
    <xf numFmtId="49" fontId="11" fillId="6" borderId="27" xfId="8" applyNumberFormat="1" applyFont="1" applyFill="1" applyBorder="1"/>
    <xf numFmtId="0" fontId="11" fillId="6" borderId="27" xfId="8" applyFont="1" applyFill="1" applyBorder="1"/>
    <xf numFmtId="0" fontId="11" fillId="6" borderId="27" xfId="8" applyFont="1" applyFill="1" applyBorder="1" applyAlignment="1" applyProtection="1">
      <alignment horizontal="center"/>
    </xf>
    <xf numFmtId="0" fontId="11" fillId="6" borderId="28" xfId="8" applyFont="1" applyFill="1" applyBorder="1"/>
    <xf numFmtId="49" fontId="12" fillId="0" borderId="0" xfId="8" applyNumberFormat="1" applyFont="1"/>
    <xf numFmtId="39" fontId="12" fillId="0" borderId="0" xfId="8" applyNumberFormat="1" applyFont="1" applyProtection="1"/>
    <xf numFmtId="49" fontId="12" fillId="0" borderId="0" xfId="8" applyNumberFormat="1" applyFont="1" applyAlignment="1" applyProtection="1">
      <alignment horizontal="left"/>
    </xf>
    <xf numFmtId="0" fontId="12" fillId="0" borderId="0" xfId="8" applyFont="1" applyAlignment="1" applyProtection="1">
      <alignment horizontal="left"/>
    </xf>
    <xf numFmtId="39" fontId="12" fillId="0" borderId="23" xfId="8" applyNumberFormat="1" applyFont="1" applyBorder="1" applyProtection="1"/>
    <xf numFmtId="37" fontId="12" fillId="0" borderId="0" xfId="8" applyNumberFormat="1" applyFont="1" applyProtection="1"/>
    <xf numFmtId="49" fontId="12" fillId="0" borderId="0" xfId="8" applyNumberFormat="1" applyFont="1" applyBorder="1"/>
    <xf numFmtId="0" fontId="12" fillId="0" borderId="0" xfId="8" applyFont="1" applyBorder="1"/>
    <xf numFmtId="39" fontId="12" fillId="0" borderId="0" xfId="8" applyNumberFormat="1" applyFont="1" applyBorder="1" applyProtection="1"/>
    <xf numFmtId="37" fontId="12" fillId="0" borderId="0" xfId="8" applyNumberFormat="1" applyFont="1" applyBorder="1" applyProtection="1"/>
    <xf numFmtId="49" fontId="12" fillId="0" borderId="0" xfId="8" applyNumberFormat="1" applyFont="1" applyBorder="1" applyAlignment="1" applyProtection="1">
      <alignment horizontal="left"/>
    </xf>
    <xf numFmtId="0" fontId="12" fillId="0" borderId="0" xfId="8" applyFont="1" applyBorder="1" applyAlignment="1" applyProtection="1">
      <alignment horizontal="left"/>
    </xf>
    <xf numFmtId="39" fontId="12" fillId="0" borderId="1" xfId="8" applyNumberFormat="1" applyFont="1" applyBorder="1" applyProtection="1"/>
    <xf numFmtId="0" fontId="15" fillId="0" borderId="0" xfId="8" applyFont="1" applyBorder="1"/>
    <xf numFmtId="0" fontId="15" fillId="0" borderId="0" xfId="8" applyFont="1"/>
    <xf numFmtId="39" fontId="12" fillId="0" borderId="29" xfId="8" applyNumberFormat="1" applyFont="1" applyBorder="1" applyProtection="1"/>
    <xf numFmtId="49" fontId="12" fillId="0" borderId="30" xfId="8" applyNumberFormat="1" applyFont="1" applyBorder="1"/>
    <xf numFmtId="49" fontId="12" fillId="0" borderId="30" xfId="8" applyNumberFormat="1" applyFont="1" applyBorder="1" applyAlignment="1" applyProtection="1">
      <alignment horizontal="left"/>
    </xf>
    <xf numFmtId="172" fontId="23" fillId="0" borderId="0" xfId="9" applyFont="1" applyAlignment="1" applyProtection="1">
      <alignment horizontal="left"/>
    </xf>
    <xf numFmtId="172" fontId="23" fillId="0" borderId="0" xfId="9" applyFont="1"/>
    <xf numFmtId="172" fontId="8" fillId="0" borderId="0" xfId="9" applyFont="1"/>
    <xf numFmtId="172" fontId="8" fillId="0" borderId="0" xfId="9" applyFont="1" applyAlignment="1" applyProtection="1">
      <alignment horizontal="left"/>
    </xf>
    <xf numFmtId="5" fontId="23" fillId="0" borderId="0" xfId="9" applyNumberFormat="1" applyFont="1" applyAlignment="1" applyProtection="1">
      <alignment horizontal="left"/>
    </xf>
    <xf numFmtId="172" fontId="23" fillId="0" borderId="0" xfId="9" quotePrefix="1" applyFont="1" applyAlignment="1" applyProtection="1">
      <alignment horizontal="left"/>
    </xf>
    <xf numFmtId="172" fontId="22" fillId="0" borderId="0" xfId="9" applyFont="1" applyAlignment="1" applyProtection="1">
      <alignment horizontal="left"/>
    </xf>
    <xf numFmtId="7" fontId="23" fillId="0" borderId="0" xfId="9" applyNumberFormat="1" applyFont="1" applyProtection="1"/>
    <xf numFmtId="172" fontId="8" fillId="0" borderId="6" xfId="9" applyFont="1" applyBorder="1" applyAlignment="1" applyProtection="1">
      <alignment horizontal="left"/>
    </xf>
    <xf numFmtId="172" fontId="8" fillId="0" borderId="6" xfId="9" applyFont="1" applyBorder="1" applyAlignment="1" applyProtection="1">
      <alignment horizontal="center"/>
    </xf>
    <xf numFmtId="172" fontId="8" fillId="0" borderId="6" xfId="9" applyFont="1" applyBorder="1" applyAlignment="1">
      <alignment horizontal="center"/>
    </xf>
    <xf numFmtId="43" fontId="8" fillId="0" borderId="6" xfId="4" applyFont="1" applyBorder="1" applyProtection="1"/>
    <xf numFmtId="39" fontId="12" fillId="0" borderId="6" xfId="9" applyNumberFormat="1" applyFont="1" applyBorder="1" applyProtection="1"/>
    <xf numFmtId="39" fontId="8" fillId="0" borderId="6" xfId="9" applyNumberFormat="1" applyFont="1" applyBorder="1" applyProtection="1"/>
    <xf numFmtId="172" fontId="8" fillId="0" borderId="6" xfId="9" applyFont="1" applyBorder="1" applyAlignment="1">
      <alignment horizontal="right"/>
    </xf>
    <xf numFmtId="49" fontId="8" fillId="0" borderId="6" xfId="9" applyNumberFormat="1" applyFont="1" applyBorder="1" applyProtection="1"/>
    <xf numFmtId="39" fontId="24" fillId="0" borderId="6" xfId="9" applyNumberFormat="1" applyFont="1" applyBorder="1" applyProtection="1"/>
    <xf numFmtId="43" fontId="8" fillId="0" borderId="0" xfId="4" applyFont="1"/>
    <xf numFmtId="0" fontId="26" fillId="0" borderId="1" xfId="0" quotePrefix="1" applyFont="1" applyBorder="1" applyAlignment="1">
      <alignment horizontal="center"/>
    </xf>
    <xf numFmtId="0" fontId="0" fillId="0" borderId="0" xfId="0" applyAlignment="1">
      <alignment wrapText="1"/>
    </xf>
    <xf numFmtId="43" fontId="0" fillId="0" borderId="0" xfId="1" applyFont="1" applyAlignment="1">
      <alignment wrapText="1"/>
    </xf>
    <xf numFmtId="43" fontId="0" fillId="7" borderId="0" xfId="1" applyFont="1" applyFill="1" applyAlignment="1">
      <alignment wrapText="1"/>
    </xf>
    <xf numFmtId="43" fontId="0" fillId="0" borderId="0" xfId="1" applyFont="1"/>
    <xf numFmtId="43" fontId="0" fillId="2" borderId="0" xfId="1" applyFont="1" applyFill="1"/>
    <xf numFmtId="43" fontId="0" fillId="0" borderId="1" xfId="1" applyFont="1" applyBorder="1" applyAlignment="1">
      <alignment wrapText="1"/>
    </xf>
    <xf numFmtId="43" fontId="0" fillId="0" borderId="1" xfId="1" applyFont="1" applyBorder="1"/>
    <xf numFmtId="43" fontId="0" fillId="0" borderId="0" xfId="0" applyNumberFormat="1" applyAlignment="1">
      <alignment wrapText="1"/>
    </xf>
    <xf numFmtId="43" fontId="0" fillId="0" borderId="0" xfId="0" applyNumberFormat="1"/>
    <xf numFmtId="43" fontId="0" fillId="0" borderId="0" xfId="1" applyFont="1" applyFill="1" applyAlignment="1">
      <alignment wrapText="1"/>
    </xf>
    <xf numFmtId="43" fontId="0" fillId="2" borderId="0" xfId="1" applyFont="1" applyFill="1" applyAlignment="1">
      <alignment wrapText="1"/>
    </xf>
    <xf numFmtId="43" fontId="0" fillId="0" borderId="0" xfId="1" applyFont="1" applyFill="1" applyBorder="1" applyAlignment="1">
      <alignment wrapText="1"/>
    </xf>
    <xf numFmtId="43" fontId="0" fillId="2" borderId="0" xfId="1" applyFont="1" applyFill="1" applyBorder="1" applyAlignment="1">
      <alignment wrapText="1"/>
    </xf>
    <xf numFmtId="43" fontId="0" fillId="0" borderId="1" xfId="1" applyFont="1" applyFill="1" applyBorder="1" applyAlignment="1">
      <alignment wrapText="1"/>
    </xf>
    <xf numFmtId="0" fontId="0" fillId="0" borderId="0" xfId="0" applyAlignment="1"/>
    <xf numFmtId="0" fontId="5" fillId="0" borderId="1" xfId="0" applyFont="1" applyBorder="1" applyAlignment="1">
      <alignment vertical="top" wrapText="1"/>
    </xf>
    <xf numFmtId="0" fontId="4" fillId="0" borderId="0" xfId="0" applyFont="1" applyAlignment="1">
      <alignment vertical="top" wrapText="1"/>
    </xf>
    <xf numFmtId="0" fontId="2" fillId="0" borderId="0" xfId="0" applyFont="1" applyFill="1" applyAlignment="1">
      <alignment vertical="top"/>
    </xf>
    <xf numFmtId="164" fontId="3" fillId="0" borderId="1" xfId="0" quotePrefix="1" applyNumberFormat="1" applyFont="1" applyFill="1" applyBorder="1" applyAlignment="1">
      <alignment horizontal="center" vertical="top"/>
    </xf>
    <xf numFmtId="0" fontId="3" fillId="0" borderId="0" xfId="0" applyFont="1" applyFill="1" applyAlignment="1">
      <alignment horizontal="center" vertical="top"/>
    </xf>
    <xf numFmtId="0" fontId="4" fillId="0" borderId="0" xfId="0" applyFont="1" applyAlignment="1">
      <alignment vertical="top"/>
    </xf>
    <xf numFmtId="0" fontId="5" fillId="0" borderId="1" xfId="0" applyFont="1" applyBorder="1" applyAlignment="1">
      <alignment vertical="top"/>
    </xf>
    <xf numFmtId="0" fontId="5" fillId="0" borderId="0" xfId="0" applyFont="1" applyAlignment="1">
      <alignment vertical="top"/>
    </xf>
    <xf numFmtId="43" fontId="2" fillId="0" borderId="0" xfId="1" applyFont="1" applyFill="1" applyAlignment="1">
      <alignment vertical="top"/>
    </xf>
    <xf numFmtId="43" fontId="4" fillId="0" borderId="0" xfId="1" applyFont="1" applyAlignment="1">
      <alignment vertical="top"/>
    </xf>
    <xf numFmtId="43" fontId="2" fillId="0" borderId="1" xfId="1" applyFont="1" applyFill="1" applyBorder="1" applyAlignment="1">
      <alignment vertical="top"/>
    </xf>
    <xf numFmtId="43" fontId="4" fillId="0" borderId="1" xfId="1" applyFont="1" applyBorder="1" applyAlignment="1">
      <alignment vertical="top"/>
    </xf>
    <xf numFmtId="44" fontId="2" fillId="0" borderId="0" xfId="2" applyFont="1" applyFill="1" applyAlignment="1">
      <alignment vertical="top"/>
    </xf>
    <xf numFmtId="44" fontId="4" fillId="0" borderId="0" xfId="2" applyFont="1" applyAlignment="1">
      <alignment vertical="top"/>
    </xf>
    <xf numFmtId="43" fontId="4" fillId="0" borderId="0" xfId="1" applyFont="1" applyFill="1" applyAlignment="1">
      <alignment vertical="top"/>
    </xf>
    <xf numFmtId="173" fontId="27" fillId="0" borderId="0" xfId="10" applyNumberFormat="1" applyAlignment="1">
      <alignment horizontal="center"/>
    </xf>
    <xf numFmtId="0" fontId="27" fillId="0" borderId="0" xfId="10" applyAlignment="1">
      <alignment horizontal="center"/>
    </xf>
    <xf numFmtId="173" fontId="0" fillId="0" borderId="0" xfId="11" applyNumberFormat="1" applyFont="1"/>
    <xf numFmtId="38" fontId="0" fillId="0" borderId="0" xfId="11" applyNumberFormat="1" applyFont="1" applyAlignment="1">
      <alignment horizontal="center"/>
    </xf>
    <xf numFmtId="40" fontId="0" fillId="0" borderId="0" xfId="11" applyFont="1" applyAlignment="1">
      <alignment horizontal="center"/>
    </xf>
    <xf numFmtId="0" fontId="27" fillId="0" borderId="31" xfId="10" applyBorder="1" applyAlignment="1">
      <alignment horizontal="center"/>
    </xf>
    <xf numFmtId="40" fontId="0" fillId="0" borderId="31" xfId="11" applyFont="1" applyBorder="1" applyAlignment="1">
      <alignment horizontal="center"/>
    </xf>
    <xf numFmtId="40" fontId="0" fillId="0" borderId="0" xfId="11" applyFont="1"/>
    <xf numFmtId="40" fontId="27" fillId="0" borderId="2" xfId="11" applyFont="1" applyBorder="1"/>
    <xf numFmtId="40" fontId="0" fillId="0" borderId="0" xfId="11" applyFont="1" applyFill="1"/>
    <xf numFmtId="40" fontId="28" fillId="5" borderId="32" xfId="11" applyFont="1" applyFill="1" applyBorder="1"/>
    <xf numFmtId="40" fontId="28" fillId="0" borderId="0" xfId="11" applyFont="1" applyBorder="1"/>
    <xf numFmtId="40" fontId="28" fillId="0" borderId="0" xfId="11" applyFont="1" applyFill="1" applyBorder="1"/>
    <xf numFmtId="40" fontId="28" fillId="5" borderId="2" xfId="11" applyFont="1" applyFill="1" applyBorder="1"/>
    <xf numFmtId="174" fontId="2" fillId="0" borderId="0" xfId="12" applyNumberFormat="1"/>
    <xf numFmtId="173" fontId="0" fillId="0" borderId="0" xfId="11" applyNumberFormat="1" applyFont="1" applyAlignment="1">
      <alignment horizontal="center"/>
    </xf>
    <xf numFmtId="173" fontId="27" fillId="0" borderId="0" xfId="10" applyNumberFormat="1"/>
    <xf numFmtId="0" fontId="27" fillId="0" borderId="0" xfId="10"/>
    <xf numFmtId="40" fontId="28" fillId="6" borderId="32" xfId="11" applyFont="1" applyFill="1" applyBorder="1"/>
    <xf numFmtId="173" fontId="27" fillId="0" borderId="0" xfId="11" applyNumberFormat="1" applyFont="1" applyAlignment="1">
      <alignment horizontal="center"/>
    </xf>
    <xf numFmtId="40" fontId="0" fillId="0" borderId="36" xfId="11" applyFont="1" applyBorder="1"/>
    <xf numFmtId="40" fontId="0" fillId="0" borderId="37" xfId="11" applyFont="1" applyBorder="1"/>
    <xf numFmtId="40" fontId="0" fillId="0" borderId="38" xfId="11" applyFont="1" applyBorder="1"/>
    <xf numFmtId="40" fontId="0" fillId="0" borderId="39" xfId="11" applyFont="1" applyBorder="1"/>
    <xf numFmtId="40" fontId="0" fillId="0" borderId="40" xfId="11" applyFont="1" applyBorder="1"/>
    <xf numFmtId="40" fontId="0" fillId="0" borderId="41" xfId="11" applyFont="1" applyBorder="1"/>
    <xf numFmtId="49" fontId="3" fillId="5" borderId="24" xfId="6" applyNumberFormat="1" applyFont="1" applyFill="1" applyBorder="1"/>
    <xf numFmtId="43" fontId="2" fillId="0" borderId="0" xfId="6" applyNumberFormat="1"/>
    <xf numFmtId="0" fontId="2" fillId="0" borderId="0" xfId="6"/>
    <xf numFmtId="43" fontId="0" fillId="0" borderId="0" xfId="41" applyFont="1"/>
    <xf numFmtId="43" fontId="3" fillId="5" borderId="24" xfId="41" applyFont="1" applyFill="1" applyBorder="1"/>
    <xf numFmtId="49" fontId="2" fillId="0" borderId="0" xfId="6" applyNumberFormat="1"/>
    <xf numFmtId="43" fontId="3" fillId="5" borderId="24" xfId="1" applyFont="1" applyFill="1" applyBorder="1"/>
  </cellXfs>
  <cellStyles count="2115">
    <cellStyle name="_Detail 3-31-07" xfId="13"/>
    <cellStyle name="_Detail 3-31-07_Sheet1" xfId="14"/>
    <cellStyle name="_Detail 3-31-07_Sheet4" xfId="15"/>
    <cellStyle name="_Detail 3-31-07_Sheet5" xfId="16"/>
    <cellStyle name="_Plum Point Collateral" xfId="17"/>
    <cellStyle name="_PPEA 3-31-2007 TB" xfId="18"/>
    <cellStyle name="_Sheet1" xfId="19"/>
    <cellStyle name="_Sheet23" xfId="20"/>
    <cellStyle name="_Sheet4" xfId="21"/>
    <cellStyle name="_Sheet5" xfId="22"/>
    <cellStyle name="=C:\WINNT\SYSTEM32\COMMAND.COM" xfId="23"/>
    <cellStyle name="A3 297 x 420 mm" xfId="24"/>
    <cellStyle name="Actual Date" xfId="25"/>
    <cellStyle name="adjusted" xfId="26"/>
    <cellStyle name="ÅëÈ­ [0]_±âÅ¸" xfId="27"/>
    <cellStyle name="ÅëÈ­_±âÅ¸" xfId="28"/>
    <cellStyle name="ÄÞ¸¶ [0]_±âÅ¸" xfId="29"/>
    <cellStyle name="ÄÞ¸¶_±âÅ¸" xfId="30"/>
    <cellStyle name="blank" xfId="31"/>
    <cellStyle name="Body" xfId="32"/>
    <cellStyle name="Ç¥ÁØ_¿ù°£¿ä¾àº¸°í" xfId="33"/>
    <cellStyle name="Calc Currency (0)" xfId="34"/>
    <cellStyle name="Centered Heading" xfId="35"/>
    <cellStyle name="column1" xfId="36"/>
    <cellStyle name="Comma" xfId="1" builtinId="3"/>
    <cellStyle name="Comma [2]" xfId="37"/>
    <cellStyle name="Comma 0 [0]" xfId="38"/>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4"/>
    <cellStyle name="Comma 2 10" xfId="49"/>
    <cellStyle name="Comma 2 11" xfId="50"/>
    <cellStyle name="Comma 2 2" xfId="51"/>
    <cellStyle name="Comma 2 3" xfId="52"/>
    <cellStyle name="Comma 2 4" xfId="53"/>
    <cellStyle name="Comma 2 5" xfId="54"/>
    <cellStyle name="Comma 2 6" xfId="55"/>
    <cellStyle name="Comma 2 7" xfId="56"/>
    <cellStyle name="Comma 2 8" xfId="57"/>
    <cellStyle name="Comma 2 9" xfId="58"/>
    <cellStyle name="Comma 20" xfId="59"/>
    <cellStyle name="Comma 3" xfId="7"/>
    <cellStyle name="Comma 4" xfId="11"/>
    <cellStyle name="Comma 4 10" xfId="60"/>
    <cellStyle name="Comma 4 11" xfId="61"/>
    <cellStyle name="Comma 4 12" xfId="62"/>
    <cellStyle name="Comma 4 13" xfId="63"/>
    <cellStyle name="Comma 4 14" xfId="64"/>
    <cellStyle name="Comma 4 15" xfId="65"/>
    <cellStyle name="Comma 4 16" xfId="66"/>
    <cellStyle name="Comma 4 17" xfId="67"/>
    <cellStyle name="Comma 4 18" xfId="68"/>
    <cellStyle name="Comma 4 19" xfId="69"/>
    <cellStyle name="Comma 4 2" xfId="70"/>
    <cellStyle name="Comma 4 20" xfId="71"/>
    <cellStyle name="Comma 4 21" xfId="72"/>
    <cellStyle name="Comma 4 22" xfId="73"/>
    <cellStyle name="Comma 4 23" xfId="74"/>
    <cellStyle name="Comma 4 24" xfId="75"/>
    <cellStyle name="Comma 4 25" xfId="76"/>
    <cellStyle name="Comma 4 26" xfId="77"/>
    <cellStyle name="Comma 4 27" xfId="78"/>
    <cellStyle name="Comma 4 28" xfId="79"/>
    <cellStyle name="Comma 4 29" xfId="80"/>
    <cellStyle name="Comma 4 3" xfId="81"/>
    <cellStyle name="Comma 4 30" xfId="82"/>
    <cellStyle name="Comma 4 31" xfId="83"/>
    <cellStyle name="Comma 4 32" xfId="84"/>
    <cellStyle name="Comma 4 33" xfId="85"/>
    <cellStyle name="Comma 4 34" xfId="86"/>
    <cellStyle name="Comma 4 35" xfId="87"/>
    <cellStyle name="Comma 4 36" xfId="88"/>
    <cellStyle name="Comma 4 37" xfId="89"/>
    <cellStyle name="Comma 4 38" xfId="90"/>
    <cellStyle name="Comma 4 39" xfId="91"/>
    <cellStyle name="Comma 4 4" xfId="92"/>
    <cellStyle name="Comma 4 40" xfId="93"/>
    <cellStyle name="Comma 4 41" xfId="94"/>
    <cellStyle name="Comma 4 42" xfId="95"/>
    <cellStyle name="Comma 4 43" xfId="96"/>
    <cellStyle name="Comma 4 44" xfId="97"/>
    <cellStyle name="Comma 4 45" xfId="98"/>
    <cellStyle name="Comma 4 46" xfId="99"/>
    <cellStyle name="Comma 4 47" xfId="100"/>
    <cellStyle name="Comma 4 48" xfId="101"/>
    <cellStyle name="Comma 4 49" xfId="102"/>
    <cellStyle name="Comma 4 5" xfId="103"/>
    <cellStyle name="Comma 4 50" xfId="104"/>
    <cellStyle name="Comma 4 51" xfId="105"/>
    <cellStyle name="Comma 4 52" xfId="106"/>
    <cellStyle name="Comma 4 53" xfId="107"/>
    <cellStyle name="Comma 4 54" xfId="108"/>
    <cellStyle name="Comma 4 55" xfId="109"/>
    <cellStyle name="Comma 4 56" xfId="110"/>
    <cellStyle name="Comma 4 57" xfId="111"/>
    <cellStyle name="Comma 4 58" xfId="112"/>
    <cellStyle name="Comma 4 59" xfId="113"/>
    <cellStyle name="Comma 4 6" xfId="114"/>
    <cellStyle name="Comma 4 60" xfId="115"/>
    <cellStyle name="Comma 4 61" xfId="116"/>
    <cellStyle name="Comma 4 62" xfId="117"/>
    <cellStyle name="Comma 4 63" xfId="118"/>
    <cellStyle name="Comma 4 64" xfId="119"/>
    <cellStyle name="Comma 4 65" xfId="120"/>
    <cellStyle name="Comma 4 66" xfId="121"/>
    <cellStyle name="Comma 4 67" xfId="122"/>
    <cellStyle name="Comma 4 7" xfId="123"/>
    <cellStyle name="Comma 4 8" xfId="124"/>
    <cellStyle name="Comma 4 9" xfId="125"/>
    <cellStyle name="Comma 5" xfId="126"/>
    <cellStyle name="Comma 5 10" xfId="127"/>
    <cellStyle name="Comma 5 11" xfId="128"/>
    <cellStyle name="Comma 5 12" xfId="129"/>
    <cellStyle name="Comma 5 13" xfId="130"/>
    <cellStyle name="Comma 5 14" xfId="131"/>
    <cellStyle name="Comma 5 15" xfId="132"/>
    <cellStyle name="Comma 5 16" xfId="133"/>
    <cellStyle name="Comma 5 17" xfId="134"/>
    <cellStyle name="Comma 5 18" xfId="135"/>
    <cellStyle name="Comma 5 19" xfId="136"/>
    <cellStyle name="Comma 5 2" xfId="137"/>
    <cellStyle name="Comma 5 20" xfId="138"/>
    <cellStyle name="Comma 5 21" xfId="139"/>
    <cellStyle name="Comma 5 22" xfId="140"/>
    <cellStyle name="Comma 5 23" xfId="141"/>
    <cellStyle name="Comma 5 24" xfId="142"/>
    <cellStyle name="Comma 5 25" xfId="143"/>
    <cellStyle name="Comma 5 26" xfId="144"/>
    <cellStyle name="Comma 5 27" xfId="145"/>
    <cellStyle name="Comma 5 28" xfId="146"/>
    <cellStyle name="Comma 5 29" xfId="147"/>
    <cellStyle name="Comma 5 3" xfId="148"/>
    <cellStyle name="Comma 5 30" xfId="149"/>
    <cellStyle name="Comma 5 31" xfId="150"/>
    <cellStyle name="Comma 5 32" xfId="151"/>
    <cellStyle name="Comma 5 33" xfId="152"/>
    <cellStyle name="Comma 5 34" xfId="153"/>
    <cellStyle name="Comma 5 35" xfId="154"/>
    <cellStyle name="Comma 5 36" xfId="155"/>
    <cellStyle name="Comma 5 37" xfId="156"/>
    <cellStyle name="Comma 5 38" xfId="157"/>
    <cellStyle name="Comma 5 39" xfId="158"/>
    <cellStyle name="Comma 5 4" xfId="159"/>
    <cellStyle name="Comma 5 40" xfId="160"/>
    <cellStyle name="Comma 5 41" xfId="161"/>
    <cellStyle name="Comma 5 42" xfId="162"/>
    <cellStyle name="Comma 5 43" xfId="163"/>
    <cellStyle name="Comma 5 44" xfId="164"/>
    <cellStyle name="Comma 5 45" xfId="165"/>
    <cellStyle name="Comma 5 46" xfId="166"/>
    <cellStyle name="Comma 5 47" xfId="167"/>
    <cellStyle name="Comma 5 48" xfId="168"/>
    <cellStyle name="Comma 5 49" xfId="169"/>
    <cellStyle name="Comma 5 5" xfId="170"/>
    <cellStyle name="Comma 5 50" xfId="171"/>
    <cellStyle name="Comma 5 51" xfId="172"/>
    <cellStyle name="Comma 5 52" xfId="173"/>
    <cellStyle name="Comma 5 53" xfId="174"/>
    <cellStyle name="Comma 5 54" xfId="175"/>
    <cellStyle name="Comma 5 55" xfId="176"/>
    <cellStyle name="Comma 5 56" xfId="177"/>
    <cellStyle name="Comma 5 57" xfId="178"/>
    <cellStyle name="Comma 5 58" xfId="179"/>
    <cellStyle name="Comma 5 59" xfId="180"/>
    <cellStyle name="Comma 5 6" xfId="181"/>
    <cellStyle name="Comma 5 60" xfId="182"/>
    <cellStyle name="Comma 5 61" xfId="183"/>
    <cellStyle name="Comma 5 62" xfId="184"/>
    <cellStyle name="Comma 5 63" xfId="185"/>
    <cellStyle name="Comma 5 64" xfId="186"/>
    <cellStyle name="Comma 5 65" xfId="187"/>
    <cellStyle name="Comma 5 66" xfId="188"/>
    <cellStyle name="Comma 5 67" xfId="189"/>
    <cellStyle name="Comma 5 7" xfId="190"/>
    <cellStyle name="Comma 5 8" xfId="191"/>
    <cellStyle name="Comma 5 9" xfId="192"/>
    <cellStyle name="Comma 6" xfId="193"/>
    <cellStyle name="Comma 7" xfId="194"/>
    <cellStyle name="Comma 8" xfId="195"/>
    <cellStyle name="Comma 9" xfId="196"/>
    <cellStyle name="Comma0" xfId="197"/>
    <cellStyle name="Comma0 - Style4" xfId="198"/>
    <cellStyle name="Company Name" xfId="199"/>
    <cellStyle name="Copied" xfId="200"/>
    <cellStyle name="Curren - Style1" xfId="201"/>
    <cellStyle name="Curren - Style5" xfId="202"/>
    <cellStyle name="Currency" xfId="2" builtinId="4"/>
    <cellStyle name="Currency 10" xfId="203"/>
    <cellStyle name="Currency 2" xfId="204"/>
    <cellStyle name="Currency 2 10" xfId="205"/>
    <cellStyle name="Currency 2 11" xfId="206"/>
    <cellStyle name="Currency 2 12" xfId="207"/>
    <cellStyle name="Currency 2 13" xfId="208"/>
    <cellStyle name="Currency 2 14" xfId="209"/>
    <cellStyle name="Currency 2 15" xfId="210"/>
    <cellStyle name="Currency 2 16" xfId="211"/>
    <cellStyle name="Currency 2 17" xfId="212"/>
    <cellStyle name="Currency 2 18" xfId="213"/>
    <cellStyle name="Currency 2 19" xfId="214"/>
    <cellStyle name="Currency 2 2" xfId="215"/>
    <cellStyle name="Currency 2 20" xfId="216"/>
    <cellStyle name="Currency 2 21" xfId="217"/>
    <cellStyle name="Currency 2 22" xfId="218"/>
    <cellStyle name="Currency 2 23" xfId="219"/>
    <cellStyle name="Currency 2 24" xfId="220"/>
    <cellStyle name="Currency 2 25" xfId="221"/>
    <cellStyle name="Currency 2 26" xfId="222"/>
    <cellStyle name="Currency 2 27" xfId="223"/>
    <cellStyle name="Currency 2 28" xfId="224"/>
    <cellStyle name="Currency 2 29" xfId="225"/>
    <cellStyle name="Currency 2 3" xfId="226"/>
    <cellStyle name="Currency 2 30" xfId="227"/>
    <cellStyle name="Currency 2 31" xfId="228"/>
    <cellStyle name="Currency 2 32" xfId="229"/>
    <cellStyle name="Currency 2 33" xfId="230"/>
    <cellStyle name="Currency 2 34" xfId="231"/>
    <cellStyle name="Currency 2 35" xfId="232"/>
    <cellStyle name="Currency 2 36" xfId="233"/>
    <cellStyle name="Currency 2 37" xfId="234"/>
    <cellStyle name="Currency 2 38" xfId="235"/>
    <cellStyle name="Currency 2 39" xfId="236"/>
    <cellStyle name="Currency 2 4" xfId="237"/>
    <cellStyle name="Currency 2 40" xfId="238"/>
    <cellStyle name="Currency 2 41" xfId="239"/>
    <cellStyle name="Currency 2 42" xfId="240"/>
    <cellStyle name="Currency 2 43" xfId="241"/>
    <cellStyle name="Currency 2 44" xfId="242"/>
    <cellStyle name="Currency 2 45" xfId="243"/>
    <cellStyle name="Currency 2 46" xfId="244"/>
    <cellStyle name="Currency 2 47" xfId="245"/>
    <cellStyle name="Currency 2 48" xfId="246"/>
    <cellStyle name="Currency 2 49" xfId="247"/>
    <cellStyle name="Currency 2 5" xfId="248"/>
    <cellStyle name="Currency 2 50" xfId="249"/>
    <cellStyle name="Currency 2 51" xfId="250"/>
    <cellStyle name="Currency 2 52" xfId="251"/>
    <cellStyle name="Currency 2 53" xfId="252"/>
    <cellStyle name="Currency 2 54" xfId="253"/>
    <cellStyle name="Currency 2 55" xfId="254"/>
    <cellStyle name="Currency 2 56" xfId="255"/>
    <cellStyle name="Currency 2 57" xfId="256"/>
    <cellStyle name="Currency 2 58" xfId="257"/>
    <cellStyle name="Currency 2 59" xfId="258"/>
    <cellStyle name="Currency 2 6" xfId="259"/>
    <cellStyle name="Currency 2 60" xfId="260"/>
    <cellStyle name="Currency 2 61" xfId="261"/>
    <cellStyle name="Currency 2 62" xfId="262"/>
    <cellStyle name="Currency 2 63" xfId="263"/>
    <cellStyle name="Currency 2 64" xfId="264"/>
    <cellStyle name="Currency 2 65" xfId="265"/>
    <cellStyle name="Currency 2 66" xfId="266"/>
    <cellStyle name="Currency 2 67" xfId="267"/>
    <cellStyle name="Currency 2 7" xfId="268"/>
    <cellStyle name="Currency 2 8" xfId="269"/>
    <cellStyle name="Currency 2 9" xfId="270"/>
    <cellStyle name="Currency 3" xfId="271"/>
    <cellStyle name="Currency 3 10" xfId="272"/>
    <cellStyle name="Currency 3 11" xfId="273"/>
    <cellStyle name="Currency 3 12" xfId="274"/>
    <cellStyle name="Currency 3 13" xfId="275"/>
    <cellStyle name="Currency 3 14" xfId="276"/>
    <cellStyle name="Currency 3 15" xfId="277"/>
    <cellStyle name="Currency 3 16" xfId="278"/>
    <cellStyle name="Currency 3 17" xfId="279"/>
    <cellStyle name="Currency 3 18" xfId="280"/>
    <cellStyle name="Currency 3 19" xfId="281"/>
    <cellStyle name="Currency 3 2" xfId="282"/>
    <cellStyle name="Currency 3 20" xfId="283"/>
    <cellStyle name="Currency 3 21" xfId="284"/>
    <cellStyle name="Currency 3 22" xfId="285"/>
    <cellStyle name="Currency 3 23" xfId="286"/>
    <cellStyle name="Currency 3 24" xfId="287"/>
    <cellStyle name="Currency 3 25" xfId="288"/>
    <cellStyle name="Currency 3 26" xfId="289"/>
    <cellStyle name="Currency 3 27" xfId="290"/>
    <cellStyle name="Currency 3 28" xfId="291"/>
    <cellStyle name="Currency 3 29" xfId="292"/>
    <cellStyle name="Currency 3 3" xfId="293"/>
    <cellStyle name="Currency 3 30" xfId="294"/>
    <cellStyle name="Currency 3 31" xfId="295"/>
    <cellStyle name="Currency 3 32" xfId="296"/>
    <cellStyle name="Currency 3 33" xfId="297"/>
    <cellStyle name="Currency 3 34" xfId="298"/>
    <cellStyle name="Currency 3 35" xfId="299"/>
    <cellStyle name="Currency 3 36" xfId="300"/>
    <cellStyle name="Currency 3 37" xfId="301"/>
    <cellStyle name="Currency 3 38" xfId="302"/>
    <cellStyle name="Currency 3 39" xfId="303"/>
    <cellStyle name="Currency 3 4" xfId="304"/>
    <cellStyle name="Currency 3 40" xfId="305"/>
    <cellStyle name="Currency 3 41" xfId="306"/>
    <cellStyle name="Currency 3 42" xfId="307"/>
    <cellStyle name="Currency 3 43" xfId="308"/>
    <cellStyle name="Currency 3 44" xfId="309"/>
    <cellStyle name="Currency 3 45" xfId="310"/>
    <cellStyle name="Currency 3 46" xfId="311"/>
    <cellStyle name="Currency 3 47" xfId="312"/>
    <cellStyle name="Currency 3 48" xfId="313"/>
    <cellStyle name="Currency 3 49" xfId="314"/>
    <cellStyle name="Currency 3 5" xfId="315"/>
    <cellStyle name="Currency 3 50" xfId="316"/>
    <cellStyle name="Currency 3 51" xfId="317"/>
    <cellStyle name="Currency 3 52" xfId="318"/>
    <cellStyle name="Currency 3 53" xfId="319"/>
    <cellStyle name="Currency 3 54" xfId="320"/>
    <cellStyle name="Currency 3 55" xfId="321"/>
    <cellStyle name="Currency 3 56" xfId="322"/>
    <cellStyle name="Currency 3 57" xfId="323"/>
    <cellStyle name="Currency 3 58" xfId="324"/>
    <cellStyle name="Currency 3 59" xfId="325"/>
    <cellStyle name="Currency 3 6" xfId="326"/>
    <cellStyle name="Currency 3 60" xfId="327"/>
    <cellStyle name="Currency 3 61" xfId="328"/>
    <cellStyle name="Currency 3 62" xfId="329"/>
    <cellStyle name="Currency 3 63" xfId="330"/>
    <cellStyle name="Currency 3 64" xfId="331"/>
    <cellStyle name="Currency 3 65" xfId="332"/>
    <cellStyle name="Currency 3 66" xfId="333"/>
    <cellStyle name="Currency 3 67" xfId="334"/>
    <cellStyle name="Currency 3 7" xfId="335"/>
    <cellStyle name="Currency 3 8" xfId="336"/>
    <cellStyle name="Currency 3 9" xfId="337"/>
    <cellStyle name="Currency 4" xfId="338"/>
    <cellStyle name="Currency 9" xfId="339"/>
    <cellStyle name="Currency0" xfId="340"/>
    <cellStyle name="Currency2" xfId="341"/>
    <cellStyle name="Date" xfId="342"/>
    <cellStyle name="Entered" xfId="343"/>
    <cellStyle name="Euro" xfId="344"/>
    <cellStyle name="Fixed" xfId="345"/>
    <cellStyle name="Fixed3 - Style3" xfId="346"/>
    <cellStyle name="Grey" xfId="347"/>
    <cellStyle name="Header" xfId="348"/>
    <cellStyle name="Header1" xfId="349"/>
    <cellStyle name="Header2" xfId="350"/>
    <cellStyle name="Heading 1 10" xfId="351"/>
    <cellStyle name="Heading 1 11" xfId="352"/>
    <cellStyle name="Heading 1 12" xfId="353"/>
    <cellStyle name="Heading 1 13" xfId="354"/>
    <cellStyle name="Heading 1 14" xfId="355"/>
    <cellStyle name="Heading 1 15" xfId="356"/>
    <cellStyle name="Heading 1 16" xfId="357"/>
    <cellStyle name="Heading 1 17" xfId="358"/>
    <cellStyle name="Heading 1 18" xfId="359"/>
    <cellStyle name="Heading 1 19" xfId="360"/>
    <cellStyle name="Heading 1 2" xfId="361"/>
    <cellStyle name="Heading 1 20" xfId="362"/>
    <cellStyle name="Heading 1 21" xfId="363"/>
    <cellStyle name="Heading 1 22" xfId="364"/>
    <cellStyle name="Heading 1 23" xfId="365"/>
    <cellStyle name="Heading 1 3" xfId="366"/>
    <cellStyle name="Heading 1 4" xfId="367"/>
    <cellStyle name="Heading 1 5" xfId="368"/>
    <cellStyle name="Heading 1 6" xfId="369"/>
    <cellStyle name="Heading 1 7" xfId="370"/>
    <cellStyle name="Heading 1 8" xfId="371"/>
    <cellStyle name="Heading 1 9" xfId="372"/>
    <cellStyle name="Heading 2 10" xfId="373"/>
    <cellStyle name="Heading 2 11" xfId="374"/>
    <cellStyle name="Heading 2 12" xfId="375"/>
    <cellStyle name="Heading 2 13" xfId="376"/>
    <cellStyle name="Heading 2 14" xfId="377"/>
    <cellStyle name="Heading 2 15" xfId="378"/>
    <cellStyle name="Heading 2 16" xfId="379"/>
    <cellStyle name="Heading 2 17" xfId="380"/>
    <cellStyle name="Heading 2 18" xfId="381"/>
    <cellStyle name="Heading 2 19" xfId="382"/>
    <cellStyle name="Heading 2 2" xfId="383"/>
    <cellStyle name="Heading 2 20" xfId="384"/>
    <cellStyle name="Heading 2 21" xfId="385"/>
    <cellStyle name="Heading 2 22" xfId="386"/>
    <cellStyle name="Heading 2 23" xfId="387"/>
    <cellStyle name="Heading 2 3" xfId="388"/>
    <cellStyle name="Heading 2 4" xfId="389"/>
    <cellStyle name="Heading 2 5" xfId="390"/>
    <cellStyle name="Heading 2 6" xfId="391"/>
    <cellStyle name="Heading 2 7" xfId="392"/>
    <cellStyle name="Heading 2 8" xfId="393"/>
    <cellStyle name="Heading 2 9" xfId="394"/>
    <cellStyle name="Heading No Underline" xfId="395"/>
    <cellStyle name="Heading With Underline" xfId="396"/>
    <cellStyle name="Heading1" xfId="397"/>
    <cellStyle name="Heading2" xfId="398"/>
    <cellStyle name="HEADINGS" xfId="399"/>
    <cellStyle name="HIGHLIGHT" xfId="400"/>
    <cellStyle name="Input [yellow]" xfId="401"/>
    <cellStyle name="Input Value" xfId="402"/>
    <cellStyle name="INPUTS" xfId="403"/>
    <cellStyle name="Inputs2" xfId="404"/>
    <cellStyle name="no dec" xfId="405"/>
    <cellStyle name="Normal" xfId="0" builtinId="0"/>
    <cellStyle name="Normal - Style1" xfId="406"/>
    <cellStyle name="Normal - Style1 2" xfId="407"/>
    <cellStyle name="Normal 000$" xfId="408"/>
    <cellStyle name="Normal 10" xfId="409"/>
    <cellStyle name="Normal 10 10" xfId="410"/>
    <cellStyle name="Normal 10 11" xfId="411"/>
    <cellStyle name="Normal 10 12" xfId="412"/>
    <cellStyle name="Normal 10 13" xfId="413"/>
    <cellStyle name="Normal 10 14" xfId="414"/>
    <cellStyle name="Normal 10 15" xfId="415"/>
    <cellStyle name="Normal 10 16" xfId="416"/>
    <cellStyle name="Normal 10 17" xfId="417"/>
    <cellStyle name="Normal 10 18" xfId="418"/>
    <cellStyle name="Normal 10 19" xfId="419"/>
    <cellStyle name="Normal 10 2" xfId="420"/>
    <cellStyle name="Normal 10 20" xfId="421"/>
    <cellStyle name="Normal 10 21" xfId="422"/>
    <cellStyle name="Normal 10 22" xfId="423"/>
    <cellStyle name="Normal 10 23" xfId="424"/>
    <cellStyle name="Normal 10 24" xfId="425"/>
    <cellStyle name="Normal 10 25" xfId="426"/>
    <cellStyle name="Normal 10 26" xfId="427"/>
    <cellStyle name="Normal 10 27" xfId="428"/>
    <cellStyle name="Normal 10 28" xfId="429"/>
    <cellStyle name="Normal 10 29" xfId="430"/>
    <cellStyle name="Normal 10 3" xfId="431"/>
    <cellStyle name="Normal 10 30" xfId="432"/>
    <cellStyle name="Normal 10 31" xfId="433"/>
    <cellStyle name="Normal 10 32" xfId="434"/>
    <cellStyle name="Normal 10 33" xfId="435"/>
    <cellStyle name="Normal 10 34" xfId="436"/>
    <cellStyle name="Normal 10 35" xfId="437"/>
    <cellStyle name="Normal 10 36" xfId="438"/>
    <cellStyle name="Normal 10 37" xfId="439"/>
    <cellStyle name="Normal 10 38" xfId="440"/>
    <cellStyle name="Normal 10 39" xfId="441"/>
    <cellStyle name="Normal 10 4" xfId="442"/>
    <cellStyle name="Normal 10 40" xfId="443"/>
    <cellStyle name="Normal 10 41" xfId="444"/>
    <cellStyle name="Normal 10 42" xfId="445"/>
    <cellStyle name="Normal 10 43" xfId="446"/>
    <cellStyle name="Normal 10 44" xfId="447"/>
    <cellStyle name="Normal 10 45" xfId="448"/>
    <cellStyle name="Normal 10 46" xfId="449"/>
    <cellStyle name="Normal 10 47" xfId="450"/>
    <cellStyle name="Normal 10 48" xfId="451"/>
    <cellStyle name="Normal 10 49" xfId="452"/>
    <cellStyle name="Normal 10 5" xfId="453"/>
    <cellStyle name="Normal 10 50" xfId="454"/>
    <cellStyle name="Normal 10 51" xfId="455"/>
    <cellStyle name="Normal 10 52" xfId="456"/>
    <cellStyle name="Normal 10 53" xfId="457"/>
    <cellStyle name="Normal 10 54" xfId="458"/>
    <cellStyle name="Normal 10 55" xfId="459"/>
    <cellStyle name="Normal 10 56" xfId="460"/>
    <cellStyle name="Normal 10 57" xfId="461"/>
    <cellStyle name="Normal 10 58" xfId="462"/>
    <cellStyle name="Normal 10 59" xfId="463"/>
    <cellStyle name="Normal 10 6" xfId="464"/>
    <cellStyle name="Normal 10 60" xfId="465"/>
    <cellStyle name="Normal 10 61" xfId="466"/>
    <cellStyle name="Normal 10 62" xfId="467"/>
    <cellStyle name="Normal 10 63" xfId="468"/>
    <cellStyle name="Normal 10 64" xfId="469"/>
    <cellStyle name="Normal 10 65" xfId="470"/>
    <cellStyle name="Normal 10 66" xfId="471"/>
    <cellStyle name="Normal 10 67" xfId="472"/>
    <cellStyle name="Normal 10 7" xfId="473"/>
    <cellStyle name="Normal 10 8" xfId="474"/>
    <cellStyle name="Normal 10 9" xfId="475"/>
    <cellStyle name="Normal 11" xfId="476"/>
    <cellStyle name="Normal 11 10" xfId="477"/>
    <cellStyle name="Normal 11 11" xfId="478"/>
    <cellStyle name="Normal 11 12" xfId="479"/>
    <cellStyle name="Normal 11 13" xfId="480"/>
    <cellStyle name="Normal 11 14" xfId="481"/>
    <cellStyle name="Normal 11 15" xfId="482"/>
    <cellStyle name="Normal 11 16" xfId="483"/>
    <cellStyle name="Normal 11 17" xfId="484"/>
    <cellStyle name="Normal 11 18" xfId="485"/>
    <cellStyle name="Normal 11 19" xfId="486"/>
    <cellStyle name="Normal 11 2" xfId="487"/>
    <cellStyle name="Normal 11 20" xfId="488"/>
    <cellStyle name="Normal 11 21" xfId="489"/>
    <cellStyle name="Normal 11 22" xfId="490"/>
    <cellStyle name="Normal 11 23" xfId="491"/>
    <cellStyle name="Normal 11 24" xfId="492"/>
    <cellStyle name="Normal 11 25" xfId="493"/>
    <cellStyle name="Normal 11 26" xfId="494"/>
    <cellStyle name="Normal 11 27" xfId="495"/>
    <cellStyle name="Normal 11 28" xfId="496"/>
    <cellStyle name="Normal 11 29" xfId="497"/>
    <cellStyle name="Normal 11 3" xfId="498"/>
    <cellStyle name="Normal 11 30" xfId="499"/>
    <cellStyle name="Normal 11 31" xfId="500"/>
    <cellStyle name="Normal 11 32" xfId="501"/>
    <cellStyle name="Normal 11 33" xfId="502"/>
    <cellStyle name="Normal 11 34" xfId="503"/>
    <cellStyle name="Normal 11 35" xfId="504"/>
    <cellStyle name="Normal 11 36" xfId="505"/>
    <cellStyle name="Normal 11 37" xfId="506"/>
    <cellStyle name="Normal 11 38" xfId="507"/>
    <cellStyle name="Normal 11 39" xfId="508"/>
    <cellStyle name="Normal 11 4" xfId="509"/>
    <cellStyle name="Normal 11 40" xfId="510"/>
    <cellStyle name="Normal 11 41" xfId="511"/>
    <cellStyle name="Normal 11 42" xfId="512"/>
    <cellStyle name="Normal 11 43" xfId="513"/>
    <cellStyle name="Normal 11 44" xfId="514"/>
    <cellStyle name="Normal 11 45" xfId="515"/>
    <cellStyle name="Normal 11 46" xfId="516"/>
    <cellStyle name="Normal 11 47" xfId="517"/>
    <cellStyle name="Normal 11 48" xfId="518"/>
    <cellStyle name="Normal 11 49" xfId="519"/>
    <cellStyle name="Normal 11 5" xfId="520"/>
    <cellStyle name="Normal 11 50" xfId="521"/>
    <cellStyle name="Normal 11 51" xfId="522"/>
    <cellStyle name="Normal 11 52" xfId="523"/>
    <cellStyle name="Normal 11 53" xfId="524"/>
    <cellStyle name="Normal 11 54" xfId="525"/>
    <cellStyle name="Normal 11 55" xfId="526"/>
    <cellStyle name="Normal 11 56" xfId="527"/>
    <cellStyle name="Normal 11 57" xfId="528"/>
    <cellStyle name="Normal 11 58" xfId="529"/>
    <cellStyle name="Normal 11 59" xfId="530"/>
    <cellStyle name="Normal 11 6" xfId="531"/>
    <cellStyle name="Normal 11 60" xfId="532"/>
    <cellStyle name="Normal 11 61" xfId="533"/>
    <cellStyle name="Normal 11 62" xfId="534"/>
    <cellStyle name="Normal 11 63" xfId="535"/>
    <cellStyle name="Normal 11 64" xfId="536"/>
    <cellStyle name="Normal 11 65" xfId="537"/>
    <cellStyle name="Normal 11 66" xfId="538"/>
    <cellStyle name="Normal 11 67" xfId="539"/>
    <cellStyle name="Normal 11 7" xfId="540"/>
    <cellStyle name="Normal 11 8" xfId="541"/>
    <cellStyle name="Normal 11 9" xfId="542"/>
    <cellStyle name="Normal 12" xfId="543"/>
    <cellStyle name="Normal 12 10" xfId="544"/>
    <cellStyle name="Normal 12 11" xfId="545"/>
    <cellStyle name="Normal 12 12" xfId="546"/>
    <cellStyle name="Normal 12 13" xfId="547"/>
    <cellStyle name="Normal 12 14" xfId="548"/>
    <cellStyle name="Normal 12 15" xfId="549"/>
    <cellStyle name="Normal 12 16" xfId="550"/>
    <cellStyle name="Normal 12 17" xfId="551"/>
    <cellStyle name="Normal 12 18" xfId="552"/>
    <cellStyle name="Normal 12 19" xfId="553"/>
    <cellStyle name="Normal 12 2" xfId="554"/>
    <cellStyle name="Normal 12 20" xfId="555"/>
    <cellStyle name="Normal 12 21" xfId="556"/>
    <cellStyle name="Normal 12 22" xfId="557"/>
    <cellStyle name="Normal 12 23" xfId="558"/>
    <cellStyle name="Normal 12 24" xfId="559"/>
    <cellStyle name="Normal 12 25" xfId="560"/>
    <cellStyle name="Normal 12 26" xfId="561"/>
    <cellStyle name="Normal 12 27" xfId="562"/>
    <cellStyle name="Normal 12 28" xfId="563"/>
    <cellStyle name="Normal 12 29" xfId="564"/>
    <cellStyle name="Normal 12 3" xfId="565"/>
    <cellStyle name="Normal 12 30" xfId="566"/>
    <cellStyle name="Normal 12 31" xfId="567"/>
    <cellStyle name="Normal 12 32" xfId="568"/>
    <cellStyle name="Normal 12 33" xfId="569"/>
    <cellStyle name="Normal 12 34" xfId="570"/>
    <cellStyle name="Normal 12 35" xfId="571"/>
    <cellStyle name="Normal 12 36" xfId="572"/>
    <cellStyle name="Normal 12 37" xfId="573"/>
    <cellStyle name="Normal 12 38" xfId="574"/>
    <cellStyle name="Normal 12 39" xfId="575"/>
    <cellStyle name="Normal 12 4" xfId="576"/>
    <cellStyle name="Normal 12 40" xfId="577"/>
    <cellStyle name="Normal 12 41" xfId="578"/>
    <cellStyle name="Normal 12 42" xfId="579"/>
    <cellStyle name="Normal 12 43" xfId="580"/>
    <cellStyle name="Normal 12 44" xfId="581"/>
    <cellStyle name="Normal 12 45" xfId="582"/>
    <cellStyle name="Normal 12 46" xfId="583"/>
    <cellStyle name="Normal 12 47" xfId="584"/>
    <cellStyle name="Normal 12 48" xfId="585"/>
    <cellStyle name="Normal 12 49" xfId="586"/>
    <cellStyle name="Normal 12 5" xfId="587"/>
    <cellStyle name="Normal 12 50" xfId="588"/>
    <cellStyle name="Normal 12 51" xfId="589"/>
    <cellStyle name="Normal 12 52" xfId="590"/>
    <cellStyle name="Normal 12 53" xfId="591"/>
    <cellStyle name="Normal 12 54" xfId="592"/>
    <cellStyle name="Normal 12 55" xfId="593"/>
    <cellStyle name="Normal 12 56" xfId="594"/>
    <cellStyle name="Normal 12 57" xfId="595"/>
    <cellStyle name="Normal 12 58" xfId="596"/>
    <cellStyle name="Normal 12 59" xfId="597"/>
    <cellStyle name="Normal 12 6" xfId="598"/>
    <cellStyle name="Normal 12 60" xfId="599"/>
    <cellStyle name="Normal 12 61" xfId="600"/>
    <cellStyle name="Normal 12 62" xfId="601"/>
    <cellStyle name="Normal 12 63" xfId="602"/>
    <cellStyle name="Normal 12 64" xfId="603"/>
    <cellStyle name="Normal 12 65" xfId="604"/>
    <cellStyle name="Normal 12 66" xfId="605"/>
    <cellStyle name="Normal 12 67" xfId="606"/>
    <cellStyle name="Normal 12 7" xfId="607"/>
    <cellStyle name="Normal 12 8" xfId="608"/>
    <cellStyle name="Normal 12 9" xfId="609"/>
    <cellStyle name="Normal 13" xfId="610"/>
    <cellStyle name="Normal 13 10" xfId="611"/>
    <cellStyle name="Normal 13 11" xfId="612"/>
    <cellStyle name="Normal 13 12" xfId="613"/>
    <cellStyle name="Normal 13 13" xfId="614"/>
    <cellStyle name="Normal 13 14" xfId="615"/>
    <cellStyle name="Normal 13 15" xfId="616"/>
    <cellStyle name="Normal 13 16" xfId="617"/>
    <cellStyle name="Normal 13 17" xfId="618"/>
    <cellStyle name="Normal 13 18" xfId="619"/>
    <cellStyle name="Normal 13 19" xfId="620"/>
    <cellStyle name="Normal 13 2" xfId="621"/>
    <cellStyle name="Normal 13 20" xfId="622"/>
    <cellStyle name="Normal 13 21" xfId="623"/>
    <cellStyle name="Normal 13 22" xfId="624"/>
    <cellStyle name="Normal 13 23" xfId="625"/>
    <cellStyle name="Normal 13 24" xfId="626"/>
    <cellStyle name="Normal 13 25" xfId="627"/>
    <cellStyle name="Normal 13 26" xfId="628"/>
    <cellStyle name="Normal 13 27" xfId="629"/>
    <cellStyle name="Normal 13 28" xfId="630"/>
    <cellStyle name="Normal 13 29" xfId="631"/>
    <cellStyle name="Normal 13 3" xfId="632"/>
    <cellStyle name="Normal 13 30" xfId="633"/>
    <cellStyle name="Normal 13 31" xfId="634"/>
    <cellStyle name="Normal 13 32" xfId="635"/>
    <cellStyle name="Normal 13 33" xfId="636"/>
    <cellStyle name="Normal 13 34" xfId="637"/>
    <cellStyle name="Normal 13 35" xfId="638"/>
    <cellStyle name="Normal 13 36" xfId="639"/>
    <cellStyle name="Normal 13 37" xfId="640"/>
    <cellStyle name="Normal 13 38" xfId="641"/>
    <cellStyle name="Normal 13 39" xfId="642"/>
    <cellStyle name="Normal 13 4" xfId="643"/>
    <cellStyle name="Normal 13 40" xfId="644"/>
    <cellStyle name="Normal 13 41" xfId="645"/>
    <cellStyle name="Normal 13 42" xfId="646"/>
    <cellStyle name="Normal 13 43" xfId="647"/>
    <cellStyle name="Normal 13 44" xfId="648"/>
    <cellStyle name="Normal 13 45" xfId="649"/>
    <cellStyle name="Normal 13 46" xfId="650"/>
    <cellStyle name="Normal 13 47" xfId="651"/>
    <cellStyle name="Normal 13 48" xfId="652"/>
    <cellStyle name="Normal 13 49" xfId="653"/>
    <cellStyle name="Normal 13 5" xfId="654"/>
    <cellStyle name="Normal 13 50" xfId="655"/>
    <cellStyle name="Normal 13 51" xfId="656"/>
    <cellStyle name="Normal 13 52" xfId="657"/>
    <cellStyle name="Normal 13 53" xfId="658"/>
    <cellStyle name="Normal 13 54" xfId="659"/>
    <cellStyle name="Normal 13 55" xfId="660"/>
    <cellStyle name="Normal 13 56" xfId="661"/>
    <cellStyle name="Normal 13 57" xfId="662"/>
    <cellStyle name="Normal 13 58" xfId="663"/>
    <cellStyle name="Normal 13 59" xfId="664"/>
    <cellStyle name="Normal 13 6" xfId="665"/>
    <cellStyle name="Normal 13 60" xfId="666"/>
    <cellStyle name="Normal 13 61" xfId="667"/>
    <cellStyle name="Normal 13 62" xfId="668"/>
    <cellStyle name="Normal 13 63" xfId="669"/>
    <cellStyle name="Normal 13 64" xfId="670"/>
    <cellStyle name="Normal 13 65" xfId="671"/>
    <cellStyle name="Normal 13 66" xfId="672"/>
    <cellStyle name="Normal 13 67" xfId="673"/>
    <cellStyle name="Normal 13 7" xfId="674"/>
    <cellStyle name="Normal 13 8" xfId="675"/>
    <cellStyle name="Normal 13 9" xfId="676"/>
    <cellStyle name="Normal 14" xfId="677"/>
    <cellStyle name="Normal 14 10" xfId="678"/>
    <cellStyle name="Normal 14 11" xfId="679"/>
    <cellStyle name="Normal 14 12" xfId="680"/>
    <cellStyle name="Normal 14 13" xfId="681"/>
    <cellStyle name="Normal 14 14" xfId="682"/>
    <cellStyle name="Normal 14 15" xfId="683"/>
    <cellStyle name="Normal 14 16" xfId="684"/>
    <cellStyle name="Normal 14 17" xfId="685"/>
    <cellStyle name="Normal 14 18" xfId="686"/>
    <cellStyle name="Normal 14 19" xfId="687"/>
    <cellStyle name="Normal 14 2" xfId="688"/>
    <cellStyle name="Normal 14 20" xfId="689"/>
    <cellStyle name="Normal 14 21" xfId="690"/>
    <cellStyle name="Normal 14 22" xfId="691"/>
    <cellStyle name="Normal 14 23" xfId="692"/>
    <cellStyle name="Normal 14 24" xfId="693"/>
    <cellStyle name="Normal 14 25" xfId="694"/>
    <cellStyle name="Normal 14 26" xfId="695"/>
    <cellStyle name="Normal 14 27" xfId="696"/>
    <cellStyle name="Normal 14 28" xfId="697"/>
    <cellStyle name="Normal 14 29" xfId="698"/>
    <cellStyle name="Normal 14 3" xfId="699"/>
    <cellStyle name="Normal 14 30" xfId="700"/>
    <cellStyle name="Normal 14 31" xfId="701"/>
    <cellStyle name="Normal 14 32" xfId="702"/>
    <cellStyle name="Normal 14 33" xfId="703"/>
    <cellStyle name="Normal 14 34" xfId="704"/>
    <cellStyle name="Normal 14 35" xfId="705"/>
    <cellStyle name="Normal 14 36" xfId="706"/>
    <cellStyle name="Normal 14 37" xfId="707"/>
    <cellStyle name="Normal 14 38" xfId="708"/>
    <cellStyle name="Normal 14 39" xfId="709"/>
    <cellStyle name="Normal 14 4" xfId="710"/>
    <cellStyle name="Normal 14 40" xfId="711"/>
    <cellStyle name="Normal 14 41" xfId="712"/>
    <cellStyle name="Normal 14 42" xfId="713"/>
    <cellStyle name="Normal 14 43" xfId="714"/>
    <cellStyle name="Normal 14 44" xfId="715"/>
    <cellStyle name="Normal 14 45" xfId="716"/>
    <cellStyle name="Normal 14 46" xfId="717"/>
    <cellStyle name="Normal 14 47" xfId="718"/>
    <cellStyle name="Normal 14 48" xfId="719"/>
    <cellStyle name="Normal 14 49" xfId="720"/>
    <cellStyle name="Normal 14 5" xfId="721"/>
    <cellStyle name="Normal 14 50" xfId="722"/>
    <cellStyle name="Normal 14 51" xfId="723"/>
    <cellStyle name="Normal 14 52" xfId="724"/>
    <cellStyle name="Normal 14 53" xfId="725"/>
    <cellStyle name="Normal 14 54" xfId="726"/>
    <cellStyle name="Normal 14 55" xfId="727"/>
    <cellStyle name="Normal 14 56" xfId="728"/>
    <cellStyle name="Normal 14 57" xfId="729"/>
    <cellStyle name="Normal 14 58" xfId="730"/>
    <cellStyle name="Normal 14 59" xfId="731"/>
    <cellStyle name="Normal 14 6" xfId="732"/>
    <cellStyle name="Normal 14 60" xfId="733"/>
    <cellStyle name="Normal 14 61" xfId="734"/>
    <cellStyle name="Normal 14 62" xfId="735"/>
    <cellStyle name="Normal 14 63" xfId="736"/>
    <cellStyle name="Normal 14 64" xfId="737"/>
    <cellStyle name="Normal 14 65" xfId="738"/>
    <cellStyle name="Normal 14 66" xfId="739"/>
    <cellStyle name="Normal 14 67" xfId="740"/>
    <cellStyle name="Normal 14 7" xfId="741"/>
    <cellStyle name="Normal 14 8" xfId="742"/>
    <cellStyle name="Normal 14 9" xfId="743"/>
    <cellStyle name="Normal 15" xfId="744"/>
    <cellStyle name="Normal 15 10" xfId="745"/>
    <cellStyle name="Normal 15 11" xfId="746"/>
    <cellStyle name="Normal 15 12" xfId="747"/>
    <cellStyle name="Normal 15 13" xfId="748"/>
    <cellStyle name="Normal 15 14" xfId="749"/>
    <cellStyle name="Normal 15 15" xfId="750"/>
    <cellStyle name="Normal 15 16" xfId="751"/>
    <cellStyle name="Normal 15 17" xfId="752"/>
    <cellStyle name="Normal 15 18" xfId="753"/>
    <cellStyle name="Normal 15 19" xfId="754"/>
    <cellStyle name="Normal 15 2" xfId="755"/>
    <cellStyle name="Normal 15 20" xfId="756"/>
    <cellStyle name="Normal 15 21" xfId="757"/>
    <cellStyle name="Normal 15 22" xfId="758"/>
    <cellStyle name="Normal 15 23" xfId="759"/>
    <cellStyle name="Normal 15 24" xfId="760"/>
    <cellStyle name="Normal 15 25" xfId="761"/>
    <cellStyle name="Normal 15 26" xfId="762"/>
    <cellStyle name="Normal 15 27" xfId="763"/>
    <cellStyle name="Normal 15 28" xfId="764"/>
    <cellStyle name="Normal 15 29" xfId="765"/>
    <cellStyle name="Normal 15 3" xfId="766"/>
    <cellStyle name="Normal 15 30" xfId="767"/>
    <cellStyle name="Normal 15 31" xfId="768"/>
    <cellStyle name="Normal 15 32" xfId="769"/>
    <cellStyle name="Normal 15 33" xfId="770"/>
    <cellStyle name="Normal 15 34" xfId="771"/>
    <cellStyle name="Normal 15 35" xfId="772"/>
    <cellStyle name="Normal 15 36" xfId="773"/>
    <cellStyle name="Normal 15 37" xfId="774"/>
    <cellStyle name="Normal 15 38" xfId="775"/>
    <cellStyle name="Normal 15 39" xfId="776"/>
    <cellStyle name="Normal 15 4" xfId="777"/>
    <cellStyle name="Normal 15 40" xfId="778"/>
    <cellStyle name="Normal 15 41" xfId="779"/>
    <cellStyle name="Normal 15 42" xfId="780"/>
    <cellStyle name="Normal 15 43" xfId="781"/>
    <cellStyle name="Normal 15 44" xfId="782"/>
    <cellStyle name="Normal 15 45" xfId="783"/>
    <cellStyle name="Normal 15 46" xfId="784"/>
    <cellStyle name="Normal 15 47" xfId="785"/>
    <cellStyle name="Normal 15 48" xfId="786"/>
    <cellStyle name="Normal 15 49" xfId="787"/>
    <cellStyle name="Normal 15 5" xfId="788"/>
    <cellStyle name="Normal 15 50" xfId="789"/>
    <cellStyle name="Normal 15 51" xfId="790"/>
    <cellStyle name="Normal 15 52" xfId="791"/>
    <cellStyle name="Normal 15 53" xfId="792"/>
    <cellStyle name="Normal 15 54" xfId="793"/>
    <cellStyle name="Normal 15 55" xfId="794"/>
    <cellStyle name="Normal 15 56" xfId="795"/>
    <cellStyle name="Normal 15 57" xfId="796"/>
    <cellStyle name="Normal 15 58" xfId="797"/>
    <cellStyle name="Normal 15 59" xfId="798"/>
    <cellStyle name="Normal 15 6" xfId="799"/>
    <cellStyle name="Normal 15 60" xfId="800"/>
    <cellStyle name="Normal 15 61" xfId="801"/>
    <cellStyle name="Normal 15 62" xfId="802"/>
    <cellStyle name="Normal 15 63" xfId="803"/>
    <cellStyle name="Normal 15 64" xfId="804"/>
    <cellStyle name="Normal 15 65" xfId="805"/>
    <cellStyle name="Normal 15 66" xfId="806"/>
    <cellStyle name="Normal 15 67" xfId="807"/>
    <cellStyle name="Normal 15 7" xfId="808"/>
    <cellStyle name="Normal 15 8" xfId="809"/>
    <cellStyle name="Normal 15 9" xfId="810"/>
    <cellStyle name="Normal 16" xfId="811"/>
    <cellStyle name="Normal 16 10" xfId="812"/>
    <cellStyle name="Normal 16 11" xfId="813"/>
    <cellStyle name="Normal 16 12" xfId="814"/>
    <cellStyle name="Normal 16 13" xfId="815"/>
    <cellStyle name="Normal 16 14" xfId="816"/>
    <cellStyle name="Normal 16 15" xfId="817"/>
    <cellStyle name="Normal 16 16" xfId="818"/>
    <cellStyle name="Normal 16 17" xfId="819"/>
    <cellStyle name="Normal 16 18" xfId="820"/>
    <cellStyle name="Normal 16 19" xfId="821"/>
    <cellStyle name="Normal 16 2" xfId="822"/>
    <cellStyle name="Normal 16 20" xfId="823"/>
    <cellStyle name="Normal 16 21" xfId="824"/>
    <cellStyle name="Normal 16 22" xfId="825"/>
    <cellStyle name="Normal 16 23" xfId="826"/>
    <cellStyle name="Normal 16 24" xfId="827"/>
    <cellStyle name="Normal 16 25" xfId="828"/>
    <cellStyle name="Normal 16 26" xfId="829"/>
    <cellStyle name="Normal 16 27" xfId="830"/>
    <cellStyle name="Normal 16 28" xfId="831"/>
    <cellStyle name="Normal 16 29" xfId="832"/>
    <cellStyle name="Normal 16 3" xfId="833"/>
    <cellStyle name="Normal 16 30" xfId="834"/>
    <cellStyle name="Normal 16 31" xfId="835"/>
    <cellStyle name="Normal 16 32" xfId="836"/>
    <cellStyle name="Normal 16 33" xfId="837"/>
    <cellStyle name="Normal 16 34" xfId="838"/>
    <cellStyle name="Normal 16 35" xfId="839"/>
    <cellStyle name="Normal 16 36" xfId="840"/>
    <cellStyle name="Normal 16 37" xfId="841"/>
    <cellStyle name="Normal 16 38" xfId="842"/>
    <cellStyle name="Normal 16 39" xfId="843"/>
    <cellStyle name="Normal 16 4" xfId="844"/>
    <cellStyle name="Normal 16 40" xfId="845"/>
    <cellStyle name="Normal 16 41" xfId="846"/>
    <cellStyle name="Normal 16 42" xfId="847"/>
    <cellStyle name="Normal 16 43" xfId="848"/>
    <cellStyle name="Normal 16 44" xfId="849"/>
    <cellStyle name="Normal 16 45" xfId="850"/>
    <cellStyle name="Normal 16 46" xfId="851"/>
    <cellStyle name="Normal 16 47" xfId="852"/>
    <cellStyle name="Normal 16 48" xfId="853"/>
    <cellStyle name="Normal 16 49" xfId="854"/>
    <cellStyle name="Normal 16 5" xfId="855"/>
    <cellStyle name="Normal 16 50" xfId="856"/>
    <cellStyle name="Normal 16 51" xfId="857"/>
    <cellStyle name="Normal 16 52" xfId="858"/>
    <cellStyle name="Normal 16 53" xfId="859"/>
    <cellStyle name="Normal 16 54" xfId="860"/>
    <cellStyle name="Normal 16 55" xfId="861"/>
    <cellStyle name="Normal 16 56" xfId="862"/>
    <cellStyle name="Normal 16 57" xfId="863"/>
    <cellStyle name="Normal 16 58" xfId="864"/>
    <cellStyle name="Normal 16 59" xfId="865"/>
    <cellStyle name="Normal 16 6" xfId="866"/>
    <cellStyle name="Normal 16 60" xfId="867"/>
    <cellStyle name="Normal 16 61" xfId="868"/>
    <cellStyle name="Normal 16 62" xfId="869"/>
    <cellStyle name="Normal 16 63" xfId="870"/>
    <cellStyle name="Normal 16 64" xfId="871"/>
    <cellStyle name="Normal 16 65" xfId="872"/>
    <cellStyle name="Normal 16 66" xfId="873"/>
    <cellStyle name="Normal 16 67" xfId="874"/>
    <cellStyle name="Normal 16 7" xfId="875"/>
    <cellStyle name="Normal 16 8" xfId="876"/>
    <cellStyle name="Normal 16 9" xfId="877"/>
    <cellStyle name="Normal 17" xfId="878"/>
    <cellStyle name="Normal 17 10" xfId="879"/>
    <cellStyle name="Normal 17 11" xfId="880"/>
    <cellStyle name="Normal 17 12" xfId="881"/>
    <cellStyle name="Normal 17 13" xfId="882"/>
    <cellStyle name="Normal 17 14" xfId="883"/>
    <cellStyle name="Normal 17 15" xfId="884"/>
    <cellStyle name="Normal 17 16" xfId="885"/>
    <cellStyle name="Normal 17 17" xfId="886"/>
    <cellStyle name="Normal 17 18" xfId="887"/>
    <cellStyle name="Normal 17 19" xfId="888"/>
    <cellStyle name="Normal 17 2" xfId="889"/>
    <cellStyle name="Normal 17 20" xfId="890"/>
    <cellStyle name="Normal 17 21" xfId="891"/>
    <cellStyle name="Normal 17 22" xfId="892"/>
    <cellStyle name="Normal 17 23" xfId="893"/>
    <cellStyle name="Normal 17 24" xfId="894"/>
    <cellStyle name="Normal 17 25" xfId="895"/>
    <cellStyle name="Normal 17 26" xfId="896"/>
    <cellStyle name="Normal 17 27" xfId="897"/>
    <cellStyle name="Normal 17 28" xfId="898"/>
    <cellStyle name="Normal 17 29" xfId="899"/>
    <cellStyle name="Normal 17 3" xfId="900"/>
    <cellStyle name="Normal 17 30" xfId="901"/>
    <cellStyle name="Normal 17 31" xfId="902"/>
    <cellStyle name="Normal 17 32" xfId="903"/>
    <cellStyle name="Normal 17 33" xfId="904"/>
    <cellStyle name="Normal 17 34" xfId="905"/>
    <cellStyle name="Normal 17 35" xfId="906"/>
    <cellStyle name="Normal 17 36" xfId="907"/>
    <cellStyle name="Normal 17 37" xfId="908"/>
    <cellStyle name="Normal 17 38" xfId="909"/>
    <cellStyle name="Normal 17 39" xfId="910"/>
    <cellStyle name="Normal 17 4" xfId="911"/>
    <cellStyle name="Normal 17 40" xfId="912"/>
    <cellStyle name="Normal 17 41" xfId="913"/>
    <cellStyle name="Normal 17 42" xfId="914"/>
    <cellStyle name="Normal 17 43" xfId="915"/>
    <cellStyle name="Normal 17 44" xfId="916"/>
    <cellStyle name="Normal 17 45" xfId="917"/>
    <cellStyle name="Normal 17 46" xfId="918"/>
    <cellStyle name="Normal 17 47" xfId="919"/>
    <cellStyle name="Normal 17 48" xfId="920"/>
    <cellStyle name="Normal 17 49" xfId="921"/>
    <cellStyle name="Normal 17 5" xfId="922"/>
    <cellStyle name="Normal 17 50" xfId="923"/>
    <cellStyle name="Normal 17 51" xfId="924"/>
    <cellStyle name="Normal 17 52" xfId="925"/>
    <cellStyle name="Normal 17 53" xfId="926"/>
    <cellStyle name="Normal 17 54" xfId="927"/>
    <cellStyle name="Normal 17 55" xfId="928"/>
    <cellStyle name="Normal 17 56" xfId="929"/>
    <cellStyle name="Normal 17 57" xfId="930"/>
    <cellStyle name="Normal 17 58" xfId="931"/>
    <cellStyle name="Normal 17 59" xfId="932"/>
    <cellStyle name="Normal 17 6" xfId="933"/>
    <cellStyle name="Normal 17 60" xfId="934"/>
    <cellStyle name="Normal 17 61" xfId="935"/>
    <cellStyle name="Normal 17 62" xfId="936"/>
    <cellStyle name="Normal 17 63" xfId="937"/>
    <cellStyle name="Normal 17 64" xfId="938"/>
    <cellStyle name="Normal 17 65" xfId="939"/>
    <cellStyle name="Normal 17 66" xfId="940"/>
    <cellStyle name="Normal 17 67" xfId="941"/>
    <cellStyle name="Normal 17 7" xfId="942"/>
    <cellStyle name="Normal 17 8" xfId="943"/>
    <cellStyle name="Normal 17 9" xfId="944"/>
    <cellStyle name="Normal 18" xfId="945"/>
    <cellStyle name="Normal 18 10" xfId="946"/>
    <cellStyle name="Normal 18 11" xfId="947"/>
    <cellStyle name="Normal 18 12" xfId="948"/>
    <cellStyle name="Normal 18 13" xfId="949"/>
    <cellStyle name="Normal 18 14" xfId="950"/>
    <cellStyle name="Normal 18 15" xfId="951"/>
    <cellStyle name="Normal 18 16" xfId="952"/>
    <cellStyle name="Normal 18 17" xfId="953"/>
    <cellStyle name="Normal 18 18" xfId="954"/>
    <cellStyle name="Normal 18 19" xfId="955"/>
    <cellStyle name="Normal 18 2" xfId="956"/>
    <cellStyle name="Normal 18 20" xfId="957"/>
    <cellStyle name="Normal 18 21" xfId="958"/>
    <cellStyle name="Normal 18 22" xfId="959"/>
    <cellStyle name="Normal 18 23" xfId="960"/>
    <cellStyle name="Normal 18 24" xfId="961"/>
    <cellStyle name="Normal 18 25" xfId="962"/>
    <cellStyle name="Normal 18 26" xfId="963"/>
    <cellStyle name="Normal 18 27" xfId="964"/>
    <cellStyle name="Normal 18 28" xfId="965"/>
    <cellStyle name="Normal 18 29" xfId="966"/>
    <cellStyle name="Normal 18 3" xfId="967"/>
    <cellStyle name="Normal 18 30" xfId="968"/>
    <cellStyle name="Normal 18 31" xfId="969"/>
    <cellStyle name="Normal 18 32" xfId="970"/>
    <cellStyle name="Normal 18 33" xfId="971"/>
    <cellStyle name="Normal 18 34" xfId="972"/>
    <cellStyle name="Normal 18 35" xfId="973"/>
    <cellStyle name="Normal 18 36" xfId="974"/>
    <cellStyle name="Normal 18 37" xfId="975"/>
    <cellStyle name="Normal 18 38" xfId="976"/>
    <cellStyle name="Normal 18 39" xfId="977"/>
    <cellStyle name="Normal 18 4" xfId="978"/>
    <cellStyle name="Normal 18 40" xfId="979"/>
    <cellStyle name="Normal 18 41" xfId="980"/>
    <cellStyle name="Normal 18 42" xfId="981"/>
    <cellStyle name="Normal 18 43" xfId="982"/>
    <cellStyle name="Normal 18 44" xfId="983"/>
    <cellStyle name="Normal 18 45" xfId="984"/>
    <cellStyle name="Normal 18 46" xfId="985"/>
    <cellStyle name="Normal 18 47" xfId="986"/>
    <cellStyle name="Normal 18 48" xfId="987"/>
    <cellStyle name="Normal 18 49" xfId="988"/>
    <cellStyle name="Normal 18 5" xfId="989"/>
    <cellStyle name="Normal 18 50" xfId="990"/>
    <cellStyle name="Normal 18 51" xfId="991"/>
    <cellStyle name="Normal 18 52" xfId="992"/>
    <cellStyle name="Normal 18 53" xfId="993"/>
    <cellStyle name="Normal 18 54" xfId="994"/>
    <cellStyle name="Normal 18 55" xfId="995"/>
    <cellStyle name="Normal 18 56" xfId="996"/>
    <cellStyle name="Normal 18 57" xfId="997"/>
    <cellStyle name="Normal 18 58" xfId="998"/>
    <cellStyle name="Normal 18 59" xfId="999"/>
    <cellStyle name="Normal 18 6" xfId="1000"/>
    <cellStyle name="Normal 18 60" xfId="1001"/>
    <cellStyle name="Normal 18 61" xfId="1002"/>
    <cellStyle name="Normal 18 62" xfId="1003"/>
    <cellStyle name="Normal 18 63" xfId="1004"/>
    <cellStyle name="Normal 18 64" xfId="1005"/>
    <cellStyle name="Normal 18 65" xfId="1006"/>
    <cellStyle name="Normal 18 66" xfId="1007"/>
    <cellStyle name="Normal 18 67" xfId="1008"/>
    <cellStyle name="Normal 18 7" xfId="1009"/>
    <cellStyle name="Normal 18 8" xfId="1010"/>
    <cellStyle name="Normal 18 9" xfId="1011"/>
    <cellStyle name="Normal 19" xfId="1012"/>
    <cellStyle name="Normal 19 10" xfId="1013"/>
    <cellStyle name="Normal 19 11" xfId="1014"/>
    <cellStyle name="Normal 19 12" xfId="1015"/>
    <cellStyle name="Normal 19 13" xfId="1016"/>
    <cellStyle name="Normal 19 14" xfId="1017"/>
    <cellStyle name="Normal 19 15" xfId="1018"/>
    <cellStyle name="Normal 19 16" xfId="1019"/>
    <cellStyle name="Normal 19 17" xfId="1020"/>
    <cellStyle name="Normal 19 18" xfId="1021"/>
    <cellStyle name="Normal 19 19" xfId="1022"/>
    <cellStyle name="Normal 19 2" xfId="1023"/>
    <cellStyle name="Normal 19 20" xfId="1024"/>
    <cellStyle name="Normal 19 21" xfId="1025"/>
    <cellStyle name="Normal 19 22" xfId="1026"/>
    <cellStyle name="Normal 19 23" xfId="1027"/>
    <cellStyle name="Normal 19 24" xfId="1028"/>
    <cellStyle name="Normal 19 25" xfId="1029"/>
    <cellStyle name="Normal 19 26" xfId="1030"/>
    <cellStyle name="Normal 19 27" xfId="1031"/>
    <cellStyle name="Normal 19 28" xfId="1032"/>
    <cellStyle name="Normal 19 29" xfId="1033"/>
    <cellStyle name="Normal 19 3" xfId="1034"/>
    <cellStyle name="Normal 19 30" xfId="1035"/>
    <cellStyle name="Normal 19 31" xfId="1036"/>
    <cellStyle name="Normal 19 32" xfId="1037"/>
    <cellStyle name="Normal 19 33" xfId="1038"/>
    <cellStyle name="Normal 19 34" xfId="1039"/>
    <cellStyle name="Normal 19 35" xfId="1040"/>
    <cellStyle name="Normal 19 36" xfId="1041"/>
    <cellStyle name="Normal 19 37" xfId="1042"/>
    <cellStyle name="Normal 19 38" xfId="1043"/>
    <cellStyle name="Normal 19 39" xfId="1044"/>
    <cellStyle name="Normal 19 4" xfId="1045"/>
    <cellStyle name="Normal 19 40" xfId="1046"/>
    <cellStyle name="Normal 19 41" xfId="1047"/>
    <cellStyle name="Normal 19 42" xfId="1048"/>
    <cellStyle name="Normal 19 43" xfId="1049"/>
    <cellStyle name="Normal 19 44" xfId="1050"/>
    <cellStyle name="Normal 19 45" xfId="1051"/>
    <cellStyle name="Normal 19 46" xfId="1052"/>
    <cellStyle name="Normal 19 47" xfId="1053"/>
    <cellStyle name="Normal 19 48" xfId="1054"/>
    <cellStyle name="Normal 19 49" xfId="1055"/>
    <cellStyle name="Normal 19 5" xfId="1056"/>
    <cellStyle name="Normal 19 50" xfId="1057"/>
    <cellStyle name="Normal 19 51" xfId="1058"/>
    <cellStyle name="Normal 19 52" xfId="1059"/>
    <cellStyle name="Normal 19 53" xfId="1060"/>
    <cellStyle name="Normal 19 54" xfId="1061"/>
    <cellStyle name="Normal 19 55" xfId="1062"/>
    <cellStyle name="Normal 19 56" xfId="1063"/>
    <cellStyle name="Normal 19 57" xfId="1064"/>
    <cellStyle name="Normal 19 58" xfId="1065"/>
    <cellStyle name="Normal 19 59" xfId="1066"/>
    <cellStyle name="Normal 19 6" xfId="1067"/>
    <cellStyle name="Normal 19 60" xfId="1068"/>
    <cellStyle name="Normal 19 61" xfId="1069"/>
    <cellStyle name="Normal 19 62" xfId="1070"/>
    <cellStyle name="Normal 19 63" xfId="1071"/>
    <cellStyle name="Normal 19 64" xfId="1072"/>
    <cellStyle name="Normal 19 65" xfId="1073"/>
    <cellStyle name="Normal 19 66" xfId="1074"/>
    <cellStyle name="Normal 19 67" xfId="1075"/>
    <cellStyle name="Normal 19 7" xfId="1076"/>
    <cellStyle name="Normal 19 8" xfId="1077"/>
    <cellStyle name="Normal 19 9" xfId="1078"/>
    <cellStyle name="Normal 2" xfId="3"/>
    <cellStyle name="Normal 2 10" xfId="1079"/>
    <cellStyle name="Normal 2 11" xfId="1080"/>
    <cellStyle name="Normal 2 12" xfId="1081"/>
    <cellStyle name="Normal 2 13" xfId="1082"/>
    <cellStyle name="Normal 2 14" xfId="1083"/>
    <cellStyle name="Normal 2 15" xfId="1084"/>
    <cellStyle name="Normal 2 16" xfId="1085"/>
    <cellStyle name="Normal 2 17" xfId="1086"/>
    <cellStyle name="Normal 2 18" xfId="1087"/>
    <cellStyle name="Normal 2 19" xfId="1088"/>
    <cellStyle name="Normal 2 2" xfId="1089"/>
    <cellStyle name="Normal 2 20" xfId="1090"/>
    <cellStyle name="Normal 2 21" xfId="1091"/>
    <cellStyle name="Normal 2 22" xfId="1092"/>
    <cellStyle name="Normal 2 23" xfId="1093"/>
    <cellStyle name="Normal 2 24" xfId="1094"/>
    <cellStyle name="Normal 2 25" xfId="1095"/>
    <cellStyle name="Normal 2 26" xfId="1096"/>
    <cellStyle name="Normal 2 27" xfId="1097"/>
    <cellStyle name="Normal 2 28" xfId="1098"/>
    <cellStyle name="Normal 2 29" xfId="1099"/>
    <cellStyle name="Normal 2 3" xfId="1100"/>
    <cellStyle name="Normal 2 30" xfId="1101"/>
    <cellStyle name="Normal 2 31" xfId="1102"/>
    <cellStyle name="Normal 2 32" xfId="1103"/>
    <cellStyle name="Normal 2 33" xfId="1104"/>
    <cellStyle name="Normal 2 34" xfId="1105"/>
    <cellStyle name="Normal 2 35" xfId="1106"/>
    <cellStyle name="Normal 2 36" xfId="1107"/>
    <cellStyle name="Normal 2 37" xfId="1108"/>
    <cellStyle name="Normal 2 38" xfId="1109"/>
    <cellStyle name="Normal 2 39" xfId="1110"/>
    <cellStyle name="Normal 2 4" xfId="1111"/>
    <cellStyle name="Normal 2 40" xfId="1112"/>
    <cellStyle name="Normal 2 41" xfId="1113"/>
    <cellStyle name="Normal 2 42" xfId="1114"/>
    <cellStyle name="Normal 2 43" xfId="1115"/>
    <cellStyle name="Normal 2 44" xfId="1116"/>
    <cellStyle name="Normal 2 45" xfId="1117"/>
    <cellStyle name="Normal 2 46" xfId="1118"/>
    <cellStyle name="Normal 2 47" xfId="1119"/>
    <cellStyle name="Normal 2 48" xfId="1120"/>
    <cellStyle name="Normal 2 49" xfId="1121"/>
    <cellStyle name="Normal 2 5" xfId="1122"/>
    <cellStyle name="Normal 2 50" xfId="1123"/>
    <cellStyle name="Normal 2 51" xfId="1124"/>
    <cellStyle name="Normal 2 52" xfId="1125"/>
    <cellStyle name="Normal 2 53" xfId="1126"/>
    <cellStyle name="Normal 2 54" xfId="1127"/>
    <cellStyle name="Normal 2 55" xfId="1128"/>
    <cellStyle name="Normal 2 56" xfId="1129"/>
    <cellStyle name="Normal 2 57" xfId="1130"/>
    <cellStyle name="Normal 2 6" xfId="1131"/>
    <cellStyle name="Normal 2 7" xfId="1132"/>
    <cellStyle name="Normal 2 8" xfId="1133"/>
    <cellStyle name="Normal 2 9" xfId="1134"/>
    <cellStyle name="Normal 20" xfId="1135"/>
    <cellStyle name="Normal 20 10" xfId="1136"/>
    <cellStyle name="Normal 20 11" xfId="1137"/>
    <cellStyle name="Normal 20 12" xfId="1138"/>
    <cellStyle name="Normal 20 13" xfId="1139"/>
    <cellStyle name="Normal 20 14" xfId="1140"/>
    <cellStyle name="Normal 20 15" xfId="1141"/>
    <cellStyle name="Normal 20 16" xfId="1142"/>
    <cellStyle name="Normal 20 17" xfId="1143"/>
    <cellStyle name="Normal 20 18" xfId="1144"/>
    <cellStyle name="Normal 20 19" xfId="1145"/>
    <cellStyle name="Normal 20 2" xfId="1146"/>
    <cellStyle name="Normal 20 20" xfId="1147"/>
    <cellStyle name="Normal 20 21" xfId="1148"/>
    <cellStyle name="Normal 20 22" xfId="1149"/>
    <cellStyle name="Normal 20 23" xfId="1150"/>
    <cellStyle name="Normal 20 24" xfId="1151"/>
    <cellStyle name="Normal 20 25" xfId="1152"/>
    <cellStyle name="Normal 20 26" xfId="1153"/>
    <cellStyle name="Normal 20 27" xfId="1154"/>
    <cellStyle name="Normal 20 28" xfId="1155"/>
    <cellStyle name="Normal 20 29" xfId="1156"/>
    <cellStyle name="Normal 20 3" xfId="1157"/>
    <cellStyle name="Normal 20 30" xfId="1158"/>
    <cellStyle name="Normal 20 31" xfId="1159"/>
    <cellStyle name="Normal 20 32" xfId="1160"/>
    <cellStyle name="Normal 20 33" xfId="1161"/>
    <cellStyle name="Normal 20 34" xfId="1162"/>
    <cellStyle name="Normal 20 35" xfId="1163"/>
    <cellStyle name="Normal 20 36" xfId="1164"/>
    <cellStyle name="Normal 20 37" xfId="1165"/>
    <cellStyle name="Normal 20 38" xfId="1166"/>
    <cellStyle name="Normal 20 39" xfId="1167"/>
    <cellStyle name="Normal 20 4" xfId="1168"/>
    <cellStyle name="Normal 20 40" xfId="1169"/>
    <cellStyle name="Normal 20 41" xfId="1170"/>
    <cellStyle name="Normal 20 42" xfId="1171"/>
    <cellStyle name="Normal 20 43" xfId="1172"/>
    <cellStyle name="Normal 20 44" xfId="1173"/>
    <cellStyle name="Normal 20 45" xfId="1174"/>
    <cellStyle name="Normal 20 46" xfId="1175"/>
    <cellStyle name="Normal 20 47" xfId="1176"/>
    <cellStyle name="Normal 20 48" xfId="1177"/>
    <cellStyle name="Normal 20 49" xfId="1178"/>
    <cellStyle name="Normal 20 5" xfId="1179"/>
    <cellStyle name="Normal 20 50" xfId="1180"/>
    <cellStyle name="Normal 20 51" xfId="1181"/>
    <cellStyle name="Normal 20 52" xfId="1182"/>
    <cellStyle name="Normal 20 53" xfId="1183"/>
    <cellStyle name="Normal 20 54" xfId="1184"/>
    <cellStyle name="Normal 20 55" xfId="1185"/>
    <cellStyle name="Normal 20 56" xfId="1186"/>
    <cellStyle name="Normal 20 57" xfId="1187"/>
    <cellStyle name="Normal 20 58" xfId="1188"/>
    <cellStyle name="Normal 20 59" xfId="1189"/>
    <cellStyle name="Normal 20 6" xfId="1190"/>
    <cellStyle name="Normal 20 60" xfId="1191"/>
    <cellStyle name="Normal 20 61" xfId="1192"/>
    <cellStyle name="Normal 20 62" xfId="1193"/>
    <cellStyle name="Normal 20 63" xfId="1194"/>
    <cellStyle name="Normal 20 64" xfId="1195"/>
    <cellStyle name="Normal 20 65" xfId="1196"/>
    <cellStyle name="Normal 20 66" xfId="1197"/>
    <cellStyle name="Normal 20 67" xfId="1198"/>
    <cellStyle name="Normal 20 7" xfId="1199"/>
    <cellStyle name="Normal 20 8" xfId="1200"/>
    <cellStyle name="Normal 20 9" xfId="1201"/>
    <cellStyle name="Normal 21" xfId="1202"/>
    <cellStyle name="Normal 21 10" xfId="1203"/>
    <cellStyle name="Normal 21 11" xfId="1204"/>
    <cellStyle name="Normal 21 12" xfId="1205"/>
    <cellStyle name="Normal 21 13" xfId="1206"/>
    <cellStyle name="Normal 21 14" xfId="1207"/>
    <cellStyle name="Normal 21 15" xfId="1208"/>
    <cellStyle name="Normal 21 16" xfId="1209"/>
    <cellStyle name="Normal 21 17" xfId="1210"/>
    <cellStyle name="Normal 21 18" xfId="1211"/>
    <cellStyle name="Normal 21 19" xfId="1212"/>
    <cellStyle name="Normal 21 2" xfId="1213"/>
    <cellStyle name="Normal 21 20" xfId="1214"/>
    <cellStyle name="Normal 21 21" xfId="1215"/>
    <cellStyle name="Normal 21 22" xfId="1216"/>
    <cellStyle name="Normal 21 23" xfId="1217"/>
    <cellStyle name="Normal 21 24" xfId="1218"/>
    <cellStyle name="Normal 21 25" xfId="1219"/>
    <cellStyle name="Normal 21 26" xfId="1220"/>
    <cellStyle name="Normal 21 27" xfId="1221"/>
    <cellStyle name="Normal 21 28" xfId="1222"/>
    <cellStyle name="Normal 21 29" xfId="1223"/>
    <cellStyle name="Normal 21 3" xfId="1224"/>
    <cellStyle name="Normal 21 30" xfId="1225"/>
    <cellStyle name="Normal 21 31" xfId="1226"/>
    <cellStyle name="Normal 21 32" xfId="1227"/>
    <cellStyle name="Normal 21 33" xfId="1228"/>
    <cellStyle name="Normal 21 34" xfId="1229"/>
    <cellStyle name="Normal 21 35" xfId="1230"/>
    <cellStyle name="Normal 21 36" xfId="1231"/>
    <cellStyle name="Normal 21 37" xfId="1232"/>
    <cellStyle name="Normal 21 38" xfId="1233"/>
    <cellStyle name="Normal 21 39" xfId="1234"/>
    <cellStyle name="Normal 21 4" xfId="1235"/>
    <cellStyle name="Normal 21 40" xfId="1236"/>
    <cellStyle name="Normal 21 41" xfId="1237"/>
    <cellStyle name="Normal 21 42" xfId="1238"/>
    <cellStyle name="Normal 21 43" xfId="1239"/>
    <cellStyle name="Normal 21 44" xfId="1240"/>
    <cellStyle name="Normal 21 45" xfId="1241"/>
    <cellStyle name="Normal 21 46" xfId="1242"/>
    <cellStyle name="Normal 21 47" xfId="1243"/>
    <cellStyle name="Normal 21 48" xfId="1244"/>
    <cellStyle name="Normal 21 49" xfId="1245"/>
    <cellStyle name="Normal 21 5" xfId="1246"/>
    <cellStyle name="Normal 21 50" xfId="1247"/>
    <cellStyle name="Normal 21 51" xfId="1248"/>
    <cellStyle name="Normal 21 52" xfId="1249"/>
    <cellStyle name="Normal 21 53" xfId="1250"/>
    <cellStyle name="Normal 21 54" xfId="1251"/>
    <cellStyle name="Normal 21 55" xfId="1252"/>
    <cellStyle name="Normal 21 56" xfId="1253"/>
    <cellStyle name="Normal 21 57" xfId="1254"/>
    <cellStyle name="Normal 21 58" xfId="1255"/>
    <cellStyle name="Normal 21 59" xfId="1256"/>
    <cellStyle name="Normal 21 6" xfId="1257"/>
    <cellStyle name="Normal 21 60" xfId="1258"/>
    <cellStyle name="Normal 21 61" xfId="1259"/>
    <cellStyle name="Normal 21 62" xfId="1260"/>
    <cellStyle name="Normal 21 63" xfId="1261"/>
    <cellStyle name="Normal 21 64" xfId="1262"/>
    <cellStyle name="Normal 21 65" xfId="1263"/>
    <cellStyle name="Normal 21 66" xfId="1264"/>
    <cellStyle name="Normal 21 67" xfId="1265"/>
    <cellStyle name="Normal 21 7" xfId="1266"/>
    <cellStyle name="Normal 21 8" xfId="1267"/>
    <cellStyle name="Normal 21 9" xfId="1268"/>
    <cellStyle name="Normal 22" xfId="1269"/>
    <cellStyle name="Normal 22 10" xfId="1270"/>
    <cellStyle name="Normal 22 11" xfId="1271"/>
    <cellStyle name="Normal 22 12" xfId="1272"/>
    <cellStyle name="Normal 22 13" xfId="1273"/>
    <cellStyle name="Normal 22 14" xfId="1274"/>
    <cellStyle name="Normal 22 15" xfId="1275"/>
    <cellStyle name="Normal 22 16" xfId="1276"/>
    <cellStyle name="Normal 22 17" xfId="1277"/>
    <cellStyle name="Normal 22 18" xfId="1278"/>
    <cellStyle name="Normal 22 19" xfId="1279"/>
    <cellStyle name="Normal 22 2" xfId="1280"/>
    <cellStyle name="Normal 22 20" xfId="1281"/>
    <cellStyle name="Normal 22 21" xfId="1282"/>
    <cellStyle name="Normal 22 22" xfId="1283"/>
    <cellStyle name="Normal 22 23" xfId="1284"/>
    <cellStyle name="Normal 22 24" xfId="1285"/>
    <cellStyle name="Normal 22 25" xfId="1286"/>
    <cellStyle name="Normal 22 26" xfId="1287"/>
    <cellStyle name="Normal 22 27" xfId="1288"/>
    <cellStyle name="Normal 22 28" xfId="1289"/>
    <cellStyle name="Normal 22 29" xfId="1290"/>
    <cellStyle name="Normal 22 3" xfId="1291"/>
    <cellStyle name="Normal 22 30" xfId="1292"/>
    <cellStyle name="Normal 22 31" xfId="1293"/>
    <cellStyle name="Normal 22 32" xfId="1294"/>
    <cellStyle name="Normal 22 33" xfId="1295"/>
    <cellStyle name="Normal 22 34" xfId="1296"/>
    <cellStyle name="Normal 22 35" xfId="1297"/>
    <cellStyle name="Normal 22 36" xfId="1298"/>
    <cellStyle name="Normal 22 37" xfId="1299"/>
    <cellStyle name="Normal 22 38" xfId="1300"/>
    <cellStyle name="Normal 22 39" xfId="1301"/>
    <cellStyle name="Normal 22 4" xfId="1302"/>
    <cellStyle name="Normal 22 40" xfId="1303"/>
    <cellStyle name="Normal 22 41" xfId="1304"/>
    <cellStyle name="Normal 22 42" xfId="1305"/>
    <cellStyle name="Normal 22 43" xfId="1306"/>
    <cellStyle name="Normal 22 44" xfId="1307"/>
    <cellStyle name="Normal 22 45" xfId="1308"/>
    <cellStyle name="Normal 22 46" xfId="1309"/>
    <cellStyle name="Normal 22 47" xfId="1310"/>
    <cellStyle name="Normal 22 48" xfId="1311"/>
    <cellStyle name="Normal 22 49" xfId="1312"/>
    <cellStyle name="Normal 22 5" xfId="1313"/>
    <cellStyle name="Normal 22 50" xfId="1314"/>
    <cellStyle name="Normal 22 51" xfId="1315"/>
    <cellStyle name="Normal 22 52" xfId="1316"/>
    <cellStyle name="Normal 22 53" xfId="1317"/>
    <cellStyle name="Normal 22 54" xfId="1318"/>
    <cellStyle name="Normal 22 55" xfId="1319"/>
    <cellStyle name="Normal 22 56" xfId="1320"/>
    <cellStyle name="Normal 22 57" xfId="1321"/>
    <cellStyle name="Normal 22 58" xfId="1322"/>
    <cellStyle name="Normal 22 59" xfId="1323"/>
    <cellStyle name="Normal 22 6" xfId="1324"/>
    <cellStyle name="Normal 22 60" xfId="1325"/>
    <cellStyle name="Normal 22 61" xfId="1326"/>
    <cellStyle name="Normal 22 62" xfId="1327"/>
    <cellStyle name="Normal 22 63" xfId="1328"/>
    <cellStyle name="Normal 22 64" xfId="1329"/>
    <cellStyle name="Normal 22 65" xfId="1330"/>
    <cellStyle name="Normal 22 66" xfId="1331"/>
    <cellStyle name="Normal 22 67" xfId="1332"/>
    <cellStyle name="Normal 22 7" xfId="1333"/>
    <cellStyle name="Normal 22 8" xfId="1334"/>
    <cellStyle name="Normal 22 9" xfId="1335"/>
    <cellStyle name="Normal 23" xfId="1336"/>
    <cellStyle name="Normal 23 10" xfId="1337"/>
    <cellStyle name="Normal 23 11" xfId="1338"/>
    <cellStyle name="Normal 23 12" xfId="1339"/>
    <cellStyle name="Normal 23 13" xfId="1340"/>
    <cellStyle name="Normal 23 14" xfId="1341"/>
    <cellStyle name="Normal 23 15" xfId="1342"/>
    <cellStyle name="Normal 23 16" xfId="1343"/>
    <cellStyle name="Normal 23 17" xfId="1344"/>
    <cellStyle name="Normal 23 18" xfId="1345"/>
    <cellStyle name="Normal 23 19" xfId="1346"/>
    <cellStyle name="Normal 23 2" xfId="1347"/>
    <cellStyle name="Normal 23 20" xfId="1348"/>
    <cellStyle name="Normal 23 21" xfId="1349"/>
    <cellStyle name="Normal 23 22" xfId="1350"/>
    <cellStyle name="Normal 23 23" xfId="1351"/>
    <cellStyle name="Normal 23 24" xfId="1352"/>
    <cellStyle name="Normal 23 25" xfId="1353"/>
    <cellStyle name="Normal 23 26" xfId="1354"/>
    <cellStyle name="Normal 23 27" xfId="1355"/>
    <cellStyle name="Normal 23 28" xfId="1356"/>
    <cellStyle name="Normal 23 29" xfId="1357"/>
    <cellStyle name="Normal 23 3" xfId="1358"/>
    <cellStyle name="Normal 23 30" xfId="1359"/>
    <cellStyle name="Normal 23 31" xfId="1360"/>
    <cellStyle name="Normal 23 32" xfId="1361"/>
    <cellStyle name="Normal 23 33" xfId="1362"/>
    <cellStyle name="Normal 23 34" xfId="1363"/>
    <cellStyle name="Normal 23 35" xfId="1364"/>
    <cellStyle name="Normal 23 36" xfId="1365"/>
    <cellStyle name="Normal 23 37" xfId="1366"/>
    <cellStyle name="Normal 23 38" xfId="1367"/>
    <cellStyle name="Normal 23 39" xfId="1368"/>
    <cellStyle name="Normal 23 4" xfId="1369"/>
    <cellStyle name="Normal 23 40" xfId="1370"/>
    <cellStyle name="Normal 23 41" xfId="1371"/>
    <cellStyle name="Normal 23 42" xfId="1372"/>
    <cellStyle name="Normal 23 43" xfId="1373"/>
    <cellStyle name="Normal 23 44" xfId="1374"/>
    <cellStyle name="Normal 23 45" xfId="1375"/>
    <cellStyle name="Normal 23 46" xfId="1376"/>
    <cellStyle name="Normal 23 47" xfId="1377"/>
    <cellStyle name="Normal 23 48" xfId="1378"/>
    <cellStyle name="Normal 23 49" xfId="1379"/>
    <cellStyle name="Normal 23 5" xfId="1380"/>
    <cellStyle name="Normal 23 50" xfId="1381"/>
    <cellStyle name="Normal 23 51" xfId="1382"/>
    <cellStyle name="Normal 23 52" xfId="1383"/>
    <cellStyle name="Normal 23 53" xfId="1384"/>
    <cellStyle name="Normal 23 54" xfId="1385"/>
    <cellStyle name="Normal 23 55" xfId="1386"/>
    <cellStyle name="Normal 23 56" xfId="1387"/>
    <cellStyle name="Normal 23 57" xfId="1388"/>
    <cellStyle name="Normal 23 58" xfId="1389"/>
    <cellStyle name="Normal 23 59" xfId="1390"/>
    <cellStyle name="Normal 23 6" xfId="1391"/>
    <cellStyle name="Normal 23 60" xfId="1392"/>
    <cellStyle name="Normal 23 61" xfId="1393"/>
    <cellStyle name="Normal 23 62" xfId="1394"/>
    <cellStyle name="Normal 23 63" xfId="1395"/>
    <cellStyle name="Normal 23 64" xfId="1396"/>
    <cellStyle name="Normal 23 65" xfId="1397"/>
    <cellStyle name="Normal 23 66" xfId="1398"/>
    <cellStyle name="Normal 23 67" xfId="1399"/>
    <cellStyle name="Normal 23 7" xfId="1400"/>
    <cellStyle name="Normal 23 8" xfId="1401"/>
    <cellStyle name="Normal 23 9" xfId="1402"/>
    <cellStyle name="Normal 24" xfId="1403"/>
    <cellStyle name="Normal 24 10" xfId="1404"/>
    <cellStyle name="Normal 24 11" xfId="1405"/>
    <cellStyle name="Normal 24 12" xfId="1406"/>
    <cellStyle name="Normal 24 13" xfId="1407"/>
    <cellStyle name="Normal 24 14" xfId="1408"/>
    <cellStyle name="Normal 24 15" xfId="1409"/>
    <cellStyle name="Normal 24 16" xfId="1410"/>
    <cellStyle name="Normal 24 17" xfId="1411"/>
    <cellStyle name="Normal 24 18" xfId="1412"/>
    <cellStyle name="Normal 24 19" xfId="1413"/>
    <cellStyle name="Normal 24 2" xfId="1414"/>
    <cellStyle name="Normal 24 20" xfId="1415"/>
    <cellStyle name="Normal 24 21" xfId="1416"/>
    <cellStyle name="Normal 24 3" xfId="1417"/>
    <cellStyle name="Normal 24 4" xfId="1418"/>
    <cellStyle name="Normal 24 5" xfId="1419"/>
    <cellStyle name="Normal 24 6" xfId="1420"/>
    <cellStyle name="Normal 24 7" xfId="1421"/>
    <cellStyle name="Normal 24 8" xfId="1422"/>
    <cellStyle name="Normal 24 9" xfId="1423"/>
    <cellStyle name="Normal 25" xfId="1424"/>
    <cellStyle name="Normal 25 10" xfId="1425"/>
    <cellStyle name="Normal 25 11" xfId="1426"/>
    <cellStyle name="Normal 25 12" xfId="1427"/>
    <cellStyle name="Normal 25 13" xfId="1428"/>
    <cellStyle name="Normal 25 14" xfId="1429"/>
    <cellStyle name="Normal 25 15" xfId="1430"/>
    <cellStyle name="Normal 25 16" xfId="1431"/>
    <cellStyle name="Normal 25 17" xfId="1432"/>
    <cellStyle name="Normal 25 18" xfId="1433"/>
    <cellStyle name="Normal 25 19" xfId="1434"/>
    <cellStyle name="Normal 25 2" xfId="1435"/>
    <cellStyle name="Normal 25 20" xfId="1436"/>
    <cellStyle name="Normal 25 21" xfId="1437"/>
    <cellStyle name="Normal 25 22" xfId="1438"/>
    <cellStyle name="Normal 25 23" xfId="1439"/>
    <cellStyle name="Normal 25 24" xfId="1440"/>
    <cellStyle name="Normal 25 25" xfId="1441"/>
    <cellStyle name="Normal 25 3" xfId="1442"/>
    <cellStyle name="Normal 25 4" xfId="1443"/>
    <cellStyle name="Normal 25 5" xfId="1444"/>
    <cellStyle name="Normal 25 6" xfId="1445"/>
    <cellStyle name="Normal 25 7" xfId="1446"/>
    <cellStyle name="Normal 25 8" xfId="1447"/>
    <cellStyle name="Normal 25 9" xfId="1448"/>
    <cellStyle name="Normal 26" xfId="1449"/>
    <cellStyle name="Normal 26 10" xfId="1450"/>
    <cellStyle name="Normal 26 11" xfId="1451"/>
    <cellStyle name="Normal 26 12" xfId="1452"/>
    <cellStyle name="Normal 26 13" xfId="1453"/>
    <cellStyle name="Normal 26 14" xfId="1454"/>
    <cellStyle name="Normal 26 15" xfId="1455"/>
    <cellStyle name="Normal 26 16" xfId="1456"/>
    <cellStyle name="Normal 26 17" xfId="1457"/>
    <cellStyle name="Normal 26 18" xfId="1458"/>
    <cellStyle name="Normal 26 19" xfId="1459"/>
    <cellStyle name="Normal 26 2" xfId="1460"/>
    <cellStyle name="Normal 26 20" xfId="1461"/>
    <cellStyle name="Normal 26 21" xfId="1462"/>
    <cellStyle name="Normal 26 3" xfId="1463"/>
    <cellStyle name="Normal 26 4" xfId="1464"/>
    <cellStyle name="Normal 26 5" xfId="1465"/>
    <cellStyle name="Normal 26 6" xfId="1466"/>
    <cellStyle name="Normal 26 7" xfId="1467"/>
    <cellStyle name="Normal 26 8" xfId="1468"/>
    <cellStyle name="Normal 26 9" xfId="1469"/>
    <cellStyle name="Normal 27" xfId="1470"/>
    <cellStyle name="Normal 27 10" xfId="1471"/>
    <cellStyle name="Normal 27 11" xfId="1472"/>
    <cellStyle name="Normal 27 12" xfId="1473"/>
    <cellStyle name="Normal 27 13" xfId="1474"/>
    <cellStyle name="Normal 27 14" xfId="1475"/>
    <cellStyle name="Normal 27 15" xfId="1476"/>
    <cellStyle name="Normal 27 16" xfId="1477"/>
    <cellStyle name="Normal 27 17" xfId="1478"/>
    <cellStyle name="Normal 27 18" xfId="1479"/>
    <cellStyle name="Normal 27 19" xfId="1480"/>
    <cellStyle name="Normal 27 2" xfId="1481"/>
    <cellStyle name="Normal 27 20" xfId="1482"/>
    <cellStyle name="Normal 27 21" xfId="1483"/>
    <cellStyle name="Normal 27 3" xfId="1484"/>
    <cellStyle name="Normal 27 4" xfId="1485"/>
    <cellStyle name="Normal 27 5" xfId="1486"/>
    <cellStyle name="Normal 27 6" xfId="1487"/>
    <cellStyle name="Normal 27 7" xfId="1488"/>
    <cellStyle name="Normal 27 8" xfId="1489"/>
    <cellStyle name="Normal 27 9" xfId="1490"/>
    <cellStyle name="Normal 28" xfId="1491"/>
    <cellStyle name="Normal 28 10" xfId="1492"/>
    <cellStyle name="Normal 28 11" xfId="1493"/>
    <cellStyle name="Normal 28 12" xfId="1494"/>
    <cellStyle name="Normal 28 13" xfId="1495"/>
    <cellStyle name="Normal 28 14" xfId="1496"/>
    <cellStyle name="Normal 28 15" xfId="1497"/>
    <cellStyle name="Normal 28 16" xfId="1498"/>
    <cellStyle name="Normal 28 17" xfId="1499"/>
    <cellStyle name="Normal 28 18" xfId="1500"/>
    <cellStyle name="Normal 28 19" xfId="1501"/>
    <cellStyle name="Normal 28 2" xfId="1502"/>
    <cellStyle name="Normal 28 20" xfId="1503"/>
    <cellStyle name="Normal 28 21" xfId="1504"/>
    <cellStyle name="Normal 28 3" xfId="1505"/>
    <cellStyle name="Normal 28 4" xfId="1506"/>
    <cellStyle name="Normal 28 5" xfId="1507"/>
    <cellStyle name="Normal 28 6" xfId="1508"/>
    <cellStyle name="Normal 28 7" xfId="1509"/>
    <cellStyle name="Normal 28 8" xfId="1510"/>
    <cellStyle name="Normal 28 9" xfId="1511"/>
    <cellStyle name="Normal 29" xfId="1512"/>
    <cellStyle name="Normal 29 10" xfId="1513"/>
    <cellStyle name="Normal 29 11" xfId="1514"/>
    <cellStyle name="Normal 29 12" xfId="1515"/>
    <cellStyle name="Normal 29 13" xfId="1516"/>
    <cellStyle name="Normal 29 14" xfId="1517"/>
    <cellStyle name="Normal 29 15" xfId="1518"/>
    <cellStyle name="Normal 29 16" xfId="1519"/>
    <cellStyle name="Normal 29 17" xfId="1520"/>
    <cellStyle name="Normal 29 18" xfId="1521"/>
    <cellStyle name="Normal 29 19" xfId="1522"/>
    <cellStyle name="Normal 29 2" xfId="1523"/>
    <cellStyle name="Normal 29 20" xfId="1524"/>
    <cellStyle name="Normal 29 21" xfId="1525"/>
    <cellStyle name="Normal 29 3" xfId="1526"/>
    <cellStyle name="Normal 29 4" xfId="1527"/>
    <cellStyle name="Normal 29 5" xfId="1528"/>
    <cellStyle name="Normal 29 6" xfId="1529"/>
    <cellStyle name="Normal 29 7" xfId="1530"/>
    <cellStyle name="Normal 29 8" xfId="1531"/>
    <cellStyle name="Normal 29 9" xfId="1532"/>
    <cellStyle name="Normal 3" xfId="5"/>
    <cellStyle name="Normal 3 10" xfId="1533"/>
    <cellStyle name="Normal 3 11" xfId="1534"/>
    <cellStyle name="Normal 3 12" xfId="1535"/>
    <cellStyle name="Normal 3 13" xfId="1536"/>
    <cellStyle name="Normal 3 14" xfId="1537"/>
    <cellStyle name="Normal 3 15" xfId="1538"/>
    <cellStyle name="Normal 3 16" xfId="1539"/>
    <cellStyle name="Normal 3 17" xfId="1540"/>
    <cellStyle name="Normal 3 18" xfId="1541"/>
    <cellStyle name="Normal 3 19" xfId="1542"/>
    <cellStyle name="Normal 3 2" xfId="1543"/>
    <cellStyle name="Normal 3 20" xfId="1544"/>
    <cellStyle name="Normal 3 21" xfId="1545"/>
    <cellStyle name="Normal 3 22" xfId="1546"/>
    <cellStyle name="Normal 3 23" xfId="1547"/>
    <cellStyle name="Normal 3 24" xfId="1548"/>
    <cellStyle name="Normal 3 25" xfId="1549"/>
    <cellStyle name="Normal 3 26" xfId="1550"/>
    <cellStyle name="Normal 3 27" xfId="1551"/>
    <cellStyle name="Normal 3 28" xfId="1552"/>
    <cellStyle name="Normal 3 29" xfId="1553"/>
    <cellStyle name="Normal 3 3" xfId="1554"/>
    <cellStyle name="Normal 3 30" xfId="1555"/>
    <cellStyle name="Normal 3 31" xfId="1556"/>
    <cellStyle name="Normal 3 32" xfId="1557"/>
    <cellStyle name="Normal 3 33" xfId="1558"/>
    <cellStyle name="Normal 3 34" xfId="1559"/>
    <cellStyle name="Normal 3 35" xfId="1560"/>
    <cellStyle name="Normal 3 36" xfId="1561"/>
    <cellStyle name="Normal 3 37" xfId="1562"/>
    <cellStyle name="Normal 3 38" xfId="1563"/>
    <cellStyle name="Normal 3 39" xfId="1564"/>
    <cellStyle name="Normal 3 4" xfId="1565"/>
    <cellStyle name="Normal 3 40" xfId="1566"/>
    <cellStyle name="Normal 3 41" xfId="1567"/>
    <cellStyle name="Normal 3 42" xfId="1568"/>
    <cellStyle name="Normal 3 43" xfId="1569"/>
    <cellStyle name="Normal 3 44" xfId="1570"/>
    <cellStyle name="Normal 3 45" xfId="1571"/>
    <cellStyle name="Normal 3 46" xfId="1572"/>
    <cellStyle name="Normal 3 47" xfId="1573"/>
    <cellStyle name="Normal 3 48" xfId="1574"/>
    <cellStyle name="Normal 3 49" xfId="1575"/>
    <cellStyle name="Normal 3 5" xfId="1576"/>
    <cellStyle name="Normal 3 50" xfId="1577"/>
    <cellStyle name="Normal 3 51" xfId="1578"/>
    <cellStyle name="Normal 3 52" xfId="1579"/>
    <cellStyle name="Normal 3 53" xfId="1580"/>
    <cellStyle name="Normal 3 54" xfId="1581"/>
    <cellStyle name="Normal 3 55" xfId="1582"/>
    <cellStyle name="Normal 3 56" xfId="1583"/>
    <cellStyle name="Normal 3 57" xfId="1584"/>
    <cellStyle name="Normal 3 58" xfId="1585"/>
    <cellStyle name="Normal 3 59" xfId="1586"/>
    <cellStyle name="Normal 3 6" xfId="1587"/>
    <cellStyle name="Normal 3 60" xfId="1588"/>
    <cellStyle name="Normal 3 61" xfId="1589"/>
    <cellStyle name="Normal 3 62" xfId="1590"/>
    <cellStyle name="Normal 3 63" xfId="1591"/>
    <cellStyle name="Normal 3 64" xfId="1592"/>
    <cellStyle name="Normal 3 65" xfId="1593"/>
    <cellStyle name="Normal 3 66" xfId="1594"/>
    <cellStyle name="Normal 3 67" xfId="1595"/>
    <cellStyle name="Normal 3 7" xfId="1596"/>
    <cellStyle name="Normal 3 8" xfId="1597"/>
    <cellStyle name="Normal 3 9" xfId="1598"/>
    <cellStyle name="Normal 30" xfId="1599"/>
    <cellStyle name="Normal 31" xfId="1600"/>
    <cellStyle name="Normal 32" xfId="1601"/>
    <cellStyle name="Normal 33" xfId="1602"/>
    <cellStyle name="Normal 34" xfId="1603"/>
    <cellStyle name="Normal 35" xfId="1604"/>
    <cellStyle name="Normal 36" xfId="1605"/>
    <cellStyle name="Normal 37" xfId="1606"/>
    <cellStyle name="Normal 38" xfId="1607"/>
    <cellStyle name="Normal 39" xfId="1608"/>
    <cellStyle name="Normal 4" xfId="6"/>
    <cellStyle name="Normal 4 10" xfId="1609"/>
    <cellStyle name="Normal 4 11" xfId="1610"/>
    <cellStyle name="Normal 4 12" xfId="1611"/>
    <cellStyle name="Normal 4 13" xfId="1612"/>
    <cellStyle name="Normal 4 14" xfId="1613"/>
    <cellStyle name="Normal 4 15" xfId="1614"/>
    <cellStyle name="Normal 4 16" xfId="1615"/>
    <cellStyle name="Normal 4 17" xfId="1616"/>
    <cellStyle name="Normal 4 18" xfId="1617"/>
    <cellStyle name="Normal 4 19" xfId="1618"/>
    <cellStyle name="Normal 4 2" xfId="1619"/>
    <cellStyle name="Normal 4 20" xfId="1620"/>
    <cellStyle name="Normal 4 21" xfId="1621"/>
    <cellStyle name="Normal 4 22" xfId="1622"/>
    <cellStyle name="Normal 4 23" xfId="1623"/>
    <cellStyle name="Normal 4 24" xfId="1624"/>
    <cellStyle name="Normal 4 25" xfId="1625"/>
    <cellStyle name="Normal 4 26" xfId="1626"/>
    <cellStyle name="Normal 4 27" xfId="1627"/>
    <cellStyle name="Normal 4 28" xfId="1628"/>
    <cellStyle name="Normal 4 29" xfId="1629"/>
    <cellStyle name="Normal 4 3" xfId="1630"/>
    <cellStyle name="Normal 4 30" xfId="1631"/>
    <cellStyle name="Normal 4 31" xfId="1632"/>
    <cellStyle name="Normal 4 32" xfId="1633"/>
    <cellStyle name="Normal 4 33" xfId="1634"/>
    <cellStyle name="Normal 4 34" xfId="1635"/>
    <cellStyle name="Normal 4 35" xfId="1636"/>
    <cellStyle name="Normal 4 36" xfId="1637"/>
    <cellStyle name="Normal 4 37" xfId="1638"/>
    <cellStyle name="Normal 4 38" xfId="1639"/>
    <cellStyle name="Normal 4 39" xfId="1640"/>
    <cellStyle name="Normal 4 4" xfId="1641"/>
    <cellStyle name="Normal 4 40" xfId="1642"/>
    <cellStyle name="Normal 4 41" xfId="1643"/>
    <cellStyle name="Normal 4 42" xfId="1644"/>
    <cellStyle name="Normal 4 43" xfId="1645"/>
    <cellStyle name="Normal 4 44" xfId="1646"/>
    <cellStyle name="Normal 4 45" xfId="1647"/>
    <cellStyle name="Normal 4 46" xfId="1648"/>
    <cellStyle name="Normal 4 47" xfId="1649"/>
    <cellStyle name="Normal 4 48" xfId="1650"/>
    <cellStyle name="Normal 4 49" xfId="1651"/>
    <cellStyle name="Normal 4 5" xfId="1652"/>
    <cellStyle name="Normal 4 50" xfId="1653"/>
    <cellStyle name="Normal 4 51" xfId="1654"/>
    <cellStyle name="Normal 4 52" xfId="1655"/>
    <cellStyle name="Normal 4 53" xfId="1656"/>
    <cellStyle name="Normal 4 54" xfId="1657"/>
    <cellStyle name="Normal 4 55" xfId="1658"/>
    <cellStyle name="Normal 4 56" xfId="1659"/>
    <cellStyle name="Normal 4 57" xfId="1660"/>
    <cellStyle name="Normal 4 58" xfId="1661"/>
    <cellStyle name="Normal 4 59" xfId="1662"/>
    <cellStyle name="Normal 4 6" xfId="1663"/>
    <cellStyle name="Normal 4 60" xfId="1664"/>
    <cellStyle name="Normal 4 61" xfId="1665"/>
    <cellStyle name="Normal 4 62" xfId="1666"/>
    <cellStyle name="Normal 4 63" xfId="1667"/>
    <cellStyle name="Normal 4 64" xfId="1668"/>
    <cellStyle name="Normal 4 65" xfId="1669"/>
    <cellStyle name="Normal 4 66" xfId="1670"/>
    <cellStyle name="Normal 4 67" xfId="1671"/>
    <cellStyle name="Normal 4 7" xfId="1672"/>
    <cellStyle name="Normal 4 8" xfId="1673"/>
    <cellStyle name="Normal 4 9" xfId="1674"/>
    <cellStyle name="Normal 40" xfId="1675"/>
    <cellStyle name="Normal 41" xfId="1676"/>
    <cellStyle name="Normal 42" xfId="1677"/>
    <cellStyle name="Normal 43" xfId="1678"/>
    <cellStyle name="Normal 44" xfId="1679"/>
    <cellStyle name="Normal 45" xfId="1680"/>
    <cellStyle name="Normal 46" xfId="1681"/>
    <cellStyle name="Normal 47" xfId="1682"/>
    <cellStyle name="Normal 48" xfId="1683"/>
    <cellStyle name="Normal 49" xfId="1684"/>
    <cellStyle name="Normal 5" xfId="8"/>
    <cellStyle name="Normal 5 10" xfId="1685"/>
    <cellStyle name="Normal 5 11" xfId="1686"/>
    <cellStyle name="Normal 5 12" xfId="1687"/>
    <cellStyle name="Normal 5 13" xfId="1688"/>
    <cellStyle name="Normal 5 14" xfId="1689"/>
    <cellStyle name="Normal 5 15" xfId="1690"/>
    <cellStyle name="Normal 5 16" xfId="1691"/>
    <cellStyle name="Normal 5 17" xfId="1692"/>
    <cellStyle name="Normal 5 18" xfId="1693"/>
    <cellStyle name="Normal 5 19" xfId="1694"/>
    <cellStyle name="Normal 5 2" xfId="1695"/>
    <cellStyle name="Normal 5 20" xfId="1696"/>
    <cellStyle name="Normal 5 21" xfId="1697"/>
    <cellStyle name="Normal 5 22" xfId="1698"/>
    <cellStyle name="Normal 5 23" xfId="1699"/>
    <cellStyle name="Normal 5 24" xfId="1700"/>
    <cellStyle name="Normal 5 25" xfId="1701"/>
    <cellStyle name="Normal 5 26" xfId="1702"/>
    <cellStyle name="Normal 5 27" xfId="1703"/>
    <cellStyle name="Normal 5 28" xfId="1704"/>
    <cellStyle name="Normal 5 29" xfId="1705"/>
    <cellStyle name="Normal 5 3" xfId="1706"/>
    <cellStyle name="Normal 5 30" xfId="1707"/>
    <cellStyle name="Normal 5 31" xfId="1708"/>
    <cellStyle name="Normal 5 32" xfId="1709"/>
    <cellStyle name="Normal 5 33" xfId="1710"/>
    <cellStyle name="Normal 5 34" xfId="1711"/>
    <cellStyle name="Normal 5 35" xfId="1712"/>
    <cellStyle name="Normal 5 36" xfId="1713"/>
    <cellStyle name="Normal 5 37" xfId="1714"/>
    <cellStyle name="Normal 5 38" xfId="1715"/>
    <cellStyle name="Normal 5 39" xfId="1716"/>
    <cellStyle name="Normal 5 4" xfId="1717"/>
    <cellStyle name="Normal 5 40" xfId="1718"/>
    <cellStyle name="Normal 5 41" xfId="1719"/>
    <cellStyle name="Normal 5 42" xfId="1720"/>
    <cellStyle name="Normal 5 43" xfId="1721"/>
    <cellStyle name="Normal 5 44" xfId="1722"/>
    <cellStyle name="Normal 5 45" xfId="1723"/>
    <cellStyle name="Normal 5 46" xfId="1724"/>
    <cellStyle name="Normal 5 47" xfId="1725"/>
    <cellStyle name="Normal 5 48" xfId="1726"/>
    <cellStyle name="Normal 5 49" xfId="1727"/>
    <cellStyle name="Normal 5 5" xfId="1728"/>
    <cellStyle name="Normal 5 50" xfId="1729"/>
    <cellStyle name="Normal 5 51" xfId="1730"/>
    <cellStyle name="Normal 5 52" xfId="1731"/>
    <cellStyle name="Normal 5 53" xfId="1732"/>
    <cellStyle name="Normal 5 54" xfId="1733"/>
    <cellStyle name="Normal 5 55" xfId="1734"/>
    <cellStyle name="Normal 5 56" xfId="1735"/>
    <cellStyle name="Normal 5 57" xfId="1736"/>
    <cellStyle name="Normal 5 58" xfId="1737"/>
    <cellStyle name="Normal 5 59" xfId="1738"/>
    <cellStyle name="Normal 5 6" xfId="1739"/>
    <cellStyle name="Normal 5 60" xfId="1740"/>
    <cellStyle name="Normal 5 61" xfId="1741"/>
    <cellStyle name="Normal 5 62" xfId="1742"/>
    <cellStyle name="Normal 5 63" xfId="1743"/>
    <cellStyle name="Normal 5 64" xfId="1744"/>
    <cellStyle name="Normal 5 65" xfId="1745"/>
    <cellStyle name="Normal 5 66" xfId="1746"/>
    <cellStyle name="Normal 5 67" xfId="1747"/>
    <cellStyle name="Normal 5 7" xfId="1748"/>
    <cellStyle name="Normal 5 8" xfId="1749"/>
    <cellStyle name="Normal 5 9" xfId="1750"/>
    <cellStyle name="Normal 50" xfId="12"/>
    <cellStyle name="Normal 51" xfId="1751"/>
    <cellStyle name="Normal 52" xfId="1752"/>
    <cellStyle name="Normal 53" xfId="1753"/>
    <cellStyle name="Normal 6" xfId="9"/>
    <cellStyle name="Normal 6 10" xfId="1754"/>
    <cellStyle name="Normal 6 11" xfId="1755"/>
    <cellStyle name="Normal 6 12" xfId="1756"/>
    <cellStyle name="Normal 6 13" xfId="1757"/>
    <cellStyle name="Normal 6 14" xfId="1758"/>
    <cellStyle name="Normal 6 15" xfId="1759"/>
    <cellStyle name="Normal 6 16" xfId="1760"/>
    <cellStyle name="Normal 6 17" xfId="1761"/>
    <cellStyle name="Normal 6 18" xfId="1762"/>
    <cellStyle name="Normal 6 19" xfId="1763"/>
    <cellStyle name="Normal 6 2" xfId="1764"/>
    <cellStyle name="Normal 6 20" xfId="1765"/>
    <cellStyle name="Normal 6 21" xfId="1766"/>
    <cellStyle name="Normal 6 22" xfId="1767"/>
    <cellStyle name="Normal 6 23" xfId="1768"/>
    <cellStyle name="Normal 6 24" xfId="1769"/>
    <cellStyle name="Normal 6 25" xfId="1770"/>
    <cellStyle name="Normal 6 26" xfId="1771"/>
    <cellStyle name="Normal 6 27" xfId="1772"/>
    <cellStyle name="Normal 6 28" xfId="1773"/>
    <cellStyle name="Normal 6 29" xfId="1774"/>
    <cellStyle name="Normal 6 3" xfId="1775"/>
    <cellStyle name="Normal 6 30" xfId="1776"/>
    <cellStyle name="Normal 6 31" xfId="1777"/>
    <cellStyle name="Normal 6 32" xfId="1778"/>
    <cellStyle name="Normal 6 33" xfId="1779"/>
    <cellStyle name="Normal 6 34" xfId="1780"/>
    <cellStyle name="Normal 6 35" xfId="1781"/>
    <cellStyle name="Normal 6 36" xfId="1782"/>
    <cellStyle name="Normal 6 37" xfId="1783"/>
    <cellStyle name="Normal 6 38" xfId="1784"/>
    <cellStyle name="Normal 6 39" xfId="1785"/>
    <cellStyle name="Normal 6 4" xfId="1786"/>
    <cellStyle name="Normal 6 40" xfId="1787"/>
    <cellStyle name="Normal 6 41" xfId="1788"/>
    <cellStyle name="Normal 6 42" xfId="1789"/>
    <cellStyle name="Normal 6 43" xfId="1790"/>
    <cellStyle name="Normal 6 44" xfId="1791"/>
    <cellStyle name="Normal 6 45" xfId="1792"/>
    <cellStyle name="Normal 6 46" xfId="1793"/>
    <cellStyle name="Normal 6 47" xfId="1794"/>
    <cellStyle name="Normal 6 48" xfId="1795"/>
    <cellStyle name="Normal 6 49" xfId="1796"/>
    <cellStyle name="Normal 6 5" xfId="1797"/>
    <cellStyle name="Normal 6 50" xfId="1798"/>
    <cellStyle name="Normal 6 51" xfId="1799"/>
    <cellStyle name="Normal 6 52" xfId="1800"/>
    <cellStyle name="Normal 6 53" xfId="1801"/>
    <cellStyle name="Normal 6 54" xfId="1802"/>
    <cellStyle name="Normal 6 55" xfId="1803"/>
    <cellStyle name="Normal 6 56" xfId="1804"/>
    <cellStyle name="Normal 6 57" xfId="1805"/>
    <cellStyle name="Normal 6 58" xfId="1806"/>
    <cellStyle name="Normal 6 59" xfId="1807"/>
    <cellStyle name="Normal 6 6" xfId="1808"/>
    <cellStyle name="Normal 6 60" xfId="1809"/>
    <cellStyle name="Normal 6 61" xfId="1810"/>
    <cellStyle name="Normal 6 62" xfId="1811"/>
    <cellStyle name="Normal 6 63" xfId="1812"/>
    <cellStyle name="Normal 6 64" xfId="1813"/>
    <cellStyle name="Normal 6 65" xfId="1814"/>
    <cellStyle name="Normal 6 66" xfId="1815"/>
    <cellStyle name="Normal 6 67" xfId="1816"/>
    <cellStyle name="Normal 6 7" xfId="1817"/>
    <cellStyle name="Normal 6 8" xfId="1818"/>
    <cellStyle name="Normal 6 9" xfId="1819"/>
    <cellStyle name="Normal 7" xfId="10"/>
    <cellStyle name="Normal 7 10" xfId="1820"/>
    <cellStyle name="Normal 7 11" xfId="1821"/>
    <cellStyle name="Normal 7 12" xfId="1822"/>
    <cellStyle name="Normal 7 13" xfId="1823"/>
    <cellStyle name="Normal 7 14" xfId="1824"/>
    <cellStyle name="Normal 7 15" xfId="1825"/>
    <cellStyle name="Normal 7 16" xfId="1826"/>
    <cellStyle name="Normal 7 17" xfId="1827"/>
    <cellStyle name="Normal 7 18" xfId="1828"/>
    <cellStyle name="Normal 7 19" xfId="1829"/>
    <cellStyle name="Normal 7 2" xfId="1830"/>
    <cellStyle name="Normal 7 20" xfId="1831"/>
    <cellStyle name="Normal 7 21" xfId="1832"/>
    <cellStyle name="Normal 7 22" xfId="1833"/>
    <cellStyle name="Normal 7 23" xfId="1834"/>
    <cellStyle name="Normal 7 24" xfId="1835"/>
    <cellStyle name="Normal 7 25" xfId="1836"/>
    <cellStyle name="Normal 7 26" xfId="1837"/>
    <cellStyle name="Normal 7 27" xfId="1838"/>
    <cellStyle name="Normal 7 28" xfId="1839"/>
    <cellStyle name="Normal 7 29" xfId="1840"/>
    <cellStyle name="Normal 7 3" xfId="1841"/>
    <cellStyle name="Normal 7 30" xfId="1842"/>
    <cellStyle name="Normal 7 31" xfId="1843"/>
    <cellStyle name="Normal 7 32" xfId="1844"/>
    <cellStyle name="Normal 7 33" xfId="1845"/>
    <cellStyle name="Normal 7 34" xfId="1846"/>
    <cellStyle name="Normal 7 35" xfId="1847"/>
    <cellStyle name="Normal 7 36" xfId="1848"/>
    <cellStyle name="Normal 7 37" xfId="1849"/>
    <cellStyle name="Normal 7 38" xfId="1850"/>
    <cellStyle name="Normal 7 39" xfId="1851"/>
    <cellStyle name="Normal 7 4" xfId="1852"/>
    <cellStyle name="Normal 7 40" xfId="1853"/>
    <cellStyle name="Normal 7 41" xfId="1854"/>
    <cellStyle name="Normal 7 42" xfId="1855"/>
    <cellStyle name="Normal 7 43" xfId="1856"/>
    <cellStyle name="Normal 7 44" xfId="1857"/>
    <cellStyle name="Normal 7 45" xfId="1858"/>
    <cellStyle name="Normal 7 46" xfId="1859"/>
    <cellStyle name="Normal 7 47" xfId="1860"/>
    <cellStyle name="Normal 7 48" xfId="1861"/>
    <cellStyle name="Normal 7 49" xfId="1862"/>
    <cellStyle name="Normal 7 5" xfId="1863"/>
    <cellStyle name="Normal 7 50" xfId="1864"/>
    <cellStyle name="Normal 7 51" xfId="1865"/>
    <cellStyle name="Normal 7 52" xfId="1866"/>
    <cellStyle name="Normal 7 53" xfId="1867"/>
    <cellStyle name="Normal 7 54" xfId="1868"/>
    <cellStyle name="Normal 7 55" xfId="1869"/>
    <cellStyle name="Normal 7 56" xfId="1870"/>
    <cellStyle name="Normal 7 57" xfId="1871"/>
    <cellStyle name="Normal 7 58" xfId="1872"/>
    <cellStyle name="Normal 7 59" xfId="1873"/>
    <cellStyle name="Normal 7 6" xfId="1874"/>
    <cellStyle name="Normal 7 60" xfId="1875"/>
    <cellStyle name="Normal 7 61" xfId="1876"/>
    <cellStyle name="Normal 7 62" xfId="1877"/>
    <cellStyle name="Normal 7 63" xfId="1878"/>
    <cellStyle name="Normal 7 64" xfId="1879"/>
    <cellStyle name="Normal 7 65" xfId="1880"/>
    <cellStyle name="Normal 7 66" xfId="1881"/>
    <cellStyle name="Normal 7 67" xfId="1882"/>
    <cellStyle name="Normal 7 7" xfId="1883"/>
    <cellStyle name="Normal 7 8" xfId="1884"/>
    <cellStyle name="Normal 7 9" xfId="1885"/>
    <cellStyle name="Normal 8" xfId="1886"/>
    <cellStyle name="Normal 8 10" xfId="1887"/>
    <cellStyle name="Normal 8 11" xfId="1888"/>
    <cellStyle name="Normal 8 12" xfId="1889"/>
    <cellStyle name="Normal 8 13" xfId="1890"/>
    <cellStyle name="Normal 8 14" xfId="1891"/>
    <cellStyle name="Normal 8 15" xfId="1892"/>
    <cellStyle name="Normal 8 16" xfId="1893"/>
    <cellStyle name="Normal 8 17" xfId="1894"/>
    <cellStyle name="Normal 8 18" xfId="1895"/>
    <cellStyle name="Normal 8 19" xfId="1896"/>
    <cellStyle name="Normal 8 2" xfId="1897"/>
    <cellStyle name="Normal 8 20" xfId="1898"/>
    <cellStyle name="Normal 8 21" xfId="1899"/>
    <cellStyle name="Normal 8 22" xfId="1900"/>
    <cellStyle name="Normal 8 23" xfId="1901"/>
    <cellStyle name="Normal 8 24" xfId="1902"/>
    <cellStyle name="Normal 8 25" xfId="1903"/>
    <cellStyle name="Normal 8 26" xfId="1904"/>
    <cellStyle name="Normal 8 27" xfId="1905"/>
    <cellStyle name="Normal 8 28" xfId="1906"/>
    <cellStyle name="Normal 8 29" xfId="1907"/>
    <cellStyle name="Normal 8 3" xfId="1908"/>
    <cellStyle name="Normal 8 30" xfId="1909"/>
    <cellStyle name="Normal 8 31" xfId="1910"/>
    <cellStyle name="Normal 8 32" xfId="1911"/>
    <cellStyle name="Normal 8 33" xfId="1912"/>
    <cellStyle name="Normal 8 34" xfId="1913"/>
    <cellStyle name="Normal 8 35" xfId="1914"/>
    <cellStyle name="Normal 8 36" xfId="1915"/>
    <cellStyle name="Normal 8 37" xfId="1916"/>
    <cellStyle name="Normal 8 38" xfId="1917"/>
    <cellStyle name="Normal 8 39" xfId="1918"/>
    <cellStyle name="Normal 8 4" xfId="1919"/>
    <cellStyle name="Normal 8 40" xfId="1920"/>
    <cellStyle name="Normal 8 41" xfId="1921"/>
    <cellStyle name="Normal 8 42" xfId="1922"/>
    <cellStyle name="Normal 8 43" xfId="1923"/>
    <cellStyle name="Normal 8 44" xfId="1924"/>
    <cellStyle name="Normal 8 45" xfId="1925"/>
    <cellStyle name="Normal 8 46" xfId="1926"/>
    <cellStyle name="Normal 8 47" xfId="1927"/>
    <cellStyle name="Normal 8 48" xfId="1928"/>
    <cellStyle name="Normal 8 49" xfId="1929"/>
    <cellStyle name="Normal 8 5" xfId="1930"/>
    <cellStyle name="Normal 8 50" xfId="1931"/>
    <cellStyle name="Normal 8 51" xfId="1932"/>
    <cellStyle name="Normal 8 52" xfId="1933"/>
    <cellStyle name="Normal 8 53" xfId="1934"/>
    <cellStyle name="Normal 8 54" xfId="1935"/>
    <cellStyle name="Normal 8 55" xfId="1936"/>
    <cellStyle name="Normal 8 56" xfId="1937"/>
    <cellStyle name="Normal 8 57" xfId="1938"/>
    <cellStyle name="Normal 8 58" xfId="1939"/>
    <cellStyle name="Normal 8 59" xfId="1940"/>
    <cellStyle name="Normal 8 6" xfId="1941"/>
    <cellStyle name="Normal 8 60" xfId="1942"/>
    <cellStyle name="Normal 8 61" xfId="1943"/>
    <cellStyle name="Normal 8 62" xfId="1944"/>
    <cellStyle name="Normal 8 63" xfId="1945"/>
    <cellStyle name="Normal 8 64" xfId="1946"/>
    <cellStyle name="Normal 8 65" xfId="1947"/>
    <cellStyle name="Normal 8 66" xfId="1948"/>
    <cellStyle name="Normal 8 67" xfId="1949"/>
    <cellStyle name="Normal 8 7" xfId="1950"/>
    <cellStyle name="Normal 8 8" xfId="1951"/>
    <cellStyle name="Normal 8 9" xfId="1952"/>
    <cellStyle name="Normal 9" xfId="1953"/>
    <cellStyle name="Normal 9 10" xfId="1954"/>
    <cellStyle name="Normal 9 11" xfId="1955"/>
    <cellStyle name="Normal 9 12" xfId="1956"/>
    <cellStyle name="Normal 9 13" xfId="1957"/>
    <cellStyle name="Normal 9 14" xfId="1958"/>
    <cellStyle name="Normal 9 15" xfId="1959"/>
    <cellStyle name="Normal 9 16" xfId="1960"/>
    <cellStyle name="Normal 9 17" xfId="1961"/>
    <cellStyle name="Normal 9 18" xfId="1962"/>
    <cellStyle name="Normal 9 19" xfId="1963"/>
    <cellStyle name="Normal 9 2" xfId="1964"/>
    <cellStyle name="Normal 9 20" xfId="1965"/>
    <cellStyle name="Normal 9 21" xfId="1966"/>
    <cellStyle name="Normal 9 22" xfId="1967"/>
    <cellStyle name="Normal 9 23" xfId="1968"/>
    <cellStyle name="Normal 9 24" xfId="1969"/>
    <cellStyle name="Normal 9 25" xfId="1970"/>
    <cellStyle name="Normal 9 26" xfId="1971"/>
    <cellStyle name="Normal 9 27" xfId="1972"/>
    <cellStyle name="Normal 9 28" xfId="1973"/>
    <cellStyle name="Normal 9 29" xfId="1974"/>
    <cellStyle name="Normal 9 3" xfId="1975"/>
    <cellStyle name="Normal 9 30" xfId="1976"/>
    <cellStyle name="Normal 9 31" xfId="1977"/>
    <cellStyle name="Normal 9 32" xfId="1978"/>
    <cellStyle name="Normal 9 33" xfId="1979"/>
    <cellStyle name="Normal 9 34" xfId="1980"/>
    <cellStyle name="Normal 9 35" xfId="1981"/>
    <cellStyle name="Normal 9 36" xfId="1982"/>
    <cellStyle name="Normal 9 37" xfId="1983"/>
    <cellStyle name="Normal 9 38" xfId="1984"/>
    <cellStyle name="Normal 9 39" xfId="1985"/>
    <cellStyle name="Normal 9 4" xfId="1986"/>
    <cellStyle name="Normal 9 40" xfId="1987"/>
    <cellStyle name="Normal 9 41" xfId="1988"/>
    <cellStyle name="Normal 9 42" xfId="1989"/>
    <cellStyle name="Normal 9 43" xfId="1990"/>
    <cellStyle name="Normal 9 44" xfId="1991"/>
    <cellStyle name="Normal 9 45" xfId="1992"/>
    <cellStyle name="Normal 9 46" xfId="1993"/>
    <cellStyle name="Normal 9 47" xfId="1994"/>
    <cellStyle name="Normal 9 48" xfId="1995"/>
    <cellStyle name="Normal 9 49" xfId="1996"/>
    <cellStyle name="Normal 9 5" xfId="1997"/>
    <cellStyle name="Normal 9 50" xfId="1998"/>
    <cellStyle name="Normal 9 51" xfId="1999"/>
    <cellStyle name="Normal 9 52" xfId="2000"/>
    <cellStyle name="Normal 9 53" xfId="2001"/>
    <cellStyle name="Normal 9 54" xfId="2002"/>
    <cellStyle name="Normal 9 55" xfId="2003"/>
    <cellStyle name="Normal 9 56" xfId="2004"/>
    <cellStyle name="Normal 9 57" xfId="2005"/>
    <cellStyle name="Normal 9 58" xfId="2006"/>
    <cellStyle name="Normal 9 59" xfId="2007"/>
    <cellStyle name="Normal 9 6" xfId="2008"/>
    <cellStyle name="Normal 9 60" xfId="2009"/>
    <cellStyle name="Normal 9 61" xfId="2010"/>
    <cellStyle name="Normal 9 62" xfId="2011"/>
    <cellStyle name="Normal 9 63" xfId="2012"/>
    <cellStyle name="Normal 9 64" xfId="2013"/>
    <cellStyle name="Normal 9 65" xfId="2014"/>
    <cellStyle name="Normal 9 66" xfId="2015"/>
    <cellStyle name="Normal 9 67" xfId="2016"/>
    <cellStyle name="Normal 9 7" xfId="2017"/>
    <cellStyle name="Normal 9 8" xfId="2018"/>
    <cellStyle name="Normal 9 9" xfId="2019"/>
    <cellStyle name="Output Amounts" xfId="2020"/>
    <cellStyle name="Output Column Headings" xfId="2021"/>
    <cellStyle name="Output Line Items" xfId="2022"/>
    <cellStyle name="Output Report Heading" xfId="2023"/>
    <cellStyle name="Output Report Title" xfId="2024"/>
    <cellStyle name="Percen - Style2" xfId="2025"/>
    <cellStyle name="Percent (0)" xfId="2026"/>
    <cellStyle name="Percent (0) 2" xfId="2027"/>
    <cellStyle name="Percent [2]" xfId="2028"/>
    <cellStyle name="Percent [2] 2" xfId="2029"/>
    <cellStyle name="Percent 1" xfId="2030"/>
    <cellStyle name="Proposal" xfId="2031"/>
    <cellStyle name="PROTECTED" xfId="2032"/>
    <cellStyle name="PSChar" xfId="2033"/>
    <cellStyle name="PSChar 2" xfId="2034"/>
    <cellStyle name="PSDate" xfId="2035"/>
    <cellStyle name="PSDate 2" xfId="2036"/>
    <cellStyle name="PSDec" xfId="2037"/>
    <cellStyle name="PSDec 2" xfId="2038"/>
    <cellStyle name="PSDetail" xfId="2039"/>
    <cellStyle name="PSDetails" xfId="2040"/>
    <cellStyle name="PSHeading" xfId="2041"/>
    <cellStyle name="PSHeading 2" xfId="2042"/>
    <cellStyle name="PSHeading_Plum Pt" xfId="2043"/>
    <cellStyle name="PSInt" xfId="2044"/>
    <cellStyle name="PSInt 2" xfId="2045"/>
    <cellStyle name="PSSpacer" xfId="2046"/>
    <cellStyle name="PSSpacer 2" xfId="2047"/>
    <cellStyle name="R00B" xfId="2048"/>
    <cellStyle name="RevList" xfId="2049"/>
    <cellStyle name="Shade" xfId="2050"/>
    <cellStyle name="Shading" xfId="2051"/>
    <cellStyle name="SMALL HEADINGS" xfId="2052"/>
    <cellStyle name="Style 1" xfId="2053"/>
    <cellStyle name="Style 1 10" xfId="2054"/>
    <cellStyle name="Style 1 11" xfId="2055"/>
    <cellStyle name="Style 1 12" xfId="2056"/>
    <cellStyle name="Style 1 13" xfId="2057"/>
    <cellStyle name="Style 1 14" xfId="2058"/>
    <cellStyle name="Style 1 15" xfId="2059"/>
    <cellStyle name="Style 1 16" xfId="2060"/>
    <cellStyle name="Style 1 17" xfId="2061"/>
    <cellStyle name="Style 1 18" xfId="2062"/>
    <cellStyle name="Style 1 19" xfId="2063"/>
    <cellStyle name="Style 1 2" xfId="2064"/>
    <cellStyle name="Style 1 20" xfId="2065"/>
    <cellStyle name="Style 1 21" xfId="2066"/>
    <cellStyle name="Style 1 22" xfId="2067"/>
    <cellStyle name="Style 1 23" xfId="2068"/>
    <cellStyle name="Style 1 3" xfId="2069"/>
    <cellStyle name="Style 1 4" xfId="2070"/>
    <cellStyle name="Style 1 5" xfId="2071"/>
    <cellStyle name="Style 1 6" xfId="2072"/>
    <cellStyle name="Style 1 7" xfId="2073"/>
    <cellStyle name="Style 1 8" xfId="2074"/>
    <cellStyle name="Style 1 9" xfId="2075"/>
    <cellStyle name="STYLE1" xfId="2076"/>
    <cellStyle name="STYLE2" xfId="2077"/>
    <cellStyle name="STYLE3" xfId="2078"/>
    <cellStyle name="STYLE4" xfId="2079"/>
    <cellStyle name="STYLE5" xfId="2080"/>
    <cellStyle name="STYLE6_P&amp;L" xfId="2081"/>
    <cellStyle name="STYLE7" xfId="2082"/>
    <cellStyle name="SUB HEADING" xfId="2083"/>
    <cellStyle name="Subtotal" xfId="2084"/>
    <cellStyle name="Table Title" xfId="2085"/>
    <cellStyle name="Total 10" xfId="2086"/>
    <cellStyle name="Total 11" xfId="2087"/>
    <cellStyle name="Total 12" xfId="2088"/>
    <cellStyle name="Total 13" xfId="2089"/>
    <cellStyle name="Total 14" xfId="2090"/>
    <cellStyle name="Total 15" xfId="2091"/>
    <cellStyle name="Total 16" xfId="2092"/>
    <cellStyle name="Total 17" xfId="2093"/>
    <cellStyle name="Total 18" xfId="2094"/>
    <cellStyle name="Total 19" xfId="2095"/>
    <cellStyle name="Total 2" xfId="2096"/>
    <cellStyle name="Total 20" xfId="2097"/>
    <cellStyle name="Total 21" xfId="2098"/>
    <cellStyle name="Total 22" xfId="2099"/>
    <cellStyle name="Total 23" xfId="2100"/>
    <cellStyle name="Total 3" xfId="2101"/>
    <cellStyle name="Total 4" xfId="2102"/>
    <cellStyle name="Total 5" xfId="2103"/>
    <cellStyle name="Total 6" xfId="2104"/>
    <cellStyle name="Total 7" xfId="2105"/>
    <cellStyle name="Total 8" xfId="2106"/>
    <cellStyle name="Total 9" xfId="2107"/>
    <cellStyle name="ubordinated Debt" xfId="2108"/>
    <cellStyle name="UNITS" xfId="2109"/>
    <cellStyle name="Unprot" xfId="2110"/>
    <cellStyle name="Unprot$" xfId="2111"/>
    <cellStyle name="Unprotect" xfId="2112"/>
    <cellStyle name="UNSHADED" xfId="2113"/>
    <cellStyle name="Year" xfId="2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495300</xdr:colOff>
          <xdr:row>0</xdr:row>
          <xdr:rowOff>133350</xdr:rowOff>
        </xdr:from>
        <xdr:to>
          <xdr:col>7</xdr:col>
          <xdr:colOff>733425</xdr:colOff>
          <xdr:row>3</xdr:row>
          <xdr:rowOff>0</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200" b="1" i="0" u="none" strike="noStrike" baseline="0">
                  <a:solidFill>
                    <a:srgbClr val="FF0000"/>
                  </a:solidFill>
                  <a:latin typeface="Helv"/>
                </a:rPr>
                <a:t>PRINT ALL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495300</xdr:colOff>
          <xdr:row>0</xdr:row>
          <xdr:rowOff>133350</xdr:rowOff>
        </xdr:from>
        <xdr:to>
          <xdr:col>7</xdr:col>
          <xdr:colOff>733425</xdr:colOff>
          <xdr:row>3</xdr:row>
          <xdr:rowOff>0</xdr:rowOff>
        </xdr:to>
        <xdr:sp macro="" textlink="">
          <xdr:nvSpPr>
            <xdr:cNvPr id="7169" name="Button 1" hidden="1">
              <a:extLst>
                <a:ext uri="{63B3BB69-23CF-44E3-9099-C40C66FF867C}">
                  <a14:compatExt spid="_x0000_s7169"/>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200" b="1" i="0" u="none" strike="noStrike" baseline="0">
                  <a:solidFill>
                    <a:srgbClr val="FF0000"/>
                  </a:solidFill>
                  <a:latin typeface="Helv"/>
                </a:rPr>
                <a:t>PRINT ALL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rtner\AppData\Local\Microsoft\Windows\Temporary%20Internet%20Files\Content.Outlook\HWEV2KFM\Copy%20of%20TFR_Req_7_2016_Prepay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General%20Accounting\Sr%20Accountant\COMMERCIAL%20PAPER\COMMERCIAL%20PAPER\COMM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General%20Accounting\Sr%20Accountant\COMMERCIAL%20PAPER\COMMERCIAL%20PAPER\COMM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artner\AppData\Local\Microsoft\Windows\Temporary%20Internet%20Files\Content.Outlook\HWEV2KFM\2016\Prepaid%20Fuel%20165400%2012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Hartner\AppData\Local\Microsoft\Windows\Temporary%20Internet%20Files\Content.Outlook\HWEV2KFM\2015\Prepaid%20Fuel%20165400%2012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ayments 2015-2016"/>
      <sheetName val="165100-2016"/>
      <sheetName val="165100-2015"/>
      <sheetName val="165200-2016"/>
      <sheetName val="165200-2015"/>
      <sheetName val="165300"/>
      <sheetName val="165350"/>
      <sheetName val="165351"/>
      <sheetName val="165352"/>
      <sheetName val="165900"/>
      <sheetName val="165600"/>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2016"/>
    </sheetNames>
    <definedNames>
      <definedName name="printall.printall"/>
    </defined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2015"/>
    </sheetNames>
    <definedNames>
      <definedName name="printall.printall"/>
    </defined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oal"/>
      <sheetName val="Post-Coal"/>
      <sheetName val="PP-Oil"/>
      <sheetName val="PP-Ammonia"/>
      <sheetName val="PP-Lime"/>
      <sheetName val="PP-PAC"/>
      <sheetName val="AP"/>
    </sheetNames>
    <sheetDataSet>
      <sheetData sheetId="0">
        <row r="41">
          <cell r="B41">
            <v>401982.83</v>
          </cell>
          <cell r="C41">
            <v>-47534.53</v>
          </cell>
          <cell r="D41">
            <v>-172675.49</v>
          </cell>
        </row>
        <row r="92">
          <cell r="G92">
            <v>60480.917000002461</v>
          </cell>
        </row>
      </sheetData>
      <sheetData sheetId="1">
        <row r="19">
          <cell r="M19">
            <v>801026.42366399989</v>
          </cell>
        </row>
      </sheetData>
      <sheetData sheetId="2">
        <row r="33">
          <cell r="C33">
            <v>28355.74</v>
          </cell>
          <cell r="D33">
            <v>-27396.86</v>
          </cell>
          <cell r="E33">
            <v>-28355.74</v>
          </cell>
          <cell r="F33">
            <v>28355.74</v>
          </cell>
        </row>
        <row r="88">
          <cell r="H88">
            <v>69451.573999999702</v>
          </cell>
        </row>
      </sheetData>
      <sheetData sheetId="3">
        <row r="33">
          <cell r="C33">
            <v>6237.99</v>
          </cell>
          <cell r="D33">
            <v>-6335.91</v>
          </cell>
        </row>
        <row r="89">
          <cell r="H89">
            <v>14708.087000000232</v>
          </cell>
        </row>
      </sheetData>
      <sheetData sheetId="4">
        <row r="33">
          <cell r="C33">
            <v>31494.21</v>
          </cell>
          <cell r="D33">
            <v>-31988.49</v>
          </cell>
          <cell r="E33">
            <v>-31494.21</v>
          </cell>
          <cell r="F33">
            <v>31494.21</v>
          </cell>
        </row>
        <row r="89">
          <cell r="H89">
            <v>66671.290000001958</v>
          </cell>
        </row>
      </sheetData>
      <sheetData sheetId="5">
        <row r="33">
          <cell r="C33">
            <v>13865.53</v>
          </cell>
          <cell r="D33">
            <v>-8234.4</v>
          </cell>
          <cell r="E33">
            <v>-13865.53</v>
          </cell>
          <cell r="F33">
            <v>13865.53</v>
          </cell>
        </row>
        <row r="84">
          <cell r="H84">
            <v>78412.011999999682</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5400"/>
      <sheetName val="Pre-Coal"/>
      <sheetName val="Post-Coal"/>
      <sheetName val="PP-Oil"/>
      <sheetName val="PP-Ammonia"/>
      <sheetName val="PP-Lime"/>
      <sheetName val="PP-PAC"/>
      <sheetName val="AP"/>
    </sheetNames>
    <sheetDataSet>
      <sheetData sheetId="0"/>
      <sheetData sheetId="1">
        <row r="41">
          <cell r="B41">
            <v>401982.83</v>
          </cell>
          <cell r="C41">
            <v>-47534.53</v>
          </cell>
          <cell r="D41">
            <v>-172675.49</v>
          </cell>
        </row>
        <row r="80">
          <cell r="G80">
            <v>-46011.722999995109</v>
          </cell>
        </row>
      </sheetData>
      <sheetData sheetId="2">
        <row r="19">
          <cell r="M19">
            <v>801026.42366399989</v>
          </cell>
        </row>
      </sheetData>
      <sheetData sheetId="3">
        <row r="33">
          <cell r="C33">
            <v>28355.74</v>
          </cell>
          <cell r="D33">
            <v>-27396.86</v>
          </cell>
          <cell r="E33">
            <v>-28355.74</v>
          </cell>
          <cell r="F33">
            <v>28355.74</v>
          </cell>
        </row>
        <row r="72">
          <cell r="H72">
            <v>77008.483999999909</v>
          </cell>
        </row>
      </sheetData>
      <sheetData sheetId="4">
        <row r="33">
          <cell r="C33">
            <v>6237.99</v>
          </cell>
          <cell r="D33">
            <v>-6335.91</v>
          </cell>
        </row>
        <row r="71">
          <cell r="H71">
            <v>17828.740000000224</v>
          </cell>
        </row>
      </sheetData>
      <sheetData sheetId="5">
        <row r="33">
          <cell r="C33">
            <v>31494.21</v>
          </cell>
          <cell r="D33">
            <v>-31988.49</v>
          </cell>
          <cell r="E33">
            <v>-31494.21</v>
          </cell>
          <cell r="F33">
            <v>31494.21</v>
          </cell>
        </row>
        <row r="70">
          <cell r="H70">
            <v>41358.840000001481</v>
          </cell>
        </row>
      </sheetData>
      <sheetData sheetId="6">
        <row r="33">
          <cell r="C33">
            <v>13865.53</v>
          </cell>
          <cell r="D33">
            <v>-8234.4</v>
          </cell>
          <cell r="E33">
            <v>-13865.53</v>
          </cell>
          <cell r="F33">
            <v>13865.53</v>
          </cell>
        </row>
        <row r="73">
          <cell r="H73">
            <v>105482.0619999999</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workbookViewId="0">
      <selection activeCell="G9" sqref="G9"/>
    </sheetView>
  </sheetViews>
  <sheetFormatPr defaultRowHeight="15"/>
  <cols>
    <col min="1" max="1" width="29.85546875" style="1" bestFit="1" customWidth="1"/>
    <col min="2" max="2" width="7" style="1" bestFit="1" customWidth="1"/>
    <col min="3" max="3" width="19.85546875" style="1" bestFit="1" customWidth="1"/>
    <col min="4" max="4" width="2.5703125" style="1" customWidth="1"/>
    <col min="5" max="5" width="19.85546875" style="1" bestFit="1" customWidth="1"/>
    <col min="6" max="6" width="3" style="1" customWidth="1"/>
    <col min="7" max="7" width="20.5703125" style="1" bestFit="1" customWidth="1"/>
    <col min="8" max="8" width="2.85546875" style="1" customWidth="1"/>
    <col min="9" max="9" width="122.5703125" style="277" bestFit="1" customWidth="1"/>
    <col min="10" max="16384" width="9.140625" style="1"/>
  </cols>
  <sheetData>
    <row r="1" spans="1:9">
      <c r="A1" s="278"/>
      <c r="B1" s="278"/>
      <c r="C1" s="279">
        <v>42735</v>
      </c>
      <c r="D1" s="280"/>
      <c r="E1" s="279">
        <v>42369</v>
      </c>
      <c r="F1" s="281"/>
      <c r="G1" s="282" t="s">
        <v>23</v>
      </c>
      <c r="H1" s="283"/>
      <c r="I1" s="276" t="s">
        <v>24</v>
      </c>
    </row>
    <row r="2" spans="1:9">
      <c r="A2" s="278" t="s">
        <v>0</v>
      </c>
      <c r="B2" s="278" t="s">
        <v>1</v>
      </c>
      <c r="C2" s="284">
        <v>2447522.2200000002</v>
      </c>
      <c r="D2" s="284"/>
      <c r="E2" s="284">
        <v>2707413.04</v>
      </c>
      <c r="F2" s="285"/>
      <c r="G2" s="285">
        <f>C2-E2</f>
        <v>-259890.81999999983</v>
      </c>
      <c r="H2" s="281"/>
      <c r="I2" s="277" t="s">
        <v>502</v>
      </c>
    </row>
    <row r="3" spans="1:9">
      <c r="A3" s="278" t="s">
        <v>2</v>
      </c>
      <c r="B3" s="278" t="s">
        <v>3</v>
      </c>
      <c r="C3" s="284">
        <v>5149.17</v>
      </c>
      <c r="D3" s="284"/>
      <c r="E3" s="284">
        <v>6040.97</v>
      </c>
      <c r="F3" s="285"/>
      <c r="G3" s="285">
        <f t="shared" ref="G3:G12" si="0">C3-E3</f>
        <v>-891.80000000000018</v>
      </c>
      <c r="H3" s="281"/>
      <c r="I3" s="277" t="s">
        <v>502</v>
      </c>
    </row>
    <row r="4" spans="1:9">
      <c r="A4" s="278" t="s">
        <v>4</v>
      </c>
      <c r="B4" s="278" t="s">
        <v>5</v>
      </c>
      <c r="C4" s="284">
        <v>785791.47</v>
      </c>
      <c r="D4" s="284"/>
      <c r="E4" s="284">
        <v>709366.33</v>
      </c>
      <c r="F4" s="285"/>
      <c r="G4" s="285">
        <f t="shared" si="0"/>
        <v>76425.140000000014</v>
      </c>
      <c r="H4" s="281"/>
      <c r="I4" s="277" t="s">
        <v>41</v>
      </c>
    </row>
    <row r="5" spans="1:9">
      <c r="A5" s="278" t="s">
        <v>6</v>
      </c>
      <c r="B5" s="278" t="s">
        <v>7</v>
      </c>
      <c r="C5" s="284">
        <v>1376423</v>
      </c>
      <c r="D5" s="284"/>
      <c r="E5" s="284">
        <v>1631423</v>
      </c>
      <c r="F5" s="285"/>
      <c r="G5" s="285">
        <f t="shared" si="0"/>
        <v>-255000</v>
      </c>
      <c r="H5" s="281"/>
      <c r="I5" s="277" t="s">
        <v>502</v>
      </c>
    </row>
    <row r="6" spans="1:9">
      <c r="A6" s="278" t="s">
        <v>8</v>
      </c>
      <c r="B6" s="278" t="s">
        <v>9</v>
      </c>
      <c r="C6" s="284">
        <v>857280</v>
      </c>
      <c r="D6" s="284"/>
      <c r="E6" s="284">
        <v>857280</v>
      </c>
      <c r="F6" s="285"/>
      <c r="G6" s="285">
        <f t="shared" si="0"/>
        <v>0</v>
      </c>
      <c r="H6" s="281"/>
      <c r="I6" s="277" t="s">
        <v>503</v>
      </c>
    </row>
    <row r="7" spans="1:9">
      <c r="A7" s="278" t="s">
        <v>10</v>
      </c>
      <c r="B7" s="278" t="s">
        <v>11</v>
      </c>
      <c r="C7" s="284">
        <v>141201.49</v>
      </c>
      <c r="D7" s="284"/>
      <c r="E7" s="284">
        <v>144485.29</v>
      </c>
      <c r="F7" s="285"/>
      <c r="G7" s="285">
        <f t="shared" si="0"/>
        <v>-3283.8000000000175</v>
      </c>
      <c r="H7" s="281"/>
      <c r="I7" s="277" t="s">
        <v>502</v>
      </c>
    </row>
    <row r="8" spans="1:9">
      <c r="A8" s="278" t="s">
        <v>12</v>
      </c>
      <c r="B8" s="278" t="s">
        <v>13</v>
      </c>
      <c r="C8" s="284">
        <v>1659637.53</v>
      </c>
      <c r="D8" s="284"/>
      <c r="E8" s="284">
        <v>1010751.03</v>
      </c>
      <c r="F8" s="285"/>
      <c r="G8" s="290">
        <f t="shared" si="0"/>
        <v>648886.5</v>
      </c>
      <c r="H8" s="281"/>
      <c r="I8" s="277" t="s">
        <v>833</v>
      </c>
    </row>
    <row r="9" spans="1:9" ht="30">
      <c r="A9" s="278" t="s">
        <v>14</v>
      </c>
      <c r="B9" s="278" t="s">
        <v>15</v>
      </c>
      <c r="C9" s="284">
        <v>1557159.58</v>
      </c>
      <c r="D9" s="284"/>
      <c r="E9" s="284">
        <v>1291417</v>
      </c>
      <c r="F9" s="285"/>
      <c r="G9" s="290">
        <f t="shared" si="0"/>
        <v>265742.58000000007</v>
      </c>
      <c r="H9" s="281"/>
      <c r="I9" s="277" t="s">
        <v>834</v>
      </c>
    </row>
    <row r="10" spans="1:9" ht="45">
      <c r="A10" s="278" t="s">
        <v>16</v>
      </c>
      <c r="B10" s="278" t="s">
        <v>17</v>
      </c>
      <c r="C10" s="284">
        <v>386653.84</v>
      </c>
      <c r="D10" s="284"/>
      <c r="E10" s="284">
        <v>135060.95000000001</v>
      </c>
      <c r="F10" s="285"/>
      <c r="G10" s="290">
        <f t="shared" si="0"/>
        <v>251592.89</v>
      </c>
      <c r="H10" s="281"/>
      <c r="I10" s="277" t="s">
        <v>714</v>
      </c>
    </row>
    <row r="11" spans="1:9">
      <c r="A11" s="278" t="s">
        <v>18</v>
      </c>
      <c r="B11" s="278" t="s">
        <v>19</v>
      </c>
      <c r="C11" s="284">
        <v>43903.49</v>
      </c>
      <c r="D11" s="284"/>
      <c r="E11" s="284">
        <v>22312.2</v>
      </c>
      <c r="F11" s="285"/>
      <c r="G11" s="290">
        <f t="shared" si="0"/>
        <v>21591.289999999997</v>
      </c>
      <c r="H11" s="281"/>
      <c r="I11" s="277" t="s">
        <v>832</v>
      </c>
    </row>
    <row r="12" spans="1:9">
      <c r="A12" s="278" t="s">
        <v>20</v>
      </c>
      <c r="B12" s="278" t="s">
        <v>21</v>
      </c>
      <c r="C12" s="286">
        <v>107725.81</v>
      </c>
      <c r="D12" s="284"/>
      <c r="E12" s="286">
        <v>173191.29</v>
      </c>
      <c r="F12" s="285"/>
      <c r="G12" s="287">
        <f t="shared" si="0"/>
        <v>-65465.48000000001</v>
      </c>
      <c r="H12" s="281"/>
      <c r="I12" s="277" t="s">
        <v>502</v>
      </c>
    </row>
    <row r="13" spans="1:9">
      <c r="A13" s="278" t="s">
        <v>22</v>
      </c>
      <c r="B13" s="278"/>
      <c r="C13" s="288">
        <v>9368447.5999999996</v>
      </c>
      <c r="D13" s="288"/>
      <c r="E13" s="288">
        <v>8688741.0999999978</v>
      </c>
      <c r="F13" s="289"/>
      <c r="G13" s="289">
        <f>SUM(G2:G12)</f>
        <v>679706.50000000035</v>
      </c>
      <c r="H13" s="281"/>
    </row>
    <row r="14" spans="1:9">
      <c r="A14" s="281"/>
      <c r="B14" s="281"/>
      <c r="C14" s="285"/>
      <c r="D14" s="285"/>
      <c r="E14" s="285"/>
      <c r="F14" s="285"/>
      <c r="G14" s="285"/>
      <c r="H14" s="281"/>
    </row>
    <row r="15" spans="1:9">
      <c r="A15" s="281"/>
      <c r="B15" s="281"/>
      <c r="C15" s="285"/>
      <c r="D15" s="285"/>
      <c r="E15" s="285"/>
      <c r="F15" s="285"/>
      <c r="G15" s="285"/>
      <c r="H15" s="281"/>
    </row>
    <row r="16" spans="1:9">
      <c r="A16" s="281"/>
      <c r="B16" s="281"/>
      <c r="C16" s="281"/>
      <c r="D16" s="281"/>
      <c r="E16" s="281"/>
      <c r="F16" s="281"/>
      <c r="G16" s="281"/>
      <c r="H16" s="281"/>
    </row>
    <row r="17" spans="1:8">
      <c r="A17" s="281"/>
      <c r="B17" s="281"/>
      <c r="C17" s="281"/>
      <c r="D17" s="281"/>
      <c r="E17" s="281"/>
      <c r="F17" s="281"/>
      <c r="G17" s="281"/>
      <c r="H17" s="281"/>
    </row>
    <row r="18" spans="1:8">
      <c r="A18" s="281"/>
      <c r="B18" s="281"/>
      <c r="C18" s="281"/>
      <c r="D18" s="281"/>
      <c r="E18" s="281"/>
      <c r="F18" s="281"/>
      <c r="G18" s="281"/>
      <c r="H18" s="281"/>
    </row>
  </sheetData>
  <printOptions gridLines="1"/>
  <pageMargins left="0.45" right="0.45" top="1" bottom="0.75" header="0.3" footer="0.3"/>
  <pageSetup scale="56" fitToHeight="1000" orientation="landscape" r:id="rId1"/>
  <headerFooter>
    <oddHeader>&amp;C&amp;F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1"/>
  <sheetViews>
    <sheetView workbookViewId="0"/>
  </sheetViews>
  <sheetFormatPr defaultRowHeight="12.75"/>
  <cols>
    <col min="1" max="1" width="7.28515625" style="307" bestFit="1" customWidth="1"/>
    <col min="2" max="2" width="14.28515625" style="308" customWidth="1"/>
    <col min="3" max="3" width="1.5703125" style="308" customWidth="1"/>
    <col min="4" max="4" width="13" style="308" bestFit="1" customWidth="1"/>
    <col min="5" max="5" width="1.5703125" style="308" customWidth="1"/>
    <col min="6" max="6" width="14.5703125" style="308" bestFit="1" customWidth="1"/>
    <col min="7" max="7" width="1.5703125" style="308" customWidth="1"/>
    <col min="8" max="8" width="18.140625" style="308" customWidth="1"/>
    <col min="9" max="9" width="1.28515625" style="308" customWidth="1"/>
    <col min="10" max="10" width="14.5703125" style="308" customWidth="1"/>
    <col min="11" max="11" width="7.140625" style="308" bestFit="1" customWidth="1"/>
    <col min="12" max="12" width="17.28515625" style="308" bestFit="1" customWidth="1"/>
    <col min="13" max="13" width="8.140625" style="308" customWidth="1"/>
    <col min="14" max="14" width="15.85546875" style="308" customWidth="1"/>
    <col min="15" max="15" width="7.7109375" style="308" customWidth="1"/>
    <col min="16" max="16" width="17.7109375" style="308" customWidth="1"/>
    <col min="17" max="16384" width="9.140625" style="308"/>
  </cols>
  <sheetData>
    <row r="1" spans="1:16" s="292" customFormat="1" ht="15">
      <c r="A1" s="291"/>
      <c r="B1" s="292" t="s">
        <v>715</v>
      </c>
      <c r="L1" s="292" t="s">
        <v>716</v>
      </c>
      <c r="M1" s="293"/>
      <c r="N1" s="292" t="s">
        <v>717</v>
      </c>
      <c r="O1" s="293"/>
      <c r="P1" s="292" t="s">
        <v>718</v>
      </c>
    </row>
    <row r="2" spans="1:16" s="292" customFormat="1" ht="15">
      <c r="A2" s="291"/>
      <c r="B2" s="294" t="s">
        <v>719</v>
      </c>
      <c r="C2" s="294"/>
      <c r="D2" s="295" t="s">
        <v>720</v>
      </c>
      <c r="E2" s="295"/>
      <c r="F2" s="295"/>
      <c r="G2" s="295"/>
      <c r="H2" s="295"/>
      <c r="I2" s="295"/>
      <c r="J2" s="295"/>
      <c r="L2" s="294" t="s">
        <v>721</v>
      </c>
      <c r="M2" s="293"/>
      <c r="N2" s="292" t="s">
        <v>722</v>
      </c>
      <c r="O2" s="293"/>
      <c r="P2" s="294" t="s">
        <v>721</v>
      </c>
    </row>
    <row r="3" spans="1:16" s="292" customFormat="1" ht="15.75" thickBot="1">
      <c r="A3" s="291"/>
      <c r="B3" s="296" t="s">
        <v>723</v>
      </c>
      <c r="C3" s="296"/>
      <c r="D3" s="297" t="s">
        <v>724</v>
      </c>
      <c r="E3" s="297"/>
      <c r="F3" s="297" t="s">
        <v>725</v>
      </c>
      <c r="G3" s="297"/>
      <c r="H3" s="297" t="s">
        <v>729</v>
      </c>
      <c r="I3" s="297"/>
      <c r="J3" s="297" t="s">
        <v>726</v>
      </c>
      <c r="L3" s="292">
        <v>2008</v>
      </c>
      <c r="M3" s="293"/>
      <c r="N3" s="292">
        <v>2008</v>
      </c>
      <c r="O3" s="293"/>
      <c r="P3" s="292">
        <v>2009</v>
      </c>
    </row>
    <row r="4" spans="1:16" s="298" customFormat="1" ht="15">
      <c r="A4" s="293"/>
      <c r="B4" s="298">
        <v>135000</v>
      </c>
      <c r="L4" s="298">
        <v>28750</v>
      </c>
      <c r="M4" s="293"/>
      <c r="N4" s="298">
        <v>2447.2199999999998</v>
      </c>
      <c r="O4" s="293"/>
      <c r="P4" s="298">
        <v>4375</v>
      </c>
    </row>
    <row r="5" spans="1:16" s="298" customFormat="1" ht="6" customHeight="1">
      <c r="A5" s="293"/>
      <c r="M5" s="293"/>
      <c r="O5" s="293"/>
    </row>
    <row r="6" spans="1:16" s="298" customFormat="1" ht="15" hidden="1">
      <c r="A6" s="293">
        <v>39814</v>
      </c>
      <c r="B6" s="298">
        <v>-3686.4</v>
      </c>
      <c r="K6" s="293">
        <v>39630</v>
      </c>
      <c r="L6" s="298">
        <v>-11418.64</v>
      </c>
      <c r="M6" s="293">
        <v>39965</v>
      </c>
      <c r="N6" s="298">
        <v>-2447.2199999999998</v>
      </c>
      <c r="O6" s="293">
        <v>39965</v>
      </c>
      <c r="P6" s="298">
        <v>-2187.5</v>
      </c>
    </row>
    <row r="7" spans="1:16" s="298" customFormat="1" ht="15" hidden="1">
      <c r="A7" s="293">
        <v>39845</v>
      </c>
      <c r="B7" s="298">
        <v>-3419.55</v>
      </c>
      <c r="K7" s="293">
        <v>39661</v>
      </c>
      <c r="L7" s="298">
        <v>-8685.3799999999992</v>
      </c>
      <c r="M7" s="293"/>
      <c r="O7" s="293">
        <v>40179</v>
      </c>
      <c r="P7" s="298">
        <v>-2187.5</v>
      </c>
    </row>
    <row r="8" spans="1:16" s="298" customFormat="1" ht="15.75" hidden="1" thickBot="1">
      <c r="A8" s="293">
        <v>39873</v>
      </c>
      <c r="B8" s="298">
        <v>-3697.09</v>
      </c>
      <c r="K8" s="293">
        <v>39692</v>
      </c>
      <c r="L8" s="298">
        <v>-8645.99</v>
      </c>
      <c r="M8" s="293"/>
      <c r="N8" s="299">
        <f>SUM(N4:N7)</f>
        <v>0</v>
      </c>
      <c r="O8" s="293"/>
    </row>
    <row r="9" spans="1:16" s="298" customFormat="1" ht="15.75" hidden="1" thickBot="1">
      <c r="A9" s="293">
        <v>39904</v>
      </c>
      <c r="B9" s="298">
        <v>-2348.21</v>
      </c>
      <c r="K9" s="293">
        <v>39722</v>
      </c>
      <c r="L9" s="298">
        <v>0.01</v>
      </c>
      <c r="M9" s="293"/>
      <c r="O9" s="293"/>
      <c r="P9" s="299">
        <f>SUM(P4:P8)</f>
        <v>0</v>
      </c>
    </row>
    <row r="10" spans="1:16" s="298" customFormat="1" ht="15" hidden="1">
      <c r="A10" s="293">
        <v>39934</v>
      </c>
      <c r="B10" s="300">
        <v>-1601.1</v>
      </c>
      <c r="C10" s="300">
        <v>8655.83</v>
      </c>
      <c r="D10" s="300"/>
      <c r="E10" s="300">
        <v>-8655.83</v>
      </c>
      <c r="F10" s="300"/>
      <c r="G10" s="300"/>
      <c r="H10" s="300"/>
      <c r="I10" s="300"/>
      <c r="J10" s="300"/>
      <c r="M10" s="293"/>
      <c r="O10" s="293"/>
    </row>
    <row r="11" spans="1:16" s="298" customFormat="1" ht="15.75" hidden="1" thickBot="1">
      <c r="A11" s="293">
        <v>39965</v>
      </c>
      <c r="B11" s="298">
        <v>-961.43</v>
      </c>
      <c r="L11" s="299">
        <f>SUM(L4:L10)</f>
        <v>1.6007108832871708E-12</v>
      </c>
      <c r="M11" s="293"/>
      <c r="O11" s="293"/>
    </row>
    <row r="12" spans="1:16" s="298" customFormat="1" ht="15" hidden="1">
      <c r="A12" s="293">
        <v>39995</v>
      </c>
      <c r="B12" s="298">
        <v>-929.81</v>
      </c>
      <c r="M12" s="293"/>
      <c r="O12" s="293"/>
    </row>
    <row r="13" spans="1:16" s="298" customFormat="1" ht="15" hidden="1">
      <c r="A13" s="293">
        <v>40026</v>
      </c>
      <c r="B13" s="298">
        <v>-1290.5999999999999</v>
      </c>
      <c r="M13" s="293"/>
      <c r="O13" s="293"/>
    </row>
    <row r="14" spans="1:16" s="298" customFormat="1" ht="15" hidden="1">
      <c r="A14" s="293">
        <v>40057</v>
      </c>
      <c r="B14" s="298">
        <v>-1420.54</v>
      </c>
      <c r="M14" s="293"/>
      <c r="O14" s="293"/>
    </row>
    <row r="15" spans="1:16" s="298" customFormat="1" ht="15" hidden="1">
      <c r="A15" s="293">
        <v>40087</v>
      </c>
      <c r="B15" s="298">
        <v>-3360.83</v>
      </c>
      <c r="M15" s="293"/>
      <c r="O15" s="293"/>
    </row>
    <row r="16" spans="1:16" s="298" customFormat="1" ht="15" hidden="1">
      <c r="A16" s="293">
        <v>40118</v>
      </c>
      <c r="B16" s="298">
        <v>-3305.36</v>
      </c>
      <c r="M16" s="293"/>
      <c r="O16" s="293"/>
    </row>
    <row r="17" spans="1:15" s="298" customFormat="1" ht="15" hidden="1">
      <c r="A17" s="293">
        <v>40148</v>
      </c>
      <c r="B17" s="298">
        <v>-7729.09</v>
      </c>
      <c r="D17" s="298">
        <v>10000</v>
      </c>
      <c r="M17" s="293"/>
      <c r="O17" s="293"/>
    </row>
    <row r="18" spans="1:15" s="298" customFormat="1" ht="15" hidden="1">
      <c r="A18" s="293">
        <v>40209</v>
      </c>
      <c r="B18" s="298">
        <v>-2580.08</v>
      </c>
      <c r="D18" s="298">
        <v>-833.33</v>
      </c>
      <c r="M18" s="293"/>
      <c r="O18" s="293"/>
    </row>
    <row r="19" spans="1:15" s="298" customFormat="1" ht="15" hidden="1">
      <c r="A19" s="293">
        <v>40237</v>
      </c>
      <c r="B19" s="298">
        <v>-2139.64</v>
      </c>
      <c r="D19" s="298">
        <v>-833.33</v>
      </c>
      <c r="M19" s="293"/>
      <c r="O19" s="293"/>
    </row>
    <row r="20" spans="1:15" s="298" customFormat="1" ht="15" hidden="1">
      <c r="A20" s="293">
        <v>40268</v>
      </c>
      <c r="B20" s="298">
        <v>-4124.8100000000004</v>
      </c>
      <c r="D20" s="298">
        <v>-833.34</v>
      </c>
      <c r="M20" s="293"/>
      <c r="O20" s="293"/>
    </row>
    <row r="21" spans="1:15" s="298" customFormat="1" ht="15" hidden="1">
      <c r="A21" s="293">
        <v>40298</v>
      </c>
      <c r="B21" s="298">
        <v>-3754.91</v>
      </c>
      <c r="D21" s="298">
        <v>-833.33</v>
      </c>
      <c r="M21" s="293"/>
      <c r="O21" s="293"/>
    </row>
    <row r="22" spans="1:15" s="298" customFormat="1" ht="15" hidden="1">
      <c r="A22" s="293">
        <v>40329</v>
      </c>
      <c r="B22" s="298">
        <v>-2985.41</v>
      </c>
      <c r="D22" s="298">
        <v>-833.33</v>
      </c>
      <c r="M22" s="293"/>
      <c r="O22" s="293"/>
    </row>
    <row r="23" spans="1:15" s="298" customFormat="1" ht="15" hidden="1">
      <c r="A23" s="293">
        <v>40359</v>
      </c>
      <c r="B23" s="298">
        <v>-2901.49</v>
      </c>
      <c r="D23" s="298">
        <v>-833.34</v>
      </c>
      <c r="M23" s="293"/>
      <c r="O23" s="293"/>
    </row>
    <row r="24" spans="1:15" s="298" customFormat="1" ht="15" hidden="1">
      <c r="A24" s="293">
        <v>40390</v>
      </c>
      <c r="B24" s="298">
        <v>-2321.5500000000002</v>
      </c>
      <c r="D24" s="298">
        <v>-833.33</v>
      </c>
      <c r="M24" s="293"/>
      <c r="O24" s="293"/>
    </row>
    <row r="25" spans="1:15" s="298" customFormat="1" ht="15" hidden="1">
      <c r="A25" s="293">
        <v>40421</v>
      </c>
      <c r="B25" s="298">
        <v>-2660.06</v>
      </c>
      <c r="D25" s="298">
        <v>-833.33</v>
      </c>
      <c r="M25" s="293"/>
      <c r="O25" s="293"/>
    </row>
    <row r="26" spans="1:15" s="298" customFormat="1" ht="15" hidden="1">
      <c r="A26" s="293">
        <v>40451</v>
      </c>
      <c r="B26" s="298">
        <v>-2878.76</v>
      </c>
      <c r="D26" s="298">
        <v>-833.34</v>
      </c>
      <c r="M26" s="293"/>
      <c r="O26" s="293"/>
    </row>
    <row r="27" spans="1:15" s="298" customFormat="1" ht="15" hidden="1">
      <c r="A27" s="293">
        <v>40482</v>
      </c>
      <c r="B27" s="298">
        <v>-3308.51</v>
      </c>
      <c r="D27" s="298">
        <v>-833.33</v>
      </c>
      <c r="M27" s="293"/>
      <c r="O27" s="293"/>
    </row>
    <row r="28" spans="1:15" s="298" customFormat="1" ht="15" hidden="1">
      <c r="A28" s="293">
        <v>40512</v>
      </c>
      <c r="B28" s="298">
        <v>-3767.29</v>
      </c>
      <c r="D28" s="298">
        <v>-833.33</v>
      </c>
      <c r="F28" s="298">
        <v>53865</v>
      </c>
      <c r="M28" s="293"/>
      <c r="O28" s="293"/>
    </row>
    <row r="29" spans="1:15" s="298" customFormat="1" ht="15" hidden="1">
      <c r="A29" s="293">
        <v>40522</v>
      </c>
      <c r="B29" s="298">
        <v>-327.49</v>
      </c>
      <c r="D29" s="298">
        <v>-833.34</v>
      </c>
      <c r="F29" s="298">
        <v>-53865</v>
      </c>
      <c r="M29" s="293"/>
      <c r="O29" s="293"/>
    </row>
    <row r="30" spans="1:15" s="298" customFormat="1" ht="15" hidden="1">
      <c r="A30" s="293">
        <v>40554</v>
      </c>
      <c r="B30" s="298">
        <v>-3170.25</v>
      </c>
      <c r="D30" s="298">
        <f>-1078.49+12941.88</f>
        <v>11863.39</v>
      </c>
      <c r="F30" s="298">
        <f>-53865+53865+53865</f>
        <v>53865</v>
      </c>
      <c r="M30" s="293"/>
      <c r="O30" s="293"/>
    </row>
    <row r="31" spans="1:15" s="298" customFormat="1" ht="15" hidden="1">
      <c r="A31" s="293">
        <v>40585</v>
      </c>
      <c r="B31" s="298">
        <v>-3170.25</v>
      </c>
      <c r="D31" s="298">
        <v>-1078.49</v>
      </c>
      <c r="F31" s="298">
        <f>53865-53865</f>
        <v>0</v>
      </c>
      <c r="M31" s="293"/>
      <c r="O31" s="293"/>
    </row>
    <row r="32" spans="1:15" s="298" customFormat="1" ht="15" hidden="1">
      <c r="A32" s="293">
        <v>40613</v>
      </c>
      <c r="B32" s="298">
        <v>-3266.89</v>
      </c>
      <c r="D32" s="298">
        <v>-1078.49</v>
      </c>
      <c r="F32" s="298">
        <f>53865-53865</f>
        <v>0</v>
      </c>
      <c r="M32" s="293"/>
      <c r="O32" s="293"/>
    </row>
    <row r="33" spans="1:15" s="298" customFormat="1" ht="15" hidden="1">
      <c r="A33" s="293">
        <v>40644</v>
      </c>
      <c r="B33" s="298">
        <v>-4156.25</v>
      </c>
      <c r="D33" s="298">
        <v>-1078.49</v>
      </c>
      <c r="M33" s="293"/>
      <c r="O33" s="293"/>
    </row>
    <row r="34" spans="1:15" s="298" customFormat="1" ht="15" hidden="1">
      <c r="A34" s="293">
        <v>40674</v>
      </c>
      <c r="B34" s="298">
        <v>-3293.78</v>
      </c>
      <c r="D34" s="298">
        <v>-1078.48</v>
      </c>
      <c r="M34" s="293"/>
      <c r="O34" s="293"/>
    </row>
    <row r="35" spans="1:15" s="298" customFormat="1" ht="15" hidden="1">
      <c r="A35" s="293">
        <v>40695</v>
      </c>
      <c r="B35" s="298">
        <v>-2985.98</v>
      </c>
      <c r="D35" s="298">
        <v>-1078.49</v>
      </c>
      <c r="M35" s="293"/>
      <c r="O35" s="293"/>
    </row>
    <row r="36" spans="1:15" s="298" customFormat="1" ht="15" hidden="1">
      <c r="A36" s="293">
        <v>40735</v>
      </c>
      <c r="B36" s="298">
        <v>-2321.5500000000002</v>
      </c>
      <c r="D36" s="298">
        <v>-1078.49</v>
      </c>
      <c r="F36" s="298">
        <f>53865-53865</f>
        <v>0</v>
      </c>
      <c r="M36" s="293"/>
      <c r="O36" s="293"/>
    </row>
    <row r="37" spans="1:15" s="298" customFormat="1" ht="15" hidden="1">
      <c r="A37" s="293">
        <v>40766</v>
      </c>
      <c r="B37" s="298">
        <v>-6386.4</v>
      </c>
      <c r="D37" s="298">
        <v>-1078.49</v>
      </c>
      <c r="F37" s="298">
        <f>53865-53865</f>
        <v>0</v>
      </c>
      <c r="M37" s="293"/>
      <c r="O37" s="293"/>
    </row>
    <row r="38" spans="1:15" s="298" customFormat="1" ht="15" hidden="1">
      <c r="A38" s="293">
        <v>40797</v>
      </c>
      <c r="B38" s="298">
        <v>-1980.11</v>
      </c>
      <c r="D38" s="298">
        <v>-1078.49</v>
      </c>
      <c r="M38" s="293"/>
      <c r="O38" s="293"/>
    </row>
    <row r="39" spans="1:15" s="298" customFormat="1" ht="15" hidden="1">
      <c r="A39" s="293">
        <v>40827</v>
      </c>
      <c r="B39" s="298">
        <v>-3623.74</v>
      </c>
      <c r="D39" s="298">
        <v>-1078.49</v>
      </c>
      <c r="F39" s="298">
        <f>-53865+53865</f>
        <v>0</v>
      </c>
      <c r="J39" s="298">
        <f>+'[4]Pre-Coal'!G92+'[4]Post-Coal'!M19+'[4]PP-Oil'!H88+'[4]PP-Ammonia'!H89+'[4]PP-Lime'!H89+'[4]PP-PAC'!H84</f>
        <v>1090750.3036640037</v>
      </c>
      <c r="M39" s="293"/>
      <c r="O39" s="293"/>
    </row>
    <row r="40" spans="1:15" s="298" customFormat="1" ht="15" hidden="1">
      <c r="A40" s="293">
        <v>40858</v>
      </c>
      <c r="B40" s="298">
        <v>-3997.24</v>
      </c>
      <c r="D40" s="298">
        <v>-1078.49</v>
      </c>
      <c r="M40" s="293"/>
      <c r="O40" s="293"/>
    </row>
    <row r="41" spans="1:15" s="298" customFormat="1" ht="15" hidden="1">
      <c r="A41" s="293">
        <v>40888</v>
      </c>
      <c r="B41" s="298">
        <v>-4.28</v>
      </c>
      <c r="D41" s="298">
        <v>-1078.5</v>
      </c>
      <c r="F41" s="298">
        <f>53865-53865</f>
        <v>0</v>
      </c>
      <c r="M41" s="293"/>
      <c r="O41" s="293"/>
    </row>
    <row r="42" spans="1:15" s="298" customFormat="1" ht="15" hidden="1">
      <c r="A42" s="293">
        <v>40920</v>
      </c>
      <c r="B42" s="298">
        <f>-4014.56-1683</f>
        <v>-5697.5599999999995</v>
      </c>
      <c r="D42" s="298">
        <v>0</v>
      </c>
      <c r="M42" s="293"/>
      <c r="O42" s="293"/>
    </row>
    <row r="43" spans="1:15" s="298" customFormat="1" ht="15" hidden="1">
      <c r="A43" s="293">
        <v>40951</v>
      </c>
      <c r="B43" s="298">
        <v>-3236.4</v>
      </c>
      <c r="D43" s="298">
        <f>12919.49-1076.62-1076.62</f>
        <v>10766.25</v>
      </c>
      <c r="M43" s="293"/>
      <c r="O43" s="293"/>
    </row>
    <row r="44" spans="1:15" s="298" customFormat="1" ht="15" hidden="1">
      <c r="A44" s="293">
        <v>40980</v>
      </c>
      <c r="B44" s="298">
        <v>-2560.5</v>
      </c>
      <c r="D44" s="298">
        <v>-1076.6199999999999</v>
      </c>
      <c r="M44" s="293"/>
      <c r="O44" s="293"/>
    </row>
    <row r="45" spans="1:15" s="298" customFormat="1" ht="15" hidden="1">
      <c r="A45" s="293">
        <v>41011</v>
      </c>
      <c r="B45" s="298">
        <f>-3721.39-11822.94</f>
        <v>-15544.33</v>
      </c>
      <c r="D45" s="298">
        <v>-1076.6199999999999</v>
      </c>
      <c r="M45" s="293"/>
      <c r="O45" s="293"/>
    </row>
    <row r="46" spans="1:15" s="298" customFormat="1" ht="15" hidden="1">
      <c r="A46" s="293">
        <v>41041</v>
      </c>
      <c r="B46" s="298">
        <v>-3778.43</v>
      </c>
      <c r="D46" s="298">
        <v>-1076.6199999999999</v>
      </c>
      <c r="M46" s="293"/>
      <c r="O46" s="293"/>
    </row>
    <row r="47" spans="1:15" s="298" customFormat="1" ht="15" hidden="1">
      <c r="A47" s="293">
        <v>41061</v>
      </c>
      <c r="B47" s="298">
        <v>-3427.43</v>
      </c>
      <c r="D47" s="298">
        <v>-1076.6199999999999</v>
      </c>
      <c r="M47" s="293"/>
      <c r="O47" s="293"/>
    </row>
    <row r="48" spans="1:15" s="298" customFormat="1" ht="15" hidden="1">
      <c r="A48" s="293">
        <v>41091</v>
      </c>
      <c r="B48" s="298">
        <f>-2377.91+23732.46</f>
        <v>21354.55</v>
      </c>
      <c r="D48" s="298">
        <v>-1076.6199999999999</v>
      </c>
      <c r="M48" s="293"/>
      <c r="O48" s="293"/>
    </row>
    <row r="49" spans="1:16" s="298" customFormat="1" ht="15" hidden="1">
      <c r="A49" s="293">
        <v>41133</v>
      </c>
      <c r="B49" s="298">
        <v>-2127.83</v>
      </c>
      <c r="D49" s="298">
        <v>-1076.6199999999999</v>
      </c>
      <c r="F49" s="298">
        <f>-53865+53865</f>
        <v>0</v>
      </c>
      <c r="M49" s="293"/>
      <c r="O49" s="293"/>
    </row>
    <row r="50" spans="1:16" s="298" customFormat="1" ht="15" hidden="1">
      <c r="A50" s="293">
        <v>41164</v>
      </c>
      <c r="B50" s="298">
        <v>-1888.09</v>
      </c>
      <c r="C50" s="298">
        <v>-1076.6199999999999</v>
      </c>
      <c r="D50" s="298">
        <v>-1075.6199999999999</v>
      </c>
      <c r="F50" s="298">
        <v>-53865</v>
      </c>
      <c r="M50" s="293"/>
      <c r="O50" s="293"/>
    </row>
    <row r="51" spans="1:16" s="298" customFormat="1" ht="15" hidden="1">
      <c r="A51" s="293">
        <v>41194</v>
      </c>
      <c r="B51" s="298">
        <v>-3043.13</v>
      </c>
      <c r="D51" s="298">
        <v>-1076.6199999999999</v>
      </c>
      <c r="M51" s="293"/>
      <c r="O51" s="293"/>
    </row>
    <row r="52" spans="1:16" s="298" customFormat="1" ht="15" hidden="1">
      <c r="A52" s="293">
        <v>41225</v>
      </c>
      <c r="B52" s="298">
        <v>-3465.68</v>
      </c>
      <c r="D52" s="298">
        <v>-1076.6199999999999</v>
      </c>
      <c r="M52" s="293"/>
      <c r="O52" s="293"/>
    </row>
    <row r="53" spans="1:16" s="298" customFormat="1" ht="15" hidden="1">
      <c r="A53" s="293">
        <v>41255</v>
      </c>
      <c r="B53" s="298">
        <v>-1313.33</v>
      </c>
      <c r="D53" s="298">
        <v>-1077.67</v>
      </c>
      <c r="M53" s="293"/>
      <c r="O53" s="293"/>
      <c r="P53" s="298">
        <f>+'[4]Pre-Coal'!B41+'[4]Pre-Coal'!C41+'[4]Pre-Coal'!D41+'[4]PP-Oil'!C33+'[4]PP-Oil'!D33+'[4]PP-Oil'!E33+'[4]PP-Oil'!F33+'[4]PP-Ammonia'!C33+'[4]PP-Ammonia'!D33++'[4]PP-Lime'!C33+'[4]PP-Lime'!D33+'[4]PP-Lime'!E33+'[4]PP-Lime'!F33+'[4]PP-PAC'!C33+'[4]PP-PAC'!D33+'[4]PP-PAC'!E33+'[4]PP-PAC'!F33</f>
        <v>187770.62000000005</v>
      </c>
    </row>
    <row r="54" spans="1:16" s="298" customFormat="1" ht="15" hidden="1">
      <c r="A54" s="293">
        <v>41275</v>
      </c>
      <c r="B54" s="298">
        <v>0</v>
      </c>
      <c r="D54" s="298">
        <v>0</v>
      </c>
      <c r="M54" s="293"/>
      <c r="O54" s="293"/>
    </row>
    <row r="55" spans="1:16" s="298" customFormat="1" ht="15" hidden="1">
      <c r="A55" s="293">
        <v>41318</v>
      </c>
      <c r="B55" s="298">
        <v>0</v>
      </c>
      <c r="C55" s="298">
        <v>0</v>
      </c>
      <c r="D55" s="298">
        <v>0</v>
      </c>
      <c r="F55" s="298">
        <v>0</v>
      </c>
      <c r="M55" s="293"/>
      <c r="O55" s="293"/>
    </row>
    <row r="56" spans="1:16" s="298" customFormat="1" ht="15" hidden="1">
      <c r="A56" s="293">
        <v>41346</v>
      </c>
      <c r="B56" s="298">
        <v>0</v>
      </c>
      <c r="D56" s="298">
        <v>0</v>
      </c>
      <c r="E56" s="298">
        <v>0</v>
      </c>
      <c r="F56" s="298">
        <v>0</v>
      </c>
      <c r="J56" s="298">
        <v>-8576</v>
      </c>
      <c r="M56" s="293"/>
      <c r="O56" s="293"/>
    </row>
    <row r="57" spans="1:16" s="298" customFormat="1" ht="15" hidden="1">
      <c r="A57" s="293">
        <v>41365</v>
      </c>
      <c r="B57" s="298">
        <v>0</v>
      </c>
      <c r="C57" s="298">
        <v>0</v>
      </c>
      <c r="D57" s="298">
        <v>0</v>
      </c>
      <c r="F57" s="298">
        <v>0</v>
      </c>
      <c r="J57" s="298">
        <f>8576-163195.15</f>
        <v>-154619.15</v>
      </c>
      <c r="M57" s="293"/>
      <c r="O57" s="293"/>
    </row>
    <row r="58" spans="1:16" s="298" customFormat="1" ht="15" hidden="1">
      <c r="A58" s="293">
        <v>41395</v>
      </c>
      <c r="F58" s="298">
        <f>-53865+53865</f>
        <v>0</v>
      </c>
      <c r="J58" s="298">
        <v>163195.15</v>
      </c>
      <c r="M58" s="293"/>
      <c r="O58" s="293"/>
    </row>
    <row r="59" spans="1:16" s="298" customFormat="1" ht="15" hidden="1">
      <c r="A59" s="293">
        <v>41438</v>
      </c>
      <c r="B59" s="298">
        <v>0</v>
      </c>
      <c r="D59" s="298">
        <v>0</v>
      </c>
      <c r="F59" s="298">
        <v>0</v>
      </c>
      <c r="M59" s="293"/>
      <c r="O59" s="293"/>
    </row>
    <row r="60" spans="1:16" s="298" customFormat="1" ht="15" hidden="1">
      <c r="A60" s="293">
        <v>41499</v>
      </c>
      <c r="M60" s="293"/>
      <c r="O60" s="293"/>
    </row>
    <row r="61" spans="1:16" s="298" customFormat="1" ht="15" hidden="1">
      <c r="A61" s="293">
        <v>41518</v>
      </c>
      <c r="M61" s="293"/>
      <c r="O61" s="293"/>
    </row>
    <row r="62" spans="1:16" s="298" customFormat="1" ht="15" hidden="1">
      <c r="A62" s="293">
        <v>41560</v>
      </c>
      <c r="M62" s="293"/>
      <c r="O62" s="293"/>
    </row>
    <row r="63" spans="1:16" s="298" customFormat="1" ht="15" hidden="1">
      <c r="A63" s="293">
        <v>41579</v>
      </c>
      <c r="M63" s="293"/>
      <c r="O63" s="293"/>
    </row>
    <row r="64" spans="1:16" s="298" customFormat="1" ht="15" hidden="1">
      <c r="A64" s="293">
        <v>41609</v>
      </c>
      <c r="M64" s="293"/>
      <c r="O64" s="293"/>
    </row>
    <row r="65" spans="1:15" s="298" customFormat="1" ht="15" hidden="1">
      <c r="A65" s="293">
        <v>41653</v>
      </c>
      <c r="M65" s="293"/>
      <c r="O65" s="293"/>
    </row>
    <row r="66" spans="1:15" s="298" customFormat="1" ht="15" hidden="1">
      <c r="A66" s="293">
        <v>41684</v>
      </c>
      <c r="M66" s="293"/>
      <c r="O66" s="293"/>
    </row>
    <row r="67" spans="1:15" s="298" customFormat="1" ht="15" hidden="1">
      <c r="A67" s="293">
        <v>41712</v>
      </c>
      <c r="B67" s="298">
        <v>-9522.4500000000007</v>
      </c>
      <c r="M67" s="293"/>
      <c r="O67" s="293"/>
    </row>
    <row r="68" spans="1:15" s="298" customFormat="1" ht="15" hidden="1">
      <c r="A68" s="293" t="s">
        <v>727</v>
      </c>
      <c r="M68" s="293"/>
      <c r="O68" s="293"/>
    </row>
    <row r="69" spans="1:15" s="298" customFormat="1" ht="15" hidden="1">
      <c r="A69" s="293">
        <v>41773</v>
      </c>
      <c r="M69" s="293"/>
      <c r="O69" s="293"/>
    </row>
    <row r="70" spans="1:15" s="298" customFormat="1" ht="15" hidden="1">
      <c r="A70" s="293">
        <v>41804</v>
      </c>
      <c r="M70" s="293"/>
      <c r="O70" s="293"/>
    </row>
    <row r="71" spans="1:15" s="298" customFormat="1" ht="15" hidden="1">
      <c r="A71" s="293">
        <v>41834</v>
      </c>
      <c r="M71" s="293"/>
      <c r="O71" s="293"/>
    </row>
    <row r="72" spans="1:15" s="298" customFormat="1" ht="15" hidden="1">
      <c r="A72" s="293">
        <v>41865</v>
      </c>
      <c r="M72" s="293"/>
      <c r="O72" s="293"/>
    </row>
    <row r="73" spans="1:15" s="298" customFormat="1" ht="15" hidden="1">
      <c r="A73" s="293">
        <v>41896</v>
      </c>
      <c r="M73" s="293"/>
      <c r="O73" s="293"/>
    </row>
    <row r="74" spans="1:15" s="298" customFormat="1" ht="15" hidden="1">
      <c r="A74" s="293">
        <v>41926</v>
      </c>
      <c r="B74" s="298">
        <v>-2445</v>
      </c>
      <c r="M74" s="293"/>
      <c r="O74" s="293"/>
    </row>
    <row r="75" spans="1:15" s="298" customFormat="1" ht="15" hidden="1">
      <c r="A75" s="293">
        <v>41957</v>
      </c>
      <c r="M75" s="293"/>
      <c r="O75" s="293"/>
    </row>
    <row r="76" spans="1:15" s="298" customFormat="1" ht="15" hidden="1">
      <c r="A76" s="293">
        <v>41987</v>
      </c>
      <c r="M76" s="293"/>
      <c r="O76" s="293"/>
    </row>
    <row r="77" spans="1:15" s="298" customFormat="1" ht="15" hidden="1">
      <c r="A77" s="293">
        <v>42019</v>
      </c>
      <c r="M77" s="293"/>
      <c r="O77" s="293"/>
    </row>
    <row r="78" spans="1:15" s="298" customFormat="1" ht="15" hidden="1">
      <c r="A78" s="293">
        <v>42050</v>
      </c>
      <c r="B78" s="298">
        <v>-2445</v>
      </c>
      <c r="M78" s="293"/>
      <c r="O78" s="293"/>
    </row>
    <row r="79" spans="1:15" s="298" customFormat="1" ht="15" hidden="1">
      <c r="A79" s="293">
        <v>42078</v>
      </c>
      <c r="B79" s="298">
        <v>9997.34</v>
      </c>
      <c r="M79" s="293"/>
      <c r="O79" s="293"/>
    </row>
    <row r="80" spans="1:15" s="298" customFormat="1" ht="15" hidden="1">
      <c r="A80" s="293">
        <v>42109</v>
      </c>
      <c r="M80" s="293"/>
      <c r="O80" s="293"/>
    </row>
    <row r="81" spans="1:15" s="298" customFormat="1" ht="15" hidden="1">
      <c r="A81" s="293">
        <v>42139</v>
      </c>
      <c r="M81" s="293"/>
      <c r="O81" s="293"/>
    </row>
    <row r="82" spans="1:15" s="298" customFormat="1" ht="15" hidden="1">
      <c r="A82" s="293">
        <v>42156</v>
      </c>
      <c r="M82" s="293"/>
      <c r="O82" s="293"/>
    </row>
    <row r="83" spans="1:15" s="298" customFormat="1" ht="15">
      <c r="A83" s="293">
        <v>42200</v>
      </c>
      <c r="F83" s="298">
        <v>14057.72</v>
      </c>
      <c r="M83" s="293"/>
      <c r="O83" s="293"/>
    </row>
    <row r="84" spans="1:15" s="298" customFormat="1" ht="15">
      <c r="A84" s="293">
        <v>42231</v>
      </c>
      <c r="M84" s="293"/>
      <c r="O84" s="293"/>
    </row>
    <row r="85" spans="1:15" s="298" customFormat="1" ht="15">
      <c r="A85" s="293">
        <v>42262</v>
      </c>
      <c r="M85" s="293"/>
      <c r="O85" s="293"/>
    </row>
    <row r="86" spans="1:15" s="298" customFormat="1" ht="15">
      <c r="A86" s="293">
        <v>42278</v>
      </c>
      <c r="M86" s="293"/>
      <c r="O86" s="293"/>
    </row>
    <row r="87" spans="1:15" s="298" customFormat="1" ht="15">
      <c r="A87" s="293">
        <v>42323</v>
      </c>
      <c r="M87" s="293"/>
      <c r="O87" s="293"/>
    </row>
    <row r="88" spans="1:15" s="298" customFormat="1" ht="15">
      <c r="A88" s="293">
        <v>42353</v>
      </c>
      <c r="M88" s="293"/>
      <c r="O88" s="293"/>
    </row>
    <row r="89" spans="1:15" s="298" customFormat="1" ht="15">
      <c r="A89" s="293">
        <v>42384</v>
      </c>
      <c r="M89" s="293"/>
      <c r="O89" s="293"/>
    </row>
    <row r="90" spans="1:15" s="298" customFormat="1" ht="15">
      <c r="A90" s="293">
        <v>42416</v>
      </c>
      <c r="M90" s="293"/>
      <c r="O90" s="293"/>
    </row>
    <row r="91" spans="1:15" s="298" customFormat="1" ht="15">
      <c r="A91" s="293">
        <v>42445</v>
      </c>
      <c r="M91" s="293"/>
      <c r="O91" s="293"/>
    </row>
    <row r="92" spans="1:15" s="298" customFormat="1" ht="15">
      <c r="A92" s="293">
        <v>42476</v>
      </c>
      <c r="M92" s="293"/>
      <c r="O92" s="293"/>
    </row>
    <row r="93" spans="1:15" s="298" customFormat="1" ht="15">
      <c r="A93" s="293">
        <v>42506</v>
      </c>
      <c r="M93" s="293"/>
      <c r="O93" s="293"/>
    </row>
    <row r="94" spans="1:15" s="298" customFormat="1" ht="15">
      <c r="A94" s="293">
        <v>42537</v>
      </c>
      <c r="M94" s="293"/>
      <c r="O94" s="293"/>
    </row>
    <row r="95" spans="1:15" s="298" customFormat="1" ht="15">
      <c r="A95" s="293">
        <v>42567</v>
      </c>
      <c r="M95" s="293"/>
      <c r="O95" s="293"/>
    </row>
    <row r="96" spans="1:15" s="298" customFormat="1" ht="15">
      <c r="A96" s="293">
        <v>42583</v>
      </c>
      <c r="M96" s="293"/>
      <c r="O96" s="293"/>
    </row>
    <row r="97" spans="1:15" s="298" customFormat="1" ht="15">
      <c r="A97" s="293">
        <v>42659</v>
      </c>
      <c r="H97" s="298">
        <f>539021-179673.67</f>
        <v>359347.32999999996</v>
      </c>
      <c r="M97" s="293"/>
      <c r="O97" s="293"/>
    </row>
    <row r="98" spans="1:15" s="298" customFormat="1" ht="15">
      <c r="A98" s="293">
        <v>42690</v>
      </c>
      <c r="H98" s="298">
        <v>-179673.67</v>
      </c>
      <c r="M98" s="293"/>
      <c r="O98" s="293"/>
    </row>
    <row r="99" spans="1:15" s="298" customFormat="1" ht="15">
      <c r="A99" s="293">
        <v>42720</v>
      </c>
      <c r="H99" s="298">
        <f>-179673.66+554829</f>
        <v>375155.33999999997</v>
      </c>
      <c r="M99" s="293"/>
      <c r="O99" s="293"/>
    </row>
    <row r="100" spans="1:15" s="298" customFormat="1" ht="15">
      <c r="A100" s="293"/>
      <c r="M100" s="293"/>
      <c r="O100" s="293"/>
    </row>
    <row r="101" spans="1:15" s="298" customFormat="1" ht="15">
      <c r="A101" s="293"/>
      <c r="M101" s="293"/>
      <c r="O101" s="293"/>
    </row>
    <row r="102" spans="1:15" s="298" customFormat="1" ht="15.75" thickBot="1">
      <c r="A102" s="293"/>
      <c r="B102" s="301">
        <f>SUM(B4:B101)</f>
        <v>0</v>
      </c>
      <c r="C102" s="302"/>
      <c r="D102" s="301">
        <f>SUM(D4:D101)</f>
        <v>2.7284841053187847E-12</v>
      </c>
      <c r="E102" s="302"/>
      <c r="F102" s="301">
        <f>SUM(F4:F101)</f>
        <v>14057.72</v>
      </c>
      <c r="G102" s="303"/>
      <c r="H102" s="309">
        <f>SUM(H61:H101)</f>
        <v>554828.99999999988</v>
      </c>
      <c r="I102" s="303"/>
      <c r="J102" s="301">
        <f>SUM(J4:J101)</f>
        <v>1090750.3036640037</v>
      </c>
      <c r="L102" s="304">
        <f>SUM(B102:K102)</f>
        <v>1659637.0236640037</v>
      </c>
      <c r="M102" s="293" t="s">
        <v>728</v>
      </c>
      <c r="O102" s="293"/>
    </row>
    <row r="103" spans="1:15" s="298" customFormat="1" ht="15.75" thickTop="1">
      <c r="A103" s="293"/>
      <c r="G103" s="300"/>
      <c r="H103" s="300"/>
      <c r="I103" s="300"/>
      <c r="L103" s="298">
        <v>1659637.53</v>
      </c>
      <c r="M103" s="310">
        <v>42735</v>
      </c>
      <c r="O103" s="293"/>
    </row>
    <row r="104" spans="1:15" s="298" customFormat="1" ht="15">
      <c r="A104" s="293"/>
      <c r="L104" s="298">
        <f>+L102-L103</f>
        <v>-0.50633599632419646</v>
      </c>
      <c r="M104" s="293"/>
      <c r="O104" s="293"/>
    </row>
    <row r="105" spans="1:15" s="298" customFormat="1" ht="15.75" thickBot="1">
      <c r="A105" s="293"/>
      <c r="M105" s="293"/>
      <c r="O105" s="293"/>
    </row>
    <row r="106" spans="1:15" s="298" customFormat="1" ht="15.75" thickTop="1">
      <c r="A106" s="293"/>
      <c r="H106" s="311" t="s">
        <v>730</v>
      </c>
      <c r="I106" s="312"/>
      <c r="J106" s="312"/>
      <c r="K106" s="313"/>
      <c r="L106" s="298">
        <f>+L105+L104</f>
        <v>-0.50633599632419646</v>
      </c>
      <c r="M106" s="293"/>
      <c r="O106" s="293"/>
    </row>
    <row r="107" spans="1:15" s="298" customFormat="1" ht="15.75" thickBot="1">
      <c r="A107" s="293"/>
      <c r="H107" s="314" t="s">
        <v>731</v>
      </c>
      <c r="I107" s="315"/>
      <c r="J107" s="315"/>
      <c r="K107" s="316"/>
      <c r="M107" s="293"/>
      <c r="O107" s="293"/>
    </row>
    <row r="108" spans="1:15" s="298" customFormat="1" ht="15.75" thickTop="1">
      <c r="A108" s="293"/>
      <c r="M108" s="293"/>
      <c r="O108" s="293"/>
    </row>
    <row r="109" spans="1:15" s="298" customFormat="1" ht="15">
      <c r="A109" s="293"/>
      <c r="M109" s="293"/>
      <c r="O109" s="293"/>
    </row>
    <row r="110" spans="1:15" s="298" customFormat="1" ht="15">
      <c r="A110" s="293"/>
      <c r="M110" s="293"/>
      <c r="O110" s="293"/>
    </row>
    <row r="111" spans="1:15" s="298" customFormat="1" ht="15">
      <c r="A111" s="293"/>
      <c r="M111" s="293"/>
      <c r="O111" s="293"/>
    </row>
    <row r="112" spans="1:15" ht="15">
      <c r="M112" s="293"/>
      <c r="O112" s="293"/>
    </row>
    <row r="113" spans="13:15" ht="15">
      <c r="M113" s="293"/>
      <c r="O113" s="293"/>
    </row>
    <row r="114" spans="13:15" ht="15">
      <c r="M114" s="293"/>
      <c r="O114" s="293"/>
    </row>
    <row r="115" spans="13:15" ht="15">
      <c r="M115" s="293"/>
      <c r="O115" s="293"/>
    </row>
    <row r="116" spans="13:15" ht="15">
      <c r="M116" s="293"/>
      <c r="O116" s="293"/>
    </row>
    <row r="117" spans="13:15" ht="15">
      <c r="M117" s="293"/>
      <c r="O117" s="293"/>
    </row>
    <row r="118" spans="13:15" ht="15">
      <c r="M118" s="293"/>
      <c r="O118" s="293"/>
    </row>
    <row r="119" spans="13:15" ht="15">
      <c r="M119" s="293"/>
      <c r="O119" s="293"/>
    </row>
    <row r="120" spans="13:15" ht="15">
      <c r="M120" s="293"/>
      <c r="O120" s="293"/>
    </row>
    <row r="121" spans="13:15" ht="15">
      <c r="M121" s="293"/>
      <c r="O121" s="293"/>
    </row>
    <row r="122" spans="13:15" ht="15">
      <c r="M122" s="293"/>
      <c r="O122" s="293"/>
    </row>
    <row r="123" spans="13:15" ht="15">
      <c r="M123" s="293"/>
      <c r="O123" s="293"/>
    </row>
    <row r="124" spans="13:15" ht="15">
      <c r="M124" s="293"/>
      <c r="O124" s="293"/>
    </row>
    <row r="125" spans="13:15" ht="15">
      <c r="M125" s="293"/>
      <c r="O125" s="293"/>
    </row>
    <row r="126" spans="13:15" ht="15">
      <c r="M126" s="293"/>
      <c r="O126" s="293"/>
    </row>
    <row r="127" spans="13:15" ht="15">
      <c r="M127" s="293"/>
      <c r="O127" s="293"/>
    </row>
    <row r="128" spans="13:15" ht="15">
      <c r="M128" s="293"/>
      <c r="O128" s="293"/>
    </row>
    <row r="129" spans="13:15" ht="15">
      <c r="M129" s="293"/>
      <c r="O129" s="293"/>
    </row>
    <row r="130" spans="13:15" ht="15">
      <c r="M130" s="293"/>
      <c r="O130" s="293"/>
    </row>
    <row r="131" spans="13:15" ht="15">
      <c r="M131" s="293"/>
      <c r="O131" s="293"/>
    </row>
    <row r="132" spans="13:15" ht="15">
      <c r="M132" s="293"/>
      <c r="O132" s="293"/>
    </row>
    <row r="133" spans="13:15" ht="15">
      <c r="M133" s="293"/>
      <c r="O133" s="293"/>
    </row>
    <row r="134" spans="13:15" ht="15">
      <c r="M134" s="293"/>
      <c r="O134" s="293"/>
    </row>
    <row r="135" spans="13:15" ht="15">
      <c r="M135" s="293"/>
      <c r="O135" s="293"/>
    </row>
    <row r="136" spans="13:15" ht="15">
      <c r="M136" s="293"/>
      <c r="O136" s="293"/>
    </row>
    <row r="137" spans="13:15" ht="15">
      <c r="M137" s="293"/>
      <c r="O137" s="293"/>
    </row>
    <row r="138" spans="13:15" ht="15">
      <c r="M138" s="293"/>
      <c r="O138" s="293"/>
    </row>
    <row r="139" spans="13:15" ht="15">
      <c r="M139" s="293"/>
      <c r="O139" s="293"/>
    </row>
    <row r="140" spans="13:15" ht="15">
      <c r="M140" s="293"/>
      <c r="O140" s="293"/>
    </row>
    <row r="141" spans="13:15" ht="15">
      <c r="M141" s="293"/>
      <c r="O141" s="293"/>
    </row>
    <row r="142" spans="13:15" ht="15">
      <c r="M142" s="293"/>
      <c r="O142" s="293"/>
    </row>
    <row r="143" spans="13:15" ht="15">
      <c r="M143" s="293"/>
      <c r="O143" s="293"/>
    </row>
    <row r="144" spans="13:15" ht="15">
      <c r="M144" s="293"/>
      <c r="O144" s="293"/>
    </row>
    <row r="145" spans="13:15" ht="15">
      <c r="M145" s="293"/>
      <c r="O145" s="293"/>
    </row>
    <row r="146" spans="13:15" ht="15">
      <c r="M146" s="293"/>
      <c r="O146" s="293"/>
    </row>
    <row r="147" spans="13:15" ht="15">
      <c r="M147" s="293"/>
      <c r="O147" s="293"/>
    </row>
    <row r="148" spans="13:15" ht="15">
      <c r="M148" s="293"/>
      <c r="O148" s="293"/>
    </row>
    <row r="149" spans="13:15" ht="15">
      <c r="M149" s="293"/>
      <c r="O149" s="293"/>
    </row>
    <row r="150" spans="13:15" ht="15">
      <c r="M150" s="293"/>
      <c r="O150" s="293"/>
    </row>
    <row r="151" spans="13:15" ht="15">
      <c r="M151" s="293"/>
      <c r="O151" s="293"/>
    </row>
    <row r="152" spans="13:15" ht="15">
      <c r="M152" s="293"/>
      <c r="O152" s="293"/>
    </row>
    <row r="153" spans="13:15" ht="15">
      <c r="M153" s="293"/>
      <c r="O153" s="293"/>
    </row>
    <row r="154" spans="13:15" ht="15">
      <c r="M154" s="293"/>
      <c r="O154" s="293"/>
    </row>
    <row r="155" spans="13:15" ht="15">
      <c r="M155" s="293"/>
      <c r="O155" s="293"/>
    </row>
    <row r="156" spans="13:15" ht="15">
      <c r="M156" s="293"/>
      <c r="O156" s="293"/>
    </row>
    <row r="157" spans="13:15" ht="15">
      <c r="M157" s="293"/>
      <c r="O157" s="293"/>
    </row>
    <row r="158" spans="13:15" ht="15">
      <c r="M158" s="293"/>
      <c r="O158" s="293"/>
    </row>
    <row r="159" spans="13:15" ht="15">
      <c r="M159" s="293"/>
      <c r="O159" s="293"/>
    </row>
    <row r="160" spans="13:15" ht="15">
      <c r="M160" s="293"/>
      <c r="O160" s="293"/>
    </row>
    <row r="161" spans="13:15" ht="15">
      <c r="M161" s="293"/>
      <c r="O161" s="293"/>
    </row>
    <row r="162" spans="13:15" ht="15">
      <c r="M162" s="293"/>
    </row>
    <row r="163" spans="13:15" ht="15">
      <c r="M163" s="293"/>
    </row>
    <row r="164" spans="13:15" ht="15">
      <c r="M164" s="293"/>
    </row>
    <row r="165" spans="13:15" ht="15">
      <c r="M165" s="293"/>
    </row>
    <row r="166" spans="13:15" ht="15">
      <c r="M166" s="293"/>
    </row>
    <row r="167" spans="13:15" ht="15">
      <c r="M167" s="293"/>
    </row>
    <row r="168" spans="13:15" ht="15">
      <c r="M168" s="293"/>
    </row>
    <row r="169" spans="13:15" ht="15">
      <c r="M169" s="293"/>
    </row>
    <row r="170" spans="13:15" ht="15">
      <c r="M170" s="293"/>
    </row>
    <row r="171" spans="13:15" ht="15">
      <c r="M171" s="293"/>
    </row>
    <row r="172" spans="13:15" ht="15">
      <c r="M172" s="293"/>
    </row>
    <row r="173" spans="13:15" ht="15">
      <c r="M173" s="293"/>
    </row>
    <row r="174" spans="13:15" ht="15">
      <c r="M174" s="293"/>
    </row>
    <row r="175" spans="13:15" ht="15">
      <c r="M175" s="293"/>
    </row>
    <row r="176" spans="13:15" ht="15">
      <c r="M176" s="293"/>
    </row>
    <row r="177" spans="13:13" ht="15">
      <c r="M177" s="293"/>
    </row>
    <row r="178" spans="13:13" ht="15">
      <c r="M178" s="293"/>
    </row>
    <row r="179" spans="13:13" ht="15">
      <c r="M179" s="293"/>
    </row>
    <row r="180" spans="13:13" ht="15">
      <c r="M180" s="293"/>
    </row>
    <row r="181" spans="13:13" ht="15">
      <c r="M181" s="293"/>
    </row>
  </sheetData>
  <pageMargins left="0.75" right="0.75" top="0.76" bottom="0.49" header="0.5" footer="0.23"/>
  <pageSetup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6"/>
  <sheetViews>
    <sheetView workbookViewId="0"/>
  </sheetViews>
  <sheetFormatPr defaultRowHeight="12.75"/>
  <cols>
    <col min="1" max="1" width="7.28515625" style="307" bestFit="1" customWidth="1"/>
    <col min="2" max="2" width="14.28515625" style="308" customWidth="1"/>
    <col min="3" max="3" width="1.5703125" style="308" customWidth="1"/>
    <col min="4" max="4" width="13" style="308" bestFit="1" customWidth="1"/>
    <col min="5" max="5" width="1.5703125" style="308" customWidth="1"/>
    <col min="6" max="6" width="14.5703125" style="308" bestFit="1" customWidth="1"/>
    <col min="7" max="7" width="1.5703125" style="308" customWidth="1"/>
    <col min="8" max="8" width="14.5703125" style="308" customWidth="1"/>
    <col min="9" max="9" width="7.140625" style="308" bestFit="1" customWidth="1"/>
    <col min="10" max="10" width="17.28515625" style="308" bestFit="1" customWidth="1"/>
    <col min="11" max="11" width="8.140625" style="308" customWidth="1"/>
    <col min="12" max="12" width="15.85546875" style="308" customWidth="1"/>
    <col min="13" max="13" width="7.7109375" style="308" customWidth="1"/>
    <col min="14" max="14" width="17.7109375" style="308" customWidth="1"/>
    <col min="15" max="16384" width="9.140625" style="308"/>
  </cols>
  <sheetData>
    <row r="1" spans="1:14" s="292" customFormat="1" ht="15">
      <c r="A1" s="291"/>
      <c r="B1" s="292" t="s">
        <v>715</v>
      </c>
      <c r="J1" s="292" t="s">
        <v>716</v>
      </c>
      <c r="K1" s="293"/>
      <c r="L1" s="292" t="s">
        <v>717</v>
      </c>
      <c r="M1" s="293"/>
      <c r="N1" s="292" t="s">
        <v>718</v>
      </c>
    </row>
    <row r="2" spans="1:14" s="292" customFormat="1" ht="15">
      <c r="A2" s="291"/>
      <c r="B2" s="294" t="s">
        <v>719</v>
      </c>
      <c r="C2" s="294"/>
      <c r="D2" s="295" t="s">
        <v>720</v>
      </c>
      <c r="E2" s="295"/>
      <c r="F2" s="295"/>
      <c r="G2" s="295"/>
      <c r="H2" s="295"/>
      <c r="J2" s="294" t="s">
        <v>721</v>
      </c>
      <c r="K2" s="293"/>
      <c r="L2" s="292" t="s">
        <v>722</v>
      </c>
      <c r="M2" s="293"/>
      <c r="N2" s="294" t="s">
        <v>721</v>
      </c>
    </row>
    <row r="3" spans="1:14" s="292" customFormat="1" ht="15.75" thickBot="1">
      <c r="A3" s="291"/>
      <c r="B3" s="296" t="s">
        <v>723</v>
      </c>
      <c r="C3" s="296"/>
      <c r="D3" s="297" t="s">
        <v>724</v>
      </c>
      <c r="E3" s="297"/>
      <c r="F3" s="297" t="s">
        <v>725</v>
      </c>
      <c r="G3" s="297"/>
      <c r="H3" s="297" t="s">
        <v>726</v>
      </c>
      <c r="J3" s="292">
        <v>2008</v>
      </c>
      <c r="K3" s="293"/>
      <c r="L3" s="292">
        <v>2008</v>
      </c>
      <c r="M3" s="293"/>
      <c r="N3" s="292">
        <v>2009</v>
      </c>
    </row>
    <row r="4" spans="1:14" s="298" customFormat="1" ht="15">
      <c r="A4" s="293"/>
      <c r="B4" s="298">
        <v>135000</v>
      </c>
      <c r="J4" s="298">
        <v>28750</v>
      </c>
      <c r="K4" s="293"/>
      <c r="L4" s="298">
        <v>2447.2199999999998</v>
      </c>
      <c r="M4" s="293"/>
      <c r="N4" s="298">
        <v>4375</v>
      </c>
    </row>
    <row r="5" spans="1:14" s="298" customFormat="1" ht="6" customHeight="1">
      <c r="A5" s="293"/>
      <c r="K5" s="293"/>
      <c r="M5" s="293"/>
    </row>
    <row r="6" spans="1:14" s="298" customFormat="1" ht="15" hidden="1">
      <c r="A6" s="293">
        <v>39814</v>
      </c>
      <c r="B6" s="298">
        <v>-3686.4</v>
      </c>
      <c r="I6" s="293">
        <v>39630</v>
      </c>
      <c r="J6" s="298">
        <v>-11418.64</v>
      </c>
      <c r="K6" s="293">
        <v>39965</v>
      </c>
      <c r="L6" s="298">
        <v>-2447.2199999999998</v>
      </c>
      <c r="M6" s="293">
        <v>39965</v>
      </c>
      <c r="N6" s="298">
        <v>-2187.5</v>
      </c>
    </row>
    <row r="7" spans="1:14" s="298" customFormat="1" ht="15" hidden="1">
      <c r="A7" s="293">
        <v>39845</v>
      </c>
      <c r="B7" s="298">
        <v>-3419.55</v>
      </c>
      <c r="I7" s="293">
        <v>39661</v>
      </c>
      <c r="J7" s="298">
        <v>-8685.3799999999992</v>
      </c>
      <c r="K7" s="293"/>
      <c r="M7" s="293">
        <v>40179</v>
      </c>
      <c r="N7" s="298">
        <v>-2187.5</v>
      </c>
    </row>
    <row r="8" spans="1:14" s="298" customFormat="1" ht="15.75" hidden="1" thickBot="1">
      <c r="A8" s="293">
        <v>39873</v>
      </c>
      <c r="B8" s="298">
        <v>-3697.09</v>
      </c>
      <c r="I8" s="293">
        <v>39692</v>
      </c>
      <c r="J8" s="298">
        <v>-8645.99</v>
      </c>
      <c r="K8" s="293"/>
      <c r="L8" s="299">
        <f>SUM(L4:L7)</f>
        <v>0</v>
      </c>
      <c r="M8" s="293"/>
    </row>
    <row r="9" spans="1:14" s="298" customFormat="1" ht="15.75" hidden="1" thickBot="1">
      <c r="A9" s="293">
        <v>39904</v>
      </c>
      <c r="B9" s="298">
        <v>-2348.21</v>
      </c>
      <c r="I9" s="293">
        <v>39722</v>
      </c>
      <c r="J9" s="298">
        <v>0.01</v>
      </c>
      <c r="K9" s="293"/>
      <c r="M9" s="293"/>
      <c r="N9" s="299">
        <f>SUM(N4:N8)</f>
        <v>0</v>
      </c>
    </row>
    <row r="10" spans="1:14" s="298" customFormat="1" ht="15" hidden="1">
      <c r="A10" s="293">
        <v>39934</v>
      </c>
      <c r="B10" s="300">
        <v>-1601.1</v>
      </c>
      <c r="C10" s="300">
        <v>8655.83</v>
      </c>
      <c r="D10" s="300"/>
      <c r="E10" s="300">
        <v>-8655.83</v>
      </c>
      <c r="F10" s="300"/>
      <c r="G10" s="300"/>
      <c r="H10" s="300"/>
      <c r="K10" s="293"/>
      <c r="M10" s="293"/>
    </row>
    <row r="11" spans="1:14" s="298" customFormat="1" ht="15.75" hidden="1" thickBot="1">
      <c r="A11" s="293">
        <v>39965</v>
      </c>
      <c r="B11" s="298">
        <v>-961.43</v>
      </c>
      <c r="J11" s="299">
        <f>SUM(J4:J10)</f>
        <v>1.6007108832871708E-12</v>
      </c>
      <c r="K11" s="293"/>
      <c r="M11" s="293"/>
    </row>
    <row r="12" spans="1:14" s="298" customFormat="1" ht="15" hidden="1">
      <c r="A12" s="293">
        <v>39995</v>
      </c>
      <c r="B12" s="298">
        <v>-929.81</v>
      </c>
      <c r="K12" s="293"/>
      <c r="M12" s="293"/>
    </row>
    <row r="13" spans="1:14" s="298" customFormat="1" ht="15" hidden="1">
      <c r="A13" s="293">
        <v>40026</v>
      </c>
      <c r="B13" s="298">
        <v>-1290.5999999999999</v>
      </c>
      <c r="K13" s="293"/>
      <c r="M13" s="293"/>
    </row>
    <row r="14" spans="1:14" s="298" customFormat="1" ht="15" hidden="1">
      <c r="A14" s="293">
        <v>40057</v>
      </c>
      <c r="B14" s="298">
        <v>-1420.54</v>
      </c>
      <c r="K14" s="293"/>
      <c r="M14" s="293"/>
    </row>
    <row r="15" spans="1:14" s="298" customFormat="1" ht="15" hidden="1">
      <c r="A15" s="293">
        <v>40087</v>
      </c>
      <c r="B15" s="298">
        <v>-3360.83</v>
      </c>
      <c r="K15" s="293"/>
      <c r="M15" s="293"/>
    </row>
    <row r="16" spans="1:14" s="298" customFormat="1" ht="15" hidden="1">
      <c r="A16" s="293">
        <v>40118</v>
      </c>
      <c r="B16" s="298">
        <v>-3305.36</v>
      </c>
      <c r="K16" s="293"/>
      <c r="M16" s="293"/>
    </row>
    <row r="17" spans="1:13" s="298" customFormat="1" ht="15" hidden="1">
      <c r="A17" s="293">
        <v>40148</v>
      </c>
      <c r="B17" s="298">
        <v>-7729.09</v>
      </c>
      <c r="D17" s="298">
        <v>10000</v>
      </c>
      <c r="K17" s="293"/>
      <c r="M17" s="293"/>
    </row>
    <row r="18" spans="1:13" s="298" customFormat="1" ht="15" hidden="1">
      <c r="A18" s="293">
        <v>40209</v>
      </c>
      <c r="B18" s="298">
        <v>-2580.08</v>
      </c>
      <c r="D18" s="298">
        <v>-833.33</v>
      </c>
      <c r="K18" s="293"/>
      <c r="M18" s="293"/>
    </row>
    <row r="19" spans="1:13" s="298" customFormat="1" ht="15" hidden="1">
      <c r="A19" s="293">
        <v>40237</v>
      </c>
      <c r="B19" s="298">
        <v>-2139.64</v>
      </c>
      <c r="D19" s="298">
        <v>-833.33</v>
      </c>
      <c r="K19" s="293"/>
      <c r="M19" s="293"/>
    </row>
    <row r="20" spans="1:13" s="298" customFormat="1" ht="15" hidden="1">
      <c r="A20" s="293">
        <v>40268</v>
      </c>
      <c r="B20" s="298">
        <v>-4124.8100000000004</v>
      </c>
      <c r="D20" s="298">
        <v>-833.34</v>
      </c>
      <c r="K20" s="293"/>
      <c r="M20" s="293"/>
    </row>
    <row r="21" spans="1:13" s="298" customFormat="1" ht="15" hidden="1">
      <c r="A21" s="293">
        <v>40298</v>
      </c>
      <c r="B21" s="298">
        <v>-3754.91</v>
      </c>
      <c r="D21" s="298">
        <v>-833.33</v>
      </c>
      <c r="K21" s="293"/>
      <c r="M21" s="293"/>
    </row>
    <row r="22" spans="1:13" s="298" customFormat="1" ht="15" hidden="1">
      <c r="A22" s="293">
        <v>40329</v>
      </c>
      <c r="B22" s="298">
        <v>-2985.41</v>
      </c>
      <c r="D22" s="298">
        <v>-833.33</v>
      </c>
      <c r="K22" s="293"/>
      <c r="M22" s="293"/>
    </row>
    <row r="23" spans="1:13" s="298" customFormat="1" ht="15" hidden="1">
      <c r="A23" s="293">
        <v>40359</v>
      </c>
      <c r="B23" s="298">
        <v>-2901.49</v>
      </c>
      <c r="D23" s="298">
        <v>-833.34</v>
      </c>
      <c r="K23" s="293"/>
      <c r="M23" s="293"/>
    </row>
    <row r="24" spans="1:13" s="298" customFormat="1" ht="15" hidden="1">
      <c r="A24" s="293">
        <v>40390</v>
      </c>
      <c r="B24" s="298">
        <v>-2321.5500000000002</v>
      </c>
      <c r="D24" s="298">
        <v>-833.33</v>
      </c>
      <c r="K24" s="293"/>
      <c r="M24" s="293"/>
    </row>
    <row r="25" spans="1:13" s="298" customFormat="1" ht="15" hidden="1">
      <c r="A25" s="293">
        <v>40421</v>
      </c>
      <c r="B25" s="298">
        <v>-2660.06</v>
      </c>
      <c r="D25" s="298">
        <v>-833.33</v>
      </c>
      <c r="K25" s="293"/>
      <c r="M25" s="293"/>
    </row>
    <row r="26" spans="1:13" s="298" customFormat="1" ht="15" hidden="1">
      <c r="A26" s="293">
        <v>40451</v>
      </c>
      <c r="B26" s="298">
        <v>-2878.76</v>
      </c>
      <c r="D26" s="298">
        <v>-833.34</v>
      </c>
      <c r="K26" s="293"/>
      <c r="M26" s="293"/>
    </row>
    <row r="27" spans="1:13" s="298" customFormat="1" ht="15" hidden="1">
      <c r="A27" s="293">
        <v>40482</v>
      </c>
      <c r="B27" s="298">
        <v>-3308.51</v>
      </c>
      <c r="D27" s="298">
        <v>-833.33</v>
      </c>
      <c r="K27" s="293"/>
      <c r="M27" s="293"/>
    </row>
    <row r="28" spans="1:13" s="298" customFormat="1" ht="15" hidden="1">
      <c r="A28" s="293">
        <v>40512</v>
      </c>
      <c r="B28" s="298">
        <v>-3767.29</v>
      </c>
      <c r="D28" s="298">
        <v>-833.33</v>
      </c>
      <c r="F28" s="298">
        <v>53865</v>
      </c>
      <c r="K28" s="293"/>
      <c r="M28" s="293"/>
    </row>
    <row r="29" spans="1:13" s="298" customFormat="1" ht="15" hidden="1">
      <c r="A29" s="293">
        <v>40522</v>
      </c>
      <c r="B29" s="298">
        <v>-327.49</v>
      </c>
      <c r="D29" s="298">
        <v>-833.34</v>
      </c>
      <c r="F29" s="298">
        <v>-53865</v>
      </c>
      <c r="K29" s="293"/>
      <c r="M29" s="293"/>
    </row>
    <row r="30" spans="1:13" s="298" customFormat="1" ht="15" hidden="1">
      <c r="A30" s="293">
        <v>40554</v>
      </c>
      <c r="B30" s="298">
        <v>-3170.25</v>
      </c>
      <c r="D30" s="298">
        <f>-1078.49+12941.88</f>
        <v>11863.39</v>
      </c>
      <c r="F30" s="298">
        <f>-53865+53865+53865</f>
        <v>53865</v>
      </c>
      <c r="K30" s="293"/>
      <c r="M30" s="293"/>
    </row>
    <row r="31" spans="1:13" s="298" customFormat="1" ht="15" hidden="1">
      <c r="A31" s="293">
        <v>40585</v>
      </c>
      <c r="B31" s="298">
        <v>-3170.25</v>
      </c>
      <c r="D31" s="298">
        <v>-1078.49</v>
      </c>
      <c r="F31" s="298">
        <f>53865-53865</f>
        <v>0</v>
      </c>
      <c r="K31" s="293"/>
      <c r="M31" s="293"/>
    </row>
    <row r="32" spans="1:13" s="298" customFormat="1" ht="15" hidden="1">
      <c r="A32" s="293">
        <v>40613</v>
      </c>
      <c r="B32" s="298">
        <v>-3266.89</v>
      </c>
      <c r="D32" s="298">
        <v>-1078.49</v>
      </c>
      <c r="F32" s="298">
        <f>53865-53865</f>
        <v>0</v>
      </c>
      <c r="K32" s="293"/>
      <c r="M32" s="293"/>
    </row>
    <row r="33" spans="1:13" s="298" customFormat="1" ht="15" hidden="1">
      <c r="A33" s="293">
        <v>40644</v>
      </c>
      <c r="B33" s="298">
        <v>-4156.25</v>
      </c>
      <c r="D33" s="298">
        <v>-1078.49</v>
      </c>
      <c r="K33" s="293"/>
      <c r="M33" s="293"/>
    </row>
    <row r="34" spans="1:13" s="298" customFormat="1" ht="15" hidden="1">
      <c r="A34" s="293">
        <v>40674</v>
      </c>
      <c r="B34" s="298">
        <v>-3293.78</v>
      </c>
      <c r="D34" s="298">
        <v>-1078.48</v>
      </c>
      <c r="K34" s="293"/>
      <c r="M34" s="293"/>
    </row>
    <row r="35" spans="1:13" s="298" customFormat="1" ht="15" hidden="1">
      <c r="A35" s="293">
        <v>40695</v>
      </c>
      <c r="B35" s="298">
        <v>-2985.98</v>
      </c>
      <c r="D35" s="298">
        <v>-1078.49</v>
      </c>
      <c r="K35" s="293"/>
      <c r="M35" s="293"/>
    </row>
    <row r="36" spans="1:13" s="298" customFormat="1" ht="15" hidden="1">
      <c r="A36" s="293">
        <v>40735</v>
      </c>
      <c r="B36" s="298">
        <v>-2321.5500000000002</v>
      </c>
      <c r="D36" s="298">
        <v>-1078.49</v>
      </c>
      <c r="F36" s="298">
        <f>53865-53865</f>
        <v>0</v>
      </c>
      <c r="K36" s="293"/>
      <c r="M36" s="293"/>
    </row>
    <row r="37" spans="1:13" s="298" customFormat="1" ht="15" hidden="1">
      <c r="A37" s="293">
        <v>40766</v>
      </c>
      <c r="B37" s="298">
        <v>-6386.4</v>
      </c>
      <c r="D37" s="298">
        <v>-1078.49</v>
      </c>
      <c r="F37" s="298">
        <f>53865-53865</f>
        <v>0</v>
      </c>
      <c r="K37" s="293"/>
      <c r="M37" s="293"/>
    </row>
    <row r="38" spans="1:13" s="298" customFormat="1" ht="15" hidden="1">
      <c r="A38" s="293">
        <v>40797</v>
      </c>
      <c r="B38" s="298">
        <v>-1980.11</v>
      </c>
      <c r="D38" s="298">
        <v>-1078.49</v>
      </c>
      <c r="K38" s="293"/>
      <c r="M38" s="293"/>
    </row>
    <row r="39" spans="1:13" s="298" customFormat="1" ht="15" hidden="1">
      <c r="A39" s="293">
        <v>40827</v>
      </c>
      <c r="B39" s="298">
        <v>-3623.74</v>
      </c>
      <c r="D39" s="298">
        <v>-1078.49</v>
      </c>
      <c r="F39" s="298">
        <f>-53865+53865</f>
        <v>0</v>
      </c>
      <c r="H39" s="298">
        <f>+'[5]Pre-Coal'!G80+'[5]Post-Coal'!M19+'[5]PP-Oil'!H72+'[5]PP-Ammonia'!H71+'[5]PP-Lime'!H70+'[5]PP-PAC'!H73</f>
        <v>996692.82666400634</v>
      </c>
      <c r="K39" s="293"/>
      <c r="M39" s="293"/>
    </row>
    <row r="40" spans="1:13" s="298" customFormat="1" ht="15" hidden="1">
      <c r="A40" s="293">
        <v>40858</v>
      </c>
      <c r="B40" s="298">
        <v>-3997.24</v>
      </c>
      <c r="D40" s="298">
        <v>-1078.49</v>
      </c>
      <c r="K40" s="293"/>
      <c r="M40" s="293"/>
    </row>
    <row r="41" spans="1:13" s="298" customFormat="1" ht="15" hidden="1">
      <c r="A41" s="293">
        <v>40888</v>
      </c>
      <c r="B41" s="298">
        <v>-4.28</v>
      </c>
      <c r="D41" s="298">
        <v>-1078.5</v>
      </c>
      <c r="F41" s="298">
        <f>53865-53865</f>
        <v>0</v>
      </c>
      <c r="K41" s="293"/>
      <c r="M41" s="293"/>
    </row>
    <row r="42" spans="1:13" s="298" customFormat="1" ht="15" hidden="1">
      <c r="A42" s="293">
        <v>40920</v>
      </c>
      <c r="B42" s="298">
        <f>-4014.56-1683</f>
        <v>-5697.5599999999995</v>
      </c>
      <c r="D42" s="298">
        <v>0</v>
      </c>
      <c r="K42" s="293"/>
      <c r="M42" s="293"/>
    </row>
    <row r="43" spans="1:13" s="298" customFormat="1" ht="15" hidden="1">
      <c r="A43" s="293">
        <v>40951</v>
      </c>
      <c r="B43" s="298">
        <v>-3236.4</v>
      </c>
      <c r="D43" s="298">
        <f>12919.49-1076.62-1076.62</f>
        <v>10766.25</v>
      </c>
      <c r="K43" s="293"/>
      <c r="M43" s="293"/>
    </row>
    <row r="44" spans="1:13" s="298" customFormat="1" ht="15" hidden="1">
      <c r="A44" s="293">
        <v>40980</v>
      </c>
      <c r="B44" s="298">
        <v>-2560.5</v>
      </c>
      <c r="D44" s="298">
        <v>-1076.6199999999999</v>
      </c>
      <c r="K44" s="293"/>
      <c r="M44" s="293"/>
    </row>
    <row r="45" spans="1:13" s="298" customFormat="1" ht="15" hidden="1">
      <c r="A45" s="293">
        <v>41011</v>
      </c>
      <c r="B45" s="298">
        <f>-3721.39-11822.94</f>
        <v>-15544.33</v>
      </c>
      <c r="D45" s="298">
        <v>-1076.6199999999999</v>
      </c>
      <c r="K45" s="293"/>
      <c r="M45" s="293"/>
    </row>
    <row r="46" spans="1:13" s="298" customFormat="1" ht="15" hidden="1">
      <c r="A46" s="293">
        <v>41041</v>
      </c>
      <c r="B46" s="298">
        <v>-3778.43</v>
      </c>
      <c r="D46" s="298">
        <v>-1076.6199999999999</v>
      </c>
      <c r="K46" s="293"/>
      <c r="M46" s="293"/>
    </row>
    <row r="47" spans="1:13" s="298" customFormat="1" ht="15" hidden="1">
      <c r="A47" s="293">
        <v>41061</v>
      </c>
      <c r="B47" s="298">
        <v>-3427.43</v>
      </c>
      <c r="D47" s="298">
        <v>-1076.6199999999999</v>
      </c>
      <c r="K47" s="293"/>
      <c r="M47" s="293"/>
    </row>
    <row r="48" spans="1:13" s="298" customFormat="1" ht="15" hidden="1">
      <c r="A48" s="293">
        <v>41091</v>
      </c>
      <c r="B48" s="298">
        <f>-2377.91+23732.46</f>
        <v>21354.55</v>
      </c>
      <c r="D48" s="298">
        <v>-1076.6199999999999</v>
      </c>
      <c r="K48" s="293"/>
      <c r="M48" s="293"/>
    </row>
    <row r="49" spans="1:14" s="298" customFormat="1" ht="15" hidden="1">
      <c r="A49" s="293">
        <v>41133</v>
      </c>
      <c r="B49" s="298">
        <v>-2127.83</v>
      </c>
      <c r="D49" s="298">
        <v>-1076.6199999999999</v>
      </c>
      <c r="F49" s="298">
        <f>-53865+53865</f>
        <v>0</v>
      </c>
      <c r="K49" s="293"/>
      <c r="M49" s="293"/>
    </row>
    <row r="50" spans="1:14" s="298" customFormat="1" ht="15" hidden="1">
      <c r="A50" s="293">
        <v>41164</v>
      </c>
      <c r="B50" s="298">
        <v>-1888.09</v>
      </c>
      <c r="C50" s="298">
        <v>-1076.6199999999999</v>
      </c>
      <c r="D50" s="298">
        <v>-1075.6199999999999</v>
      </c>
      <c r="F50" s="298">
        <v>-53865</v>
      </c>
      <c r="K50" s="293"/>
      <c r="M50" s="293"/>
    </row>
    <row r="51" spans="1:14" s="298" customFormat="1" ht="15" hidden="1">
      <c r="A51" s="293">
        <v>41194</v>
      </c>
      <c r="B51" s="298">
        <v>-3043.13</v>
      </c>
      <c r="D51" s="298">
        <v>-1076.6199999999999</v>
      </c>
      <c r="K51" s="293"/>
      <c r="M51" s="293"/>
    </row>
    <row r="52" spans="1:14" s="298" customFormat="1" ht="15" hidden="1">
      <c r="A52" s="293">
        <v>41225</v>
      </c>
      <c r="B52" s="298">
        <v>-3465.68</v>
      </c>
      <c r="D52" s="298">
        <v>-1076.6199999999999</v>
      </c>
      <c r="K52" s="293"/>
      <c r="M52" s="293"/>
    </row>
    <row r="53" spans="1:14" s="298" customFormat="1" ht="15" hidden="1">
      <c r="A53" s="293">
        <v>41255</v>
      </c>
      <c r="B53" s="298">
        <v>-1313.33</v>
      </c>
      <c r="D53" s="298">
        <v>-1077.67</v>
      </c>
      <c r="K53" s="293"/>
      <c r="M53" s="293"/>
      <c r="N53" s="298">
        <f>+'[5]Pre-Coal'!B41+'[5]Pre-Coal'!C41+'[5]Pre-Coal'!D41+'[5]PP-Oil'!C33+'[5]PP-Oil'!D33+'[5]PP-Oil'!E33+'[5]PP-Oil'!F33+'[5]PP-Ammonia'!C33+'[5]PP-Ammonia'!D33++'[5]PP-Lime'!C33+'[5]PP-Lime'!D33+'[5]PP-Lime'!E33+'[5]PP-Lime'!F33+'[5]PP-PAC'!C33+'[5]PP-PAC'!D33+'[5]PP-PAC'!E33+'[5]PP-PAC'!F33</f>
        <v>187770.62000000005</v>
      </c>
    </row>
    <row r="54" spans="1:14" s="298" customFormat="1" ht="15" hidden="1">
      <c r="A54" s="293">
        <v>41275</v>
      </c>
      <c r="B54" s="298">
        <v>0</v>
      </c>
      <c r="D54" s="298">
        <v>0</v>
      </c>
      <c r="K54" s="293"/>
      <c r="M54" s="293"/>
    </row>
    <row r="55" spans="1:14" s="298" customFormat="1" ht="15" hidden="1">
      <c r="A55" s="293">
        <v>41318</v>
      </c>
      <c r="B55" s="298">
        <v>0</v>
      </c>
      <c r="C55" s="298">
        <v>0</v>
      </c>
      <c r="D55" s="298">
        <v>0</v>
      </c>
      <c r="F55" s="298">
        <v>0</v>
      </c>
      <c r="K55" s="293"/>
      <c r="M55" s="293"/>
    </row>
    <row r="56" spans="1:14" s="298" customFormat="1" ht="15" hidden="1">
      <c r="A56" s="293">
        <v>41346</v>
      </c>
      <c r="B56" s="298">
        <v>0</v>
      </c>
      <c r="D56" s="298">
        <v>0</v>
      </c>
      <c r="E56" s="298">
        <v>0</v>
      </c>
      <c r="F56" s="298">
        <v>0</v>
      </c>
      <c r="H56" s="298">
        <v>-8576</v>
      </c>
      <c r="K56" s="293"/>
      <c r="M56" s="293"/>
    </row>
    <row r="57" spans="1:14" s="298" customFormat="1" ht="15" hidden="1">
      <c r="A57" s="293">
        <v>41365</v>
      </c>
      <c r="B57" s="298">
        <v>0</v>
      </c>
      <c r="C57" s="298">
        <v>0</v>
      </c>
      <c r="D57" s="298">
        <v>0</v>
      </c>
      <c r="F57" s="298">
        <v>0</v>
      </c>
      <c r="H57" s="298">
        <f>8576-163195.15</f>
        <v>-154619.15</v>
      </c>
      <c r="K57" s="293"/>
      <c r="M57" s="293"/>
    </row>
    <row r="58" spans="1:14" s="298" customFormat="1" ht="15" hidden="1">
      <c r="A58" s="293">
        <v>41395</v>
      </c>
      <c r="F58" s="298">
        <f>-53865+53865</f>
        <v>0</v>
      </c>
      <c r="H58" s="298">
        <v>163195.15</v>
      </c>
      <c r="K58" s="293"/>
      <c r="M58" s="293"/>
    </row>
    <row r="59" spans="1:14" s="298" customFormat="1" ht="15" hidden="1">
      <c r="A59" s="293">
        <v>41438</v>
      </c>
      <c r="B59" s="298">
        <v>0</v>
      </c>
      <c r="D59" s="298">
        <v>0</v>
      </c>
      <c r="F59" s="298">
        <v>0</v>
      </c>
      <c r="K59" s="293"/>
      <c r="M59" s="293"/>
    </row>
    <row r="60" spans="1:14" s="298" customFormat="1" ht="15" hidden="1">
      <c r="A60" s="293">
        <v>41499</v>
      </c>
      <c r="K60" s="293"/>
      <c r="M60" s="293"/>
    </row>
    <row r="61" spans="1:14" s="298" customFormat="1" ht="15" hidden="1">
      <c r="A61" s="293">
        <v>41518</v>
      </c>
      <c r="K61" s="293"/>
      <c r="M61" s="293"/>
    </row>
    <row r="62" spans="1:14" s="298" customFormat="1" ht="15" hidden="1">
      <c r="A62" s="293">
        <v>41560</v>
      </c>
      <c r="K62" s="293"/>
      <c r="M62" s="293"/>
    </row>
    <row r="63" spans="1:14" s="298" customFormat="1" ht="15" hidden="1">
      <c r="A63" s="293">
        <v>41579</v>
      </c>
      <c r="K63" s="293"/>
      <c r="M63" s="293"/>
    </row>
    <row r="64" spans="1:14" s="298" customFormat="1" ht="15" hidden="1">
      <c r="A64" s="293">
        <v>41609</v>
      </c>
      <c r="K64" s="293"/>
      <c r="M64" s="293"/>
    </row>
    <row r="65" spans="1:13" s="298" customFormat="1" ht="15" hidden="1">
      <c r="A65" s="293">
        <v>41653</v>
      </c>
      <c r="K65" s="293"/>
      <c r="M65" s="293"/>
    </row>
    <row r="66" spans="1:13" s="298" customFormat="1" ht="15" hidden="1">
      <c r="A66" s="293">
        <v>41684</v>
      </c>
      <c r="K66" s="293"/>
      <c r="M66" s="293"/>
    </row>
    <row r="67" spans="1:13" s="298" customFormat="1" ht="15" hidden="1">
      <c r="A67" s="293">
        <v>41712</v>
      </c>
      <c r="B67" s="298">
        <v>-9522.4500000000007</v>
      </c>
      <c r="K67" s="293"/>
      <c r="M67" s="293"/>
    </row>
    <row r="68" spans="1:13" s="298" customFormat="1" ht="15" hidden="1">
      <c r="A68" s="293" t="s">
        <v>727</v>
      </c>
      <c r="K68" s="293"/>
      <c r="M68" s="293"/>
    </row>
    <row r="69" spans="1:13" s="298" customFormat="1" ht="15" hidden="1">
      <c r="A69" s="293">
        <v>41773</v>
      </c>
      <c r="K69" s="293"/>
      <c r="M69" s="293"/>
    </row>
    <row r="70" spans="1:13" s="298" customFormat="1" ht="15" hidden="1">
      <c r="A70" s="293">
        <v>41804</v>
      </c>
      <c r="K70" s="293"/>
      <c r="M70" s="293"/>
    </row>
    <row r="71" spans="1:13" s="298" customFormat="1" ht="15" hidden="1">
      <c r="A71" s="293">
        <v>41834</v>
      </c>
      <c r="K71" s="293"/>
      <c r="M71" s="293"/>
    </row>
    <row r="72" spans="1:13" s="298" customFormat="1" ht="15" hidden="1">
      <c r="A72" s="293">
        <v>41865</v>
      </c>
      <c r="K72" s="293"/>
      <c r="M72" s="293"/>
    </row>
    <row r="73" spans="1:13" s="298" customFormat="1" ht="15" hidden="1">
      <c r="A73" s="293">
        <v>41896</v>
      </c>
      <c r="K73" s="293"/>
      <c r="M73" s="293"/>
    </row>
    <row r="74" spans="1:13" s="298" customFormat="1" ht="15" hidden="1">
      <c r="A74" s="293">
        <v>41926</v>
      </c>
      <c r="B74" s="298">
        <v>-2445</v>
      </c>
      <c r="K74" s="293"/>
      <c r="M74" s="293"/>
    </row>
    <row r="75" spans="1:13" s="298" customFormat="1" ht="15" hidden="1">
      <c r="A75" s="293">
        <v>41957</v>
      </c>
      <c r="K75" s="293"/>
      <c r="M75" s="293"/>
    </row>
    <row r="76" spans="1:13" s="298" customFormat="1" ht="15" hidden="1">
      <c r="A76" s="293">
        <v>41987</v>
      </c>
      <c r="K76" s="293"/>
      <c r="M76" s="293"/>
    </row>
    <row r="77" spans="1:13" s="298" customFormat="1" ht="15">
      <c r="A77" s="293">
        <v>42019</v>
      </c>
      <c r="K77" s="293"/>
      <c r="M77" s="293"/>
    </row>
    <row r="78" spans="1:13" s="298" customFormat="1" ht="15">
      <c r="A78" s="293">
        <v>42050</v>
      </c>
      <c r="B78" s="298">
        <v>-2445</v>
      </c>
      <c r="K78" s="293"/>
      <c r="M78" s="293"/>
    </row>
    <row r="79" spans="1:13" s="298" customFormat="1" ht="15">
      <c r="A79" s="293">
        <v>42078</v>
      </c>
      <c r="B79" s="298">
        <v>9997.34</v>
      </c>
      <c r="K79" s="293"/>
      <c r="M79" s="293"/>
    </row>
    <row r="80" spans="1:13" s="298" customFormat="1" ht="15">
      <c r="A80" s="293">
        <v>42109</v>
      </c>
      <c r="K80" s="293"/>
      <c r="M80" s="293"/>
    </row>
    <row r="81" spans="1:13" s="298" customFormat="1" ht="15">
      <c r="A81" s="293">
        <v>42139</v>
      </c>
      <c r="K81" s="293"/>
      <c r="M81" s="293"/>
    </row>
    <row r="82" spans="1:13" s="298" customFormat="1" ht="15">
      <c r="A82" s="293">
        <v>42156</v>
      </c>
      <c r="K82" s="293"/>
      <c r="M82" s="293"/>
    </row>
    <row r="83" spans="1:13" s="298" customFormat="1" ht="15">
      <c r="A83" s="293">
        <v>42200</v>
      </c>
      <c r="F83" s="298">
        <v>14057.72</v>
      </c>
      <c r="K83" s="293"/>
      <c r="M83" s="293"/>
    </row>
    <row r="84" spans="1:13" s="298" customFormat="1" ht="15">
      <c r="A84" s="293">
        <v>42231</v>
      </c>
      <c r="K84" s="293"/>
      <c r="M84" s="293"/>
    </row>
    <row r="85" spans="1:13" s="298" customFormat="1" ht="15">
      <c r="A85" s="293">
        <v>42262</v>
      </c>
      <c r="K85" s="293"/>
      <c r="M85" s="293"/>
    </row>
    <row r="86" spans="1:13" s="298" customFormat="1" ht="15">
      <c r="A86" s="293">
        <v>42278</v>
      </c>
      <c r="K86" s="293"/>
      <c r="M86" s="293"/>
    </row>
    <row r="87" spans="1:13" s="298" customFormat="1" ht="15">
      <c r="A87" s="293">
        <v>42323</v>
      </c>
      <c r="K87" s="293"/>
      <c r="M87" s="293"/>
    </row>
    <row r="88" spans="1:13" s="298" customFormat="1" ht="15">
      <c r="A88" s="293">
        <v>42353</v>
      </c>
      <c r="K88" s="293"/>
      <c r="M88" s="293"/>
    </row>
    <row r="89" spans="1:13" s="298" customFormat="1" ht="15">
      <c r="A89" s="293"/>
      <c r="K89" s="293"/>
      <c r="M89" s="293"/>
    </row>
    <row r="90" spans="1:13" s="298" customFormat="1" ht="15">
      <c r="A90" s="293"/>
      <c r="K90" s="293"/>
      <c r="M90" s="293"/>
    </row>
    <row r="91" spans="1:13" s="298" customFormat="1" ht="15">
      <c r="A91" s="293"/>
      <c r="K91" s="293"/>
      <c r="M91" s="293"/>
    </row>
    <row r="92" spans="1:13" s="298" customFormat="1" ht="15">
      <c r="A92" s="293"/>
      <c r="K92" s="293"/>
      <c r="M92" s="293"/>
    </row>
    <row r="93" spans="1:13" s="298" customFormat="1" ht="15">
      <c r="A93" s="293"/>
      <c r="K93" s="293"/>
      <c r="M93" s="293"/>
    </row>
    <row r="94" spans="1:13" s="298" customFormat="1" ht="15">
      <c r="A94" s="293"/>
      <c r="K94" s="293"/>
      <c r="M94" s="293"/>
    </row>
    <row r="95" spans="1:13" s="298" customFormat="1" ht="15">
      <c r="A95" s="293"/>
      <c r="K95" s="293"/>
      <c r="M95" s="293"/>
    </row>
    <row r="96" spans="1:13" s="298" customFormat="1" ht="15">
      <c r="A96" s="293"/>
      <c r="K96" s="293"/>
      <c r="M96" s="293"/>
    </row>
    <row r="97" spans="1:13" s="298" customFormat="1" ht="15.75" thickBot="1">
      <c r="A97" s="293"/>
      <c r="B97" s="301">
        <f>SUM(B4:B96)</f>
        <v>0</v>
      </c>
      <c r="C97" s="302"/>
      <c r="D97" s="301">
        <f>SUM(D4:D96)</f>
        <v>2.7284841053187847E-12</v>
      </c>
      <c r="E97" s="302"/>
      <c r="F97" s="301">
        <f>SUM(F4:F96)</f>
        <v>14057.72</v>
      </c>
      <c r="G97" s="303"/>
      <c r="H97" s="301">
        <f>SUM(H4:H96)</f>
        <v>996692.82666400634</v>
      </c>
      <c r="J97" s="304">
        <f>SUM(B97:I97)</f>
        <v>1010750.5466640063</v>
      </c>
      <c r="K97" s="293" t="s">
        <v>728</v>
      </c>
      <c r="M97" s="293"/>
    </row>
    <row r="98" spans="1:13" s="298" customFormat="1" ht="16.5" thickTop="1">
      <c r="A98" s="293"/>
      <c r="G98" s="300"/>
      <c r="J98" s="305">
        <v>1010751.03</v>
      </c>
      <c r="K98" s="306">
        <v>42353</v>
      </c>
      <c r="M98" s="293"/>
    </row>
    <row r="99" spans="1:13" s="298" customFormat="1" ht="15">
      <c r="A99" s="293"/>
      <c r="J99" s="298">
        <f>+J97-J98</f>
        <v>-0.48333599371835589</v>
      </c>
      <c r="K99" s="293"/>
      <c r="M99" s="293"/>
    </row>
    <row r="100" spans="1:13" s="298" customFormat="1" ht="15">
      <c r="A100" s="293"/>
      <c r="K100" s="293"/>
      <c r="M100" s="293"/>
    </row>
    <row r="101" spans="1:13" s="298" customFormat="1" ht="15">
      <c r="A101" s="293"/>
      <c r="J101" s="298">
        <f>+J100+J99</f>
        <v>-0.48333599371835589</v>
      </c>
      <c r="K101" s="293"/>
      <c r="M101" s="293"/>
    </row>
    <row r="102" spans="1:13" s="298" customFormat="1" ht="15">
      <c r="A102" s="293"/>
      <c r="K102" s="293"/>
      <c r="M102" s="293"/>
    </row>
    <row r="103" spans="1:13" s="298" customFormat="1" ht="15">
      <c r="A103" s="293"/>
      <c r="K103" s="293"/>
      <c r="M103" s="293"/>
    </row>
    <row r="104" spans="1:13" s="298" customFormat="1" ht="15">
      <c r="A104" s="293"/>
      <c r="K104" s="293"/>
      <c r="M104" s="293"/>
    </row>
    <row r="105" spans="1:13" s="298" customFormat="1" ht="15">
      <c r="A105" s="293"/>
      <c r="K105" s="293"/>
      <c r="M105" s="293"/>
    </row>
    <row r="106" spans="1:13" s="298" customFormat="1" ht="15">
      <c r="A106" s="293"/>
      <c r="K106" s="293"/>
      <c r="M106" s="293"/>
    </row>
    <row r="107" spans="1:13" ht="15">
      <c r="K107" s="293"/>
      <c r="M107" s="293"/>
    </row>
    <row r="108" spans="1:13" ht="15">
      <c r="K108" s="293"/>
      <c r="M108" s="293"/>
    </row>
    <row r="109" spans="1:13" ht="15">
      <c r="K109" s="293"/>
      <c r="M109" s="293"/>
    </row>
    <row r="110" spans="1:13" ht="15">
      <c r="K110" s="293"/>
      <c r="M110" s="293"/>
    </row>
    <row r="111" spans="1:13" ht="15">
      <c r="K111" s="293"/>
      <c r="M111" s="293"/>
    </row>
    <row r="112" spans="1:13" ht="15">
      <c r="K112" s="293"/>
      <c r="M112" s="293"/>
    </row>
    <row r="113" spans="11:13" ht="15">
      <c r="K113" s="293"/>
      <c r="M113" s="293"/>
    </row>
    <row r="114" spans="11:13" ht="15">
      <c r="K114" s="293"/>
      <c r="M114" s="293"/>
    </row>
    <row r="115" spans="11:13" ht="15">
      <c r="K115" s="293"/>
      <c r="M115" s="293"/>
    </row>
    <row r="116" spans="11:13" ht="15">
      <c r="K116" s="293"/>
      <c r="M116" s="293"/>
    </row>
    <row r="117" spans="11:13" ht="15">
      <c r="K117" s="293"/>
      <c r="M117" s="293"/>
    </row>
    <row r="118" spans="11:13" ht="15">
      <c r="K118" s="293"/>
      <c r="M118" s="293"/>
    </row>
    <row r="119" spans="11:13" ht="15">
      <c r="K119" s="293"/>
      <c r="M119" s="293"/>
    </row>
    <row r="120" spans="11:13" ht="15">
      <c r="K120" s="293"/>
      <c r="M120" s="293"/>
    </row>
    <row r="121" spans="11:13" ht="15">
      <c r="K121" s="293"/>
      <c r="M121" s="293"/>
    </row>
    <row r="122" spans="11:13" ht="15">
      <c r="K122" s="293"/>
      <c r="M122" s="293"/>
    </row>
    <row r="123" spans="11:13" ht="15">
      <c r="K123" s="293"/>
      <c r="M123" s="293"/>
    </row>
    <row r="124" spans="11:13" ht="15">
      <c r="K124" s="293"/>
      <c r="M124" s="293"/>
    </row>
    <row r="125" spans="11:13" ht="15">
      <c r="K125" s="293"/>
      <c r="M125" s="293"/>
    </row>
    <row r="126" spans="11:13" ht="15">
      <c r="K126" s="293"/>
      <c r="M126" s="293"/>
    </row>
    <row r="127" spans="11:13" ht="15">
      <c r="K127" s="293"/>
      <c r="M127" s="293"/>
    </row>
    <row r="128" spans="11:13" ht="15">
      <c r="K128" s="293"/>
      <c r="M128" s="293"/>
    </row>
    <row r="129" spans="11:13" ht="15">
      <c r="K129" s="293"/>
      <c r="M129" s="293"/>
    </row>
    <row r="130" spans="11:13" ht="15">
      <c r="K130" s="293"/>
      <c r="M130" s="293"/>
    </row>
    <row r="131" spans="11:13" ht="15">
      <c r="K131" s="293"/>
      <c r="M131" s="293"/>
    </row>
    <row r="132" spans="11:13" ht="15">
      <c r="K132" s="293"/>
      <c r="M132" s="293"/>
    </row>
    <row r="133" spans="11:13" ht="15">
      <c r="K133" s="293"/>
      <c r="M133" s="293"/>
    </row>
    <row r="134" spans="11:13" ht="15">
      <c r="K134" s="293"/>
      <c r="M134" s="293"/>
    </row>
    <row r="135" spans="11:13" ht="15">
      <c r="K135" s="293"/>
      <c r="M135" s="293"/>
    </row>
    <row r="136" spans="11:13" ht="15">
      <c r="K136" s="293"/>
      <c r="M136" s="293"/>
    </row>
    <row r="137" spans="11:13" ht="15">
      <c r="K137" s="293"/>
      <c r="M137" s="293"/>
    </row>
    <row r="138" spans="11:13" ht="15">
      <c r="K138" s="293"/>
      <c r="M138" s="293"/>
    </row>
    <row r="139" spans="11:13" ht="15">
      <c r="K139" s="293"/>
      <c r="M139" s="293"/>
    </row>
    <row r="140" spans="11:13" ht="15">
      <c r="K140" s="293"/>
      <c r="M140" s="293"/>
    </row>
    <row r="141" spans="11:13" ht="15">
      <c r="K141" s="293"/>
      <c r="M141" s="293"/>
    </row>
    <row r="142" spans="11:13" ht="15">
      <c r="K142" s="293"/>
      <c r="M142" s="293"/>
    </row>
    <row r="143" spans="11:13" ht="15">
      <c r="K143" s="293"/>
      <c r="M143" s="293"/>
    </row>
    <row r="144" spans="11:13" ht="15">
      <c r="K144" s="293"/>
      <c r="M144" s="293"/>
    </row>
    <row r="145" spans="11:13" ht="15">
      <c r="K145" s="293"/>
      <c r="M145" s="293"/>
    </row>
    <row r="146" spans="11:13" ht="15">
      <c r="K146" s="293"/>
      <c r="M146" s="293"/>
    </row>
    <row r="147" spans="11:13" ht="15">
      <c r="K147" s="293"/>
      <c r="M147" s="293"/>
    </row>
    <row r="148" spans="11:13" ht="15">
      <c r="K148" s="293"/>
      <c r="M148" s="293"/>
    </row>
    <row r="149" spans="11:13" ht="15">
      <c r="K149" s="293"/>
      <c r="M149" s="293"/>
    </row>
    <row r="150" spans="11:13" ht="15">
      <c r="K150" s="293"/>
      <c r="M150" s="293"/>
    </row>
    <row r="151" spans="11:13" ht="15">
      <c r="K151" s="293"/>
      <c r="M151" s="293"/>
    </row>
    <row r="152" spans="11:13" ht="15">
      <c r="K152" s="293"/>
      <c r="M152" s="293"/>
    </row>
    <row r="153" spans="11:13" ht="15">
      <c r="K153" s="293"/>
      <c r="M153" s="293"/>
    </row>
    <row r="154" spans="11:13" ht="15">
      <c r="K154" s="293"/>
      <c r="M154" s="293"/>
    </row>
    <row r="155" spans="11:13" ht="15">
      <c r="K155" s="293"/>
      <c r="M155" s="293"/>
    </row>
    <row r="156" spans="11:13" ht="15">
      <c r="K156" s="293"/>
      <c r="M156" s="293"/>
    </row>
    <row r="157" spans="11:13" ht="15">
      <c r="K157" s="293"/>
    </row>
    <row r="158" spans="11:13" ht="15">
      <c r="K158" s="293"/>
    </row>
    <row r="159" spans="11:13" ht="15">
      <c r="K159" s="293"/>
    </row>
    <row r="160" spans="11:13" ht="15">
      <c r="K160" s="293"/>
    </row>
    <row r="161" spans="11:11" ht="15">
      <c r="K161" s="293"/>
    </row>
    <row r="162" spans="11:11" ht="15">
      <c r="K162" s="293"/>
    </row>
    <row r="163" spans="11:11" ht="15">
      <c r="K163" s="293"/>
    </row>
    <row r="164" spans="11:11" ht="15">
      <c r="K164" s="293"/>
    </row>
    <row r="165" spans="11:11" ht="15">
      <c r="K165" s="293"/>
    </row>
    <row r="166" spans="11:11" ht="15">
      <c r="K166" s="293"/>
    </row>
    <row r="167" spans="11:11" ht="15">
      <c r="K167" s="293"/>
    </row>
    <row r="168" spans="11:11" ht="15">
      <c r="K168" s="293"/>
    </row>
    <row r="169" spans="11:11" ht="15">
      <c r="K169" s="293"/>
    </row>
    <row r="170" spans="11:11" ht="15">
      <c r="K170" s="293"/>
    </row>
    <row r="171" spans="11:11" ht="15">
      <c r="K171" s="293"/>
    </row>
    <row r="172" spans="11:11" ht="15">
      <c r="K172" s="293"/>
    </row>
    <row r="173" spans="11:11" ht="15">
      <c r="K173" s="293"/>
    </row>
    <row r="174" spans="11:11" ht="15">
      <c r="K174" s="293"/>
    </row>
    <row r="175" spans="11:11" ht="15">
      <c r="K175" s="293"/>
    </row>
    <row r="176" spans="11:11" ht="15">
      <c r="K176" s="293"/>
    </row>
  </sheetData>
  <pageMargins left="0.75" right="0.75" top="0.76" bottom="0.49" header="0.5" footer="0.23"/>
  <pageSetup scale="4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cols>
    <col min="1" max="1" width="29.7109375" customWidth="1"/>
    <col min="2" max="4" width="12" bestFit="1" customWidth="1"/>
    <col min="5" max="7" width="12.28515625" customWidth="1"/>
    <col min="8" max="8" width="12.28515625" bestFit="1" customWidth="1"/>
    <col min="9" max="9" width="13.42578125" bestFit="1" customWidth="1"/>
    <col min="10" max="10" width="13.28515625" customWidth="1"/>
    <col min="11" max="13" width="13.28515625" bestFit="1" customWidth="1"/>
    <col min="14" max="14" width="12.28515625" bestFit="1" customWidth="1"/>
  </cols>
  <sheetData>
    <row r="2" spans="1:14">
      <c r="B2" s="260" t="s">
        <v>669</v>
      </c>
      <c r="C2" s="260" t="s">
        <v>670</v>
      </c>
      <c r="D2" s="260" t="s">
        <v>671</v>
      </c>
      <c r="E2" s="260" t="s">
        <v>672</v>
      </c>
      <c r="F2" s="260" t="s">
        <v>673</v>
      </c>
      <c r="G2" s="260" t="s">
        <v>674</v>
      </c>
      <c r="H2" s="260" t="s">
        <v>675</v>
      </c>
      <c r="I2" s="260" t="s">
        <v>676</v>
      </c>
      <c r="J2" s="260" t="s">
        <v>677</v>
      </c>
      <c r="K2" s="260" t="s">
        <v>678</v>
      </c>
      <c r="L2" s="260" t="s">
        <v>679</v>
      </c>
      <c r="M2" s="260" t="s">
        <v>680</v>
      </c>
      <c r="N2" s="260" t="s">
        <v>681</v>
      </c>
    </row>
    <row r="3" spans="1:14" ht="45">
      <c r="A3" s="261" t="s">
        <v>682</v>
      </c>
      <c r="B3" s="262">
        <v>319098.38</v>
      </c>
      <c r="C3" s="262">
        <v>135060.95000000001</v>
      </c>
      <c r="D3" s="262">
        <v>167442.87</v>
      </c>
      <c r="E3" s="262">
        <v>206242.1</v>
      </c>
      <c r="F3" s="262">
        <v>411013.44</v>
      </c>
      <c r="G3" s="262">
        <v>637707.79</v>
      </c>
      <c r="H3" s="262">
        <v>444530.07</v>
      </c>
      <c r="I3" s="262">
        <v>778253.13</v>
      </c>
      <c r="J3" s="262">
        <v>1011521.17</v>
      </c>
      <c r="K3" s="262">
        <v>1293029.43</v>
      </c>
      <c r="L3" s="262">
        <v>1457045.34</v>
      </c>
      <c r="M3" s="262">
        <v>1199565.48</v>
      </c>
      <c r="N3" s="262">
        <v>300600.21000000002</v>
      </c>
    </row>
    <row r="4" spans="1:14" ht="30">
      <c r="A4" s="261" t="s">
        <v>683</v>
      </c>
      <c r="B4" s="263">
        <v>175167.83</v>
      </c>
      <c r="C4" s="262">
        <v>179049.28</v>
      </c>
      <c r="D4" s="262">
        <v>214088.51</v>
      </c>
      <c r="E4" s="264">
        <v>211670.87</v>
      </c>
      <c r="F4" s="264">
        <v>398924.27</v>
      </c>
      <c r="G4" s="264">
        <v>197241.37</v>
      </c>
      <c r="H4" s="264">
        <v>221016.42</v>
      </c>
      <c r="I4" s="264">
        <v>210479.81</v>
      </c>
      <c r="J4" s="264">
        <v>400272.36</v>
      </c>
      <c r="K4" s="264">
        <v>674977.75</v>
      </c>
      <c r="L4" s="264">
        <v>251049.54</v>
      </c>
      <c r="M4" s="264">
        <v>154919.6</v>
      </c>
      <c r="N4" s="265">
        <v>219374.4</v>
      </c>
    </row>
    <row r="5" spans="1:14" ht="30">
      <c r="A5" s="261" t="s">
        <v>684</v>
      </c>
      <c r="B5" s="262">
        <v>-375072.46</v>
      </c>
      <c r="C5" s="262">
        <v>-175167.83</v>
      </c>
      <c r="D5" s="262">
        <v>-179049.28</v>
      </c>
      <c r="E5" s="264">
        <v>-214088.51</v>
      </c>
      <c r="F5" s="264">
        <v>-211670.87</v>
      </c>
      <c r="G5" s="264">
        <v>-398924.27</v>
      </c>
      <c r="H5" s="264">
        <v>-197241.37</v>
      </c>
      <c r="I5" s="264">
        <v>-221016.42</v>
      </c>
      <c r="J5" s="264">
        <v>-210479.81</v>
      </c>
      <c r="K5" s="264">
        <v>-400272.36</v>
      </c>
      <c r="L5" s="264">
        <v>-674977.75</v>
      </c>
      <c r="M5" s="264">
        <v>-251049.54</v>
      </c>
      <c r="N5" s="264">
        <v>-154919.6</v>
      </c>
    </row>
    <row r="6" spans="1:14" ht="30">
      <c r="A6" s="261" t="s">
        <v>685</v>
      </c>
      <c r="B6" s="262">
        <v>232845.37</v>
      </c>
      <c r="C6" s="262">
        <v>375072.46</v>
      </c>
      <c r="D6" s="262">
        <v>175167.83</v>
      </c>
      <c r="E6" s="264">
        <v>179049.28</v>
      </c>
      <c r="F6" s="264">
        <v>214088.51</v>
      </c>
      <c r="G6" s="264">
        <v>211670.87</v>
      </c>
      <c r="H6" s="264">
        <v>398924.27</v>
      </c>
      <c r="I6" s="264">
        <v>197241.37</v>
      </c>
      <c r="J6" s="264">
        <v>221016.42</v>
      </c>
      <c r="K6" s="264">
        <v>210479.81</v>
      </c>
      <c r="L6" s="264">
        <v>400272.36</v>
      </c>
      <c r="M6" s="264">
        <v>674977.75</v>
      </c>
      <c r="N6" s="264">
        <v>251049.54</v>
      </c>
    </row>
    <row r="7" spans="1:14" ht="30">
      <c r="A7" s="261" t="s">
        <v>686</v>
      </c>
      <c r="B7" s="266">
        <v>-232845.37</v>
      </c>
      <c r="C7" s="266">
        <v>-375072.46</v>
      </c>
      <c r="D7" s="266">
        <v>-175167.83</v>
      </c>
      <c r="E7" s="267">
        <v>-179049.28</v>
      </c>
      <c r="F7" s="267">
        <v>-214088.51</v>
      </c>
      <c r="G7" s="267">
        <v>-211670.87</v>
      </c>
      <c r="H7" s="267">
        <v>-398924.27</v>
      </c>
      <c r="I7" s="267">
        <v>-197241.37</v>
      </c>
      <c r="J7" s="267">
        <v>-221016.42</v>
      </c>
      <c r="K7" s="267">
        <v>-210479.81</v>
      </c>
      <c r="L7" s="267">
        <v>-400272.36</v>
      </c>
      <c r="M7" s="267">
        <v>-674977.75</v>
      </c>
      <c r="N7" s="267">
        <v>-251049.54</v>
      </c>
    </row>
    <row r="8" spans="1:14">
      <c r="A8" s="261" t="s">
        <v>687</v>
      </c>
      <c r="B8" s="268">
        <f t="shared" ref="B8:N8" si="0">SUM(B3:B7)</f>
        <v>119193.74999999994</v>
      </c>
      <c r="C8" s="268">
        <f t="shared" si="0"/>
        <v>138942.39999999997</v>
      </c>
      <c r="D8" s="268">
        <f t="shared" si="0"/>
        <v>202482.1</v>
      </c>
      <c r="E8" s="269">
        <f t="shared" si="0"/>
        <v>203824.46</v>
      </c>
      <c r="F8" s="269">
        <f t="shared" si="0"/>
        <v>598266.84</v>
      </c>
      <c r="G8" s="269">
        <f t="shared" si="0"/>
        <v>436024.89</v>
      </c>
      <c r="H8" s="269">
        <f t="shared" si="0"/>
        <v>468305.12</v>
      </c>
      <c r="I8" s="269">
        <f t="shared" si="0"/>
        <v>767716.5199999999</v>
      </c>
      <c r="J8" s="269">
        <f t="shared" si="0"/>
        <v>1201313.72</v>
      </c>
      <c r="K8" s="269">
        <f t="shared" si="0"/>
        <v>1567734.8199999998</v>
      </c>
      <c r="L8" s="269">
        <f t="shared" si="0"/>
        <v>1033117.1300000002</v>
      </c>
      <c r="M8" s="269">
        <f t="shared" si="0"/>
        <v>1103435.54</v>
      </c>
      <c r="N8" s="269">
        <f t="shared" si="0"/>
        <v>365055.01</v>
      </c>
    </row>
    <row r="11" spans="1:14">
      <c r="A11" s="261" t="s">
        <v>688</v>
      </c>
    </row>
    <row r="12" spans="1:14">
      <c r="A12" s="261" t="s">
        <v>689</v>
      </c>
      <c r="B12" s="263">
        <f>45120</f>
        <v>45120</v>
      </c>
      <c r="C12" s="270"/>
      <c r="D12" s="270">
        <f>48880</f>
        <v>48880</v>
      </c>
      <c r="E12" s="270">
        <v>60160</v>
      </c>
      <c r="F12" s="270">
        <f>11280</f>
        <v>11280</v>
      </c>
      <c r="G12" s="270">
        <f>11280</f>
        <v>11280</v>
      </c>
      <c r="H12" s="270">
        <f>51361.6</f>
        <v>51361.599999999999</v>
      </c>
      <c r="I12" s="270">
        <f>146640</f>
        <v>146640</v>
      </c>
      <c r="J12" s="270">
        <f>15040</f>
        <v>15040</v>
      </c>
      <c r="K12" s="270">
        <f>119568</f>
        <v>119568</v>
      </c>
      <c r="L12" s="270">
        <f>27072</f>
        <v>27072</v>
      </c>
      <c r="M12" s="270"/>
      <c r="N12" s="271">
        <f>117161.6</f>
        <v>117161.60000000001</v>
      </c>
    </row>
    <row r="13" spans="1:14" ht="30">
      <c r="A13" s="261" t="s">
        <v>690</v>
      </c>
      <c r="B13" s="270">
        <v>-29252.799999999999</v>
      </c>
      <c r="C13" s="270"/>
      <c r="D13" s="270">
        <v>-45120</v>
      </c>
      <c r="E13" s="270"/>
      <c r="F13" s="270">
        <v>-48880</v>
      </c>
      <c r="G13" s="270">
        <v>-60160</v>
      </c>
      <c r="H13" s="270">
        <v>-11280</v>
      </c>
      <c r="I13" s="270">
        <v>-11280</v>
      </c>
      <c r="J13" s="270">
        <v>-51361.599999999999</v>
      </c>
      <c r="K13" s="270">
        <v>-146640</v>
      </c>
      <c r="L13" s="270">
        <v>-15040</v>
      </c>
      <c r="M13" s="270">
        <v>-119568</v>
      </c>
      <c r="N13" s="270">
        <v>-27072</v>
      </c>
    </row>
    <row r="14" spans="1:14">
      <c r="A14" s="261" t="s">
        <v>691</v>
      </c>
      <c r="B14" s="270"/>
      <c r="C14" s="270"/>
      <c r="D14" s="270"/>
      <c r="E14" s="270"/>
      <c r="F14" s="270"/>
      <c r="G14" s="270"/>
      <c r="H14" s="270"/>
      <c r="I14" s="270"/>
      <c r="J14" s="270"/>
      <c r="K14" s="270"/>
      <c r="L14" s="270"/>
      <c r="M14" s="270"/>
      <c r="N14" s="270"/>
    </row>
    <row r="15" spans="1:14">
      <c r="A15" s="261" t="s">
        <v>692</v>
      </c>
      <c r="B15" s="270"/>
      <c r="C15" s="270"/>
      <c r="D15" s="270"/>
      <c r="E15" s="270"/>
      <c r="F15" s="270"/>
      <c r="G15" s="270"/>
      <c r="H15" s="270"/>
      <c r="I15" s="270"/>
      <c r="J15" s="270"/>
      <c r="K15" s="270"/>
      <c r="L15" s="270"/>
      <c r="M15" s="270"/>
      <c r="N15" s="270"/>
    </row>
    <row r="16" spans="1:14">
      <c r="A16" s="261" t="s">
        <v>693</v>
      </c>
      <c r="B16" s="270"/>
      <c r="C16" s="270"/>
      <c r="D16" s="270"/>
      <c r="E16" s="270"/>
      <c r="F16" s="270"/>
      <c r="G16" s="270"/>
      <c r="H16" s="270"/>
      <c r="I16" s="270"/>
      <c r="J16" s="270"/>
      <c r="K16" s="270"/>
      <c r="L16" s="270"/>
      <c r="M16" s="270"/>
      <c r="N16" s="270"/>
    </row>
    <row r="17" spans="1:14">
      <c r="A17" s="261" t="s">
        <v>694</v>
      </c>
      <c r="B17" s="270"/>
      <c r="C17" s="270"/>
      <c r="D17" s="270"/>
      <c r="E17" s="270"/>
      <c r="F17" s="270"/>
      <c r="G17" s="270"/>
      <c r="H17" s="270"/>
      <c r="I17" s="270"/>
      <c r="J17" s="270"/>
      <c r="K17" s="270"/>
      <c r="L17" s="270"/>
      <c r="M17" s="270"/>
      <c r="N17" s="270"/>
    </row>
    <row r="18" spans="1:14">
      <c r="A18" s="261" t="s">
        <v>695</v>
      </c>
      <c r="B18" s="270"/>
      <c r="C18" s="270"/>
      <c r="D18" s="270"/>
      <c r="E18" s="270"/>
      <c r="F18" s="270"/>
      <c r="G18" s="270"/>
      <c r="H18" s="270"/>
      <c r="I18" s="270"/>
      <c r="J18" s="270"/>
      <c r="K18" s="270"/>
      <c r="L18" s="270"/>
      <c r="M18" s="270"/>
      <c r="N18" s="270"/>
    </row>
    <row r="19" spans="1:14">
      <c r="A19" s="261" t="s">
        <v>696</v>
      </c>
      <c r="B19" s="270"/>
      <c r="C19" s="270"/>
      <c r="D19" s="270"/>
      <c r="E19" s="270"/>
      <c r="F19" s="270"/>
      <c r="G19" s="270"/>
      <c r="H19" s="270"/>
      <c r="I19" s="270"/>
      <c r="J19" s="270"/>
      <c r="K19" s="270"/>
      <c r="L19" s="270"/>
      <c r="M19" s="270"/>
      <c r="N19" s="270"/>
    </row>
    <row r="20" spans="1:14">
      <c r="A20" s="261" t="s">
        <v>697</v>
      </c>
      <c r="B20" s="270"/>
      <c r="C20" s="270"/>
      <c r="D20" s="270"/>
      <c r="E20" s="270"/>
      <c r="F20" s="270"/>
      <c r="G20" s="270"/>
      <c r="H20" s="270"/>
      <c r="I20" s="270"/>
      <c r="J20" s="270"/>
      <c r="K20" s="270"/>
      <c r="L20" s="270"/>
      <c r="M20" s="270"/>
      <c r="N20" s="270"/>
    </row>
    <row r="21" spans="1:14">
      <c r="A21" s="261" t="s">
        <v>698</v>
      </c>
      <c r="B21" s="270"/>
      <c r="C21" s="270"/>
      <c r="D21" s="270"/>
      <c r="E21" s="270"/>
      <c r="F21" s="270"/>
      <c r="G21" s="270"/>
      <c r="H21" s="270"/>
      <c r="I21" s="270"/>
      <c r="J21" s="270"/>
      <c r="K21" s="270">
        <v>-183212.6</v>
      </c>
      <c r="L21" s="270"/>
      <c r="M21" s="270"/>
      <c r="N21" s="270"/>
    </row>
    <row r="22" spans="1:14">
      <c r="A22" s="261" t="s">
        <v>699</v>
      </c>
      <c r="B22" s="270"/>
      <c r="C22" s="270"/>
      <c r="D22" s="270"/>
      <c r="E22" s="270"/>
      <c r="F22" s="270"/>
      <c r="G22" s="270"/>
      <c r="H22" s="270"/>
      <c r="I22" s="270"/>
      <c r="J22" s="270"/>
      <c r="K22" s="270"/>
      <c r="L22" s="270"/>
      <c r="M22" s="270"/>
      <c r="N22" s="270"/>
    </row>
    <row r="23" spans="1:14">
      <c r="A23" s="261" t="s">
        <v>700</v>
      </c>
      <c r="B23" s="270"/>
      <c r="C23" s="270"/>
      <c r="D23" s="270"/>
      <c r="E23" s="270"/>
      <c r="F23" s="270"/>
      <c r="G23" s="270"/>
      <c r="H23" s="270"/>
      <c r="I23" s="270"/>
      <c r="J23" s="270"/>
      <c r="K23" s="270"/>
      <c r="L23" s="270"/>
      <c r="M23" s="270"/>
      <c r="N23" s="270"/>
    </row>
    <row r="24" spans="1:14" ht="30">
      <c r="A24" s="261" t="s">
        <v>701</v>
      </c>
      <c r="B24" s="270"/>
      <c r="C24" s="270"/>
      <c r="D24" s="270"/>
      <c r="E24" s="270"/>
      <c r="F24" s="270"/>
      <c r="G24" s="270"/>
      <c r="H24" s="270"/>
      <c r="I24" s="270"/>
      <c r="J24" s="270"/>
      <c r="K24" s="270"/>
      <c r="L24" s="270"/>
      <c r="M24" s="270"/>
      <c r="N24" s="270"/>
    </row>
    <row r="25" spans="1:14" ht="30">
      <c r="A25" s="261" t="s">
        <v>702</v>
      </c>
      <c r="B25" s="270"/>
      <c r="C25" s="270">
        <f>2833.73+1079.99+3269.32+600.75+553.47+20163.21</f>
        <v>28500.47</v>
      </c>
      <c r="D25" s="270"/>
      <c r="E25" s="270"/>
      <c r="F25" s="270"/>
      <c r="G25" s="270"/>
      <c r="H25" s="270"/>
      <c r="I25" s="270"/>
      <c r="J25" s="270"/>
      <c r="K25" s="270"/>
      <c r="L25" s="270"/>
      <c r="M25" s="270"/>
      <c r="N25" s="270"/>
    </row>
    <row r="26" spans="1:14" ht="30">
      <c r="A26" s="261" t="s">
        <v>703</v>
      </c>
      <c r="B26" s="270"/>
      <c r="C26" s="270"/>
      <c r="D26" s="270"/>
      <c r="E26" s="270">
        <f>9527.84</f>
        <v>9527.84</v>
      </c>
      <c r="F26" s="270">
        <f>37255.23+93380.28+39332.24+218.08</f>
        <v>170185.83</v>
      </c>
      <c r="G26" s="270">
        <f>11217.69+35845.5+14727.77</f>
        <v>61790.960000000006</v>
      </c>
      <c r="H26" s="270">
        <f>11217.69+14727.77+17139+35845.5</f>
        <v>78929.959999999992</v>
      </c>
      <c r="I26" s="270">
        <f>11217.69+14727.77+35845.5+183406.32</f>
        <v>245197.28</v>
      </c>
      <c r="J26" s="270"/>
      <c r="K26" s="270">
        <f>28044.21+89613.74+36819.43</f>
        <v>154477.38</v>
      </c>
      <c r="L26" s="270">
        <f>13334.39+42609.32+17506.81</f>
        <v>73450.52</v>
      </c>
      <c r="M26" s="270">
        <f>-42609.32-17506.81-13334.39-28044.21-36819.43-89613.74-14727.77-35845.5-11217.69-14727.77-35845.5-11217.69-35845.5-11217.69-14727.77-37255.23-93380.28-39332.24-9527.84-218.08</f>
        <v>-593014.44999999995</v>
      </c>
      <c r="N26" s="270"/>
    </row>
    <row r="27" spans="1:14" ht="30">
      <c r="A27" s="261" t="s">
        <v>704</v>
      </c>
      <c r="B27" s="272"/>
      <c r="C27" s="272"/>
      <c r="D27" s="272"/>
      <c r="E27" s="272">
        <v>137501.14000000001</v>
      </c>
      <c r="F27" s="272">
        <f>44356.26</f>
        <v>44356.26</v>
      </c>
      <c r="G27" s="272">
        <f>39950.48</f>
        <v>39950.480000000003</v>
      </c>
      <c r="H27" s="272">
        <f>230886.93</f>
        <v>230886.93</v>
      </c>
      <c r="I27" s="272">
        <f>94134.3</f>
        <v>94134.3</v>
      </c>
      <c r="J27" s="272">
        <f>222171.61</f>
        <v>222171.61</v>
      </c>
      <c r="K27" s="272">
        <f>167289.42</f>
        <v>167289.42000000001</v>
      </c>
      <c r="L27" s="272">
        <f>248255.17</f>
        <v>248255.17</v>
      </c>
      <c r="M27" s="272">
        <f>158002.29</f>
        <v>158002.29</v>
      </c>
      <c r="N27" s="273">
        <f>89511.52</f>
        <v>89511.52</v>
      </c>
    </row>
    <row r="28" spans="1:14" ht="30">
      <c r="A28" s="261" t="s">
        <v>705</v>
      </c>
      <c r="B28" s="274"/>
      <c r="C28" s="274"/>
      <c r="D28" s="274"/>
      <c r="E28" s="274"/>
      <c r="F28" s="274">
        <v>-137501.14000000001</v>
      </c>
      <c r="G28" s="274">
        <v>-44356.26</v>
      </c>
      <c r="H28" s="274">
        <v>-39950.480000000003</v>
      </c>
      <c r="I28" s="274">
        <v>-230886.93</v>
      </c>
      <c r="J28" s="274">
        <v>-94134.3</v>
      </c>
      <c r="K28" s="274">
        <v>-222171.68</v>
      </c>
      <c r="L28" s="274">
        <v>-167289.34</v>
      </c>
      <c r="M28" s="274">
        <v>-248255.17</v>
      </c>
      <c r="N28" s="274">
        <v>-158002.29</v>
      </c>
    </row>
    <row r="29" spans="1:14">
      <c r="B29" s="262">
        <f t="shared" ref="B29:N29" si="1">SUM(B12:B28)</f>
        <v>15867.2</v>
      </c>
      <c r="C29" s="262">
        <f t="shared" si="1"/>
        <v>28500.47</v>
      </c>
      <c r="D29" s="262">
        <f t="shared" si="1"/>
        <v>3760</v>
      </c>
      <c r="E29" s="262">
        <f t="shared" si="1"/>
        <v>207188.98</v>
      </c>
      <c r="F29" s="262">
        <f t="shared" si="1"/>
        <v>39440.949999999983</v>
      </c>
      <c r="G29" s="262">
        <f t="shared" si="1"/>
        <v>8505.1800000000076</v>
      </c>
      <c r="H29" s="262">
        <f t="shared" si="1"/>
        <v>309948.01</v>
      </c>
      <c r="I29" s="262">
        <f t="shared" si="1"/>
        <v>243804.65000000002</v>
      </c>
      <c r="J29" s="262">
        <f t="shared" si="1"/>
        <v>91715.709999999977</v>
      </c>
      <c r="K29" s="262">
        <f t="shared" si="1"/>
        <v>-110689.47999999998</v>
      </c>
      <c r="L29" s="262">
        <f t="shared" si="1"/>
        <v>166448.35</v>
      </c>
      <c r="M29" s="262">
        <f t="shared" si="1"/>
        <v>-802835.33</v>
      </c>
      <c r="N29" s="262">
        <f t="shared" si="1"/>
        <v>21598.829999999987</v>
      </c>
    </row>
    <row r="30" spans="1:14">
      <c r="B30" s="262"/>
      <c r="C30" s="262"/>
      <c r="D30" s="262"/>
      <c r="E30" s="262"/>
      <c r="F30" s="262"/>
      <c r="G30" s="262"/>
      <c r="H30" s="262"/>
      <c r="I30" s="262"/>
      <c r="J30" s="262"/>
      <c r="K30" s="262"/>
      <c r="L30" s="262"/>
      <c r="M30" s="262"/>
      <c r="N30" s="262"/>
    </row>
    <row r="31" spans="1:14">
      <c r="A31" s="261" t="s">
        <v>706</v>
      </c>
      <c r="B31" s="262">
        <f t="shared" ref="B31:N31" si="2">SUM(B29+B8)</f>
        <v>135060.94999999995</v>
      </c>
      <c r="C31" s="262">
        <f t="shared" si="2"/>
        <v>167442.86999999997</v>
      </c>
      <c r="D31" s="262">
        <f t="shared" si="2"/>
        <v>206242.1</v>
      </c>
      <c r="E31" s="262">
        <f t="shared" si="2"/>
        <v>411013.44</v>
      </c>
      <c r="F31" s="262">
        <f t="shared" si="2"/>
        <v>637707.78999999992</v>
      </c>
      <c r="G31" s="262">
        <f t="shared" si="2"/>
        <v>444530.07</v>
      </c>
      <c r="H31" s="262">
        <f t="shared" si="2"/>
        <v>778253.13</v>
      </c>
      <c r="I31" s="262">
        <f t="shared" si="2"/>
        <v>1011521.1699999999</v>
      </c>
      <c r="J31" s="262">
        <f t="shared" si="2"/>
        <v>1293029.43</v>
      </c>
      <c r="K31" s="262">
        <f t="shared" si="2"/>
        <v>1457045.3399999999</v>
      </c>
      <c r="L31" s="262">
        <f t="shared" si="2"/>
        <v>1199565.4800000002</v>
      </c>
      <c r="M31" s="262">
        <f t="shared" si="2"/>
        <v>300600.21000000008</v>
      </c>
      <c r="N31" s="262">
        <f t="shared" si="2"/>
        <v>386653.83999999997</v>
      </c>
    </row>
    <row r="32" spans="1:14">
      <c r="B32" s="262"/>
      <c r="C32" s="262"/>
      <c r="D32" s="262"/>
      <c r="E32" s="262"/>
      <c r="F32" s="262"/>
      <c r="G32" s="262"/>
      <c r="H32" s="262"/>
      <c r="I32" s="262"/>
      <c r="J32" s="262"/>
      <c r="K32" s="262"/>
      <c r="L32" s="262"/>
      <c r="M32" s="262"/>
      <c r="N32" s="262"/>
    </row>
    <row r="33" spans="1:14">
      <c r="A33" t="s">
        <v>707</v>
      </c>
      <c r="B33" s="262">
        <v>135060.95000000001</v>
      </c>
      <c r="C33" s="262">
        <v>167442.87</v>
      </c>
      <c r="D33" s="262">
        <v>206242.1</v>
      </c>
      <c r="E33" s="262">
        <v>411013.44</v>
      </c>
      <c r="F33" s="262">
        <v>637707.79</v>
      </c>
      <c r="G33" s="262">
        <v>444530.07</v>
      </c>
      <c r="H33" s="262">
        <v>778253.13</v>
      </c>
      <c r="I33" s="262">
        <v>1011521.17</v>
      </c>
      <c r="J33" s="262">
        <v>1293029.43</v>
      </c>
      <c r="K33" s="262">
        <v>1457045.34</v>
      </c>
      <c r="L33" s="262">
        <v>1199565.48</v>
      </c>
      <c r="M33" s="262">
        <v>300600.21000000002</v>
      </c>
      <c r="N33" s="262">
        <v>386653.84</v>
      </c>
    </row>
    <row r="34" spans="1:14">
      <c r="B34" s="262"/>
      <c r="C34" s="262"/>
      <c r="D34" s="262"/>
      <c r="E34" s="262"/>
      <c r="F34" s="262"/>
      <c r="G34" s="262"/>
      <c r="H34" s="262"/>
      <c r="I34" s="262"/>
      <c r="J34" s="262"/>
      <c r="K34" s="262"/>
      <c r="L34" s="262"/>
      <c r="M34" s="262"/>
      <c r="N34" s="262"/>
    </row>
    <row r="35" spans="1:14">
      <c r="A35" t="s">
        <v>708</v>
      </c>
      <c r="B35" s="262">
        <f>SUM(B31-B33)</f>
        <v>-5.8207660913467407E-11</v>
      </c>
      <c r="C35" s="262">
        <f>SUM(C31-C33)</f>
        <v>-2.9103830456733704E-11</v>
      </c>
      <c r="D35" s="262">
        <f t="shared" ref="D35:N35" si="3">SUM(D31-D33)</f>
        <v>0</v>
      </c>
      <c r="E35" s="262">
        <f t="shared" si="3"/>
        <v>0</v>
      </c>
      <c r="F35" s="262">
        <f t="shared" si="3"/>
        <v>-1.1641532182693481E-10</v>
      </c>
      <c r="G35" s="262">
        <f t="shared" si="3"/>
        <v>0</v>
      </c>
      <c r="H35" s="262">
        <f t="shared" si="3"/>
        <v>0</v>
      </c>
      <c r="I35" s="262">
        <f t="shared" si="3"/>
        <v>-1.1641532182693481E-10</v>
      </c>
      <c r="J35" s="262">
        <f t="shared" si="3"/>
        <v>0</v>
      </c>
      <c r="K35" s="262">
        <f t="shared" si="3"/>
        <v>-2.3283064365386963E-10</v>
      </c>
      <c r="L35" s="262">
        <f t="shared" si="3"/>
        <v>2.3283064365386963E-10</v>
      </c>
      <c r="M35" s="262">
        <f t="shared" si="3"/>
        <v>5.8207660913467407E-11</v>
      </c>
      <c r="N35" s="262">
        <f t="shared" si="3"/>
        <v>-5.8207660913467407E-11</v>
      </c>
    </row>
    <row r="36" spans="1:14">
      <c r="B36" s="262"/>
      <c r="C36" s="262"/>
      <c r="D36" s="262"/>
      <c r="E36" s="262"/>
      <c r="F36" s="262"/>
      <c r="G36" s="262"/>
      <c r="H36" s="262"/>
      <c r="I36" s="262"/>
      <c r="J36" s="262"/>
      <c r="K36" s="262"/>
      <c r="L36" s="262"/>
      <c r="M36" s="262"/>
      <c r="N36" s="262"/>
    </row>
    <row r="37" spans="1:14">
      <c r="B37" s="262"/>
      <c r="C37" s="262"/>
      <c r="D37" s="262"/>
      <c r="E37" s="262"/>
      <c r="F37" s="262"/>
      <c r="G37" s="262"/>
      <c r="H37" s="262"/>
      <c r="I37" s="262"/>
      <c r="J37" s="262"/>
      <c r="K37" s="262"/>
      <c r="L37" s="262"/>
      <c r="M37" s="262"/>
      <c r="N37" s="262"/>
    </row>
    <row r="38" spans="1:14">
      <c r="A38" t="s">
        <v>709</v>
      </c>
      <c r="B38" s="262"/>
      <c r="C38" s="262"/>
      <c r="D38" s="262"/>
      <c r="E38" s="262"/>
      <c r="F38" s="262"/>
      <c r="G38" s="262"/>
      <c r="H38" s="262"/>
      <c r="I38" s="262"/>
      <c r="J38" s="262"/>
      <c r="K38" s="262"/>
      <c r="L38" s="262"/>
      <c r="M38" s="262"/>
      <c r="N38" s="262"/>
    </row>
    <row r="39" spans="1:14">
      <c r="A39" t="s">
        <v>710</v>
      </c>
      <c r="B39" s="262"/>
      <c r="C39" s="262"/>
      <c r="D39" s="262"/>
      <c r="E39" s="262"/>
      <c r="F39" s="262"/>
      <c r="G39" s="262"/>
      <c r="H39" s="262"/>
      <c r="I39" s="262"/>
      <c r="J39" s="262"/>
      <c r="K39" s="262"/>
      <c r="L39" s="262"/>
      <c r="M39" s="262"/>
      <c r="N39" s="262"/>
    </row>
    <row r="40" spans="1:14">
      <c r="A40" t="s">
        <v>711</v>
      </c>
      <c r="B40" s="262"/>
      <c r="C40" s="262"/>
      <c r="D40" s="262"/>
      <c r="E40" s="262"/>
      <c r="F40" s="262"/>
      <c r="G40" s="262"/>
      <c r="H40" s="262"/>
      <c r="I40" s="262"/>
      <c r="J40" s="262"/>
      <c r="K40" s="262"/>
      <c r="L40" s="262"/>
      <c r="M40" s="262"/>
      <c r="N40" s="262"/>
    </row>
    <row r="41" spans="1:14">
      <c r="B41" s="262"/>
      <c r="C41" s="262"/>
      <c r="D41" s="262"/>
      <c r="E41" s="262"/>
      <c r="F41" s="262"/>
      <c r="G41" s="262"/>
      <c r="H41" s="262"/>
      <c r="I41" s="262"/>
      <c r="J41" s="262"/>
      <c r="K41" s="262"/>
      <c r="L41" s="262"/>
      <c r="M41" s="262"/>
      <c r="N41" s="262"/>
    </row>
    <row r="42" spans="1:14">
      <c r="A42" s="275" t="s">
        <v>712</v>
      </c>
      <c r="B42" s="262"/>
      <c r="C42" s="262"/>
      <c r="D42" s="262"/>
      <c r="E42" s="262"/>
      <c r="F42" s="262"/>
      <c r="G42" s="262"/>
      <c r="H42" s="262"/>
      <c r="I42" s="262"/>
      <c r="J42" s="262"/>
      <c r="K42" s="262"/>
      <c r="L42" s="262"/>
      <c r="M42" s="262"/>
      <c r="N42" s="262"/>
    </row>
    <row r="43" spans="1:14">
      <c r="A43" s="261"/>
      <c r="B43" s="262"/>
      <c r="C43" s="262"/>
      <c r="D43" s="262"/>
      <c r="E43" s="262"/>
      <c r="F43" s="262"/>
      <c r="G43" s="262"/>
      <c r="H43" s="262"/>
      <c r="I43" s="262"/>
      <c r="J43" s="262"/>
      <c r="K43" s="262"/>
      <c r="L43" s="262"/>
      <c r="M43" s="262"/>
      <c r="N43" s="262"/>
    </row>
    <row r="44" spans="1:14">
      <c r="A44" t="s">
        <v>713</v>
      </c>
      <c r="B44" s="262"/>
      <c r="C44" s="262"/>
      <c r="D44" s="262"/>
      <c r="E44" s="262"/>
      <c r="F44" s="262"/>
      <c r="G44" s="262"/>
      <c r="H44" s="262"/>
      <c r="I44" s="262"/>
      <c r="J44" s="262"/>
      <c r="K44" s="262"/>
      <c r="L44" s="262"/>
      <c r="M44" s="262"/>
      <c r="N44" s="262"/>
    </row>
    <row r="45" spans="1:14">
      <c r="B45" s="262"/>
      <c r="C45" s="262"/>
      <c r="D45" s="262"/>
      <c r="E45" s="262"/>
      <c r="F45" s="262"/>
      <c r="G45" s="262"/>
      <c r="H45" s="262"/>
      <c r="I45" s="262"/>
      <c r="J45" s="262"/>
      <c r="K45" s="262"/>
      <c r="L45" s="262"/>
      <c r="M45" s="262"/>
      <c r="N45" s="262"/>
    </row>
    <row r="46" spans="1:14">
      <c r="B46" s="262"/>
      <c r="C46" s="262"/>
      <c r="D46" s="262"/>
      <c r="E46" s="262"/>
      <c r="F46" s="262"/>
      <c r="G46" s="262"/>
      <c r="H46" s="262"/>
      <c r="I46" s="262"/>
      <c r="J46" s="262"/>
      <c r="K46" s="262"/>
      <c r="L46" s="262"/>
      <c r="M46" s="262"/>
      <c r="N46" s="262"/>
    </row>
    <row r="47" spans="1:14">
      <c r="B47" s="262"/>
      <c r="C47" s="262"/>
      <c r="D47" s="262"/>
      <c r="E47" s="262"/>
      <c r="F47" s="262"/>
      <c r="G47" s="262"/>
      <c r="H47" s="262"/>
      <c r="I47" s="262"/>
      <c r="J47" s="262"/>
      <c r="K47" s="262"/>
      <c r="L47" s="262"/>
      <c r="M47" s="262"/>
      <c r="N47" s="262"/>
    </row>
  </sheetData>
  <printOptions horizontalCentered="1" gridLines="1"/>
  <pageMargins left="0.25" right="0.25" top="0.5" bottom="0.5" header="0.25" footer="0.25"/>
  <pageSetup scale="64" fitToWidth="5" orientation="landscape" r:id="rId1"/>
  <headerFooter>
    <oddHeader xml:space="preserve">&amp;CAccount 165600 - Plum Point Prepaid
</oddHeader>
    <oddFooter>&amp;L&amp;D &amp;T
Prepared By Amy Tatum&amp;C&amp;P of &amp;N&amp;R&amp;Z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ColWidth="10.28515625" defaultRowHeight="15.75"/>
  <cols>
    <col min="1" max="1" width="8.140625" style="319" customWidth="1"/>
    <col min="2" max="2" width="8.85546875" style="319" bestFit="1" customWidth="1"/>
    <col min="3" max="3" width="5.42578125" style="319" bestFit="1" customWidth="1"/>
    <col min="4" max="4" width="8.42578125" style="319" bestFit="1" customWidth="1"/>
    <col min="5" max="5" width="7.85546875" style="319" bestFit="1" customWidth="1"/>
    <col min="6" max="6" width="27.85546875" style="319" bestFit="1" customWidth="1"/>
    <col min="7" max="7" width="11.85546875" style="320" bestFit="1" customWidth="1"/>
    <col min="8" max="8" width="12.42578125" style="319" bestFit="1" customWidth="1"/>
    <col min="9" max="9" width="7.140625" style="319" bestFit="1" customWidth="1"/>
    <col min="10" max="10" width="5.42578125" style="319" bestFit="1" customWidth="1"/>
    <col min="11" max="11" width="7.28515625" style="319" bestFit="1" customWidth="1"/>
    <col min="12" max="256" width="10.28515625" style="319"/>
    <col min="257" max="257" width="8.140625" style="319" customWidth="1"/>
    <col min="258" max="258" width="8.85546875" style="319" bestFit="1" customWidth="1"/>
    <col min="259" max="259" width="5.42578125" style="319" bestFit="1" customWidth="1"/>
    <col min="260" max="260" width="8.42578125" style="319" bestFit="1" customWidth="1"/>
    <col min="261" max="261" width="7.85546875" style="319" bestFit="1" customWidth="1"/>
    <col min="262" max="262" width="27.85546875" style="319" bestFit="1" customWidth="1"/>
    <col min="263" max="263" width="11.85546875" style="319" bestFit="1" customWidth="1"/>
    <col min="264" max="264" width="12.42578125" style="319" bestFit="1" customWidth="1"/>
    <col min="265" max="265" width="7.140625" style="319" bestFit="1" customWidth="1"/>
    <col min="266" max="266" width="5.42578125" style="319" bestFit="1" customWidth="1"/>
    <col min="267" max="267" width="7.28515625" style="319" bestFit="1" customWidth="1"/>
    <col min="268" max="512" width="10.28515625" style="319"/>
    <col min="513" max="513" width="8.140625" style="319" customWidth="1"/>
    <col min="514" max="514" width="8.85546875" style="319" bestFit="1" customWidth="1"/>
    <col min="515" max="515" width="5.42578125" style="319" bestFit="1" customWidth="1"/>
    <col min="516" max="516" width="8.42578125" style="319" bestFit="1" customWidth="1"/>
    <col min="517" max="517" width="7.85546875" style="319" bestFit="1" customWidth="1"/>
    <col min="518" max="518" width="27.85546875" style="319" bestFit="1" customWidth="1"/>
    <col min="519" max="519" width="11.85546875" style="319" bestFit="1" customWidth="1"/>
    <col min="520" max="520" width="12.42578125" style="319" bestFit="1" customWidth="1"/>
    <col min="521" max="521" width="7.140625" style="319" bestFit="1" customWidth="1"/>
    <col min="522" max="522" width="5.42578125" style="319" bestFit="1" customWidth="1"/>
    <col min="523" max="523" width="7.28515625" style="319" bestFit="1" customWidth="1"/>
    <col min="524" max="768" width="10.28515625" style="319"/>
    <col min="769" max="769" width="8.140625" style="319" customWidth="1"/>
    <col min="770" max="770" width="8.85546875" style="319" bestFit="1" customWidth="1"/>
    <col min="771" max="771" width="5.42578125" style="319" bestFit="1" customWidth="1"/>
    <col min="772" max="772" width="8.42578125" style="319" bestFit="1" customWidth="1"/>
    <col min="773" max="773" width="7.85546875" style="319" bestFit="1" customWidth="1"/>
    <col min="774" max="774" width="27.85546875" style="319" bestFit="1" customWidth="1"/>
    <col min="775" max="775" width="11.85546875" style="319" bestFit="1" customWidth="1"/>
    <col min="776" max="776" width="12.42578125" style="319" bestFit="1" customWidth="1"/>
    <col min="777" max="777" width="7.140625" style="319" bestFit="1" customWidth="1"/>
    <col min="778" max="778" width="5.42578125" style="319" bestFit="1" customWidth="1"/>
    <col min="779" max="779" width="7.28515625" style="319" bestFit="1" customWidth="1"/>
    <col min="780" max="1024" width="10.28515625" style="319"/>
    <col min="1025" max="1025" width="8.140625" style="319" customWidth="1"/>
    <col min="1026" max="1026" width="8.85546875" style="319" bestFit="1" customWidth="1"/>
    <col min="1027" max="1027" width="5.42578125" style="319" bestFit="1" customWidth="1"/>
    <col min="1028" max="1028" width="8.42578125" style="319" bestFit="1" customWidth="1"/>
    <col min="1029" max="1029" width="7.85546875" style="319" bestFit="1" customWidth="1"/>
    <col min="1030" max="1030" width="27.85546875" style="319" bestFit="1" customWidth="1"/>
    <col min="1031" max="1031" width="11.85546875" style="319" bestFit="1" customWidth="1"/>
    <col min="1032" max="1032" width="12.42578125" style="319" bestFit="1" customWidth="1"/>
    <col min="1033" max="1033" width="7.140625" style="319" bestFit="1" customWidth="1"/>
    <col min="1034" max="1034" width="5.42578125" style="319" bestFit="1" customWidth="1"/>
    <col min="1035" max="1035" width="7.28515625" style="319" bestFit="1" customWidth="1"/>
    <col min="1036" max="1280" width="10.28515625" style="319"/>
    <col min="1281" max="1281" width="8.140625" style="319" customWidth="1"/>
    <col min="1282" max="1282" width="8.85546875" style="319" bestFit="1" customWidth="1"/>
    <col min="1283" max="1283" width="5.42578125" style="319" bestFit="1" customWidth="1"/>
    <col min="1284" max="1284" width="8.42578125" style="319" bestFit="1" customWidth="1"/>
    <col min="1285" max="1285" width="7.85546875" style="319" bestFit="1" customWidth="1"/>
    <col min="1286" max="1286" width="27.85546875" style="319" bestFit="1" customWidth="1"/>
    <col min="1287" max="1287" width="11.85546875" style="319" bestFit="1" customWidth="1"/>
    <col min="1288" max="1288" width="12.42578125" style="319" bestFit="1" customWidth="1"/>
    <col min="1289" max="1289" width="7.140625" style="319" bestFit="1" customWidth="1"/>
    <col min="1290" max="1290" width="5.42578125" style="319" bestFit="1" customWidth="1"/>
    <col min="1291" max="1291" width="7.28515625" style="319" bestFit="1" customWidth="1"/>
    <col min="1292" max="1536" width="10.28515625" style="319"/>
    <col min="1537" max="1537" width="8.140625" style="319" customWidth="1"/>
    <col min="1538" max="1538" width="8.85546875" style="319" bestFit="1" customWidth="1"/>
    <col min="1539" max="1539" width="5.42578125" style="319" bestFit="1" customWidth="1"/>
    <col min="1540" max="1540" width="8.42578125" style="319" bestFit="1" customWidth="1"/>
    <col min="1541" max="1541" width="7.85546875" style="319" bestFit="1" customWidth="1"/>
    <col min="1542" max="1542" width="27.85546875" style="319" bestFit="1" customWidth="1"/>
    <col min="1543" max="1543" width="11.85546875" style="319" bestFit="1" customWidth="1"/>
    <col min="1544" max="1544" width="12.42578125" style="319" bestFit="1" customWidth="1"/>
    <col min="1545" max="1545" width="7.140625" style="319" bestFit="1" customWidth="1"/>
    <col min="1546" max="1546" width="5.42578125" style="319" bestFit="1" customWidth="1"/>
    <col min="1547" max="1547" width="7.28515625" style="319" bestFit="1" customWidth="1"/>
    <col min="1548" max="1792" width="10.28515625" style="319"/>
    <col min="1793" max="1793" width="8.140625" style="319" customWidth="1"/>
    <col min="1794" max="1794" width="8.85546875" style="319" bestFit="1" customWidth="1"/>
    <col min="1795" max="1795" width="5.42578125" style="319" bestFit="1" customWidth="1"/>
    <col min="1796" max="1796" width="8.42578125" style="319" bestFit="1" customWidth="1"/>
    <col min="1797" max="1797" width="7.85546875" style="319" bestFit="1" customWidth="1"/>
    <col min="1798" max="1798" width="27.85546875" style="319" bestFit="1" customWidth="1"/>
    <col min="1799" max="1799" width="11.85546875" style="319" bestFit="1" customWidth="1"/>
    <col min="1800" max="1800" width="12.42578125" style="319" bestFit="1" customWidth="1"/>
    <col min="1801" max="1801" width="7.140625" style="319" bestFit="1" customWidth="1"/>
    <col min="1802" max="1802" width="5.42578125" style="319" bestFit="1" customWidth="1"/>
    <col min="1803" max="1803" width="7.28515625" style="319" bestFit="1" customWidth="1"/>
    <col min="1804" max="2048" width="10.28515625" style="319"/>
    <col min="2049" max="2049" width="8.140625" style="319" customWidth="1"/>
    <col min="2050" max="2050" width="8.85546875" style="319" bestFit="1" customWidth="1"/>
    <col min="2051" max="2051" width="5.42578125" style="319" bestFit="1" customWidth="1"/>
    <col min="2052" max="2052" width="8.42578125" style="319" bestFit="1" customWidth="1"/>
    <col min="2053" max="2053" width="7.85546875" style="319" bestFit="1" customWidth="1"/>
    <col min="2054" max="2054" width="27.85546875" style="319" bestFit="1" customWidth="1"/>
    <col min="2055" max="2055" width="11.85546875" style="319" bestFit="1" customWidth="1"/>
    <col min="2056" max="2056" width="12.42578125" style="319" bestFit="1" customWidth="1"/>
    <col min="2057" max="2057" width="7.140625" style="319" bestFit="1" customWidth="1"/>
    <col min="2058" max="2058" width="5.42578125" style="319" bestFit="1" customWidth="1"/>
    <col min="2059" max="2059" width="7.28515625" style="319" bestFit="1" customWidth="1"/>
    <col min="2060" max="2304" width="10.28515625" style="319"/>
    <col min="2305" max="2305" width="8.140625" style="319" customWidth="1"/>
    <col min="2306" max="2306" width="8.85546875" style="319" bestFit="1" customWidth="1"/>
    <col min="2307" max="2307" width="5.42578125" style="319" bestFit="1" customWidth="1"/>
    <col min="2308" max="2308" width="8.42578125" style="319" bestFit="1" customWidth="1"/>
    <col min="2309" max="2309" width="7.85546875" style="319" bestFit="1" customWidth="1"/>
    <col min="2310" max="2310" width="27.85546875" style="319" bestFit="1" customWidth="1"/>
    <col min="2311" max="2311" width="11.85546875" style="319" bestFit="1" customWidth="1"/>
    <col min="2312" max="2312" width="12.42578125" style="319" bestFit="1" customWidth="1"/>
    <col min="2313" max="2313" width="7.140625" style="319" bestFit="1" customWidth="1"/>
    <col min="2314" max="2314" width="5.42578125" style="319" bestFit="1" customWidth="1"/>
    <col min="2315" max="2315" width="7.28515625" style="319" bestFit="1" customWidth="1"/>
    <col min="2316" max="2560" width="10.28515625" style="319"/>
    <col min="2561" max="2561" width="8.140625" style="319" customWidth="1"/>
    <col min="2562" max="2562" width="8.85546875" style="319" bestFit="1" customWidth="1"/>
    <col min="2563" max="2563" width="5.42578125" style="319" bestFit="1" customWidth="1"/>
    <col min="2564" max="2564" width="8.42578125" style="319" bestFit="1" customWidth="1"/>
    <col min="2565" max="2565" width="7.85546875" style="319" bestFit="1" customWidth="1"/>
    <col min="2566" max="2566" width="27.85546875" style="319" bestFit="1" customWidth="1"/>
    <col min="2567" max="2567" width="11.85546875" style="319" bestFit="1" customWidth="1"/>
    <col min="2568" max="2568" width="12.42578125" style="319" bestFit="1" customWidth="1"/>
    <col min="2569" max="2569" width="7.140625" style="319" bestFit="1" customWidth="1"/>
    <col min="2570" max="2570" width="5.42578125" style="319" bestFit="1" customWidth="1"/>
    <col min="2571" max="2571" width="7.28515625" style="319" bestFit="1" customWidth="1"/>
    <col min="2572" max="2816" width="10.28515625" style="319"/>
    <col min="2817" max="2817" width="8.140625" style="319" customWidth="1"/>
    <col min="2818" max="2818" width="8.85546875" style="319" bestFit="1" customWidth="1"/>
    <col min="2819" max="2819" width="5.42578125" style="319" bestFit="1" customWidth="1"/>
    <col min="2820" max="2820" width="8.42578125" style="319" bestFit="1" customWidth="1"/>
    <col min="2821" max="2821" width="7.85546875" style="319" bestFit="1" customWidth="1"/>
    <col min="2822" max="2822" width="27.85546875" style="319" bestFit="1" customWidth="1"/>
    <col min="2823" max="2823" width="11.85546875" style="319" bestFit="1" customWidth="1"/>
    <col min="2824" max="2824" width="12.42578125" style="319" bestFit="1" customWidth="1"/>
    <col min="2825" max="2825" width="7.140625" style="319" bestFit="1" customWidth="1"/>
    <col min="2826" max="2826" width="5.42578125" style="319" bestFit="1" customWidth="1"/>
    <col min="2827" max="2827" width="7.28515625" style="319" bestFit="1" customWidth="1"/>
    <col min="2828" max="3072" width="10.28515625" style="319"/>
    <col min="3073" max="3073" width="8.140625" style="319" customWidth="1"/>
    <col min="3074" max="3074" width="8.85546875" style="319" bestFit="1" customWidth="1"/>
    <col min="3075" max="3075" width="5.42578125" style="319" bestFit="1" customWidth="1"/>
    <col min="3076" max="3076" width="8.42578125" style="319" bestFit="1" customWidth="1"/>
    <col min="3077" max="3077" width="7.85546875" style="319" bestFit="1" customWidth="1"/>
    <col min="3078" max="3078" width="27.85546875" style="319" bestFit="1" customWidth="1"/>
    <col min="3079" max="3079" width="11.85546875" style="319" bestFit="1" customWidth="1"/>
    <col min="3080" max="3080" width="12.42578125" style="319" bestFit="1" customWidth="1"/>
    <col min="3081" max="3081" width="7.140625" style="319" bestFit="1" customWidth="1"/>
    <col min="3082" max="3082" width="5.42578125" style="319" bestFit="1" customWidth="1"/>
    <col min="3083" max="3083" width="7.28515625" style="319" bestFit="1" customWidth="1"/>
    <col min="3084" max="3328" width="10.28515625" style="319"/>
    <col min="3329" max="3329" width="8.140625" style="319" customWidth="1"/>
    <col min="3330" max="3330" width="8.85546875" style="319" bestFit="1" customWidth="1"/>
    <col min="3331" max="3331" width="5.42578125" style="319" bestFit="1" customWidth="1"/>
    <col min="3332" max="3332" width="8.42578125" style="319" bestFit="1" customWidth="1"/>
    <col min="3333" max="3333" width="7.85546875" style="319" bestFit="1" customWidth="1"/>
    <col min="3334" max="3334" width="27.85546875" style="319" bestFit="1" customWidth="1"/>
    <col min="3335" max="3335" width="11.85546875" style="319" bestFit="1" customWidth="1"/>
    <col min="3336" max="3336" width="12.42578125" style="319" bestFit="1" customWidth="1"/>
    <col min="3337" max="3337" width="7.140625" style="319" bestFit="1" customWidth="1"/>
    <col min="3338" max="3338" width="5.42578125" style="319" bestFit="1" customWidth="1"/>
    <col min="3339" max="3339" width="7.28515625" style="319" bestFit="1" customWidth="1"/>
    <col min="3340" max="3584" width="10.28515625" style="319"/>
    <col min="3585" max="3585" width="8.140625" style="319" customWidth="1"/>
    <col min="3586" max="3586" width="8.85546875" style="319" bestFit="1" customWidth="1"/>
    <col min="3587" max="3587" width="5.42578125" style="319" bestFit="1" customWidth="1"/>
    <col min="3588" max="3588" width="8.42578125" style="319" bestFit="1" customWidth="1"/>
    <col min="3589" max="3589" width="7.85546875" style="319" bestFit="1" customWidth="1"/>
    <col min="3590" max="3590" width="27.85546875" style="319" bestFit="1" customWidth="1"/>
    <col min="3591" max="3591" width="11.85546875" style="319" bestFit="1" customWidth="1"/>
    <col min="3592" max="3592" width="12.42578125" style="319" bestFit="1" customWidth="1"/>
    <col min="3593" max="3593" width="7.140625" style="319" bestFit="1" customWidth="1"/>
    <col min="3594" max="3594" width="5.42578125" style="319" bestFit="1" customWidth="1"/>
    <col min="3595" max="3595" width="7.28515625" style="319" bestFit="1" customWidth="1"/>
    <col min="3596" max="3840" width="10.28515625" style="319"/>
    <col min="3841" max="3841" width="8.140625" style="319" customWidth="1"/>
    <col min="3842" max="3842" width="8.85546875" style="319" bestFit="1" customWidth="1"/>
    <col min="3843" max="3843" width="5.42578125" style="319" bestFit="1" customWidth="1"/>
    <col min="3844" max="3844" width="8.42578125" style="319" bestFit="1" customWidth="1"/>
    <col min="3845" max="3845" width="7.85546875" style="319" bestFit="1" customWidth="1"/>
    <col min="3846" max="3846" width="27.85546875" style="319" bestFit="1" customWidth="1"/>
    <col min="3847" max="3847" width="11.85546875" style="319" bestFit="1" customWidth="1"/>
    <col min="3848" max="3848" width="12.42578125" style="319" bestFit="1" customWidth="1"/>
    <col min="3849" max="3849" width="7.140625" style="319" bestFit="1" customWidth="1"/>
    <col min="3850" max="3850" width="5.42578125" style="319" bestFit="1" customWidth="1"/>
    <col min="3851" max="3851" width="7.28515625" style="319" bestFit="1" customWidth="1"/>
    <col min="3852" max="4096" width="10.28515625" style="319"/>
    <col min="4097" max="4097" width="8.140625" style="319" customWidth="1"/>
    <col min="4098" max="4098" width="8.85546875" style="319" bestFit="1" customWidth="1"/>
    <col min="4099" max="4099" width="5.42578125" style="319" bestFit="1" customWidth="1"/>
    <col min="4100" max="4100" width="8.42578125" style="319" bestFit="1" customWidth="1"/>
    <col min="4101" max="4101" width="7.85546875" style="319" bestFit="1" customWidth="1"/>
    <col min="4102" max="4102" width="27.85546875" style="319" bestFit="1" customWidth="1"/>
    <col min="4103" max="4103" width="11.85546875" style="319" bestFit="1" customWidth="1"/>
    <col min="4104" max="4104" width="12.42578125" style="319" bestFit="1" customWidth="1"/>
    <col min="4105" max="4105" width="7.140625" style="319" bestFit="1" customWidth="1"/>
    <col min="4106" max="4106" width="5.42578125" style="319" bestFit="1" customWidth="1"/>
    <col min="4107" max="4107" width="7.28515625" style="319" bestFit="1" customWidth="1"/>
    <col min="4108" max="4352" width="10.28515625" style="319"/>
    <col min="4353" max="4353" width="8.140625" style="319" customWidth="1"/>
    <col min="4354" max="4354" width="8.85546875" style="319" bestFit="1" customWidth="1"/>
    <col min="4355" max="4355" width="5.42578125" style="319" bestFit="1" customWidth="1"/>
    <col min="4356" max="4356" width="8.42578125" style="319" bestFit="1" customWidth="1"/>
    <col min="4357" max="4357" width="7.85546875" style="319" bestFit="1" customWidth="1"/>
    <col min="4358" max="4358" width="27.85546875" style="319" bestFit="1" customWidth="1"/>
    <col min="4359" max="4359" width="11.85546875" style="319" bestFit="1" customWidth="1"/>
    <col min="4360" max="4360" width="12.42578125" style="319" bestFit="1" customWidth="1"/>
    <col min="4361" max="4361" width="7.140625" style="319" bestFit="1" customWidth="1"/>
    <col min="4362" max="4362" width="5.42578125" style="319" bestFit="1" customWidth="1"/>
    <col min="4363" max="4363" width="7.28515625" style="319" bestFit="1" customWidth="1"/>
    <col min="4364" max="4608" width="10.28515625" style="319"/>
    <col min="4609" max="4609" width="8.140625" style="319" customWidth="1"/>
    <col min="4610" max="4610" width="8.85546875" style="319" bestFit="1" customWidth="1"/>
    <col min="4611" max="4611" width="5.42578125" style="319" bestFit="1" customWidth="1"/>
    <col min="4612" max="4612" width="8.42578125" style="319" bestFit="1" customWidth="1"/>
    <col min="4613" max="4613" width="7.85546875" style="319" bestFit="1" customWidth="1"/>
    <col min="4614" max="4614" width="27.85546875" style="319" bestFit="1" customWidth="1"/>
    <col min="4615" max="4615" width="11.85546875" style="319" bestFit="1" customWidth="1"/>
    <col min="4616" max="4616" width="12.42578125" style="319" bestFit="1" customWidth="1"/>
    <col min="4617" max="4617" width="7.140625" style="319" bestFit="1" customWidth="1"/>
    <col min="4618" max="4618" width="5.42578125" style="319" bestFit="1" customWidth="1"/>
    <col min="4619" max="4619" width="7.28515625" style="319" bestFit="1" customWidth="1"/>
    <col min="4620" max="4864" width="10.28515625" style="319"/>
    <col min="4865" max="4865" width="8.140625" style="319" customWidth="1"/>
    <col min="4866" max="4866" width="8.85546875" style="319" bestFit="1" customWidth="1"/>
    <col min="4867" max="4867" width="5.42578125" style="319" bestFit="1" customWidth="1"/>
    <col min="4868" max="4868" width="8.42578125" style="319" bestFit="1" customWidth="1"/>
    <col min="4869" max="4869" width="7.85546875" style="319" bestFit="1" customWidth="1"/>
    <col min="4870" max="4870" width="27.85546875" style="319" bestFit="1" customWidth="1"/>
    <col min="4871" max="4871" width="11.85546875" style="319" bestFit="1" customWidth="1"/>
    <col min="4872" max="4872" width="12.42578125" style="319" bestFit="1" customWidth="1"/>
    <col min="4873" max="4873" width="7.140625" style="319" bestFit="1" customWidth="1"/>
    <col min="4874" max="4874" width="5.42578125" style="319" bestFit="1" customWidth="1"/>
    <col min="4875" max="4875" width="7.28515625" style="319" bestFit="1" customWidth="1"/>
    <col min="4876" max="5120" width="10.28515625" style="319"/>
    <col min="5121" max="5121" width="8.140625" style="319" customWidth="1"/>
    <col min="5122" max="5122" width="8.85546875" style="319" bestFit="1" customWidth="1"/>
    <col min="5123" max="5123" width="5.42578125" style="319" bestFit="1" customWidth="1"/>
    <col min="5124" max="5124" width="8.42578125" style="319" bestFit="1" customWidth="1"/>
    <col min="5125" max="5125" width="7.85546875" style="319" bestFit="1" customWidth="1"/>
    <col min="5126" max="5126" width="27.85546875" style="319" bestFit="1" customWidth="1"/>
    <col min="5127" max="5127" width="11.85546875" style="319" bestFit="1" customWidth="1"/>
    <col min="5128" max="5128" width="12.42578125" style="319" bestFit="1" customWidth="1"/>
    <col min="5129" max="5129" width="7.140625" style="319" bestFit="1" customWidth="1"/>
    <col min="5130" max="5130" width="5.42578125" style="319" bestFit="1" customWidth="1"/>
    <col min="5131" max="5131" width="7.28515625" style="319" bestFit="1" customWidth="1"/>
    <col min="5132" max="5376" width="10.28515625" style="319"/>
    <col min="5377" max="5377" width="8.140625" style="319" customWidth="1"/>
    <col min="5378" max="5378" width="8.85546875" style="319" bestFit="1" customWidth="1"/>
    <col min="5379" max="5379" width="5.42578125" style="319" bestFit="1" customWidth="1"/>
    <col min="5380" max="5380" width="8.42578125" style="319" bestFit="1" customWidth="1"/>
    <col min="5381" max="5381" width="7.85546875" style="319" bestFit="1" customWidth="1"/>
    <col min="5382" max="5382" width="27.85546875" style="319" bestFit="1" customWidth="1"/>
    <col min="5383" max="5383" width="11.85546875" style="319" bestFit="1" customWidth="1"/>
    <col min="5384" max="5384" width="12.42578125" style="319" bestFit="1" customWidth="1"/>
    <col min="5385" max="5385" width="7.140625" style="319" bestFit="1" customWidth="1"/>
    <col min="5386" max="5386" width="5.42578125" style="319" bestFit="1" customWidth="1"/>
    <col min="5387" max="5387" width="7.28515625" style="319" bestFit="1" customWidth="1"/>
    <col min="5388" max="5632" width="10.28515625" style="319"/>
    <col min="5633" max="5633" width="8.140625" style="319" customWidth="1"/>
    <col min="5634" max="5634" width="8.85546875" style="319" bestFit="1" customWidth="1"/>
    <col min="5635" max="5635" width="5.42578125" style="319" bestFit="1" customWidth="1"/>
    <col min="5636" max="5636" width="8.42578125" style="319" bestFit="1" customWidth="1"/>
    <col min="5637" max="5637" width="7.85546875" style="319" bestFit="1" customWidth="1"/>
    <col min="5638" max="5638" width="27.85546875" style="319" bestFit="1" customWidth="1"/>
    <col min="5639" max="5639" width="11.85546875" style="319" bestFit="1" customWidth="1"/>
    <col min="5640" max="5640" width="12.42578125" style="319" bestFit="1" customWidth="1"/>
    <col min="5641" max="5641" width="7.140625" style="319" bestFit="1" customWidth="1"/>
    <col min="5642" max="5642" width="5.42578125" style="319" bestFit="1" customWidth="1"/>
    <col min="5643" max="5643" width="7.28515625" style="319" bestFit="1" customWidth="1"/>
    <col min="5644" max="5888" width="10.28515625" style="319"/>
    <col min="5889" max="5889" width="8.140625" style="319" customWidth="1"/>
    <col min="5890" max="5890" width="8.85546875" style="319" bestFit="1" customWidth="1"/>
    <col min="5891" max="5891" width="5.42578125" style="319" bestFit="1" customWidth="1"/>
    <col min="5892" max="5892" width="8.42578125" style="319" bestFit="1" customWidth="1"/>
    <col min="5893" max="5893" width="7.85546875" style="319" bestFit="1" customWidth="1"/>
    <col min="5894" max="5894" width="27.85546875" style="319" bestFit="1" customWidth="1"/>
    <col min="5895" max="5895" width="11.85546875" style="319" bestFit="1" customWidth="1"/>
    <col min="5896" max="5896" width="12.42578125" style="319" bestFit="1" customWidth="1"/>
    <col min="5897" max="5897" width="7.140625" style="319" bestFit="1" customWidth="1"/>
    <col min="5898" max="5898" width="5.42578125" style="319" bestFit="1" customWidth="1"/>
    <col min="5899" max="5899" width="7.28515625" style="319" bestFit="1" customWidth="1"/>
    <col min="5900" max="6144" width="10.28515625" style="319"/>
    <col min="6145" max="6145" width="8.140625" style="319" customWidth="1"/>
    <col min="6146" max="6146" width="8.85546875" style="319" bestFit="1" customWidth="1"/>
    <col min="6147" max="6147" width="5.42578125" style="319" bestFit="1" customWidth="1"/>
    <col min="6148" max="6148" width="8.42578125" style="319" bestFit="1" customWidth="1"/>
    <col min="6149" max="6149" width="7.85546875" style="319" bestFit="1" customWidth="1"/>
    <col min="6150" max="6150" width="27.85546875" style="319" bestFit="1" customWidth="1"/>
    <col min="6151" max="6151" width="11.85546875" style="319" bestFit="1" customWidth="1"/>
    <col min="6152" max="6152" width="12.42578125" style="319" bestFit="1" customWidth="1"/>
    <col min="6153" max="6153" width="7.140625" style="319" bestFit="1" customWidth="1"/>
    <col min="6154" max="6154" width="5.42578125" style="319" bestFit="1" customWidth="1"/>
    <col min="6155" max="6155" width="7.28515625" style="319" bestFit="1" customWidth="1"/>
    <col min="6156" max="6400" width="10.28515625" style="319"/>
    <col min="6401" max="6401" width="8.140625" style="319" customWidth="1"/>
    <col min="6402" max="6402" width="8.85546875" style="319" bestFit="1" customWidth="1"/>
    <col min="6403" max="6403" width="5.42578125" style="319" bestFit="1" customWidth="1"/>
    <col min="6404" max="6404" width="8.42578125" style="319" bestFit="1" customWidth="1"/>
    <col min="6405" max="6405" width="7.85546875" style="319" bestFit="1" customWidth="1"/>
    <col min="6406" max="6406" width="27.85546875" style="319" bestFit="1" customWidth="1"/>
    <col min="6407" max="6407" width="11.85546875" style="319" bestFit="1" customWidth="1"/>
    <col min="6408" max="6408" width="12.42578125" style="319" bestFit="1" customWidth="1"/>
    <col min="6409" max="6409" width="7.140625" style="319" bestFit="1" customWidth="1"/>
    <col min="6410" max="6410" width="5.42578125" style="319" bestFit="1" customWidth="1"/>
    <col min="6411" max="6411" width="7.28515625" style="319" bestFit="1" customWidth="1"/>
    <col min="6412" max="6656" width="10.28515625" style="319"/>
    <col min="6657" max="6657" width="8.140625" style="319" customWidth="1"/>
    <col min="6658" max="6658" width="8.85546875" style="319" bestFit="1" customWidth="1"/>
    <col min="6659" max="6659" width="5.42578125" style="319" bestFit="1" customWidth="1"/>
    <col min="6660" max="6660" width="8.42578125" style="319" bestFit="1" customWidth="1"/>
    <col min="6661" max="6661" width="7.85546875" style="319" bestFit="1" customWidth="1"/>
    <col min="6662" max="6662" width="27.85546875" style="319" bestFit="1" customWidth="1"/>
    <col min="6663" max="6663" width="11.85546875" style="319" bestFit="1" customWidth="1"/>
    <col min="6664" max="6664" width="12.42578125" style="319" bestFit="1" customWidth="1"/>
    <col min="6665" max="6665" width="7.140625" style="319" bestFit="1" customWidth="1"/>
    <col min="6666" max="6666" width="5.42578125" style="319" bestFit="1" customWidth="1"/>
    <col min="6667" max="6667" width="7.28515625" style="319" bestFit="1" customWidth="1"/>
    <col min="6668" max="6912" width="10.28515625" style="319"/>
    <col min="6913" max="6913" width="8.140625" style="319" customWidth="1"/>
    <col min="6914" max="6914" width="8.85546875" style="319" bestFit="1" customWidth="1"/>
    <col min="6915" max="6915" width="5.42578125" style="319" bestFit="1" customWidth="1"/>
    <col min="6916" max="6916" width="8.42578125" style="319" bestFit="1" customWidth="1"/>
    <col min="6917" max="6917" width="7.85546875" style="319" bestFit="1" customWidth="1"/>
    <col min="6918" max="6918" width="27.85546875" style="319" bestFit="1" customWidth="1"/>
    <col min="6919" max="6919" width="11.85546875" style="319" bestFit="1" customWidth="1"/>
    <col min="6920" max="6920" width="12.42578125" style="319" bestFit="1" customWidth="1"/>
    <col min="6921" max="6921" width="7.140625" style="319" bestFit="1" customWidth="1"/>
    <col min="6922" max="6922" width="5.42578125" style="319" bestFit="1" customWidth="1"/>
    <col min="6923" max="6923" width="7.28515625" style="319" bestFit="1" customWidth="1"/>
    <col min="6924" max="7168" width="10.28515625" style="319"/>
    <col min="7169" max="7169" width="8.140625" style="319" customWidth="1"/>
    <col min="7170" max="7170" width="8.85546875" style="319" bestFit="1" customWidth="1"/>
    <col min="7171" max="7171" width="5.42578125" style="319" bestFit="1" customWidth="1"/>
    <col min="7172" max="7172" width="8.42578125" style="319" bestFit="1" customWidth="1"/>
    <col min="7173" max="7173" width="7.85546875" style="319" bestFit="1" customWidth="1"/>
    <col min="7174" max="7174" width="27.85546875" style="319" bestFit="1" customWidth="1"/>
    <col min="7175" max="7175" width="11.85546875" style="319" bestFit="1" customWidth="1"/>
    <col min="7176" max="7176" width="12.42578125" style="319" bestFit="1" customWidth="1"/>
    <col min="7177" max="7177" width="7.140625" style="319" bestFit="1" customWidth="1"/>
    <col min="7178" max="7178" width="5.42578125" style="319" bestFit="1" customWidth="1"/>
    <col min="7179" max="7179" width="7.28515625" style="319" bestFit="1" customWidth="1"/>
    <col min="7180" max="7424" width="10.28515625" style="319"/>
    <col min="7425" max="7425" width="8.140625" style="319" customWidth="1"/>
    <col min="7426" max="7426" width="8.85546875" style="319" bestFit="1" customWidth="1"/>
    <col min="7427" max="7427" width="5.42578125" style="319" bestFit="1" customWidth="1"/>
    <col min="7428" max="7428" width="8.42578125" style="319" bestFit="1" customWidth="1"/>
    <col min="7429" max="7429" width="7.85546875" style="319" bestFit="1" customWidth="1"/>
    <col min="7430" max="7430" width="27.85546875" style="319" bestFit="1" customWidth="1"/>
    <col min="7431" max="7431" width="11.85546875" style="319" bestFit="1" customWidth="1"/>
    <col min="7432" max="7432" width="12.42578125" style="319" bestFit="1" customWidth="1"/>
    <col min="7433" max="7433" width="7.140625" style="319" bestFit="1" customWidth="1"/>
    <col min="7434" max="7434" width="5.42578125" style="319" bestFit="1" customWidth="1"/>
    <col min="7435" max="7435" width="7.28515625" style="319" bestFit="1" customWidth="1"/>
    <col min="7436" max="7680" width="10.28515625" style="319"/>
    <col min="7681" max="7681" width="8.140625" style="319" customWidth="1"/>
    <col min="7682" max="7682" width="8.85546875" style="319" bestFit="1" customWidth="1"/>
    <col min="7683" max="7683" width="5.42578125" style="319" bestFit="1" customWidth="1"/>
    <col min="7684" max="7684" width="8.42578125" style="319" bestFit="1" customWidth="1"/>
    <col min="7685" max="7685" width="7.85546875" style="319" bestFit="1" customWidth="1"/>
    <col min="7686" max="7686" width="27.85546875" style="319" bestFit="1" customWidth="1"/>
    <col min="7687" max="7687" width="11.85546875" style="319" bestFit="1" customWidth="1"/>
    <col min="7688" max="7688" width="12.42578125" style="319" bestFit="1" customWidth="1"/>
    <col min="7689" max="7689" width="7.140625" style="319" bestFit="1" customWidth="1"/>
    <col min="7690" max="7690" width="5.42578125" style="319" bestFit="1" customWidth="1"/>
    <col min="7691" max="7691" width="7.28515625" style="319" bestFit="1" customWidth="1"/>
    <col min="7692" max="7936" width="10.28515625" style="319"/>
    <col min="7937" max="7937" width="8.140625" style="319" customWidth="1"/>
    <col min="7938" max="7938" width="8.85546875" style="319" bestFit="1" customWidth="1"/>
    <col min="7939" max="7939" width="5.42578125" style="319" bestFit="1" customWidth="1"/>
    <col min="7940" max="7940" width="8.42578125" style="319" bestFit="1" customWidth="1"/>
    <col min="7941" max="7941" width="7.85546875" style="319" bestFit="1" customWidth="1"/>
    <col min="7942" max="7942" width="27.85546875" style="319" bestFit="1" customWidth="1"/>
    <col min="7943" max="7943" width="11.85546875" style="319" bestFit="1" customWidth="1"/>
    <col min="7944" max="7944" width="12.42578125" style="319" bestFit="1" customWidth="1"/>
    <col min="7945" max="7945" width="7.140625" style="319" bestFit="1" customWidth="1"/>
    <col min="7946" max="7946" width="5.42578125" style="319" bestFit="1" customWidth="1"/>
    <col min="7947" max="7947" width="7.28515625" style="319" bestFit="1" customWidth="1"/>
    <col min="7948" max="8192" width="10.28515625" style="319"/>
    <col min="8193" max="8193" width="8.140625" style="319" customWidth="1"/>
    <col min="8194" max="8194" width="8.85546875" style="319" bestFit="1" customWidth="1"/>
    <col min="8195" max="8195" width="5.42578125" style="319" bestFit="1" customWidth="1"/>
    <col min="8196" max="8196" width="8.42578125" style="319" bestFit="1" customWidth="1"/>
    <col min="8197" max="8197" width="7.85546875" style="319" bestFit="1" customWidth="1"/>
    <col min="8198" max="8198" width="27.85546875" style="319" bestFit="1" customWidth="1"/>
    <col min="8199" max="8199" width="11.85546875" style="319" bestFit="1" customWidth="1"/>
    <col min="8200" max="8200" width="12.42578125" style="319" bestFit="1" customWidth="1"/>
    <col min="8201" max="8201" width="7.140625" style="319" bestFit="1" customWidth="1"/>
    <col min="8202" max="8202" width="5.42578125" style="319" bestFit="1" customWidth="1"/>
    <col min="8203" max="8203" width="7.28515625" style="319" bestFit="1" customWidth="1"/>
    <col min="8204" max="8448" width="10.28515625" style="319"/>
    <col min="8449" max="8449" width="8.140625" style="319" customWidth="1"/>
    <col min="8450" max="8450" width="8.85546875" style="319" bestFit="1" customWidth="1"/>
    <col min="8451" max="8451" width="5.42578125" style="319" bestFit="1" customWidth="1"/>
    <col min="8452" max="8452" width="8.42578125" style="319" bestFit="1" customWidth="1"/>
    <col min="8453" max="8453" width="7.85546875" style="319" bestFit="1" customWidth="1"/>
    <col min="8454" max="8454" width="27.85546875" style="319" bestFit="1" customWidth="1"/>
    <col min="8455" max="8455" width="11.85546875" style="319" bestFit="1" customWidth="1"/>
    <col min="8456" max="8456" width="12.42578125" style="319" bestFit="1" customWidth="1"/>
    <col min="8457" max="8457" width="7.140625" style="319" bestFit="1" customWidth="1"/>
    <col min="8458" max="8458" width="5.42578125" style="319" bestFit="1" customWidth="1"/>
    <col min="8459" max="8459" width="7.28515625" style="319" bestFit="1" customWidth="1"/>
    <col min="8460" max="8704" width="10.28515625" style="319"/>
    <col min="8705" max="8705" width="8.140625" style="319" customWidth="1"/>
    <col min="8706" max="8706" width="8.85546875" style="319" bestFit="1" customWidth="1"/>
    <col min="8707" max="8707" width="5.42578125" style="319" bestFit="1" customWidth="1"/>
    <col min="8708" max="8708" width="8.42578125" style="319" bestFit="1" customWidth="1"/>
    <col min="8709" max="8709" width="7.85546875" style="319" bestFit="1" customWidth="1"/>
    <col min="8710" max="8710" width="27.85546875" style="319" bestFit="1" customWidth="1"/>
    <col min="8711" max="8711" width="11.85546875" style="319" bestFit="1" customWidth="1"/>
    <col min="8712" max="8712" width="12.42578125" style="319" bestFit="1" customWidth="1"/>
    <col min="8713" max="8713" width="7.140625" style="319" bestFit="1" customWidth="1"/>
    <col min="8714" max="8714" width="5.42578125" style="319" bestFit="1" customWidth="1"/>
    <col min="8715" max="8715" width="7.28515625" style="319" bestFit="1" customWidth="1"/>
    <col min="8716" max="8960" width="10.28515625" style="319"/>
    <col min="8961" max="8961" width="8.140625" style="319" customWidth="1"/>
    <col min="8962" max="8962" width="8.85546875" style="319" bestFit="1" customWidth="1"/>
    <col min="8963" max="8963" width="5.42578125" style="319" bestFit="1" customWidth="1"/>
    <col min="8964" max="8964" width="8.42578125" style="319" bestFit="1" customWidth="1"/>
    <col min="8965" max="8965" width="7.85546875" style="319" bestFit="1" customWidth="1"/>
    <col min="8966" max="8966" width="27.85546875" style="319" bestFit="1" customWidth="1"/>
    <col min="8967" max="8967" width="11.85546875" style="319" bestFit="1" customWidth="1"/>
    <col min="8968" max="8968" width="12.42578125" style="319" bestFit="1" customWidth="1"/>
    <col min="8969" max="8969" width="7.140625" style="319" bestFit="1" customWidth="1"/>
    <col min="8970" max="8970" width="5.42578125" style="319" bestFit="1" customWidth="1"/>
    <col min="8971" max="8971" width="7.28515625" style="319" bestFit="1" customWidth="1"/>
    <col min="8972" max="9216" width="10.28515625" style="319"/>
    <col min="9217" max="9217" width="8.140625" style="319" customWidth="1"/>
    <col min="9218" max="9218" width="8.85546875" style="319" bestFit="1" customWidth="1"/>
    <col min="9219" max="9219" width="5.42578125" style="319" bestFit="1" customWidth="1"/>
    <col min="9220" max="9220" width="8.42578125" style="319" bestFit="1" customWidth="1"/>
    <col min="9221" max="9221" width="7.85546875" style="319" bestFit="1" customWidth="1"/>
    <col min="9222" max="9222" width="27.85546875" style="319" bestFit="1" customWidth="1"/>
    <col min="9223" max="9223" width="11.85546875" style="319" bestFit="1" customWidth="1"/>
    <col min="9224" max="9224" width="12.42578125" style="319" bestFit="1" customWidth="1"/>
    <col min="9225" max="9225" width="7.140625" style="319" bestFit="1" customWidth="1"/>
    <col min="9226" max="9226" width="5.42578125" style="319" bestFit="1" customWidth="1"/>
    <col min="9227" max="9227" width="7.28515625" style="319" bestFit="1" customWidth="1"/>
    <col min="9228" max="9472" width="10.28515625" style="319"/>
    <col min="9473" max="9473" width="8.140625" style="319" customWidth="1"/>
    <col min="9474" max="9474" width="8.85546875" style="319" bestFit="1" customWidth="1"/>
    <col min="9475" max="9475" width="5.42578125" style="319" bestFit="1" customWidth="1"/>
    <col min="9476" max="9476" width="8.42578125" style="319" bestFit="1" customWidth="1"/>
    <col min="9477" max="9477" width="7.85546875" style="319" bestFit="1" customWidth="1"/>
    <col min="9478" max="9478" width="27.85546875" style="319" bestFit="1" customWidth="1"/>
    <col min="9479" max="9479" width="11.85546875" style="319" bestFit="1" customWidth="1"/>
    <col min="9480" max="9480" width="12.42578125" style="319" bestFit="1" customWidth="1"/>
    <col min="9481" max="9481" width="7.140625" style="319" bestFit="1" customWidth="1"/>
    <col min="9482" max="9482" width="5.42578125" style="319" bestFit="1" customWidth="1"/>
    <col min="9483" max="9483" width="7.28515625" style="319" bestFit="1" customWidth="1"/>
    <col min="9484" max="9728" width="10.28515625" style="319"/>
    <col min="9729" max="9729" width="8.140625" style="319" customWidth="1"/>
    <col min="9730" max="9730" width="8.85546875" style="319" bestFit="1" customWidth="1"/>
    <col min="9731" max="9731" width="5.42578125" style="319" bestFit="1" customWidth="1"/>
    <col min="9732" max="9732" width="8.42578125" style="319" bestFit="1" customWidth="1"/>
    <col min="9733" max="9733" width="7.85546875" style="319" bestFit="1" customWidth="1"/>
    <col min="9734" max="9734" width="27.85546875" style="319" bestFit="1" customWidth="1"/>
    <col min="9735" max="9735" width="11.85546875" style="319" bestFit="1" customWidth="1"/>
    <col min="9736" max="9736" width="12.42578125" style="319" bestFit="1" customWidth="1"/>
    <col min="9737" max="9737" width="7.140625" style="319" bestFit="1" customWidth="1"/>
    <col min="9738" max="9738" width="5.42578125" style="319" bestFit="1" customWidth="1"/>
    <col min="9739" max="9739" width="7.28515625" style="319" bestFit="1" customWidth="1"/>
    <col min="9740" max="9984" width="10.28515625" style="319"/>
    <col min="9985" max="9985" width="8.140625" style="319" customWidth="1"/>
    <col min="9986" max="9986" width="8.85546875" style="319" bestFit="1" customWidth="1"/>
    <col min="9987" max="9987" width="5.42578125" style="319" bestFit="1" customWidth="1"/>
    <col min="9988" max="9988" width="8.42578125" style="319" bestFit="1" customWidth="1"/>
    <col min="9989" max="9989" width="7.85546875" style="319" bestFit="1" customWidth="1"/>
    <col min="9990" max="9990" width="27.85546875" style="319" bestFit="1" customWidth="1"/>
    <col min="9991" max="9991" width="11.85546875" style="319" bestFit="1" customWidth="1"/>
    <col min="9992" max="9992" width="12.42578125" style="319" bestFit="1" customWidth="1"/>
    <col min="9993" max="9993" width="7.140625" style="319" bestFit="1" customWidth="1"/>
    <col min="9994" max="9994" width="5.42578125" style="319" bestFit="1" customWidth="1"/>
    <col min="9995" max="9995" width="7.28515625" style="319" bestFit="1" customWidth="1"/>
    <col min="9996" max="10240" width="10.28515625" style="319"/>
    <col min="10241" max="10241" width="8.140625" style="319" customWidth="1"/>
    <col min="10242" max="10242" width="8.85546875" style="319" bestFit="1" customWidth="1"/>
    <col min="10243" max="10243" width="5.42578125" style="319" bestFit="1" customWidth="1"/>
    <col min="10244" max="10244" width="8.42578125" style="319" bestFit="1" customWidth="1"/>
    <col min="10245" max="10245" width="7.85546875" style="319" bestFit="1" customWidth="1"/>
    <col min="10246" max="10246" width="27.85546875" style="319" bestFit="1" customWidth="1"/>
    <col min="10247" max="10247" width="11.85546875" style="319" bestFit="1" customWidth="1"/>
    <col min="10248" max="10248" width="12.42578125" style="319" bestFit="1" customWidth="1"/>
    <col min="10249" max="10249" width="7.140625" style="319" bestFit="1" customWidth="1"/>
    <col min="10250" max="10250" width="5.42578125" style="319" bestFit="1" customWidth="1"/>
    <col min="10251" max="10251" width="7.28515625" style="319" bestFit="1" customWidth="1"/>
    <col min="10252" max="10496" width="10.28515625" style="319"/>
    <col min="10497" max="10497" width="8.140625" style="319" customWidth="1"/>
    <col min="10498" max="10498" width="8.85546875" style="319" bestFit="1" customWidth="1"/>
    <col min="10499" max="10499" width="5.42578125" style="319" bestFit="1" customWidth="1"/>
    <col min="10500" max="10500" width="8.42578125" style="319" bestFit="1" customWidth="1"/>
    <col min="10501" max="10501" width="7.85546875" style="319" bestFit="1" customWidth="1"/>
    <col min="10502" max="10502" width="27.85546875" style="319" bestFit="1" customWidth="1"/>
    <col min="10503" max="10503" width="11.85546875" style="319" bestFit="1" customWidth="1"/>
    <col min="10504" max="10504" width="12.42578125" style="319" bestFit="1" customWidth="1"/>
    <col min="10505" max="10505" width="7.140625" style="319" bestFit="1" customWidth="1"/>
    <col min="10506" max="10506" width="5.42578125" style="319" bestFit="1" customWidth="1"/>
    <col min="10507" max="10507" width="7.28515625" style="319" bestFit="1" customWidth="1"/>
    <col min="10508" max="10752" width="10.28515625" style="319"/>
    <col min="10753" max="10753" width="8.140625" style="319" customWidth="1"/>
    <col min="10754" max="10754" width="8.85546875" style="319" bestFit="1" customWidth="1"/>
    <col min="10755" max="10755" width="5.42578125" style="319" bestFit="1" customWidth="1"/>
    <col min="10756" max="10756" width="8.42578125" style="319" bestFit="1" customWidth="1"/>
    <col min="10757" max="10757" width="7.85546875" style="319" bestFit="1" customWidth="1"/>
    <col min="10758" max="10758" width="27.85546875" style="319" bestFit="1" customWidth="1"/>
    <col min="10759" max="10759" width="11.85546875" style="319" bestFit="1" customWidth="1"/>
    <col min="10760" max="10760" width="12.42578125" style="319" bestFit="1" customWidth="1"/>
    <col min="10761" max="10761" width="7.140625" style="319" bestFit="1" customWidth="1"/>
    <col min="10762" max="10762" width="5.42578125" style="319" bestFit="1" customWidth="1"/>
    <col min="10763" max="10763" width="7.28515625" style="319" bestFit="1" customWidth="1"/>
    <col min="10764" max="11008" width="10.28515625" style="319"/>
    <col min="11009" max="11009" width="8.140625" style="319" customWidth="1"/>
    <col min="11010" max="11010" width="8.85546875" style="319" bestFit="1" customWidth="1"/>
    <col min="11011" max="11011" width="5.42578125" style="319" bestFit="1" customWidth="1"/>
    <col min="11012" max="11012" width="8.42578125" style="319" bestFit="1" customWidth="1"/>
    <col min="11013" max="11013" width="7.85546875" style="319" bestFit="1" customWidth="1"/>
    <col min="11014" max="11014" width="27.85546875" style="319" bestFit="1" customWidth="1"/>
    <col min="11015" max="11015" width="11.85546875" style="319" bestFit="1" customWidth="1"/>
    <col min="11016" max="11016" width="12.42578125" style="319" bestFit="1" customWidth="1"/>
    <col min="11017" max="11017" width="7.140625" style="319" bestFit="1" customWidth="1"/>
    <col min="11018" max="11018" width="5.42578125" style="319" bestFit="1" customWidth="1"/>
    <col min="11019" max="11019" width="7.28515625" style="319" bestFit="1" customWidth="1"/>
    <col min="11020" max="11264" width="10.28515625" style="319"/>
    <col min="11265" max="11265" width="8.140625" style="319" customWidth="1"/>
    <col min="11266" max="11266" width="8.85546875" style="319" bestFit="1" customWidth="1"/>
    <col min="11267" max="11267" width="5.42578125" style="319" bestFit="1" customWidth="1"/>
    <col min="11268" max="11268" width="8.42578125" style="319" bestFit="1" customWidth="1"/>
    <col min="11269" max="11269" width="7.85546875" style="319" bestFit="1" customWidth="1"/>
    <col min="11270" max="11270" width="27.85546875" style="319" bestFit="1" customWidth="1"/>
    <col min="11271" max="11271" width="11.85546875" style="319" bestFit="1" customWidth="1"/>
    <col min="11272" max="11272" width="12.42578125" style="319" bestFit="1" customWidth="1"/>
    <col min="11273" max="11273" width="7.140625" style="319" bestFit="1" customWidth="1"/>
    <col min="11274" max="11274" width="5.42578125" style="319" bestFit="1" customWidth="1"/>
    <col min="11275" max="11275" width="7.28515625" style="319" bestFit="1" customWidth="1"/>
    <col min="11276" max="11520" width="10.28515625" style="319"/>
    <col min="11521" max="11521" width="8.140625" style="319" customWidth="1"/>
    <col min="11522" max="11522" width="8.85546875" style="319" bestFit="1" customWidth="1"/>
    <col min="11523" max="11523" width="5.42578125" style="319" bestFit="1" customWidth="1"/>
    <col min="11524" max="11524" width="8.42578125" style="319" bestFit="1" customWidth="1"/>
    <col min="11525" max="11525" width="7.85546875" style="319" bestFit="1" customWidth="1"/>
    <col min="11526" max="11526" width="27.85546875" style="319" bestFit="1" customWidth="1"/>
    <col min="11527" max="11527" width="11.85546875" style="319" bestFit="1" customWidth="1"/>
    <col min="11528" max="11528" width="12.42578125" style="319" bestFit="1" customWidth="1"/>
    <col min="11529" max="11529" width="7.140625" style="319" bestFit="1" customWidth="1"/>
    <col min="11530" max="11530" width="5.42578125" style="319" bestFit="1" customWidth="1"/>
    <col min="11531" max="11531" width="7.28515625" style="319" bestFit="1" customWidth="1"/>
    <col min="11532" max="11776" width="10.28515625" style="319"/>
    <col min="11777" max="11777" width="8.140625" style="319" customWidth="1"/>
    <col min="11778" max="11778" width="8.85546875" style="319" bestFit="1" customWidth="1"/>
    <col min="11779" max="11779" width="5.42578125" style="319" bestFit="1" customWidth="1"/>
    <col min="11780" max="11780" width="8.42578125" style="319" bestFit="1" customWidth="1"/>
    <col min="11781" max="11781" width="7.85546875" style="319" bestFit="1" customWidth="1"/>
    <col min="11782" max="11782" width="27.85546875" style="319" bestFit="1" customWidth="1"/>
    <col min="11783" max="11783" width="11.85546875" style="319" bestFit="1" customWidth="1"/>
    <col min="11784" max="11784" width="12.42578125" style="319" bestFit="1" customWidth="1"/>
    <col min="11785" max="11785" width="7.140625" style="319" bestFit="1" customWidth="1"/>
    <col min="11786" max="11786" width="5.42578125" style="319" bestFit="1" customWidth="1"/>
    <col min="11787" max="11787" width="7.28515625" style="319" bestFit="1" customWidth="1"/>
    <col min="11788" max="12032" width="10.28515625" style="319"/>
    <col min="12033" max="12033" width="8.140625" style="319" customWidth="1"/>
    <col min="12034" max="12034" width="8.85546875" style="319" bestFit="1" customWidth="1"/>
    <col min="12035" max="12035" width="5.42578125" style="319" bestFit="1" customWidth="1"/>
    <col min="12036" max="12036" width="8.42578125" style="319" bestFit="1" customWidth="1"/>
    <col min="12037" max="12037" width="7.85546875" style="319" bestFit="1" customWidth="1"/>
    <col min="12038" max="12038" width="27.85546875" style="319" bestFit="1" customWidth="1"/>
    <col min="12039" max="12039" width="11.85546875" style="319" bestFit="1" customWidth="1"/>
    <col min="12040" max="12040" width="12.42578125" style="319" bestFit="1" customWidth="1"/>
    <col min="12041" max="12041" width="7.140625" style="319" bestFit="1" customWidth="1"/>
    <col min="12042" max="12042" width="5.42578125" style="319" bestFit="1" customWidth="1"/>
    <col min="12043" max="12043" width="7.28515625" style="319" bestFit="1" customWidth="1"/>
    <col min="12044" max="12288" width="10.28515625" style="319"/>
    <col min="12289" max="12289" width="8.140625" style="319" customWidth="1"/>
    <col min="12290" max="12290" width="8.85546875" style="319" bestFit="1" customWidth="1"/>
    <col min="12291" max="12291" width="5.42578125" style="319" bestFit="1" customWidth="1"/>
    <col min="12292" max="12292" width="8.42578125" style="319" bestFit="1" customWidth="1"/>
    <col min="12293" max="12293" width="7.85546875" style="319" bestFit="1" customWidth="1"/>
    <col min="12294" max="12294" width="27.85546875" style="319" bestFit="1" customWidth="1"/>
    <col min="12295" max="12295" width="11.85546875" style="319" bestFit="1" customWidth="1"/>
    <col min="12296" max="12296" width="12.42578125" style="319" bestFit="1" customWidth="1"/>
    <col min="12297" max="12297" width="7.140625" style="319" bestFit="1" customWidth="1"/>
    <col min="12298" max="12298" width="5.42578125" style="319" bestFit="1" customWidth="1"/>
    <col min="12299" max="12299" width="7.28515625" style="319" bestFit="1" customWidth="1"/>
    <col min="12300" max="12544" width="10.28515625" style="319"/>
    <col min="12545" max="12545" width="8.140625" style="319" customWidth="1"/>
    <col min="12546" max="12546" width="8.85546875" style="319" bestFit="1" customWidth="1"/>
    <col min="12547" max="12547" width="5.42578125" style="319" bestFit="1" customWidth="1"/>
    <col min="12548" max="12548" width="8.42578125" style="319" bestFit="1" customWidth="1"/>
    <col min="12549" max="12549" width="7.85546875" style="319" bestFit="1" customWidth="1"/>
    <col min="12550" max="12550" width="27.85546875" style="319" bestFit="1" customWidth="1"/>
    <col min="12551" max="12551" width="11.85546875" style="319" bestFit="1" customWidth="1"/>
    <col min="12552" max="12552" width="12.42578125" style="319" bestFit="1" customWidth="1"/>
    <col min="12553" max="12553" width="7.140625" style="319" bestFit="1" customWidth="1"/>
    <col min="12554" max="12554" width="5.42578125" style="319" bestFit="1" customWidth="1"/>
    <col min="12555" max="12555" width="7.28515625" style="319" bestFit="1" customWidth="1"/>
    <col min="12556" max="12800" width="10.28515625" style="319"/>
    <col min="12801" max="12801" width="8.140625" style="319" customWidth="1"/>
    <col min="12802" max="12802" width="8.85546875" style="319" bestFit="1" customWidth="1"/>
    <col min="12803" max="12803" width="5.42578125" style="319" bestFit="1" customWidth="1"/>
    <col min="12804" max="12804" width="8.42578125" style="319" bestFit="1" customWidth="1"/>
    <col min="12805" max="12805" width="7.85546875" style="319" bestFit="1" customWidth="1"/>
    <col min="12806" max="12806" width="27.85546875" style="319" bestFit="1" customWidth="1"/>
    <col min="12807" max="12807" width="11.85546875" style="319" bestFit="1" customWidth="1"/>
    <col min="12808" max="12808" width="12.42578125" style="319" bestFit="1" customWidth="1"/>
    <col min="12809" max="12809" width="7.140625" style="319" bestFit="1" customWidth="1"/>
    <col min="12810" max="12810" width="5.42578125" style="319" bestFit="1" customWidth="1"/>
    <col min="12811" max="12811" width="7.28515625" style="319" bestFit="1" customWidth="1"/>
    <col min="12812" max="13056" width="10.28515625" style="319"/>
    <col min="13057" max="13057" width="8.140625" style="319" customWidth="1"/>
    <col min="13058" max="13058" width="8.85546875" style="319" bestFit="1" customWidth="1"/>
    <col min="13059" max="13059" width="5.42578125" style="319" bestFit="1" customWidth="1"/>
    <col min="13060" max="13060" width="8.42578125" style="319" bestFit="1" customWidth="1"/>
    <col min="13061" max="13061" width="7.85546875" style="319" bestFit="1" customWidth="1"/>
    <col min="13062" max="13062" width="27.85546875" style="319" bestFit="1" customWidth="1"/>
    <col min="13063" max="13063" width="11.85546875" style="319" bestFit="1" customWidth="1"/>
    <col min="13064" max="13064" width="12.42578125" style="319" bestFit="1" customWidth="1"/>
    <col min="13065" max="13065" width="7.140625" style="319" bestFit="1" customWidth="1"/>
    <col min="13066" max="13066" width="5.42578125" style="319" bestFit="1" customWidth="1"/>
    <col min="13067" max="13067" width="7.28515625" style="319" bestFit="1" customWidth="1"/>
    <col min="13068" max="13312" width="10.28515625" style="319"/>
    <col min="13313" max="13313" width="8.140625" style="319" customWidth="1"/>
    <col min="13314" max="13314" width="8.85546875" style="319" bestFit="1" customWidth="1"/>
    <col min="13315" max="13315" width="5.42578125" style="319" bestFit="1" customWidth="1"/>
    <col min="13316" max="13316" width="8.42578125" style="319" bestFit="1" customWidth="1"/>
    <col min="13317" max="13317" width="7.85546875" style="319" bestFit="1" customWidth="1"/>
    <col min="13318" max="13318" width="27.85546875" style="319" bestFit="1" customWidth="1"/>
    <col min="13319" max="13319" width="11.85546875" style="319" bestFit="1" customWidth="1"/>
    <col min="13320" max="13320" width="12.42578125" style="319" bestFit="1" customWidth="1"/>
    <col min="13321" max="13321" width="7.140625" style="319" bestFit="1" customWidth="1"/>
    <col min="13322" max="13322" width="5.42578125" style="319" bestFit="1" customWidth="1"/>
    <col min="13323" max="13323" width="7.28515625" style="319" bestFit="1" customWidth="1"/>
    <col min="13324" max="13568" width="10.28515625" style="319"/>
    <col min="13569" max="13569" width="8.140625" style="319" customWidth="1"/>
    <col min="13570" max="13570" width="8.85546875" style="319" bestFit="1" customWidth="1"/>
    <col min="13571" max="13571" width="5.42578125" style="319" bestFit="1" customWidth="1"/>
    <col min="13572" max="13572" width="8.42578125" style="319" bestFit="1" customWidth="1"/>
    <col min="13573" max="13573" width="7.85546875" style="319" bestFit="1" customWidth="1"/>
    <col min="13574" max="13574" width="27.85546875" style="319" bestFit="1" customWidth="1"/>
    <col min="13575" max="13575" width="11.85546875" style="319" bestFit="1" customWidth="1"/>
    <col min="13576" max="13576" width="12.42578125" style="319" bestFit="1" customWidth="1"/>
    <col min="13577" max="13577" width="7.140625" style="319" bestFit="1" customWidth="1"/>
    <col min="13578" max="13578" width="5.42578125" style="319" bestFit="1" customWidth="1"/>
    <col min="13579" max="13579" width="7.28515625" style="319" bestFit="1" customWidth="1"/>
    <col min="13580" max="13824" width="10.28515625" style="319"/>
    <col min="13825" max="13825" width="8.140625" style="319" customWidth="1"/>
    <col min="13826" max="13826" width="8.85546875" style="319" bestFit="1" customWidth="1"/>
    <col min="13827" max="13827" width="5.42578125" style="319" bestFit="1" customWidth="1"/>
    <col min="13828" max="13828" width="8.42578125" style="319" bestFit="1" customWidth="1"/>
    <col min="13829" max="13829" width="7.85546875" style="319" bestFit="1" customWidth="1"/>
    <col min="13830" max="13830" width="27.85546875" style="319" bestFit="1" customWidth="1"/>
    <col min="13831" max="13831" width="11.85546875" style="319" bestFit="1" customWidth="1"/>
    <col min="13832" max="13832" width="12.42578125" style="319" bestFit="1" customWidth="1"/>
    <col min="13833" max="13833" width="7.140625" style="319" bestFit="1" customWidth="1"/>
    <col min="13834" max="13834" width="5.42578125" style="319" bestFit="1" customWidth="1"/>
    <col min="13835" max="13835" width="7.28515625" style="319" bestFit="1" customWidth="1"/>
    <col min="13836" max="14080" width="10.28515625" style="319"/>
    <col min="14081" max="14081" width="8.140625" style="319" customWidth="1"/>
    <col min="14082" max="14082" width="8.85546875" style="319" bestFit="1" customWidth="1"/>
    <col min="14083" max="14083" width="5.42578125" style="319" bestFit="1" customWidth="1"/>
    <col min="14084" max="14084" width="8.42578125" style="319" bestFit="1" customWidth="1"/>
    <col min="14085" max="14085" width="7.85546875" style="319" bestFit="1" customWidth="1"/>
    <col min="14086" max="14086" width="27.85546875" style="319" bestFit="1" customWidth="1"/>
    <col min="14087" max="14087" width="11.85546875" style="319" bestFit="1" customWidth="1"/>
    <col min="14088" max="14088" width="12.42578125" style="319" bestFit="1" customWidth="1"/>
    <col min="14089" max="14089" width="7.140625" style="319" bestFit="1" customWidth="1"/>
    <col min="14090" max="14090" width="5.42578125" style="319" bestFit="1" customWidth="1"/>
    <col min="14091" max="14091" width="7.28515625" style="319" bestFit="1" customWidth="1"/>
    <col min="14092" max="14336" width="10.28515625" style="319"/>
    <col min="14337" max="14337" width="8.140625" style="319" customWidth="1"/>
    <col min="14338" max="14338" width="8.85546875" style="319" bestFit="1" customWidth="1"/>
    <col min="14339" max="14339" width="5.42578125" style="319" bestFit="1" customWidth="1"/>
    <col min="14340" max="14340" width="8.42578125" style="319" bestFit="1" customWidth="1"/>
    <col min="14341" max="14341" width="7.85546875" style="319" bestFit="1" customWidth="1"/>
    <col min="14342" max="14342" width="27.85546875" style="319" bestFit="1" customWidth="1"/>
    <col min="14343" max="14343" width="11.85546875" style="319" bestFit="1" customWidth="1"/>
    <col min="14344" max="14344" width="12.42578125" style="319" bestFit="1" customWidth="1"/>
    <col min="14345" max="14345" width="7.140625" style="319" bestFit="1" customWidth="1"/>
    <col min="14346" max="14346" width="5.42578125" style="319" bestFit="1" customWidth="1"/>
    <col min="14347" max="14347" width="7.28515625" style="319" bestFit="1" customWidth="1"/>
    <col min="14348" max="14592" width="10.28515625" style="319"/>
    <col min="14593" max="14593" width="8.140625" style="319" customWidth="1"/>
    <col min="14594" max="14594" width="8.85546875" style="319" bestFit="1" customWidth="1"/>
    <col min="14595" max="14595" width="5.42578125" style="319" bestFit="1" customWidth="1"/>
    <col min="14596" max="14596" width="8.42578125" style="319" bestFit="1" customWidth="1"/>
    <col min="14597" max="14597" width="7.85546875" style="319" bestFit="1" customWidth="1"/>
    <col min="14598" max="14598" width="27.85546875" style="319" bestFit="1" customWidth="1"/>
    <col min="14599" max="14599" width="11.85546875" style="319" bestFit="1" customWidth="1"/>
    <col min="14600" max="14600" width="12.42578125" style="319" bestFit="1" customWidth="1"/>
    <col min="14601" max="14601" width="7.140625" style="319" bestFit="1" customWidth="1"/>
    <col min="14602" max="14602" width="5.42578125" style="319" bestFit="1" customWidth="1"/>
    <col min="14603" max="14603" width="7.28515625" style="319" bestFit="1" customWidth="1"/>
    <col min="14604" max="14848" width="10.28515625" style="319"/>
    <col min="14849" max="14849" width="8.140625" style="319" customWidth="1"/>
    <col min="14850" max="14850" width="8.85546875" style="319" bestFit="1" customWidth="1"/>
    <col min="14851" max="14851" width="5.42578125" style="319" bestFit="1" customWidth="1"/>
    <col min="14852" max="14852" width="8.42578125" style="319" bestFit="1" customWidth="1"/>
    <col min="14853" max="14853" width="7.85546875" style="319" bestFit="1" customWidth="1"/>
    <col min="14854" max="14854" width="27.85546875" style="319" bestFit="1" customWidth="1"/>
    <col min="14855" max="14855" width="11.85546875" style="319" bestFit="1" customWidth="1"/>
    <col min="14856" max="14856" width="12.42578125" style="319" bestFit="1" customWidth="1"/>
    <col min="14857" max="14857" width="7.140625" style="319" bestFit="1" customWidth="1"/>
    <col min="14858" max="14858" width="5.42578125" style="319" bestFit="1" customWidth="1"/>
    <col min="14859" max="14859" width="7.28515625" style="319" bestFit="1" customWidth="1"/>
    <col min="14860" max="15104" width="10.28515625" style="319"/>
    <col min="15105" max="15105" width="8.140625" style="319" customWidth="1"/>
    <col min="15106" max="15106" width="8.85546875" style="319" bestFit="1" customWidth="1"/>
    <col min="15107" max="15107" width="5.42578125" style="319" bestFit="1" customWidth="1"/>
    <col min="15108" max="15108" width="8.42578125" style="319" bestFit="1" customWidth="1"/>
    <col min="15109" max="15109" width="7.85546875" style="319" bestFit="1" customWidth="1"/>
    <col min="15110" max="15110" width="27.85546875" style="319" bestFit="1" customWidth="1"/>
    <col min="15111" max="15111" width="11.85546875" style="319" bestFit="1" customWidth="1"/>
    <col min="15112" max="15112" width="12.42578125" style="319" bestFit="1" customWidth="1"/>
    <col min="15113" max="15113" width="7.140625" style="319" bestFit="1" customWidth="1"/>
    <col min="15114" max="15114" width="5.42578125" style="319" bestFit="1" customWidth="1"/>
    <col min="15115" max="15115" width="7.28515625" style="319" bestFit="1" customWidth="1"/>
    <col min="15116" max="15360" width="10.28515625" style="319"/>
    <col min="15361" max="15361" width="8.140625" style="319" customWidth="1"/>
    <col min="15362" max="15362" width="8.85546875" style="319" bestFit="1" customWidth="1"/>
    <col min="15363" max="15363" width="5.42578125" style="319" bestFit="1" customWidth="1"/>
    <col min="15364" max="15364" width="8.42578125" style="319" bestFit="1" customWidth="1"/>
    <col min="15365" max="15365" width="7.85546875" style="319" bestFit="1" customWidth="1"/>
    <col min="15366" max="15366" width="27.85546875" style="319" bestFit="1" customWidth="1"/>
    <col min="15367" max="15367" width="11.85546875" style="319" bestFit="1" customWidth="1"/>
    <col min="15368" max="15368" width="12.42578125" style="319" bestFit="1" customWidth="1"/>
    <col min="15369" max="15369" width="7.140625" style="319" bestFit="1" customWidth="1"/>
    <col min="15370" max="15370" width="5.42578125" style="319" bestFit="1" customWidth="1"/>
    <col min="15371" max="15371" width="7.28515625" style="319" bestFit="1" customWidth="1"/>
    <col min="15372" max="15616" width="10.28515625" style="319"/>
    <col min="15617" max="15617" width="8.140625" style="319" customWidth="1"/>
    <col min="15618" max="15618" width="8.85546875" style="319" bestFit="1" customWidth="1"/>
    <col min="15619" max="15619" width="5.42578125" style="319" bestFit="1" customWidth="1"/>
    <col min="15620" max="15620" width="8.42578125" style="319" bestFit="1" customWidth="1"/>
    <col min="15621" max="15621" width="7.85546875" style="319" bestFit="1" customWidth="1"/>
    <col min="15622" max="15622" width="27.85546875" style="319" bestFit="1" customWidth="1"/>
    <col min="15623" max="15623" width="11.85546875" style="319" bestFit="1" customWidth="1"/>
    <col min="15624" max="15624" width="12.42578125" style="319" bestFit="1" customWidth="1"/>
    <col min="15625" max="15625" width="7.140625" style="319" bestFit="1" customWidth="1"/>
    <col min="15626" max="15626" width="5.42578125" style="319" bestFit="1" customWidth="1"/>
    <col min="15627" max="15627" width="7.28515625" style="319" bestFit="1" customWidth="1"/>
    <col min="15628" max="15872" width="10.28515625" style="319"/>
    <col min="15873" max="15873" width="8.140625" style="319" customWidth="1"/>
    <col min="15874" max="15874" width="8.85546875" style="319" bestFit="1" customWidth="1"/>
    <col min="15875" max="15875" width="5.42578125" style="319" bestFit="1" customWidth="1"/>
    <col min="15876" max="15876" width="8.42578125" style="319" bestFit="1" customWidth="1"/>
    <col min="15877" max="15877" width="7.85546875" style="319" bestFit="1" customWidth="1"/>
    <col min="15878" max="15878" width="27.85546875" style="319" bestFit="1" customWidth="1"/>
    <col min="15879" max="15879" width="11.85546875" style="319" bestFit="1" customWidth="1"/>
    <col min="15880" max="15880" width="12.42578125" style="319" bestFit="1" customWidth="1"/>
    <col min="15881" max="15881" width="7.140625" style="319" bestFit="1" customWidth="1"/>
    <col min="15882" max="15882" width="5.42578125" style="319" bestFit="1" customWidth="1"/>
    <col min="15883" max="15883" width="7.28515625" style="319" bestFit="1" customWidth="1"/>
    <col min="15884" max="16128" width="10.28515625" style="319"/>
    <col min="16129" max="16129" width="8.140625" style="319" customWidth="1"/>
    <col min="16130" max="16130" width="8.85546875" style="319" bestFit="1" customWidth="1"/>
    <col min="16131" max="16131" width="5.42578125" style="319" bestFit="1" customWidth="1"/>
    <col min="16132" max="16132" width="8.42578125" style="319" bestFit="1" customWidth="1"/>
    <col min="16133" max="16133" width="7.85546875" style="319" bestFit="1" customWidth="1"/>
    <col min="16134" max="16134" width="27.85546875" style="319" bestFit="1" customWidth="1"/>
    <col min="16135" max="16135" width="11.85546875" style="319" bestFit="1" customWidth="1"/>
    <col min="16136" max="16136" width="12.42578125" style="319" bestFit="1" customWidth="1"/>
    <col min="16137" max="16137" width="7.140625" style="319" bestFit="1" customWidth="1"/>
    <col min="16138" max="16138" width="5.42578125" style="319" bestFit="1" customWidth="1"/>
    <col min="16139" max="16139" width="7.28515625" style="319" bestFit="1" customWidth="1"/>
    <col min="16140" max="16384" width="10.28515625" style="319"/>
  </cols>
  <sheetData>
    <row r="1" spans="1:11" ht="17.25" thickTop="1" thickBot="1">
      <c r="A1" s="317" t="s">
        <v>768</v>
      </c>
      <c r="B1" s="318" t="s">
        <v>769</v>
      </c>
    </row>
    <row r="2" spans="1:11" ht="16.5" thickTop="1" thickBot="1">
      <c r="A2" s="317" t="s">
        <v>435</v>
      </c>
      <c r="B2" s="317" t="s">
        <v>430</v>
      </c>
      <c r="C2" s="317" t="s">
        <v>434</v>
      </c>
      <c r="D2" s="317" t="s">
        <v>433</v>
      </c>
      <c r="E2" s="317" t="s">
        <v>734</v>
      </c>
      <c r="F2" s="317" t="s">
        <v>431</v>
      </c>
      <c r="G2" s="321" t="s">
        <v>385</v>
      </c>
      <c r="H2" s="317" t="s">
        <v>429</v>
      </c>
      <c r="I2" s="317" t="s">
        <v>432</v>
      </c>
      <c r="J2" s="317" t="s">
        <v>436</v>
      </c>
      <c r="K2" s="317" t="s">
        <v>735</v>
      </c>
    </row>
    <row r="3" spans="1:11" ht="16.5" thickTop="1">
      <c r="A3" s="322" t="s">
        <v>440</v>
      </c>
      <c r="B3" s="322" t="s">
        <v>19</v>
      </c>
      <c r="C3" s="322" t="s">
        <v>736</v>
      </c>
      <c r="D3" s="322" t="s">
        <v>743</v>
      </c>
      <c r="E3" s="322" t="s">
        <v>409</v>
      </c>
      <c r="F3" s="322" t="s">
        <v>18</v>
      </c>
      <c r="G3" s="320">
        <v>50000</v>
      </c>
      <c r="H3" s="322" t="s">
        <v>770</v>
      </c>
      <c r="I3" s="319">
        <v>0</v>
      </c>
      <c r="J3" s="319">
        <v>2016</v>
      </c>
      <c r="K3" s="322" t="s">
        <v>739</v>
      </c>
    </row>
    <row r="4" spans="1:11">
      <c r="A4" s="322" t="s">
        <v>440</v>
      </c>
      <c r="B4" s="322" t="s">
        <v>19</v>
      </c>
      <c r="C4" s="322" t="s">
        <v>736</v>
      </c>
      <c r="D4" s="322" t="s">
        <v>737</v>
      </c>
      <c r="E4" s="322" t="s">
        <v>409</v>
      </c>
      <c r="F4" s="322" t="s">
        <v>18</v>
      </c>
      <c r="G4" s="320">
        <v>-27687.8</v>
      </c>
      <c r="H4" s="322" t="s">
        <v>770</v>
      </c>
      <c r="I4" s="319">
        <v>0</v>
      </c>
      <c r="J4" s="319">
        <v>2016</v>
      </c>
      <c r="K4" s="322" t="s">
        <v>739</v>
      </c>
    </row>
    <row r="5" spans="1:11">
      <c r="A5" s="322" t="s">
        <v>440</v>
      </c>
      <c r="B5" s="322" t="s">
        <v>19</v>
      </c>
      <c r="C5" s="322" t="s">
        <v>736</v>
      </c>
      <c r="D5" s="322" t="s">
        <v>737</v>
      </c>
      <c r="E5" s="322" t="s">
        <v>409</v>
      </c>
      <c r="F5" s="322" t="s">
        <v>740</v>
      </c>
      <c r="G5" s="320">
        <v>-61335.33</v>
      </c>
      <c r="H5" s="322" t="s">
        <v>741</v>
      </c>
      <c r="I5" s="319">
        <v>1</v>
      </c>
      <c r="J5" s="319">
        <v>2016</v>
      </c>
      <c r="K5" s="322" t="s">
        <v>739</v>
      </c>
    </row>
    <row r="6" spans="1:11">
      <c r="A6" s="322" t="s">
        <v>790</v>
      </c>
      <c r="B6" s="322" t="s">
        <v>19</v>
      </c>
      <c r="C6" s="322" t="s">
        <v>736</v>
      </c>
      <c r="D6" s="322" t="s">
        <v>737</v>
      </c>
      <c r="E6" s="322" t="s">
        <v>409</v>
      </c>
      <c r="F6" s="322" t="s">
        <v>791</v>
      </c>
      <c r="G6" s="320">
        <v>50000</v>
      </c>
      <c r="H6" s="322" t="s">
        <v>789</v>
      </c>
      <c r="I6" s="319">
        <v>12</v>
      </c>
      <c r="J6" s="319">
        <v>2016</v>
      </c>
      <c r="K6" s="322" t="s">
        <v>739</v>
      </c>
    </row>
    <row r="7" spans="1:11">
      <c r="A7" s="322" t="s">
        <v>790</v>
      </c>
      <c r="B7" s="322" t="s">
        <v>19</v>
      </c>
      <c r="C7" s="322" t="s">
        <v>736</v>
      </c>
      <c r="D7" s="322" t="s">
        <v>737</v>
      </c>
      <c r="E7" s="322" t="s">
        <v>409</v>
      </c>
      <c r="F7" s="322" t="s">
        <v>792</v>
      </c>
      <c r="G7" s="320">
        <v>50000</v>
      </c>
      <c r="H7" s="322" t="s">
        <v>788</v>
      </c>
      <c r="I7" s="319">
        <v>11</v>
      </c>
      <c r="J7" s="319">
        <v>2016</v>
      </c>
      <c r="K7" s="322" t="s">
        <v>739</v>
      </c>
    </row>
    <row r="8" spans="1:11">
      <c r="A8" s="322" t="s">
        <v>790</v>
      </c>
      <c r="B8" s="322" t="s">
        <v>19</v>
      </c>
      <c r="C8" s="322" t="s">
        <v>736</v>
      </c>
      <c r="D8" s="322" t="s">
        <v>737</v>
      </c>
      <c r="E8" s="322" t="s">
        <v>409</v>
      </c>
      <c r="F8" s="322" t="s">
        <v>793</v>
      </c>
      <c r="G8" s="320">
        <v>50000</v>
      </c>
      <c r="H8" s="322" t="s">
        <v>787</v>
      </c>
      <c r="I8" s="319">
        <v>11</v>
      </c>
      <c r="J8" s="319">
        <v>2016</v>
      </c>
      <c r="K8" s="322" t="s">
        <v>739</v>
      </c>
    </row>
    <row r="9" spans="1:11">
      <c r="A9" s="322" t="s">
        <v>790</v>
      </c>
      <c r="B9" s="322" t="s">
        <v>19</v>
      </c>
      <c r="C9" s="322" t="s">
        <v>736</v>
      </c>
      <c r="D9" s="322" t="s">
        <v>737</v>
      </c>
      <c r="E9" s="322" t="s">
        <v>409</v>
      </c>
      <c r="F9" s="322" t="s">
        <v>794</v>
      </c>
      <c r="G9" s="320">
        <v>50000</v>
      </c>
      <c r="H9" s="322" t="s">
        <v>771</v>
      </c>
      <c r="I9" s="319">
        <v>1</v>
      </c>
      <c r="J9" s="319">
        <v>2016</v>
      </c>
      <c r="K9" s="322" t="s">
        <v>739</v>
      </c>
    </row>
    <row r="10" spans="1:11">
      <c r="A10" s="322" t="s">
        <v>790</v>
      </c>
      <c r="B10" s="322" t="s">
        <v>19</v>
      </c>
      <c r="C10" s="322" t="s">
        <v>736</v>
      </c>
      <c r="D10" s="322" t="s">
        <v>737</v>
      </c>
      <c r="E10" s="322" t="s">
        <v>409</v>
      </c>
      <c r="F10" s="322" t="s">
        <v>795</v>
      </c>
      <c r="G10" s="320">
        <v>50000</v>
      </c>
      <c r="H10" s="322" t="s">
        <v>786</v>
      </c>
      <c r="I10" s="319">
        <v>10</v>
      </c>
      <c r="J10" s="319">
        <v>2016</v>
      </c>
      <c r="K10" s="322" t="s">
        <v>739</v>
      </c>
    </row>
    <row r="11" spans="1:11">
      <c r="A11" s="322" t="s">
        <v>790</v>
      </c>
      <c r="B11" s="322" t="s">
        <v>19</v>
      </c>
      <c r="C11" s="322" t="s">
        <v>736</v>
      </c>
      <c r="D11" s="322" t="s">
        <v>737</v>
      </c>
      <c r="E11" s="322" t="s">
        <v>409</v>
      </c>
      <c r="F11" s="322" t="s">
        <v>796</v>
      </c>
      <c r="G11" s="320">
        <v>50000</v>
      </c>
      <c r="H11" s="322" t="s">
        <v>785</v>
      </c>
      <c r="I11" s="319">
        <v>9</v>
      </c>
      <c r="J11" s="319">
        <v>2016</v>
      </c>
      <c r="K11" s="322" t="s">
        <v>739</v>
      </c>
    </row>
    <row r="12" spans="1:11">
      <c r="A12" s="322" t="s">
        <v>790</v>
      </c>
      <c r="B12" s="322" t="s">
        <v>19</v>
      </c>
      <c r="C12" s="322" t="s">
        <v>736</v>
      </c>
      <c r="D12" s="322" t="s">
        <v>737</v>
      </c>
      <c r="E12" s="322" t="s">
        <v>409</v>
      </c>
      <c r="F12" s="322" t="s">
        <v>797</v>
      </c>
      <c r="G12" s="320">
        <v>50000</v>
      </c>
      <c r="H12" s="322" t="s">
        <v>784</v>
      </c>
      <c r="I12" s="319">
        <v>9</v>
      </c>
      <c r="J12" s="319">
        <v>2016</v>
      </c>
      <c r="K12" s="322" t="s">
        <v>739</v>
      </c>
    </row>
    <row r="13" spans="1:11">
      <c r="A13" s="322" t="s">
        <v>790</v>
      </c>
      <c r="B13" s="322" t="s">
        <v>19</v>
      </c>
      <c r="C13" s="322" t="s">
        <v>736</v>
      </c>
      <c r="D13" s="322" t="s">
        <v>737</v>
      </c>
      <c r="E13" s="322" t="s">
        <v>409</v>
      </c>
      <c r="F13" s="322" t="s">
        <v>798</v>
      </c>
      <c r="G13" s="320">
        <v>50000</v>
      </c>
      <c r="H13" s="322" t="s">
        <v>783</v>
      </c>
      <c r="I13" s="319">
        <v>9</v>
      </c>
      <c r="J13" s="319">
        <v>2016</v>
      </c>
      <c r="K13" s="322" t="s">
        <v>739</v>
      </c>
    </row>
    <row r="14" spans="1:11">
      <c r="A14" s="322" t="s">
        <v>790</v>
      </c>
      <c r="B14" s="322" t="s">
        <v>19</v>
      </c>
      <c r="C14" s="322" t="s">
        <v>736</v>
      </c>
      <c r="D14" s="322" t="s">
        <v>737</v>
      </c>
      <c r="E14" s="322" t="s">
        <v>409</v>
      </c>
      <c r="F14" s="322" t="s">
        <v>799</v>
      </c>
      <c r="G14" s="320">
        <v>50000</v>
      </c>
      <c r="H14" s="322" t="s">
        <v>782</v>
      </c>
      <c r="I14" s="319">
        <v>8</v>
      </c>
      <c r="J14" s="319">
        <v>2016</v>
      </c>
      <c r="K14" s="322" t="s">
        <v>739</v>
      </c>
    </row>
    <row r="15" spans="1:11">
      <c r="A15" s="322" t="s">
        <v>790</v>
      </c>
      <c r="B15" s="322" t="s">
        <v>19</v>
      </c>
      <c r="C15" s="322" t="s">
        <v>736</v>
      </c>
      <c r="D15" s="322" t="s">
        <v>737</v>
      </c>
      <c r="E15" s="322" t="s">
        <v>409</v>
      </c>
      <c r="F15" s="322" t="s">
        <v>800</v>
      </c>
      <c r="G15" s="320">
        <v>50000</v>
      </c>
      <c r="H15" s="322" t="s">
        <v>781</v>
      </c>
      <c r="I15" s="319">
        <v>7</v>
      </c>
      <c r="J15" s="319">
        <v>2016</v>
      </c>
      <c r="K15" s="322" t="s">
        <v>739</v>
      </c>
    </row>
    <row r="16" spans="1:11">
      <c r="A16" s="322" t="s">
        <v>790</v>
      </c>
      <c r="B16" s="322" t="s">
        <v>19</v>
      </c>
      <c r="C16" s="322" t="s">
        <v>736</v>
      </c>
      <c r="D16" s="322" t="s">
        <v>737</v>
      </c>
      <c r="E16" s="322" t="s">
        <v>409</v>
      </c>
      <c r="F16" s="322" t="s">
        <v>801</v>
      </c>
      <c r="G16" s="320">
        <v>50000</v>
      </c>
      <c r="H16" s="322" t="s">
        <v>780</v>
      </c>
      <c r="I16" s="319">
        <v>7</v>
      </c>
      <c r="J16" s="319">
        <v>2016</v>
      </c>
      <c r="K16" s="322" t="s">
        <v>739</v>
      </c>
    </row>
    <row r="17" spans="1:11">
      <c r="A17" s="322" t="s">
        <v>790</v>
      </c>
      <c r="B17" s="322" t="s">
        <v>19</v>
      </c>
      <c r="C17" s="322" t="s">
        <v>736</v>
      </c>
      <c r="D17" s="322" t="s">
        <v>737</v>
      </c>
      <c r="E17" s="322" t="s">
        <v>409</v>
      </c>
      <c r="F17" s="322" t="s">
        <v>802</v>
      </c>
      <c r="G17" s="320">
        <v>50000</v>
      </c>
      <c r="H17" s="322" t="s">
        <v>779</v>
      </c>
      <c r="I17" s="319">
        <v>6</v>
      </c>
      <c r="J17" s="319">
        <v>2016</v>
      </c>
      <c r="K17" s="322" t="s">
        <v>739</v>
      </c>
    </row>
    <row r="18" spans="1:11">
      <c r="A18" s="322" t="s">
        <v>790</v>
      </c>
      <c r="B18" s="322" t="s">
        <v>19</v>
      </c>
      <c r="C18" s="322" t="s">
        <v>736</v>
      </c>
      <c r="D18" s="322" t="s">
        <v>737</v>
      </c>
      <c r="E18" s="322" t="s">
        <v>409</v>
      </c>
      <c r="F18" s="322" t="s">
        <v>803</v>
      </c>
      <c r="G18" s="320">
        <v>50000</v>
      </c>
      <c r="H18" s="322" t="s">
        <v>778</v>
      </c>
      <c r="I18" s="319">
        <v>6</v>
      </c>
      <c r="J18" s="319">
        <v>2016</v>
      </c>
      <c r="K18" s="322" t="s">
        <v>739</v>
      </c>
    </row>
    <row r="19" spans="1:11">
      <c r="A19" s="322" t="s">
        <v>790</v>
      </c>
      <c r="B19" s="322" t="s">
        <v>19</v>
      </c>
      <c r="C19" s="322" t="s">
        <v>736</v>
      </c>
      <c r="D19" s="322" t="s">
        <v>737</v>
      </c>
      <c r="E19" s="322" t="s">
        <v>409</v>
      </c>
      <c r="F19" s="322" t="s">
        <v>804</v>
      </c>
      <c r="G19" s="320">
        <v>50000</v>
      </c>
      <c r="H19" s="322" t="s">
        <v>777</v>
      </c>
      <c r="I19" s="319">
        <v>5</v>
      </c>
      <c r="J19" s="319">
        <v>2016</v>
      </c>
      <c r="K19" s="322" t="s">
        <v>739</v>
      </c>
    </row>
    <row r="20" spans="1:11">
      <c r="A20" s="322" t="s">
        <v>790</v>
      </c>
      <c r="B20" s="322" t="s">
        <v>19</v>
      </c>
      <c r="C20" s="322" t="s">
        <v>736</v>
      </c>
      <c r="D20" s="322" t="s">
        <v>737</v>
      </c>
      <c r="E20" s="322" t="s">
        <v>409</v>
      </c>
      <c r="F20" s="322" t="s">
        <v>805</v>
      </c>
      <c r="G20" s="320">
        <v>50000</v>
      </c>
      <c r="H20" s="322" t="s">
        <v>776</v>
      </c>
      <c r="I20" s="319">
        <v>5</v>
      </c>
      <c r="J20" s="319">
        <v>2016</v>
      </c>
      <c r="K20" s="322" t="s">
        <v>739</v>
      </c>
    </row>
    <row r="21" spans="1:11">
      <c r="A21" s="322" t="s">
        <v>790</v>
      </c>
      <c r="B21" s="322" t="s">
        <v>19</v>
      </c>
      <c r="C21" s="322" t="s">
        <v>736</v>
      </c>
      <c r="D21" s="322" t="s">
        <v>737</v>
      </c>
      <c r="E21" s="322" t="s">
        <v>409</v>
      </c>
      <c r="F21" s="322" t="s">
        <v>806</v>
      </c>
      <c r="G21" s="320">
        <v>50000</v>
      </c>
      <c r="H21" s="322" t="s">
        <v>775</v>
      </c>
      <c r="I21" s="319">
        <v>4</v>
      </c>
      <c r="J21" s="319">
        <v>2016</v>
      </c>
      <c r="K21" s="322" t="s">
        <v>739</v>
      </c>
    </row>
    <row r="22" spans="1:11">
      <c r="A22" s="322" t="s">
        <v>790</v>
      </c>
      <c r="B22" s="322" t="s">
        <v>19</v>
      </c>
      <c r="C22" s="322" t="s">
        <v>736</v>
      </c>
      <c r="D22" s="322" t="s">
        <v>737</v>
      </c>
      <c r="E22" s="322" t="s">
        <v>409</v>
      </c>
      <c r="F22" s="322" t="s">
        <v>807</v>
      </c>
      <c r="G22" s="320">
        <v>50000</v>
      </c>
      <c r="H22" s="322" t="s">
        <v>774</v>
      </c>
      <c r="I22" s="319">
        <v>3</v>
      </c>
      <c r="J22" s="319">
        <v>2016</v>
      </c>
      <c r="K22" s="322" t="s">
        <v>739</v>
      </c>
    </row>
    <row r="23" spans="1:11">
      <c r="A23" s="322" t="s">
        <v>790</v>
      </c>
      <c r="B23" s="322" t="s">
        <v>19</v>
      </c>
      <c r="C23" s="322" t="s">
        <v>736</v>
      </c>
      <c r="D23" s="322" t="s">
        <v>737</v>
      </c>
      <c r="E23" s="322" t="s">
        <v>409</v>
      </c>
      <c r="F23" s="322" t="s">
        <v>808</v>
      </c>
      <c r="G23" s="320">
        <v>50000</v>
      </c>
      <c r="H23" s="322" t="s">
        <v>773</v>
      </c>
      <c r="I23" s="319">
        <v>2</v>
      </c>
      <c r="J23" s="319">
        <v>2016</v>
      </c>
      <c r="K23" s="322" t="s">
        <v>739</v>
      </c>
    </row>
    <row r="24" spans="1:11">
      <c r="A24" s="322" t="s">
        <v>790</v>
      </c>
      <c r="B24" s="322" t="s">
        <v>19</v>
      </c>
      <c r="C24" s="322" t="s">
        <v>736</v>
      </c>
      <c r="D24" s="322" t="s">
        <v>737</v>
      </c>
      <c r="E24" s="322" t="s">
        <v>409</v>
      </c>
      <c r="F24" s="322" t="s">
        <v>809</v>
      </c>
      <c r="G24" s="320">
        <v>50000</v>
      </c>
      <c r="H24" s="322" t="s">
        <v>772</v>
      </c>
      <c r="I24" s="319">
        <v>1</v>
      </c>
      <c r="J24" s="319">
        <v>2016</v>
      </c>
      <c r="K24" s="322" t="s">
        <v>739</v>
      </c>
    </row>
    <row r="25" spans="1:11">
      <c r="A25" s="322" t="s">
        <v>440</v>
      </c>
      <c r="B25" s="322" t="s">
        <v>19</v>
      </c>
      <c r="C25" s="322" t="s">
        <v>736</v>
      </c>
      <c r="D25" s="322" t="s">
        <v>737</v>
      </c>
      <c r="E25" s="322" t="s">
        <v>409</v>
      </c>
      <c r="F25" s="322" t="s">
        <v>740</v>
      </c>
      <c r="G25" s="320">
        <v>-59268.27</v>
      </c>
      <c r="H25" s="322" t="s">
        <v>741</v>
      </c>
      <c r="I25" s="319">
        <v>2</v>
      </c>
      <c r="J25" s="319">
        <v>2016</v>
      </c>
      <c r="K25" s="322" t="s">
        <v>739</v>
      </c>
    </row>
    <row r="26" spans="1:11">
      <c r="A26" s="322" t="s">
        <v>440</v>
      </c>
      <c r="B26" s="322" t="s">
        <v>19</v>
      </c>
      <c r="C26" s="322" t="s">
        <v>736</v>
      </c>
      <c r="D26" s="322" t="s">
        <v>737</v>
      </c>
      <c r="E26" s="322" t="s">
        <v>409</v>
      </c>
      <c r="F26" s="322" t="s">
        <v>740</v>
      </c>
      <c r="G26" s="320">
        <v>-70258.789999999994</v>
      </c>
      <c r="H26" s="322" t="s">
        <v>741</v>
      </c>
      <c r="I26" s="319">
        <v>3</v>
      </c>
      <c r="J26" s="319">
        <v>2016</v>
      </c>
      <c r="K26" s="322" t="s">
        <v>739</v>
      </c>
    </row>
    <row r="27" spans="1:11">
      <c r="A27" s="322" t="s">
        <v>440</v>
      </c>
      <c r="B27" s="322" t="s">
        <v>19</v>
      </c>
      <c r="C27" s="322" t="s">
        <v>736</v>
      </c>
      <c r="D27" s="322" t="s">
        <v>737</v>
      </c>
      <c r="E27" s="322" t="s">
        <v>409</v>
      </c>
      <c r="F27" s="322" t="s">
        <v>740</v>
      </c>
      <c r="G27" s="320">
        <v>-77519.08</v>
      </c>
      <c r="H27" s="322" t="s">
        <v>741</v>
      </c>
      <c r="I27" s="319">
        <v>4</v>
      </c>
      <c r="J27" s="319">
        <v>2016</v>
      </c>
      <c r="K27" s="322" t="s">
        <v>739</v>
      </c>
    </row>
    <row r="28" spans="1:11">
      <c r="A28" s="322" t="s">
        <v>440</v>
      </c>
      <c r="B28" s="322" t="s">
        <v>19</v>
      </c>
      <c r="C28" s="322" t="s">
        <v>736</v>
      </c>
      <c r="D28" s="322" t="s">
        <v>737</v>
      </c>
      <c r="E28" s="322" t="s">
        <v>409</v>
      </c>
      <c r="F28" s="322" t="s">
        <v>740</v>
      </c>
      <c r="G28" s="320">
        <v>-78051.929999999993</v>
      </c>
      <c r="H28" s="322" t="s">
        <v>741</v>
      </c>
      <c r="I28" s="319">
        <v>5</v>
      </c>
      <c r="J28" s="319">
        <v>2016</v>
      </c>
      <c r="K28" s="322" t="s">
        <v>739</v>
      </c>
    </row>
    <row r="29" spans="1:11">
      <c r="A29" s="322" t="s">
        <v>440</v>
      </c>
      <c r="B29" s="322" t="s">
        <v>19</v>
      </c>
      <c r="C29" s="322" t="s">
        <v>736</v>
      </c>
      <c r="D29" s="322" t="s">
        <v>737</v>
      </c>
      <c r="E29" s="322" t="s">
        <v>409</v>
      </c>
      <c r="F29" s="322" t="s">
        <v>740</v>
      </c>
      <c r="G29" s="320">
        <v>-91744.48</v>
      </c>
      <c r="H29" s="322" t="s">
        <v>741</v>
      </c>
      <c r="I29" s="319">
        <v>6</v>
      </c>
      <c r="J29" s="319">
        <v>2016</v>
      </c>
      <c r="K29" s="322" t="s">
        <v>739</v>
      </c>
    </row>
    <row r="30" spans="1:11">
      <c r="A30" s="322" t="s">
        <v>440</v>
      </c>
      <c r="B30" s="322" t="s">
        <v>19</v>
      </c>
      <c r="C30" s="322" t="s">
        <v>736</v>
      </c>
      <c r="D30" s="322" t="s">
        <v>737</v>
      </c>
      <c r="E30" s="322" t="s">
        <v>409</v>
      </c>
      <c r="F30" s="322" t="s">
        <v>740</v>
      </c>
      <c r="G30" s="320">
        <v>-85491.1</v>
      </c>
      <c r="H30" s="322" t="s">
        <v>741</v>
      </c>
      <c r="I30" s="319">
        <v>7</v>
      </c>
      <c r="J30" s="319">
        <v>2016</v>
      </c>
      <c r="K30" s="322" t="s">
        <v>739</v>
      </c>
    </row>
    <row r="31" spans="1:11">
      <c r="A31" s="322" t="s">
        <v>440</v>
      </c>
      <c r="B31" s="322" t="s">
        <v>19</v>
      </c>
      <c r="C31" s="322" t="s">
        <v>736</v>
      </c>
      <c r="D31" s="322" t="s">
        <v>737</v>
      </c>
      <c r="E31" s="322" t="s">
        <v>409</v>
      </c>
      <c r="F31" s="322" t="s">
        <v>740</v>
      </c>
      <c r="G31" s="320">
        <v>-91549.05</v>
      </c>
      <c r="H31" s="322" t="s">
        <v>741</v>
      </c>
      <c r="I31" s="319">
        <v>8</v>
      </c>
      <c r="J31" s="319">
        <v>2016</v>
      </c>
      <c r="K31" s="322" t="s">
        <v>739</v>
      </c>
    </row>
    <row r="32" spans="1:11">
      <c r="A32" s="322" t="s">
        <v>440</v>
      </c>
      <c r="B32" s="322" t="s">
        <v>19</v>
      </c>
      <c r="C32" s="322" t="s">
        <v>736</v>
      </c>
      <c r="D32" s="322" t="s">
        <v>737</v>
      </c>
      <c r="E32" s="322" t="s">
        <v>409</v>
      </c>
      <c r="F32" s="322" t="s">
        <v>740</v>
      </c>
      <c r="G32" s="320">
        <v>-86567.16</v>
      </c>
      <c r="H32" s="322" t="s">
        <v>741</v>
      </c>
      <c r="I32" s="319">
        <v>9</v>
      </c>
      <c r="J32" s="319">
        <v>2016</v>
      </c>
      <c r="K32" s="322" t="s">
        <v>739</v>
      </c>
    </row>
    <row r="33" spans="1:11">
      <c r="A33" s="322" t="s">
        <v>440</v>
      </c>
      <c r="B33" s="322" t="s">
        <v>19</v>
      </c>
      <c r="C33" s="322" t="s">
        <v>736</v>
      </c>
      <c r="D33" s="322" t="s">
        <v>737</v>
      </c>
      <c r="E33" s="322" t="s">
        <v>409</v>
      </c>
      <c r="F33" s="322" t="s">
        <v>740</v>
      </c>
      <c r="G33" s="320">
        <v>-83598.59</v>
      </c>
      <c r="H33" s="322" t="s">
        <v>741</v>
      </c>
      <c r="I33" s="319">
        <v>10</v>
      </c>
      <c r="J33" s="319">
        <v>2016</v>
      </c>
      <c r="K33" s="322" t="s">
        <v>739</v>
      </c>
    </row>
    <row r="34" spans="1:11">
      <c r="A34" s="322" t="s">
        <v>440</v>
      </c>
      <c r="B34" s="322" t="s">
        <v>19</v>
      </c>
      <c r="C34" s="322" t="s">
        <v>736</v>
      </c>
      <c r="D34" s="322" t="s">
        <v>737</v>
      </c>
      <c r="E34" s="322" t="s">
        <v>409</v>
      </c>
      <c r="F34" s="322" t="s">
        <v>740</v>
      </c>
      <c r="G34" s="320">
        <v>-68767.070000000007</v>
      </c>
      <c r="H34" s="322" t="s">
        <v>741</v>
      </c>
      <c r="I34" s="319">
        <v>11</v>
      </c>
      <c r="J34" s="319">
        <v>2016</v>
      </c>
      <c r="K34" s="322" t="s">
        <v>739</v>
      </c>
    </row>
    <row r="35" spans="1:11">
      <c r="A35" s="322" t="s">
        <v>440</v>
      </c>
      <c r="B35" s="322" t="s">
        <v>19</v>
      </c>
      <c r="C35" s="322" t="s">
        <v>736</v>
      </c>
      <c r="D35" s="322" t="s">
        <v>737</v>
      </c>
      <c r="E35" s="322" t="s">
        <v>409</v>
      </c>
      <c r="F35" s="322" t="s">
        <v>740</v>
      </c>
      <c r="G35" s="320">
        <v>-74257.86</v>
      </c>
      <c r="H35" s="322" t="s">
        <v>741</v>
      </c>
      <c r="I35" s="319">
        <v>12</v>
      </c>
      <c r="J35" s="319">
        <v>2016</v>
      </c>
      <c r="K35" s="322" t="s">
        <v>739</v>
      </c>
    </row>
    <row r="36" spans="1:11">
      <c r="G36" s="320">
        <f>SUBTOTAL(9,G3:G35)</f>
        <v>43903.490000000122</v>
      </c>
    </row>
  </sheetData>
  <autoFilter ref="A2:K35"/>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heetViews>
  <sheetFormatPr defaultColWidth="10.28515625" defaultRowHeight="15.75"/>
  <cols>
    <col min="1" max="1" width="8.140625" style="319" customWidth="1"/>
    <col min="2" max="2" width="8.85546875" style="319" bestFit="1" customWidth="1"/>
    <col min="3" max="3" width="5.42578125" style="319" bestFit="1" customWidth="1"/>
    <col min="4" max="4" width="8.42578125" style="319" bestFit="1" customWidth="1"/>
    <col min="5" max="5" width="7.85546875" style="319" bestFit="1" customWidth="1"/>
    <col min="6" max="6" width="27.85546875" style="319" bestFit="1" customWidth="1"/>
    <col min="7" max="7" width="13.5703125" style="264" bestFit="1" customWidth="1"/>
    <col min="8" max="8" width="12.7109375" style="319" bestFit="1" customWidth="1"/>
    <col min="9" max="9" width="7.140625" style="319" bestFit="1" customWidth="1"/>
    <col min="10" max="10" width="5.42578125" style="319" bestFit="1" customWidth="1"/>
    <col min="11" max="11" width="7.28515625" style="319" bestFit="1" customWidth="1"/>
    <col min="12" max="256" width="10.28515625" style="319"/>
    <col min="257" max="257" width="8.140625" style="319" customWidth="1"/>
    <col min="258" max="258" width="8.85546875" style="319" bestFit="1" customWidth="1"/>
    <col min="259" max="259" width="5.42578125" style="319" bestFit="1" customWidth="1"/>
    <col min="260" max="260" width="8.42578125" style="319" bestFit="1" customWidth="1"/>
    <col min="261" max="261" width="7.85546875" style="319" bestFit="1" customWidth="1"/>
    <col min="262" max="262" width="27.85546875" style="319" bestFit="1" customWidth="1"/>
    <col min="263" max="263" width="13.5703125" style="319" bestFit="1" customWidth="1"/>
    <col min="264" max="264" width="12.7109375" style="319" bestFit="1" customWidth="1"/>
    <col min="265" max="265" width="7.140625" style="319" bestFit="1" customWidth="1"/>
    <col min="266" max="266" width="5.42578125" style="319" bestFit="1" customWidth="1"/>
    <col min="267" max="267" width="7.28515625" style="319" bestFit="1" customWidth="1"/>
    <col min="268" max="512" width="10.28515625" style="319"/>
    <col min="513" max="513" width="8.140625" style="319" customWidth="1"/>
    <col min="514" max="514" width="8.85546875" style="319" bestFit="1" customWidth="1"/>
    <col min="515" max="515" width="5.42578125" style="319" bestFit="1" customWidth="1"/>
    <col min="516" max="516" width="8.42578125" style="319" bestFit="1" customWidth="1"/>
    <col min="517" max="517" width="7.85546875" style="319" bestFit="1" customWidth="1"/>
    <col min="518" max="518" width="27.85546875" style="319" bestFit="1" customWidth="1"/>
    <col min="519" max="519" width="13.5703125" style="319" bestFit="1" customWidth="1"/>
    <col min="520" max="520" width="12.7109375" style="319" bestFit="1" customWidth="1"/>
    <col min="521" max="521" width="7.140625" style="319" bestFit="1" customWidth="1"/>
    <col min="522" max="522" width="5.42578125" style="319" bestFit="1" customWidth="1"/>
    <col min="523" max="523" width="7.28515625" style="319" bestFit="1" customWidth="1"/>
    <col min="524" max="768" width="10.28515625" style="319"/>
    <col min="769" max="769" width="8.140625" style="319" customWidth="1"/>
    <col min="770" max="770" width="8.85546875" style="319" bestFit="1" customWidth="1"/>
    <col min="771" max="771" width="5.42578125" style="319" bestFit="1" customWidth="1"/>
    <col min="772" max="772" width="8.42578125" style="319" bestFit="1" customWidth="1"/>
    <col min="773" max="773" width="7.85546875" style="319" bestFit="1" customWidth="1"/>
    <col min="774" max="774" width="27.85546875" style="319" bestFit="1" customWidth="1"/>
    <col min="775" max="775" width="13.5703125" style="319" bestFit="1" customWidth="1"/>
    <col min="776" max="776" width="12.7109375" style="319" bestFit="1" customWidth="1"/>
    <col min="777" max="777" width="7.140625" style="319" bestFit="1" customWidth="1"/>
    <col min="778" max="778" width="5.42578125" style="319" bestFit="1" customWidth="1"/>
    <col min="779" max="779" width="7.28515625" style="319" bestFit="1" customWidth="1"/>
    <col min="780" max="1024" width="10.28515625" style="319"/>
    <col min="1025" max="1025" width="8.140625" style="319" customWidth="1"/>
    <col min="1026" max="1026" width="8.85546875" style="319" bestFit="1" customWidth="1"/>
    <col min="1027" max="1027" width="5.42578125" style="319" bestFit="1" customWidth="1"/>
    <col min="1028" max="1028" width="8.42578125" style="319" bestFit="1" customWidth="1"/>
    <col min="1029" max="1029" width="7.85546875" style="319" bestFit="1" customWidth="1"/>
    <col min="1030" max="1030" width="27.85546875" style="319" bestFit="1" customWidth="1"/>
    <col min="1031" max="1031" width="13.5703125" style="319" bestFit="1" customWidth="1"/>
    <col min="1032" max="1032" width="12.7109375" style="319" bestFit="1" customWidth="1"/>
    <col min="1033" max="1033" width="7.140625" style="319" bestFit="1" customWidth="1"/>
    <col min="1034" max="1034" width="5.42578125" style="319" bestFit="1" customWidth="1"/>
    <col min="1035" max="1035" width="7.28515625" style="319" bestFit="1" customWidth="1"/>
    <col min="1036" max="1280" width="10.28515625" style="319"/>
    <col min="1281" max="1281" width="8.140625" style="319" customWidth="1"/>
    <col min="1282" max="1282" width="8.85546875" style="319" bestFit="1" customWidth="1"/>
    <col min="1283" max="1283" width="5.42578125" style="319" bestFit="1" customWidth="1"/>
    <col min="1284" max="1284" width="8.42578125" style="319" bestFit="1" customWidth="1"/>
    <col min="1285" max="1285" width="7.85546875" style="319" bestFit="1" customWidth="1"/>
    <col min="1286" max="1286" width="27.85546875" style="319" bestFit="1" customWidth="1"/>
    <col min="1287" max="1287" width="13.5703125" style="319" bestFit="1" customWidth="1"/>
    <col min="1288" max="1288" width="12.7109375" style="319" bestFit="1" customWidth="1"/>
    <col min="1289" max="1289" width="7.140625" style="319" bestFit="1" customWidth="1"/>
    <col min="1290" max="1290" width="5.42578125" style="319" bestFit="1" customWidth="1"/>
    <col min="1291" max="1291" width="7.28515625" style="319" bestFit="1" customWidth="1"/>
    <col min="1292" max="1536" width="10.28515625" style="319"/>
    <col min="1537" max="1537" width="8.140625" style="319" customWidth="1"/>
    <col min="1538" max="1538" width="8.85546875" style="319" bestFit="1" customWidth="1"/>
    <col min="1539" max="1539" width="5.42578125" style="319" bestFit="1" customWidth="1"/>
    <col min="1540" max="1540" width="8.42578125" style="319" bestFit="1" customWidth="1"/>
    <col min="1541" max="1541" width="7.85546875" style="319" bestFit="1" customWidth="1"/>
    <col min="1542" max="1542" width="27.85546875" style="319" bestFit="1" customWidth="1"/>
    <col min="1543" max="1543" width="13.5703125" style="319" bestFit="1" customWidth="1"/>
    <col min="1544" max="1544" width="12.7109375" style="319" bestFit="1" customWidth="1"/>
    <col min="1545" max="1545" width="7.140625" style="319" bestFit="1" customWidth="1"/>
    <col min="1546" max="1546" width="5.42578125" style="319" bestFit="1" customWidth="1"/>
    <col min="1547" max="1547" width="7.28515625" style="319" bestFit="1" customWidth="1"/>
    <col min="1548" max="1792" width="10.28515625" style="319"/>
    <col min="1793" max="1793" width="8.140625" style="319" customWidth="1"/>
    <col min="1794" max="1794" width="8.85546875" style="319" bestFit="1" customWidth="1"/>
    <col min="1795" max="1795" width="5.42578125" style="319" bestFit="1" customWidth="1"/>
    <col min="1796" max="1796" width="8.42578125" style="319" bestFit="1" customWidth="1"/>
    <col min="1797" max="1797" width="7.85546875" style="319" bestFit="1" customWidth="1"/>
    <col min="1798" max="1798" width="27.85546875" style="319" bestFit="1" customWidth="1"/>
    <col min="1799" max="1799" width="13.5703125" style="319" bestFit="1" customWidth="1"/>
    <col min="1800" max="1800" width="12.7109375" style="319" bestFit="1" customWidth="1"/>
    <col min="1801" max="1801" width="7.140625" style="319" bestFit="1" customWidth="1"/>
    <col min="1802" max="1802" width="5.42578125" style="319" bestFit="1" customWidth="1"/>
    <col min="1803" max="1803" width="7.28515625" style="319" bestFit="1" customWidth="1"/>
    <col min="1804" max="2048" width="10.28515625" style="319"/>
    <col min="2049" max="2049" width="8.140625" style="319" customWidth="1"/>
    <col min="2050" max="2050" width="8.85546875" style="319" bestFit="1" customWidth="1"/>
    <col min="2051" max="2051" width="5.42578125" style="319" bestFit="1" customWidth="1"/>
    <col min="2052" max="2052" width="8.42578125" style="319" bestFit="1" customWidth="1"/>
    <col min="2053" max="2053" width="7.85546875" style="319" bestFit="1" customWidth="1"/>
    <col min="2054" max="2054" width="27.85546875" style="319" bestFit="1" customWidth="1"/>
    <col min="2055" max="2055" width="13.5703125" style="319" bestFit="1" customWidth="1"/>
    <col min="2056" max="2056" width="12.7109375" style="319" bestFit="1" customWidth="1"/>
    <col min="2057" max="2057" width="7.140625" style="319" bestFit="1" customWidth="1"/>
    <col min="2058" max="2058" width="5.42578125" style="319" bestFit="1" customWidth="1"/>
    <col min="2059" max="2059" width="7.28515625" style="319" bestFit="1" customWidth="1"/>
    <col min="2060" max="2304" width="10.28515625" style="319"/>
    <col min="2305" max="2305" width="8.140625" style="319" customWidth="1"/>
    <col min="2306" max="2306" width="8.85546875" style="319" bestFit="1" customWidth="1"/>
    <col min="2307" max="2307" width="5.42578125" style="319" bestFit="1" customWidth="1"/>
    <col min="2308" max="2308" width="8.42578125" style="319" bestFit="1" customWidth="1"/>
    <col min="2309" max="2309" width="7.85546875" style="319" bestFit="1" customWidth="1"/>
    <col min="2310" max="2310" width="27.85546875" style="319" bestFit="1" customWidth="1"/>
    <col min="2311" max="2311" width="13.5703125" style="319" bestFit="1" customWidth="1"/>
    <col min="2312" max="2312" width="12.7109375" style="319" bestFit="1" customWidth="1"/>
    <col min="2313" max="2313" width="7.140625" style="319" bestFit="1" customWidth="1"/>
    <col min="2314" max="2314" width="5.42578125" style="319" bestFit="1" customWidth="1"/>
    <col min="2315" max="2315" width="7.28515625" style="319" bestFit="1" customWidth="1"/>
    <col min="2316" max="2560" width="10.28515625" style="319"/>
    <col min="2561" max="2561" width="8.140625" style="319" customWidth="1"/>
    <col min="2562" max="2562" width="8.85546875" style="319" bestFit="1" customWidth="1"/>
    <col min="2563" max="2563" width="5.42578125" style="319" bestFit="1" customWidth="1"/>
    <col min="2564" max="2564" width="8.42578125" style="319" bestFit="1" customWidth="1"/>
    <col min="2565" max="2565" width="7.85546875" style="319" bestFit="1" customWidth="1"/>
    <col min="2566" max="2566" width="27.85546875" style="319" bestFit="1" customWidth="1"/>
    <col min="2567" max="2567" width="13.5703125" style="319" bestFit="1" customWidth="1"/>
    <col min="2568" max="2568" width="12.7109375" style="319" bestFit="1" customWidth="1"/>
    <col min="2569" max="2569" width="7.140625" style="319" bestFit="1" customWidth="1"/>
    <col min="2570" max="2570" width="5.42578125" style="319" bestFit="1" customWidth="1"/>
    <col min="2571" max="2571" width="7.28515625" style="319" bestFit="1" customWidth="1"/>
    <col min="2572" max="2816" width="10.28515625" style="319"/>
    <col min="2817" max="2817" width="8.140625" style="319" customWidth="1"/>
    <col min="2818" max="2818" width="8.85546875" style="319" bestFit="1" customWidth="1"/>
    <col min="2819" max="2819" width="5.42578125" style="319" bestFit="1" customWidth="1"/>
    <col min="2820" max="2820" width="8.42578125" style="319" bestFit="1" customWidth="1"/>
    <col min="2821" max="2821" width="7.85546875" style="319" bestFit="1" customWidth="1"/>
    <col min="2822" max="2822" width="27.85546875" style="319" bestFit="1" customWidth="1"/>
    <col min="2823" max="2823" width="13.5703125" style="319" bestFit="1" customWidth="1"/>
    <col min="2824" max="2824" width="12.7109375" style="319" bestFit="1" customWidth="1"/>
    <col min="2825" max="2825" width="7.140625" style="319" bestFit="1" customWidth="1"/>
    <col min="2826" max="2826" width="5.42578125" style="319" bestFit="1" customWidth="1"/>
    <col min="2827" max="2827" width="7.28515625" style="319" bestFit="1" customWidth="1"/>
    <col min="2828" max="3072" width="10.28515625" style="319"/>
    <col min="3073" max="3073" width="8.140625" style="319" customWidth="1"/>
    <col min="3074" max="3074" width="8.85546875" style="319" bestFit="1" customWidth="1"/>
    <col min="3075" max="3075" width="5.42578125" style="319" bestFit="1" customWidth="1"/>
    <col min="3076" max="3076" width="8.42578125" style="319" bestFit="1" customWidth="1"/>
    <col min="3077" max="3077" width="7.85546875" style="319" bestFit="1" customWidth="1"/>
    <col min="3078" max="3078" width="27.85546875" style="319" bestFit="1" customWidth="1"/>
    <col min="3079" max="3079" width="13.5703125" style="319" bestFit="1" customWidth="1"/>
    <col min="3080" max="3080" width="12.7109375" style="319" bestFit="1" customWidth="1"/>
    <col min="3081" max="3081" width="7.140625" style="319" bestFit="1" customWidth="1"/>
    <col min="3082" max="3082" width="5.42578125" style="319" bestFit="1" customWidth="1"/>
    <col min="3083" max="3083" width="7.28515625" style="319" bestFit="1" customWidth="1"/>
    <col min="3084" max="3328" width="10.28515625" style="319"/>
    <col min="3329" max="3329" width="8.140625" style="319" customWidth="1"/>
    <col min="3330" max="3330" width="8.85546875" style="319" bestFit="1" customWidth="1"/>
    <col min="3331" max="3331" width="5.42578125" style="319" bestFit="1" customWidth="1"/>
    <col min="3332" max="3332" width="8.42578125" style="319" bestFit="1" customWidth="1"/>
    <col min="3333" max="3333" width="7.85546875" style="319" bestFit="1" customWidth="1"/>
    <col min="3334" max="3334" width="27.85546875" style="319" bestFit="1" customWidth="1"/>
    <col min="3335" max="3335" width="13.5703125" style="319" bestFit="1" customWidth="1"/>
    <col min="3336" max="3336" width="12.7109375" style="319" bestFit="1" customWidth="1"/>
    <col min="3337" max="3337" width="7.140625" style="319" bestFit="1" customWidth="1"/>
    <col min="3338" max="3338" width="5.42578125" style="319" bestFit="1" customWidth="1"/>
    <col min="3339" max="3339" width="7.28515625" style="319" bestFit="1" customWidth="1"/>
    <col min="3340" max="3584" width="10.28515625" style="319"/>
    <col min="3585" max="3585" width="8.140625" style="319" customWidth="1"/>
    <col min="3586" max="3586" width="8.85546875" style="319" bestFit="1" customWidth="1"/>
    <col min="3587" max="3587" width="5.42578125" style="319" bestFit="1" customWidth="1"/>
    <col min="3588" max="3588" width="8.42578125" style="319" bestFit="1" customWidth="1"/>
    <col min="3589" max="3589" width="7.85546875" style="319" bestFit="1" customWidth="1"/>
    <col min="3590" max="3590" width="27.85546875" style="319" bestFit="1" customWidth="1"/>
    <col min="3591" max="3591" width="13.5703125" style="319" bestFit="1" customWidth="1"/>
    <col min="3592" max="3592" width="12.7109375" style="319" bestFit="1" customWidth="1"/>
    <col min="3593" max="3593" width="7.140625" style="319" bestFit="1" customWidth="1"/>
    <col min="3594" max="3594" width="5.42578125" style="319" bestFit="1" customWidth="1"/>
    <col min="3595" max="3595" width="7.28515625" style="319" bestFit="1" customWidth="1"/>
    <col min="3596" max="3840" width="10.28515625" style="319"/>
    <col min="3841" max="3841" width="8.140625" style="319" customWidth="1"/>
    <col min="3842" max="3842" width="8.85546875" style="319" bestFit="1" customWidth="1"/>
    <col min="3843" max="3843" width="5.42578125" style="319" bestFit="1" customWidth="1"/>
    <col min="3844" max="3844" width="8.42578125" style="319" bestFit="1" customWidth="1"/>
    <col min="3845" max="3845" width="7.85546875" style="319" bestFit="1" customWidth="1"/>
    <col min="3846" max="3846" width="27.85546875" style="319" bestFit="1" customWidth="1"/>
    <col min="3847" max="3847" width="13.5703125" style="319" bestFit="1" customWidth="1"/>
    <col min="3848" max="3848" width="12.7109375" style="319" bestFit="1" customWidth="1"/>
    <col min="3849" max="3849" width="7.140625" style="319" bestFit="1" customWidth="1"/>
    <col min="3850" max="3850" width="5.42578125" style="319" bestFit="1" customWidth="1"/>
    <col min="3851" max="3851" width="7.28515625" style="319" bestFit="1" customWidth="1"/>
    <col min="3852" max="4096" width="10.28515625" style="319"/>
    <col min="4097" max="4097" width="8.140625" style="319" customWidth="1"/>
    <col min="4098" max="4098" width="8.85546875" style="319" bestFit="1" customWidth="1"/>
    <col min="4099" max="4099" width="5.42578125" style="319" bestFit="1" customWidth="1"/>
    <col min="4100" max="4100" width="8.42578125" style="319" bestFit="1" customWidth="1"/>
    <col min="4101" max="4101" width="7.85546875" style="319" bestFit="1" customWidth="1"/>
    <col min="4102" max="4102" width="27.85546875" style="319" bestFit="1" customWidth="1"/>
    <col min="4103" max="4103" width="13.5703125" style="319" bestFit="1" customWidth="1"/>
    <col min="4104" max="4104" width="12.7109375" style="319" bestFit="1" customWidth="1"/>
    <col min="4105" max="4105" width="7.140625" style="319" bestFit="1" customWidth="1"/>
    <col min="4106" max="4106" width="5.42578125" style="319" bestFit="1" customWidth="1"/>
    <col min="4107" max="4107" width="7.28515625" style="319" bestFit="1" customWidth="1"/>
    <col min="4108" max="4352" width="10.28515625" style="319"/>
    <col min="4353" max="4353" width="8.140625" style="319" customWidth="1"/>
    <col min="4354" max="4354" width="8.85546875" style="319" bestFit="1" customWidth="1"/>
    <col min="4355" max="4355" width="5.42578125" style="319" bestFit="1" customWidth="1"/>
    <col min="4356" max="4356" width="8.42578125" style="319" bestFit="1" customWidth="1"/>
    <col min="4357" max="4357" width="7.85546875" style="319" bestFit="1" customWidth="1"/>
    <col min="4358" max="4358" width="27.85546875" style="319" bestFit="1" customWidth="1"/>
    <col min="4359" max="4359" width="13.5703125" style="319" bestFit="1" customWidth="1"/>
    <col min="4360" max="4360" width="12.7109375" style="319" bestFit="1" customWidth="1"/>
    <col min="4361" max="4361" width="7.140625" style="319" bestFit="1" customWidth="1"/>
    <col min="4362" max="4362" width="5.42578125" style="319" bestFit="1" customWidth="1"/>
    <col min="4363" max="4363" width="7.28515625" style="319" bestFit="1" customWidth="1"/>
    <col min="4364" max="4608" width="10.28515625" style="319"/>
    <col min="4609" max="4609" width="8.140625" style="319" customWidth="1"/>
    <col min="4610" max="4610" width="8.85546875" style="319" bestFit="1" customWidth="1"/>
    <col min="4611" max="4611" width="5.42578125" style="319" bestFit="1" customWidth="1"/>
    <col min="4612" max="4612" width="8.42578125" style="319" bestFit="1" customWidth="1"/>
    <col min="4613" max="4613" width="7.85546875" style="319" bestFit="1" customWidth="1"/>
    <col min="4614" max="4614" width="27.85546875" style="319" bestFit="1" customWidth="1"/>
    <col min="4615" max="4615" width="13.5703125" style="319" bestFit="1" customWidth="1"/>
    <col min="4616" max="4616" width="12.7109375" style="319" bestFit="1" customWidth="1"/>
    <col min="4617" max="4617" width="7.140625" style="319" bestFit="1" customWidth="1"/>
    <col min="4618" max="4618" width="5.42578125" style="319" bestFit="1" customWidth="1"/>
    <col min="4619" max="4619" width="7.28515625" style="319" bestFit="1" customWidth="1"/>
    <col min="4620" max="4864" width="10.28515625" style="319"/>
    <col min="4865" max="4865" width="8.140625" style="319" customWidth="1"/>
    <col min="4866" max="4866" width="8.85546875" style="319" bestFit="1" customWidth="1"/>
    <col min="4867" max="4867" width="5.42578125" style="319" bestFit="1" customWidth="1"/>
    <col min="4868" max="4868" width="8.42578125" style="319" bestFit="1" customWidth="1"/>
    <col min="4869" max="4869" width="7.85546875" style="319" bestFit="1" customWidth="1"/>
    <col min="4870" max="4870" width="27.85546875" style="319" bestFit="1" customWidth="1"/>
    <col min="4871" max="4871" width="13.5703125" style="319" bestFit="1" customWidth="1"/>
    <col min="4872" max="4872" width="12.7109375" style="319" bestFit="1" customWidth="1"/>
    <col min="4873" max="4873" width="7.140625" style="319" bestFit="1" customWidth="1"/>
    <col min="4874" max="4874" width="5.42578125" style="319" bestFit="1" customWidth="1"/>
    <col min="4875" max="4875" width="7.28515625" style="319" bestFit="1" customWidth="1"/>
    <col min="4876" max="5120" width="10.28515625" style="319"/>
    <col min="5121" max="5121" width="8.140625" style="319" customWidth="1"/>
    <col min="5122" max="5122" width="8.85546875" style="319" bestFit="1" customWidth="1"/>
    <col min="5123" max="5123" width="5.42578125" style="319" bestFit="1" customWidth="1"/>
    <col min="5124" max="5124" width="8.42578125" style="319" bestFit="1" customWidth="1"/>
    <col min="5125" max="5125" width="7.85546875" style="319" bestFit="1" customWidth="1"/>
    <col min="5126" max="5126" width="27.85546875" style="319" bestFit="1" customWidth="1"/>
    <col min="5127" max="5127" width="13.5703125" style="319" bestFit="1" customWidth="1"/>
    <col min="5128" max="5128" width="12.7109375" style="319" bestFit="1" customWidth="1"/>
    <col min="5129" max="5129" width="7.140625" style="319" bestFit="1" customWidth="1"/>
    <col min="5130" max="5130" width="5.42578125" style="319" bestFit="1" customWidth="1"/>
    <col min="5131" max="5131" width="7.28515625" style="319" bestFit="1" customWidth="1"/>
    <col min="5132" max="5376" width="10.28515625" style="319"/>
    <col min="5377" max="5377" width="8.140625" style="319" customWidth="1"/>
    <col min="5378" max="5378" width="8.85546875" style="319" bestFit="1" customWidth="1"/>
    <col min="5379" max="5379" width="5.42578125" style="319" bestFit="1" customWidth="1"/>
    <col min="5380" max="5380" width="8.42578125" style="319" bestFit="1" customWidth="1"/>
    <col min="5381" max="5381" width="7.85546875" style="319" bestFit="1" customWidth="1"/>
    <col min="5382" max="5382" width="27.85546875" style="319" bestFit="1" customWidth="1"/>
    <col min="5383" max="5383" width="13.5703125" style="319" bestFit="1" customWidth="1"/>
    <col min="5384" max="5384" width="12.7109375" style="319" bestFit="1" customWidth="1"/>
    <col min="5385" max="5385" width="7.140625" style="319" bestFit="1" customWidth="1"/>
    <col min="5386" max="5386" width="5.42578125" style="319" bestFit="1" customWidth="1"/>
    <col min="5387" max="5387" width="7.28515625" style="319" bestFit="1" customWidth="1"/>
    <col min="5388" max="5632" width="10.28515625" style="319"/>
    <col min="5633" max="5633" width="8.140625" style="319" customWidth="1"/>
    <col min="5634" max="5634" width="8.85546875" style="319" bestFit="1" customWidth="1"/>
    <col min="5635" max="5635" width="5.42578125" style="319" bestFit="1" customWidth="1"/>
    <col min="5636" max="5636" width="8.42578125" style="319" bestFit="1" customWidth="1"/>
    <col min="5637" max="5637" width="7.85546875" style="319" bestFit="1" customWidth="1"/>
    <col min="5638" max="5638" width="27.85546875" style="319" bestFit="1" customWidth="1"/>
    <col min="5639" max="5639" width="13.5703125" style="319" bestFit="1" customWidth="1"/>
    <col min="5640" max="5640" width="12.7109375" style="319" bestFit="1" customWidth="1"/>
    <col min="5641" max="5641" width="7.140625" style="319" bestFit="1" customWidth="1"/>
    <col min="5642" max="5642" width="5.42578125" style="319" bestFit="1" customWidth="1"/>
    <col min="5643" max="5643" width="7.28515625" style="319" bestFit="1" customWidth="1"/>
    <col min="5644" max="5888" width="10.28515625" style="319"/>
    <col min="5889" max="5889" width="8.140625" style="319" customWidth="1"/>
    <col min="5890" max="5890" width="8.85546875" style="319" bestFit="1" customWidth="1"/>
    <col min="5891" max="5891" width="5.42578125" style="319" bestFit="1" customWidth="1"/>
    <col min="5892" max="5892" width="8.42578125" style="319" bestFit="1" customWidth="1"/>
    <col min="5893" max="5893" width="7.85546875" style="319" bestFit="1" customWidth="1"/>
    <col min="5894" max="5894" width="27.85546875" style="319" bestFit="1" customWidth="1"/>
    <col min="5895" max="5895" width="13.5703125" style="319" bestFit="1" customWidth="1"/>
    <col min="5896" max="5896" width="12.7109375" style="319" bestFit="1" customWidth="1"/>
    <col min="5897" max="5897" width="7.140625" style="319" bestFit="1" customWidth="1"/>
    <col min="5898" max="5898" width="5.42578125" style="319" bestFit="1" customWidth="1"/>
    <col min="5899" max="5899" width="7.28515625" style="319" bestFit="1" customWidth="1"/>
    <col min="5900" max="6144" width="10.28515625" style="319"/>
    <col min="6145" max="6145" width="8.140625" style="319" customWidth="1"/>
    <col min="6146" max="6146" width="8.85546875" style="319" bestFit="1" customWidth="1"/>
    <col min="6147" max="6147" width="5.42578125" style="319" bestFit="1" customWidth="1"/>
    <col min="6148" max="6148" width="8.42578125" style="319" bestFit="1" customWidth="1"/>
    <col min="6149" max="6149" width="7.85546875" style="319" bestFit="1" customWidth="1"/>
    <col min="6150" max="6150" width="27.85546875" style="319" bestFit="1" customWidth="1"/>
    <col min="6151" max="6151" width="13.5703125" style="319" bestFit="1" customWidth="1"/>
    <col min="6152" max="6152" width="12.7109375" style="319" bestFit="1" customWidth="1"/>
    <col min="6153" max="6153" width="7.140625" style="319" bestFit="1" customWidth="1"/>
    <col min="6154" max="6154" width="5.42578125" style="319" bestFit="1" customWidth="1"/>
    <col min="6155" max="6155" width="7.28515625" style="319" bestFit="1" customWidth="1"/>
    <col min="6156" max="6400" width="10.28515625" style="319"/>
    <col min="6401" max="6401" width="8.140625" style="319" customWidth="1"/>
    <col min="6402" max="6402" width="8.85546875" style="319" bestFit="1" customWidth="1"/>
    <col min="6403" max="6403" width="5.42578125" style="319" bestFit="1" customWidth="1"/>
    <col min="6404" max="6404" width="8.42578125" style="319" bestFit="1" customWidth="1"/>
    <col min="6405" max="6405" width="7.85546875" style="319" bestFit="1" customWidth="1"/>
    <col min="6406" max="6406" width="27.85546875" style="319" bestFit="1" customWidth="1"/>
    <col min="6407" max="6407" width="13.5703125" style="319" bestFit="1" customWidth="1"/>
    <col min="6408" max="6408" width="12.7109375" style="319" bestFit="1" customWidth="1"/>
    <col min="6409" max="6409" width="7.140625" style="319" bestFit="1" customWidth="1"/>
    <col min="6410" max="6410" width="5.42578125" style="319" bestFit="1" customWidth="1"/>
    <col min="6411" max="6411" width="7.28515625" style="319" bestFit="1" customWidth="1"/>
    <col min="6412" max="6656" width="10.28515625" style="319"/>
    <col min="6657" max="6657" width="8.140625" style="319" customWidth="1"/>
    <col min="6658" max="6658" width="8.85546875" style="319" bestFit="1" customWidth="1"/>
    <col min="6659" max="6659" width="5.42578125" style="319" bestFit="1" customWidth="1"/>
    <col min="6660" max="6660" width="8.42578125" style="319" bestFit="1" customWidth="1"/>
    <col min="6661" max="6661" width="7.85546875" style="319" bestFit="1" customWidth="1"/>
    <col min="6662" max="6662" width="27.85546875" style="319" bestFit="1" customWidth="1"/>
    <col min="6663" max="6663" width="13.5703125" style="319" bestFit="1" customWidth="1"/>
    <col min="6664" max="6664" width="12.7109375" style="319" bestFit="1" customWidth="1"/>
    <col min="6665" max="6665" width="7.140625" style="319" bestFit="1" customWidth="1"/>
    <col min="6666" max="6666" width="5.42578125" style="319" bestFit="1" customWidth="1"/>
    <col min="6667" max="6667" width="7.28515625" style="319" bestFit="1" customWidth="1"/>
    <col min="6668" max="6912" width="10.28515625" style="319"/>
    <col min="6913" max="6913" width="8.140625" style="319" customWidth="1"/>
    <col min="6914" max="6914" width="8.85546875" style="319" bestFit="1" customWidth="1"/>
    <col min="6915" max="6915" width="5.42578125" style="319" bestFit="1" customWidth="1"/>
    <col min="6916" max="6916" width="8.42578125" style="319" bestFit="1" customWidth="1"/>
    <col min="6917" max="6917" width="7.85546875" style="319" bestFit="1" customWidth="1"/>
    <col min="6918" max="6918" width="27.85546875" style="319" bestFit="1" customWidth="1"/>
    <col min="6919" max="6919" width="13.5703125" style="319" bestFit="1" customWidth="1"/>
    <col min="6920" max="6920" width="12.7109375" style="319" bestFit="1" customWidth="1"/>
    <col min="6921" max="6921" width="7.140625" style="319" bestFit="1" customWidth="1"/>
    <col min="6922" max="6922" width="5.42578125" style="319" bestFit="1" customWidth="1"/>
    <col min="6923" max="6923" width="7.28515625" style="319" bestFit="1" customWidth="1"/>
    <col min="6924" max="7168" width="10.28515625" style="319"/>
    <col min="7169" max="7169" width="8.140625" style="319" customWidth="1"/>
    <col min="7170" max="7170" width="8.85546875" style="319" bestFit="1" customWidth="1"/>
    <col min="7171" max="7171" width="5.42578125" style="319" bestFit="1" customWidth="1"/>
    <col min="7172" max="7172" width="8.42578125" style="319" bestFit="1" customWidth="1"/>
    <col min="7173" max="7173" width="7.85546875" style="319" bestFit="1" customWidth="1"/>
    <col min="7174" max="7174" width="27.85546875" style="319" bestFit="1" customWidth="1"/>
    <col min="7175" max="7175" width="13.5703125" style="319" bestFit="1" customWidth="1"/>
    <col min="7176" max="7176" width="12.7109375" style="319" bestFit="1" customWidth="1"/>
    <col min="7177" max="7177" width="7.140625" style="319" bestFit="1" customWidth="1"/>
    <col min="7178" max="7178" width="5.42578125" style="319" bestFit="1" customWidth="1"/>
    <col min="7179" max="7179" width="7.28515625" style="319" bestFit="1" customWidth="1"/>
    <col min="7180" max="7424" width="10.28515625" style="319"/>
    <col min="7425" max="7425" width="8.140625" style="319" customWidth="1"/>
    <col min="7426" max="7426" width="8.85546875" style="319" bestFit="1" customWidth="1"/>
    <col min="7427" max="7427" width="5.42578125" style="319" bestFit="1" customWidth="1"/>
    <col min="7428" max="7428" width="8.42578125" style="319" bestFit="1" customWidth="1"/>
    <col min="7429" max="7429" width="7.85546875" style="319" bestFit="1" customWidth="1"/>
    <col min="7430" max="7430" width="27.85546875" style="319" bestFit="1" customWidth="1"/>
    <col min="7431" max="7431" width="13.5703125" style="319" bestFit="1" customWidth="1"/>
    <col min="7432" max="7432" width="12.7109375" style="319" bestFit="1" customWidth="1"/>
    <col min="7433" max="7433" width="7.140625" style="319" bestFit="1" customWidth="1"/>
    <col min="7434" max="7434" width="5.42578125" style="319" bestFit="1" customWidth="1"/>
    <col min="7435" max="7435" width="7.28515625" style="319" bestFit="1" customWidth="1"/>
    <col min="7436" max="7680" width="10.28515625" style="319"/>
    <col min="7681" max="7681" width="8.140625" style="319" customWidth="1"/>
    <col min="7682" max="7682" width="8.85546875" style="319" bestFit="1" customWidth="1"/>
    <col min="7683" max="7683" width="5.42578125" style="319" bestFit="1" customWidth="1"/>
    <col min="7684" max="7684" width="8.42578125" style="319" bestFit="1" customWidth="1"/>
    <col min="7685" max="7685" width="7.85546875" style="319" bestFit="1" customWidth="1"/>
    <col min="7686" max="7686" width="27.85546875" style="319" bestFit="1" customWidth="1"/>
    <col min="7687" max="7687" width="13.5703125" style="319" bestFit="1" customWidth="1"/>
    <col min="7688" max="7688" width="12.7109375" style="319" bestFit="1" customWidth="1"/>
    <col min="7689" max="7689" width="7.140625" style="319" bestFit="1" customWidth="1"/>
    <col min="7690" max="7690" width="5.42578125" style="319" bestFit="1" customWidth="1"/>
    <col min="7691" max="7691" width="7.28515625" style="319" bestFit="1" customWidth="1"/>
    <col min="7692" max="7936" width="10.28515625" style="319"/>
    <col min="7937" max="7937" width="8.140625" style="319" customWidth="1"/>
    <col min="7938" max="7938" width="8.85546875" style="319" bestFit="1" customWidth="1"/>
    <col min="7939" max="7939" width="5.42578125" style="319" bestFit="1" customWidth="1"/>
    <col min="7940" max="7940" width="8.42578125" style="319" bestFit="1" customWidth="1"/>
    <col min="7941" max="7941" width="7.85546875" style="319" bestFit="1" customWidth="1"/>
    <col min="7942" max="7942" width="27.85546875" style="319" bestFit="1" customWidth="1"/>
    <col min="7943" max="7943" width="13.5703125" style="319" bestFit="1" customWidth="1"/>
    <col min="7944" max="7944" width="12.7109375" style="319" bestFit="1" customWidth="1"/>
    <col min="7945" max="7945" width="7.140625" style="319" bestFit="1" customWidth="1"/>
    <col min="7946" max="7946" width="5.42578125" style="319" bestFit="1" customWidth="1"/>
    <col min="7947" max="7947" width="7.28515625" style="319" bestFit="1" customWidth="1"/>
    <col min="7948" max="8192" width="10.28515625" style="319"/>
    <col min="8193" max="8193" width="8.140625" style="319" customWidth="1"/>
    <col min="8194" max="8194" width="8.85546875" style="319" bestFit="1" customWidth="1"/>
    <col min="8195" max="8195" width="5.42578125" style="319" bestFit="1" customWidth="1"/>
    <col min="8196" max="8196" width="8.42578125" style="319" bestFit="1" customWidth="1"/>
    <col min="8197" max="8197" width="7.85546875" style="319" bestFit="1" customWidth="1"/>
    <col min="8198" max="8198" width="27.85546875" style="319" bestFit="1" customWidth="1"/>
    <col min="8199" max="8199" width="13.5703125" style="319" bestFit="1" customWidth="1"/>
    <col min="8200" max="8200" width="12.7109375" style="319" bestFit="1" customWidth="1"/>
    <col min="8201" max="8201" width="7.140625" style="319" bestFit="1" customWidth="1"/>
    <col min="8202" max="8202" width="5.42578125" style="319" bestFit="1" customWidth="1"/>
    <col min="8203" max="8203" width="7.28515625" style="319" bestFit="1" customWidth="1"/>
    <col min="8204" max="8448" width="10.28515625" style="319"/>
    <col min="8449" max="8449" width="8.140625" style="319" customWidth="1"/>
    <col min="8450" max="8450" width="8.85546875" style="319" bestFit="1" customWidth="1"/>
    <col min="8451" max="8451" width="5.42578125" style="319" bestFit="1" customWidth="1"/>
    <col min="8452" max="8452" width="8.42578125" style="319" bestFit="1" customWidth="1"/>
    <col min="8453" max="8453" width="7.85546875" style="319" bestFit="1" customWidth="1"/>
    <col min="8454" max="8454" width="27.85546875" style="319" bestFit="1" customWidth="1"/>
    <col min="8455" max="8455" width="13.5703125" style="319" bestFit="1" customWidth="1"/>
    <col min="8456" max="8456" width="12.7109375" style="319" bestFit="1" customWidth="1"/>
    <col min="8457" max="8457" width="7.140625" style="319" bestFit="1" customWidth="1"/>
    <col min="8458" max="8458" width="5.42578125" style="319" bestFit="1" customWidth="1"/>
    <col min="8459" max="8459" width="7.28515625" style="319" bestFit="1" customWidth="1"/>
    <col min="8460" max="8704" width="10.28515625" style="319"/>
    <col min="8705" max="8705" width="8.140625" style="319" customWidth="1"/>
    <col min="8706" max="8706" width="8.85546875" style="319" bestFit="1" customWidth="1"/>
    <col min="8707" max="8707" width="5.42578125" style="319" bestFit="1" customWidth="1"/>
    <col min="8708" max="8708" width="8.42578125" style="319" bestFit="1" customWidth="1"/>
    <col min="8709" max="8709" width="7.85546875" style="319" bestFit="1" customWidth="1"/>
    <col min="8710" max="8710" width="27.85546875" style="319" bestFit="1" customWidth="1"/>
    <col min="8711" max="8711" width="13.5703125" style="319" bestFit="1" customWidth="1"/>
    <col min="8712" max="8712" width="12.7109375" style="319" bestFit="1" customWidth="1"/>
    <col min="8713" max="8713" width="7.140625" style="319" bestFit="1" customWidth="1"/>
    <col min="8714" max="8714" width="5.42578125" style="319" bestFit="1" customWidth="1"/>
    <col min="8715" max="8715" width="7.28515625" style="319" bestFit="1" customWidth="1"/>
    <col min="8716" max="8960" width="10.28515625" style="319"/>
    <col min="8961" max="8961" width="8.140625" style="319" customWidth="1"/>
    <col min="8962" max="8962" width="8.85546875" style="319" bestFit="1" customWidth="1"/>
    <col min="8963" max="8963" width="5.42578125" style="319" bestFit="1" customWidth="1"/>
    <col min="8964" max="8964" width="8.42578125" style="319" bestFit="1" customWidth="1"/>
    <col min="8965" max="8965" width="7.85546875" style="319" bestFit="1" customWidth="1"/>
    <col min="8966" max="8966" width="27.85546875" style="319" bestFit="1" customWidth="1"/>
    <col min="8967" max="8967" width="13.5703125" style="319" bestFit="1" customWidth="1"/>
    <col min="8968" max="8968" width="12.7109375" style="319" bestFit="1" customWidth="1"/>
    <col min="8969" max="8969" width="7.140625" style="319" bestFit="1" customWidth="1"/>
    <col min="8970" max="8970" width="5.42578125" style="319" bestFit="1" customWidth="1"/>
    <col min="8971" max="8971" width="7.28515625" style="319" bestFit="1" customWidth="1"/>
    <col min="8972" max="9216" width="10.28515625" style="319"/>
    <col min="9217" max="9217" width="8.140625" style="319" customWidth="1"/>
    <col min="9218" max="9218" width="8.85546875" style="319" bestFit="1" customWidth="1"/>
    <col min="9219" max="9219" width="5.42578125" style="319" bestFit="1" customWidth="1"/>
    <col min="9220" max="9220" width="8.42578125" style="319" bestFit="1" customWidth="1"/>
    <col min="9221" max="9221" width="7.85546875" style="319" bestFit="1" customWidth="1"/>
    <col min="9222" max="9222" width="27.85546875" style="319" bestFit="1" customWidth="1"/>
    <col min="9223" max="9223" width="13.5703125" style="319" bestFit="1" customWidth="1"/>
    <col min="9224" max="9224" width="12.7109375" style="319" bestFit="1" customWidth="1"/>
    <col min="9225" max="9225" width="7.140625" style="319" bestFit="1" customWidth="1"/>
    <col min="9226" max="9226" width="5.42578125" style="319" bestFit="1" customWidth="1"/>
    <col min="9227" max="9227" width="7.28515625" style="319" bestFit="1" customWidth="1"/>
    <col min="9228" max="9472" width="10.28515625" style="319"/>
    <col min="9473" max="9473" width="8.140625" style="319" customWidth="1"/>
    <col min="9474" max="9474" width="8.85546875" style="319" bestFit="1" customWidth="1"/>
    <col min="9475" max="9475" width="5.42578125" style="319" bestFit="1" customWidth="1"/>
    <col min="9476" max="9476" width="8.42578125" style="319" bestFit="1" customWidth="1"/>
    <col min="9477" max="9477" width="7.85546875" style="319" bestFit="1" customWidth="1"/>
    <col min="9478" max="9478" width="27.85546875" style="319" bestFit="1" customWidth="1"/>
    <col min="9479" max="9479" width="13.5703125" style="319" bestFit="1" customWidth="1"/>
    <col min="9480" max="9480" width="12.7109375" style="319" bestFit="1" customWidth="1"/>
    <col min="9481" max="9481" width="7.140625" style="319" bestFit="1" customWidth="1"/>
    <col min="9482" max="9482" width="5.42578125" style="319" bestFit="1" customWidth="1"/>
    <col min="9483" max="9483" width="7.28515625" style="319" bestFit="1" customWidth="1"/>
    <col min="9484" max="9728" width="10.28515625" style="319"/>
    <col min="9729" max="9729" width="8.140625" style="319" customWidth="1"/>
    <col min="9730" max="9730" width="8.85546875" style="319" bestFit="1" customWidth="1"/>
    <col min="9731" max="9731" width="5.42578125" style="319" bestFit="1" customWidth="1"/>
    <col min="9732" max="9732" width="8.42578125" style="319" bestFit="1" customWidth="1"/>
    <col min="9733" max="9733" width="7.85546875" style="319" bestFit="1" customWidth="1"/>
    <col min="9734" max="9734" width="27.85546875" style="319" bestFit="1" customWidth="1"/>
    <col min="9735" max="9735" width="13.5703125" style="319" bestFit="1" customWidth="1"/>
    <col min="9736" max="9736" width="12.7109375" style="319" bestFit="1" customWidth="1"/>
    <col min="9737" max="9737" width="7.140625" style="319" bestFit="1" customWidth="1"/>
    <col min="9738" max="9738" width="5.42578125" style="319" bestFit="1" customWidth="1"/>
    <col min="9739" max="9739" width="7.28515625" style="319" bestFit="1" customWidth="1"/>
    <col min="9740" max="9984" width="10.28515625" style="319"/>
    <col min="9985" max="9985" width="8.140625" style="319" customWidth="1"/>
    <col min="9986" max="9986" width="8.85546875" style="319" bestFit="1" customWidth="1"/>
    <col min="9987" max="9987" width="5.42578125" style="319" bestFit="1" customWidth="1"/>
    <col min="9988" max="9988" width="8.42578125" style="319" bestFit="1" customWidth="1"/>
    <col min="9989" max="9989" width="7.85546875" style="319" bestFit="1" customWidth="1"/>
    <col min="9990" max="9990" width="27.85546875" style="319" bestFit="1" customWidth="1"/>
    <col min="9991" max="9991" width="13.5703125" style="319" bestFit="1" customWidth="1"/>
    <col min="9992" max="9992" width="12.7109375" style="319" bestFit="1" customWidth="1"/>
    <col min="9993" max="9993" width="7.140625" style="319" bestFit="1" customWidth="1"/>
    <col min="9994" max="9994" width="5.42578125" style="319" bestFit="1" customWidth="1"/>
    <col min="9995" max="9995" width="7.28515625" style="319" bestFit="1" customWidth="1"/>
    <col min="9996" max="10240" width="10.28515625" style="319"/>
    <col min="10241" max="10241" width="8.140625" style="319" customWidth="1"/>
    <col min="10242" max="10242" width="8.85546875" style="319" bestFit="1" customWidth="1"/>
    <col min="10243" max="10243" width="5.42578125" style="319" bestFit="1" customWidth="1"/>
    <col min="10244" max="10244" width="8.42578125" style="319" bestFit="1" customWidth="1"/>
    <col min="10245" max="10245" width="7.85546875" style="319" bestFit="1" customWidth="1"/>
    <col min="10246" max="10246" width="27.85546875" style="319" bestFit="1" customWidth="1"/>
    <col min="10247" max="10247" width="13.5703125" style="319" bestFit="1" customWidth="1"/>
    <col min="10248" max="10248" width="12.7109375" style="319" bestFit="1" customWidth="1"/>
    <col min="10249" max="10249" width="7.140625" style="319" bestFit="1" customWidth="1"/>
    <col min="10250" max="10250" width="5.42578125" style="319" bestFit="1" customWidth="1"/>
    <col min="10251" max="10251" width="7.28515625" style="319" bestFit="1" customWidth="1"/>
    <col min="10252" max="10496" width="10.28515625" style="319"/>
    <col min="10497" max="10497" width="8.140625" style="319" customWidth="1"/>
    <col min="10498" max="10498" width="8.85546875" style="319" bestFit="1" customWidth="1"/>
    <col min="10499" max="10499" width="5.42578125" style="319" bestFit="1" customWidth="1"/>
    <col min="10500" max="10500" width="8.42578125" style="319" bestFit="1" customWidth="1"/>
    <col min="10501" max="10501" width="7.85546875" style="319" bestFit="1" customWidth="1"/>
    <col min="10502" max="10502" width="27.85546875" style="319" bestFit="1" customWidth="1"/>
    <col min="10503" max="10503" width="13.5703125" style="319" bestFit="1" customWidth="1"/>
    <col min="10504" max="10504" width="12.7109375" style="319" bestFit="1" customWidth="1"/>
    <col min="10505" max="10505" width="7.140625" style="319" bestFit="1" customWidth="1"/>
    <col min="10506" max="10506" width="5.42578125" style="319" bestFit="1" customWidth="1"/>
    <col min="10507" max="10507" width="7.28515625" style="319" bestFit="1" customWidth="1"/>
    <col min="10508" max="10752" width="10.28515625" style="319"/>
    <col min="10753" max="10753" width="8.140625" style="319" customWidth="1"/>
    <col min="10754" max="10754" width="8.85546875" style="319" bestFit="1" customWidth="1"/>
    <col min="10755" max="10755" width="5.42578125" style="319" bestFit="1" customWidth="1"/>
    <col min="10756" max="10756" width="8.42578125" style="319" bestFit="1" customWidth="1"/>
    <col min="10757" max="10757" width="7.85546875" style="319" bestFit="1" customWidth="1"/>
    <col min="10758" max="10758" width="27.85546875" style="319" bestFit="1" customWidth="1"/>
    <col min="10759" max="10759" width="13.5703125" style="319" bestFit="1" customWidth="1"/>
    <col min="10760" max="10760" width="12.7109375" style="319" bestFit="1" customWidth="1"/>
    <col min="10761" max="10761" width="7.140625" style="319" bestFit="1" customWidth="1"/>
    <col min="10762" max="10762" width="5.42578125" style="319" bestFit="1" customWidth="1"/>
    <col min="10763" max="10763" width="7.28515625" style="319" bestFit="1" customWidth="1"/>
    <col min="10764" max="11008" width="10.28515625" style="319"/>
    <col min="11009" max="11009" width="8.140625" style="319" customWidth="1"/>
    <col min="11010" max="11010" width="8.85546875" style="319" bestFit="1" customWidth="1"/>
    <col min="11011" max="11011" width="5.42578125" style="319" bestFit="1" customWidth="1"/>
    <col min="11012" max="11012" width="8.42578125" style="319" bestFit="1" customWidth="1"/>
    <col min="11013" max="11013" width="7.85546875" style="319" bestFit="1" customWidth="1"/>
    <col min="11014" max="11014" width="27.85546875" style="319" bestFit="1" customWidth="1"/>
    <col min="11015" max="11015" width="13.5703125" style="319" bestFit="1" customWidth="1"/>
    <col min="11016" max="11016" width="12.7109375" style="319" bestFit="1" customWidth="1"/>
    <col min="11017" max="11017" width="7.140625" style="319" bestFit="1" customWidth="1"/>
    <col min="11018" max="11018" width="5.42578125" style="319" bestFit="1" customWidth="1"/>
    <col min="11019" max="11019" width="7.28515625" style="319" bestFit="1" customWidth="1"/>
    <col min="11020" max="11264" width="10.28515625" style="319"/>
    <col min="11265" max="11265" width="8.140625" style="319" customWidth="1"/>
    <col min="11266" max="11266" width="8.85546875" style="319" bestFit="1" customWidth="1"/>
    <col min="11267" max="11267" width="5.42578125" style="319" bestFit="1" customWidth="1"/>
    <col min="11268" max="11268" width="8.42578125" style="319" bestFit="1" customWidth="1"/>
    <col min="11269" max="11269" width="7.85546875" style="319" bestFit="1" customWidth="1"/>
    <col min="11270" max="11270" width="27.85546875" style="319" bestFit="1" customWidth="1"/>
    <col min="11271" max="11271" width="13.5703125" style="319" bestFit="1" customWidth="1"/>
    <col min="11272" max="11272" width="12.7109375" style="319" bestFit="1" customWidth="1"/>
    <col min="11273" max="11273" width="7.140625" style="319" bestFit="1" customWidth="1"/>
    <col min="11274" max="11274" width="5.42578125" style="319" bestFit="1" customWidth="1"/>
    <col min="11275" max="11275" width="7.28515625" style="319" bestFit="1" customWidth="1"/>
    <col min="11276" max="11520" width="10.28515625" style="319"/>
    <col min="11521" max="11521" width="8.140625" style="319" customWidth="1"/>
    <col min="11522" max="11522" width="8.85546875" style="319" bestFit="1" customWidth="1"/>
    <col min="11523" max="11523" width="5.42578125" style="319" bestFit="1" customWidth="1"/>
    <col min="11524" max="11524" width="8.42578125" style="319" bestFit="1" customWidth="1"/>
    <col min="11525" max="11525" width="7.85546875" style="319" bestFit="1" customWidth="1"/>
    <col min="11526" max="11526" width="27.85546875" style="319" bestFit="1" customWidth="1"/>
    <col min="11527" max="11527" width="13.5703125" style="319" bestFit="1" customWidth="1"/>
    <col min="11528" max="11528" width="12.7109375" style="319" bestFit="1" customWidth="1"/>
    <col min="11529" max="11529" width="7.140625" style="319" bestFit="1" customWidth="1"/>
    <col min="11530" max="11530" width="5.42578125" style="319" bestFit="1" customWidth="1"/>
    <col min="11531" max="11531" width="7.28515625" style="319" bestFit="1" customWidth="1"/>
    <col min="11532" max="11776" width="10.28515625" style="319"/>
    <col min="11777" max="11777" width="8.140625" style="319" customWidth="1"/>
    <col min="11778" max="11778" width="8.85546875" style="319" bestFit="1" customWidth="1"/>
    <col min="11779" max="11779" width="5.42578125" style="319" bestFit="1" customWidth="1"/>
    <col min="11780" max="11780" width="8.42578125" style="319" bestFit="1" customWidth="1"/>
    <col min="11781" max="11781" width="7.85546875" style="319" bestFit="1" customWidth="1"/>
    <col min="11782" max="11782" width="27.85546875" style="319" bestFit="1" customWidth="1"/>
    <col min="11783" max="11783" width="13.5703125" style="319" bestFit="1" customWidth="1"/>
    <col min="11784" max="11784" width="12.7109375" style="319" bestFit="1" customWidth="1"/>
    <col min="11785" max="11785" width="7.140625" style="319" bestFit="1" customWidth="1"/>
    <col min="11786" max="11786" width="5.42578125" style="319" bestFit="1" customWidth="1"/>
    <col min="11787" max="11787" width="7.28515625" style="319" bestFit="1" customWidth="1"/>
    <col min="11788" max="12032" width="10.28515625" style="319"/>
    <col min="12033" max="12033" width="8.140625" style="319" customWidth="1"/>
    <col min="12034" max="12034" width="8.85546875" style="319" bestFit="1" customWidth="1"/>
    <col min="12035" max="12035" width="5.42578125" style="319" bestFit="1" customWidth="1"/>
    <col min="12036" max="12036" width="8.42578125" style="319" bestFit="1" customWidth="1"/>
    <col min="12037" max="12037" width="7.85546875" style="319" bestFit="1" customWidth="1"/>
    <col min="12038" max="12038" width="27.85546875" style="319" bestFit="1" customWidth="1"/>
    <col min="12039" max="12039" width="13.5703125" style="319" bestFit="1" customWidth="1"/>
    <col min="12040" max="12040" width="12.7109375" style="319" bestFit="1" customWidth="1"/>
    <col min="12041" max="12041" width="7.140625" style="319" bestFit="1" customWidth="1"/>
    <col min="12042" max="12042" width="5.42578125" style="319" bestFit="1" customWidth="1"/>
    <col min="12043" max="12043" width="7.28515625" style="319" bestFit="1" customWidth="1"/>
    <col min="12044" max="12288" width="10.28515625" style="319"/>
    <col min="12289" max="12289" width="8.140625" style="319" customWidth="1"/>
    <col min="12290" max="12290" width="8.85546875" style="319" bestFit="1" customWidth="1"/>
    <col min="12291" max="12291" width="5.42578125" style="319" bestFit="1" customWidth="1"/>
    <col min="12292" max="12292" width="8.42578125" style="319" bestFit="1" customWidth="1"/>
    <col min="12293" max="12293" width="7.85546875" style="319" bestFit="1" customWidth="1"/>
    <col min="12294" max="12294" width="27.85546875" style="319" bestFit="1" customWidth="1"/>
    <col min="12295" max="12295" width="13.5703125" style="319" bestFit="1" customWidth="1"/>
    <col min="12296" max="12296" width="12.7109375" style="319" bestFit="1" customWidth="1"/>
    <col min="12297" max="12297" width="7.140625" style="319" bestFit="1" customWidth="1"/>
    <col min="12298" max="12298" width="5.42578125" style="319" bestFit="1" customWidth="1"/>
    <col min="12299" max="12299" width="7.28515625" style="319" bestFit="1" customWidth="1"/>
    <col min="12300" max="12544" width="10.28515625" style="319"/>
    <col min="12545" max="12545" width="8.140625" style="319" customWidth="1"/>
    <col min="12546" max="12546" width="8.85546875" style="319" bestFit="1" customWidth="1"/>
    <col min="12547" max="12547" width="5.42578125" style="319" bestFit="1" customWidth="1"/>
    <col min="12548" max="12548" width="8.42578125" style="319" bestFit="1" customWidth="1"/>
    <col min="12549" max="12549" width="7.85546875" style="319" bestFit="1" customWidth="1"/>
    <col min="12550" max="12550" width="27.85546875" style="319" bestFit="1" customWidth="1"/>
    <col min="12551" max="12551" width="13.5703125" style="319" bestFit="1" customWidth="1"/>
    <col min="12552" max="12552" width="12.7109375" style="319" bestFit="1" customWidth="1"/>
    <col min="12553" max="12553" width="7.140625" style="319" bestFit="1" customWidth="1"/>
    <col min="12554" max="12554" width="5.42578125" style="319" bestFit="1" customWidth="1"/>
    <col min="12555" max="12555" width="7.28515625" style="319" bestFit="1" customWidth="1"/>
    <col min="12556" max="12800" width="10.28515625" style="319"/>
    <col min="12801" max="12801" width="8.140625" style="319" customWidth="1"/>
    <col min="12802" max="12802" width="8.85546875" style="319" bestFit="1" customWidth="1"/>
    <col min="12803" max="12803" width="5.42578125" style="319" bestFit="1" customWidth="1"/>
    <col min="12804" max="12804" width="8.42578125" style="319" bestFit="1" customWidth="1"/>
    <col min="12805" max="12805" width="7.85546875" style="319" bestFit="1" customWidth="1"/>
    <col min="12806" max="12806" width="27.85546875" style="319" bestFit="1" customWidth="1"/>
    <col min="12807" max="12807" width="13.5703125" style="319" bestFit="1" customWidth="1"/>
    <col min="12808" max="12808" width="12.7109375" style="319" bestFit="1" customWidth="1"/>
    <col min="12809" max="12809" width="7.140625" style="319" bestFit="1" customWidth="1"/>
    <col min="12810" max="12810" width="5.42578125" style="319" bestFit="1" customWidth="1"/>
    <col min="12811" max="12811" width="7.28515625" style="319" bestFit="1" customWidth="1"/>
    <col min="12812" max="13056" width="10.28515625" style="319"/>
    <col min="13057" max="13057" width="8.140625" style="319" customWidth="1"/>
    <col min="13058" max="13058" width="8.85546875" style="319" bestFit="1" customWidth="1"/>
    <col min="13059" max="13059" width="5.42578125" style="319" bestFit="1" customWidth="1"/>
    <col min="13060" max="13060" width="8.42578125" style="319" bestFit="1" customWidth="1"/>
    <col min="13061" max="13061" width="7.85546875" style="319" bestFit="1" customWidth="1"/>
    <col min="13062" max="13062" width="27.85546875" style="319" bestFit="1" customWidth="1"/>
    <col min="13063" max="13063" width="13.5703125" style="319" bestFit="1" customWidth="1"/>
    <col min="13064" max="13064" width="12.7109375" style="319" bestFit="1" customWidth="1"/>
    <col min="13065" max="13065" width="7.140625" style="319" bestFit="1" customWidth="1"/>
    <col min="13066" max="13066" width="5.42578125" style="319" bestFit="1" customWidth="1"/>
    <col min="13067" max="13067" width="7.28515625" style="319" bestFit="1" customWidth="1"/>
    <col min="13068" max="13312" width="10.28515625" style="319"/>
    <col min="13313" max="13313" width="8.140625" style="319" customWidth="1"/>
    <col min="13314" max="13314" width="8.85546875" style="319" bestFit="1" customWidth="1"/>
    <col min="13315" max="13315" width="5.42578125" style="319" bestFit="1" customWidth="1"/>
    <col min="13316" max="13316" width="8.42578125" style="319" bestFit="1" customWidth="1"/>
    <col min="13317" max="13317" width="7.85546875" style="319" bestFit="1" customWidth="1"/>
    <col min="13318" max="13318" width="27.85546875" style="319" bestFit="1" customWidth="1"/>
    <col min="13319" max="13319" width="13.5703125" style="319" bestFit="1" customWidth="1"/>
    <col min="13320" max="13320" width="12.7109375" style="319" bestFit="1" customWidth="1"/>
    <col min="13321" max="13321" width="7.140625" style="319" bestFit="1" customWidth="1"/>
    <col min="13322" max="13322" width="5.42578125" style="319" bestFit="1" customWidth="1"/>
    <col min="13323" max="13323" width="7.28515625" style="319" bestFit="1" customWidth="1"/>
    <col min="13324" max="13568" width="10.28515625" style="319"/>
    <col min="13569" max="13569" width="8.140625" style="319" customWidth="1"/>
    <col min="13570" max="13570" width="8.85546875" style="319" bestFit="1" customWidth="1"/>
    <col min="13571" max="13571" width="5.42578125" style="319" bestFit="1" customWidth="1"/>
    <col min="13572" max="13572" width="8.42578125" style="319" bestFit="1" customWidth="1"/>
    <col min="13573" max="13573" width="7.85546875" style="319" bestFit="1" customWidth="1"/>
    <col min="13574" max="13574" width="27.85546875" style="319" bestFit="1" customWidth="1"/>
    <col min="13575" max="13575" width="13.5703125" style="319" bestFit="1" customWidth="1"/>
    <col min="13576" max="13576" width="12.7109375" style="319" bestFit="1" customWidth="1"/>
    <col min="13577" max="13577" width="7.140625" style="319" bestFit="1" customWidth="1"/>
    <col min="13578" max="13578" width="5.42578125" style="319" bestFit="1" customWidth="1"/>
    <col min="13579" max="13579" width="7.28515625" style="319" bestFit="1" customWidth="1"/>
    <col min="13580" max="13824" width="10.28515625" style="319"/>
    <col min="13825" max="13825" width="8.140625" style="319" customWidth="1"/>
    <col min="13826" max="13826" width="8.85546875" style="319" bestFit="1" customWidth="1"/>
    <col min="13827" max="13827" width="5.42578125" style="319" bestFit="1" customWidth="1"/>
    <col min="13828" max="13828" width="8.42578125" style="319" bestFit="1" customWidth="1"/>
    <col min="13829" max="13829" width="7.85546875" style="319" bestFit="1" customWidth="1"/>
    <col min="13830" max="13830" width="27.85546875" style="319" bestFit="1" customWidth="1"/>
    <col min="13831" max="13831" width="13.5703125" style="319" bestFit="1" customWidth="1"/>
    <col min="13832" max="13832" width="12.7109375" style="319" bestFit="1" customWidth="1"/>
    <col min="13833" max="13833" width="7.140625" style="319" bestFit="1" customWidth="1"/>
    <col min="13834" max="13834" width="5.42578125" style="319" bestFit="1" customWidth="1"/>
    <col min="13835" max="13835" width="7.28515625" style="319" bestFit="1" customWidth="1"/>
    <col min="13836" max="14080" width="10.28515625" style="319"/>
    <col min="14081" max="14081" width="8.140625" style="319" customWidth="1"/>
    <col min="14082" max="14082" width="8.85546875" style="319" bestFit="1" customWidth="1"/>
    <col min="14083" max="14083" width="5.42578125" style="319" bestFit="1" customWidth="1"/>
    <col min="14084" max="14084" width="8.42578125" style="319" bestFit="1" customWidth="1"/>
    <col min="14085" max="14085" width="7.85546875" style="319" bestFit="1" customWidth="1"/>
    <col min="14086" max="14086" width="27.85546875" style="319" bestFit="1" customWidth="1"/>
    <col min="14087" max="14087" width="13.5703125" style="319" bestFit="1" customWidth="1"/>
    <col min="14088" max="14088" width="12.7109375" style="319" bestFit="1" customWidth="1"/>
    <col min="14089" max="14089" width="7.140625" style="319" bestFit="1" customWidth="1"/>
    <col min="14090" max="14090" width="5.42578125" style="319" bestFit="1" customWidth="1"/>
    <col min="14091" max="14091" width="7.28515625" style="319" bestFit="1" customWidth="1"/>
    <col min="14092" max="14336" width="10.28515625" style="319"/>
    <col min="14337" max="14337" width="8.140625" style="319" customWidth="1"/>
    <col min="14338" max="14338" width="8.85546875" style="319" bestFit="1" customWidth="1"/>
    <col min="14339" max="14339" width="5.42578125" style="319" bestFit="1" customWidth="1"/>
    <col min="14340" max="14340" width="8.42578125" style="319" bestFit="1" customWidth="1"/>
    <col min="14341" max="14341" width="7.85546875" style="319" bestFit="1" customWidth="1"/>
    <col min="14342" max="14342" width="27.85546875" style="319" bestFit="1" customWidth="1"/>
    <col min="14343" max="14343" width="13.5703125" style="319" bestFit="1" customWidth="1"/>
    <col min="14344" max="14344" width="12.7109375" style="319" bestFit="1" customWidth="1"/>
    <col min="14345" max="14345" width="7.140625" style="319" bestFit="1" customWidth="1"/>
    <col min="14346" max="14346" width="5.42578125" style="319" bestFit="1" customWidth="1"/>
    <col min="14347" max="14347" width="7.28515625" style="319" bestFit="1" customWidth="1"/>
    <col min="14348" max="14592" width="10.28515625" style="319"/>
    <col min="14593" max="14593" width="8.140625" style="319" customWidth="1"/>
    <col min="14594" max="14594" width="8.85546875" style="319" bestFit="1" customWidth="1"/>
    <col min="14595" max="14595" width="5.42578125" style="319" bestFit="1" customWidth="1"/>
    <col min="14596" max="14596" width="8.42578125" style="319" bestFit="1" customWidth="1"/>
    <col min="14597" max="14597" width="7.85546875" style="319" bestFit="1" customWidth="1"/>
    <col min="14598" max="14598" width="27.85546875" style="319" bestFit="1" customWidth="1"/>
    <col min="14599" max="14599" width="13.5703125" style="319" bestFit="1" customWidth="1"/>
    <col min="14600" max="14600" width="12.7109375" style="319" bestFit="1" customWidth="1"/>
    <col min="14601" max="14601" width="7.140625" style="319" bestFit="1" customWidth="1"/>
    <col min="14602" max="14602" width="5.42578125" style="319" bestFit="1" customWidth="1"/>
    <col min="14603" max="14603" width="7.28515625" style="319" bestFit="1" customWidth="1"/>
    <col min="14604" max="14848" width="10.28515625" style="319"/>
    <col min="14849" max="14849" width="8.140625" style="319" customWidth="1"/>
    <col min="14850" max="14850" width="8.85546875" style="319" bestFit="1" customWidth="1"/>
    <col min="14851" max="14851" width="5.42578125" style="319" bestFit="1" customWidth="1"/>
    <col min="14852" max="14852" width="8.42578125" style="319" bestFit="1" customWidth="1"/>
    <col min="14853" max="14853" width="7.85546875" style="319" bestFit="1" customWidth="1"/>
    <col min="14854" max="14854" width="27.85546875" style="319" bestFit="1" customWidth="1"/>
    <col min="14855" max="14855" width="13.5703125" style="319" bestFit="1" customWidth="1"/>
    <col min="14856" max="14856" width="12.7109375" style="319" bestFit="1" customWidth="1"/>
    <col min="14857" max="14857" width="7.140625" style="319" bestFit="1" customWidth="1"/>
    <col min="14858" max="14858" width="5.42578125" style="319" bestFit="1" customWidth="1"/>
    <col min="14859" max="14859" width="7.28515625" style="319" bestFit="1" customWidth="1"/>
    <col min="14860" max="15104" width="10.28515625" style="319"/>
    <col min="15105" max="15105" width="8.140625" style="319" customWidth="1"/>
    <col min="15106" max="15106" width="8.85546875" style="319" bestFit="1" customWidth="1"/>
    <col min="15107" max="15107" width="5.42578125" style="319" bestFit="1" customWidth="1"/>
    <col min="15108" max="15108" width="8.42578125" style="319" bestFit="1" customWidth="1"/>
    <col min="15109" max="15109" width="7.85546875" style="319" bestFit="1" customWidth="1"/>
    <col min="15110" max="15110" width="27.85546875" style="319" bestFit="1" customWidth="1"/>
    <col min="15111" max="15111" width="13.5703125" style="319" bestFit="1" customWidth="1"/>
    <col min="15112" max="15112" width="12.7109375" style="319" bestFit="1" customWidth="1"/>
    <col min="15113" max="15113" width="7.140625" style="319" bestFit="1" customWidth="1"/>
    <col min="15114" max="15114" width="5.42578125" style="319" bestFit="1" customWidth="1"/>
    <col min="15115" max="15115" width="7.28515625" style="319" bestFit="1" customWidth="1"/>
    <col min="15116" max="15360" width="10.28515625" style="319"/>
    <col min="15361" max="15361" width="8.140625" style="319" customWidth="1"/>
    <col min="15362" max="15362" width="8.85546875" style="319" bestFit="1" customWidth="1"/>
    <col min="15363" max="15363" width="5.42578125" style="319" bestFit="1" customWidth="1"/>
    <col min="15364" max="15364" width="8.42578125" style="319" bestFit="1" customWidth="1"/>
    <col min="15365" max="15365" width="7.85546875" style="319" bestFit="1" customWidth="1"/>
    <col min="15366" max="15366" width="27.85546875" style="319" bestFit="1" customWidth="1"/>
    <col min="15367" max="15367" width="13.5703125" style="319" bestFit="1" customWidth="1"/>
    <col min="15368" max="15368" width="12.7109375" style="319" bestFit="1" customWidth="1"/>
    <col min="15369" max="15369" width="7.140625" style="319" bestFit="1" customWidth="1"/>
    <col min="15370" max="15370" width="5.42578125" style="319" bestFit="1" customWidth="1"/>
    <col min="15371" max="15371" width="7.28515625" style="319" bestFit="1" customWidth="1"/>
    <col min="15372" max="15616" width="10.28515625" style="319"/>
    <col min="15617" max="15617" width="8.140625" style="319" customWidth="1"/>
    <col min="15618" max="15618" width="8.85546875" style="319" bestFit="1" customWidth="1"/>
    <col min="15619" max="15619" width="5.42578125" style="319" bestFit="1" customWidth="1"/>
    <col min="15620" max="15620" width="8.42578125" style="319" bestFit="1" customWidth="1"/>
    <col min="15621" max="15621" width="7.85546875" style="319" bestFit="1" customWidth="1"/>
    <col min="15622" max="15622" width="27.85546875" style="319" bestFit="1" customWidth="1"/>
    <col min="15623" max="15623" width="13.5703125" style="319" bestFit="1" customWidth="1"/>
    <col min="15624" max="15624" width="12.7109375" style="319" bestFit="1" customWidth="1"/>
    <col min="15625" max="15625" width="7.140625" style="319" bestFit="1" customWidth="1"/>
    <col min="15626" max="15626" width="5.42578125" style="319" bestFit="1" customWidth="1"/>
    <col min="15627" max="15627" width="7.28515625" style="319" bestFit="1" customWidth="1"/>
    <col min="15628" max="15872" width="10.28515625" style="319"/>
    <col min="15873" max="15873" width="8.140625" style="319" customWidth="1"/>
    <col min="15874" max="15874" width="8.85546875" style="319" bestFit="1" customWidth="1"/>
    <col min="15875" max="15875" width="5.42578125" style="319" bestFit="1" customWidth="1"/>
    <col min="15876" max="15876" width="8.42578125" style="319" bestFit="1" customWidth="1"/>
    <col min="15877" max="15877" width="7.85546875" style="319" bestFit="1" customWidth="1"/>
    <col min="15878" max="15878" width="27.85546875" style="319" bestFit="1" customWidth="1"/>
    <col min="15879" max="15879" width="13.5703125" style="319" bestFit="1" customWidth="1"/>
    <col min="15880" max="15880" width="12.7109375" style="319" bestFit="1" customWidth="1"/>
    <col min="15881" max="15881" width="7.140625" style="319" bestFit="1" customWidth="1"/>
    <col min="15882" max="15882" width="5.42578125" style="319" bestFit="1" customWidth="1"/>
    <col min="15883" max="15883" width="7.28515625" style="319" bestFit="1" customWidth="1"/>
    <col min="15884" max="16128" width="10.28515625" style="319"/>
    <col min="16129" max="16129" width="8.140625" style="319" customWidth="1"/>
    <col min="16130" max="16130" width="8.85546875" style="319" bestFit="1" customWidth="1"/>
    <col min="16131" max="16131" width="5.42578125" style="319" bestFit="1" customWidth="1"/>
    <col min="16132" max="16132" width="8.42578125" style="319" bestFit="1" customWidth="1"/>
    <col min="16133" max="16133" width="7.85546875" style="319" bestFit="1" customWidth="1"/>
    <col min="16134" max="16134" width="27.85546875" style="319" bestFit="1" customWidth="1"/>
    <col min="16135" max="16135" width="13.5703125" style="319" bestFit="1" customWidth="1"/>
    <col min="16136" max="16136" width="12.7109375" style="319" bestFit="1" customWidth="1"/>
    <col min="16137" max="16137" width="7.140625" style="319" bestFit="1" customWidth="1"/>
    <col min="16138" max="16138" width="5.42578125" style="319" bestFit="1" customWidth="1"/>
    <col min="16139" max="16139" width="7.28515625" style="319" bestFit="1" customWidth="1"/>
    <col min="16140" max="16384" width="10.28515625" style="319"/>
  </cols>
  <sheetData>
    <row r="1" spans="1:11" ht="17.25" thickTop="1" thickBot="1">
      <c r="A1" s="317" t="s">
        <v>732</v>
      </c>
      <c r="B1" s="318" t="s">
        <v>733</v>
      </c>
    </row>
    <row r="2" spans="1:11" ht="16.5" thickTop="1" thickBot="1">
      <c r="A2" s="317" t="s">
        <v>435</v>
      </c>
      <c r="B2" s="317" t="s">
        <v>430</v>
      </c>
      <c r="C2" s="317" t="s">
        <v>434</v>
      </c>
      <c r="D2" s="317" t="s">
        <v>433</v>
      </c>
      <c r="E2" s="317" t="s">
        <v>734</v>
      </c>
      <c r="F2" s="317" t="s">
        <v>431</v>
      </c>
      <c r="G2" s="323" t="s">
        <v>385</v>
      </c>
      <c r="H2" s="317" t="s">
        <v>429</v>
      </c>
      <c r="I2" s="317" t="s">
        <v>432</v>
      </c>
      <c r="J2" s="317" t="s">
        <v>436</v>
      </c>
      <c r="K2" s="317" t="s">
        <v>735</v>
      </c>
    </row>
    <row r="3" spans="1:11" ht="16.5" thickTop="1">
      <c r="A3" s="322" t="s">
        <v>440</v>
      </c>
      <c r="B3" s="322" t="s">
        <v>19</v>
      </c>
      <c r="C3" s="322" t="s">
        <v>736</v>
      </c>
      <c r="D3" s="322" t="s">
        <v>737</v>
      </c>
      <c r="E3" s="322" t="s">
        <v>409</v>
      </c>
      <c r="F3" s="322" t="s">
        <v>18</v>
      </c>
      <c r="G3" s="264">
        <v>96343.31</v>
      </c>
      <c r="H3" s="322" t="s">
        <v>738</v>
      </c>
      <c r="I3" s="319">
        <v>0</v>
      </c>
      <c r="J3" s="319">
        <v>2015</v>
      </c>
      <c r="K3" s="322" t="s">
        <v>739</v>
      </c>
    </row>
    <row r="4" spans="1:11">
      <c r="A4" s="322" t="s">
        <v>440</v>
      </c>
      <c r="B4" s="322" t="s">
        <v>19</v>
      </c>
      <c r="C4" s="322" t="s">
        <v>736</v>
      </c>
      <c r="D4" s="322" t="s">
        <v>737</v>
      </c>
      <c r="E4" s="322" t="s">
        <v>409</v>
      </c>
      <c r="F4" s="322" t="s">
        <v>740</v>
      </c>
      <c r="G4" s="264">
        <v>-100687.39</v>
      </c>
      <c r="H4" s="322" t="s">
        <v>741</v>
      </c>
      <c r="I4" s="319">
        <v>1</v>
      </c>
      <c r="J4" s="319">
        <v>2015</v>
      </c>
      <c r="K4" s="322" t="s">
        <v>739</v>
      </c>
    </row>
    <row r="5" spans="1:11">
      <c r="A5" s="322" t="s">
        <v>790</v>
      </c>
      <c r="B5" s="322" t="s">
        <v>19</v>
      </c>
      <c r="C5" s="322" t="s">
        <v>736</v>
      </c>
      <c r="D5" s="322" t="s">
        <v>737</v>
      </c>
      <c r="E5" s="322"/>
      <c r="F5" s="322" t="s">
        <v>810</v>
      </c>
      <c r="G5" s="264">
        <v>50000</v>
      </c>
      <c r="H5" s="322" t="s">
        <v>767</v>
      </c>
      <c r="I5" s="319">
        <v>12</v>
      </c>
      <c r="J5" s="319">
        <v>2015</v>
      </c>
      <c r="K5" s="322" t="s">
        <v>739</v>
      </c>
    </row>
    <row r="6" spans="1:11">
      <c r="A6" s="322" t="s">
        <v>790</v>
      </c>
      <c r="B6" s="322" t="s">
        <v>19</v>
      </c>
      <c r="C6" s="322" t="s">
        <v>736</v>
      </c>
      <c r="D6" s="322" t="s">
        <v>737</v>
      </c>
      <c r="E6" s="322"/>
      <c r="F6" s="322" t="s">
        <v>811</v>
      </c>
      <c r="G6" s="264">
        <v>50000</v>
      </c>
      <c r="H6" s="322" t="s">
        <v>765</v>
      </c>
      <c r="I6" s="319">
        <v>11</v>
      </c>
      <c r="J6" s="319">
        <v>2015</v>
      </c>
      <c r="K6" s="322" t="s">
        <v>739</v>
      </c>
    </row>
    <row r="7" spans="1:11">
      <c r="A7" s="322" t="s">
        <v>790</v>
      </c>
      <c r="B7" s="322" t="s">
        <v>19</v>
      </c>
      <c r="C7" s="322" t="s">
        <v>736</v>
      </c>
      <c r="D7" s="322" t="s">
        <v>737</v>
      </c>
      <c r="E7" s="322"/>
      <c r="F7" s="322" t="s">
        <v>812</v>
      </c>
      <c r="G7" s="264">
        <v>50000</v>
      </c>
      <c r="H7" s="322" t="s">
        <v>766</v>
      </c>
      <c r="I7" s="319">
        <v>11</v>
      </c>
      <c r="J7" s="319">
        <v>2015</v>
      </c>
      <c r="K7" s="322" t="s">
        <v>739</v>
      </c>
    </row>
    <row r="8" spans="1:11">
      <c r="A8" s="322" t="s">
        <v>790</v>
      </c>
      <c r="B8" s="322" t="s">
        <v>19</v>
      </c>
      <c r="C8" s="322" t="s">
        <v>736</v>
      </c>
      <c r="D8" s="322" t="s">
        <v>737</v>
      </c>
      <c r="E8" s="322"/>
      <c r="F8" s="322" t="s">
        <v>813</v>
      </c>
      <c r="G8" s="264">
        <v>50000</v>
      </c>
      <c r="H8" s="322" t="s">
        <v>742</v>
      </c>
      <c r="I8" s="319">
        <v>1</v>
      </c>
      <c r="J8" s="319">
        <v>2015</v>
      </c>
      <c r="K8" s="322" t="s">
        <v>739</v>
      </c>
    </row>
    <row r="9" spans="1:11">
      <c r="A9" s="322" t="s">
        <v>790</v>
      </c>
      <c r="B9" s="322" t="s">
        <v>19</v>
      </c>
      <c r="C9" s="322" t="s">
        <v>736</v>
      </c>
      <c r="D9" s="322" t="s">
        <v>737</v>
      </c>
      <c r="E9" s="322"/>
      <c r="F9" s="322" t="s">
        <v>814</v>
      </c>
      <c r="G9" s="264">
        <v>50000</v>
      </c>
      <c r="H9" s="322" t="s">
        <v>761</v>
      </c>
      <c r="I9" s="319">
        <v>10</v>
      </c>
      <c r="J9" s="319">
        <v>2015</v>
      </c>
      <c r="K9" s="322" t="s">
        <v>739</v>
      </c>
    </row>
    <row r="10" spans="1:11">
      <c r="A10" s="322" t="s">
        <v>790</v>
      </c>
      <c r="B10" s="322" t="s">
        <v>19</v>
      </c>
      <c r="C10" s="322" t="s">
        <v>736</v>
      </c>
      <c r="D10" s="322" t="s">
        <v>737</v>
      </c>
      <c r="E10" s="322"/>
      <c r="F10" s="322" t="s">
        <v>815</v>
      </c>
      <c r="G10" s="264">
        <v>50000</v>
      </c>
      <c r="H10" s="322" t="s">
        <v>760</v>
      </c>
      <c r="I10" s="319">
        <v>9</v>
      </c>
      <c r="J10" s="319">
        <v>2015</v>
      </c>
      <c r="K10" s="322" t="s">
        <v>739</v>
      </c>
    </row>
    <row r="11" spans="1:11">
      <c r="A11" s="322" t="s">
        <v>790</v>
      </c>
      <c r="B11" s="322" t="s">
        <v>19</v>
      </c>
      <c r="C11" s="322" t="s">
        <v>736</v>
      </c>
      <c r="D11" s="322" t="s">
        <v>737</v>
      </c>
      <c r="E11" s="322"/>
      <c r="F11" s="322" t="s">
        <v>816</v>
      </c>
      <c r="G11" s="264">
        <v>50000</v>
      </c>
      <c r="H11" s="322" t="s">
        <v>759</v>
      </c>
      <c r="I11" s="319">
        <v>9</v>
      </c>
      <c r="J11" s="319">
        <v>2015</v>
      </c>
      <c r="K11" s="322" t="s">
        <v>739</v>
      </c>
    </row>
    <row r="12" spans="1:11">
      <c r="A12" s="322" t="s">
        <v>790</v>
      </c>
      <c r="B12" s="322" t="s">
        <v>19</v>
      </c>
      <c r="C12" s="322" t="s">
        <v>736</v>
      </c>
      <c r="D12" s="322" t="s">
        <v>737</v>
      </c>
      <c r="E12" s="322"/>
      <c r="F12" s="322" t="s">
        <v>817</v>
      </c>
      <c r="G12" s="264">
        <v>50000</v>
      </c>
      <c r="H12" s="322" t="s">
        <v>757</v>
      </c>
      <c r="I12" s="319">
        <v>8</v>
      </c>
      <c r="J12" s="319">
        <v>2015</v>
      </c>
      <c r="K12" s="322" t="s">
        <v>739</v>
      </c>
    </row>
    <row r="13" spans="1:11">
      <c r="A13" s="322" t="s">
        <v>790</v>
      </c>
      <c r="B13" s="322" t="s">
        <v>19</v>
      </c>
      <c r="C13" s="322" t="s">
        <v>736</v>
      </c>
      <c r="D13" s="322" t="s">
        <v>737</v>
      </c>
      <c r="E13" s="322"/>
      <c r="F13" s="322" t="s">
        <v>818</v>
      </c>
      <c r="G13" s="264">
        <v>50000</v>
      </c>
      <c r="H13" s="322" t="s">
        <v>758</v>
      </c>
      <c r="I13" s="319">
        <v>8</v>
      </c>
      <c r="J13" s="319">
        <v>2015</v>
      </c>
      <c r="K13" s="322" t="s">
        <v>739</v>
      </c>
    </row>
    <row r="14" spans="1:11">
      <c r="A14" s="322" t="s">
        <v>790</v>
      </c>
      <c r="B14" s="322" t="s">
        <v>19</v>
      </c>
      <c r="C14" s="322" t="s">
        <v>736</v>
      </c>
      <c r="D14" s="322" t="s">
        <v>737</v>
      </c>
      <c r="E14" s="322"/>
      <c r="F14" s="322" t="s">
        <v>819</v>
      </c>
      <c r="G14" s="264">
        <v>50000</v>
      </c>
      <c r="H14" s="322" t="s">
        <v>756</v>
      </c>
      <c r="I14" s="319">
        <v>7</v>
      </c>
      <c r="J14" s="319">
        <v>2015</v>
      </c>
      <c r="K14" s="322" t="s">
        <v>739</v>
      </c>
    </row>
    <row r="15" spans="1:11">
      <c r="A15" s="322" t="s">
        <v>790</v>
      </c>
      <c r="B15" s="322" t="s">
        <v>19</v>
      </c>
      <c r="C15" s="322" t="s">
        <v>736</v>
      </c>
      <c r="D15" s="322" t="s">
        <v>737</v>
      </c>
      <c r="E15" s="322"/>
      <c r="F15" s="322" t="s">
        <v>820</v>
      </c>
      <c r="G15" s="264">
        <v>50000</v>
      </c>
      <c r="H15" s="322" t="s">
        <v>755</v>
      </c>
      <c r="I15" s="319">
        <v>7</v>
      </c>
      <c r="J15" s="319">
        <v>2015</v>
      </c>
      <c r="K15" s="322" t="s">
        <v>739</v>
      </c>
    </row>
    <row r="16" spans="1:11">
      <c r="A16" s="322" t="s">
        <v>790</v>
      </c>
      <c r="B16" s="322" t="s">
        <v>19</v>
      </c>
      <c r="C16" s="322" t="s">
        <v>736</v>
      </c>
      <c r="D16" s="322" t="s">
        <v>737</v>
      </c>
      <c r="E16" s="322"/>
      <c r="F16" s="322" t="s">
        <v>821</v>
      </c>
      <c r="G16" s="264">
        <v>50000</v>
      </c>
      <c r="H16" s="322" t="s">
        <v>754</v>
      </c>
      <c r="I16" s="319">
        <v>7</v>
      </c>
      <c r="J16" s="319">
        <v>2015</v>
      </c>
      <c r="K16" s="322" t="s">
        <v>739</v>
      </c>
    </row>
    <row r="17" spans="1:11">
      <c r="A17" s="322" t="s">
        <v>790</v>
      </c>
      <c r="B17" s="322" t="s">
        <v>19</v>
      </c>
      <c r="C17" s="322" t="s">
        <v>736</v>
      </c>
      <c r="D17" s="322" t="s">
        <v>737</v>
      </c>
      <c r="E17" s="322"/>
      <c r="F17" s="322" t="s">
        <v>822</v>
      </c>
      <c r="G17" s="264">
        <v>50000</v>
      </c>
      <c r="H17" s="322" t="s">
        <v>753</v>
      </c>
      <c r="I17" s="319">
        <v>6</v>
      </c>
      <c r="J17" s="319">
        <v>2015</v>
      </c>
      <c r="K17" s="322" t="s">
        <v>739</v>
      </c>
    </row>
    <row r="18" spans="1:11">
      <c r="A18" s="322" t="s">
        <v>790</v>
      </c>
      <c r="B18" s="322" t="s">
        <v>19</v>
      </c>
      <c r="C18" s="322" t="s">
        <v>736</v>
      </c>
      <c r="D18" s="322" t="s">
        <v>737</v>
      </c>
      <c r="E18" s="322"/>
      <c r="F18" s="322" t="s">
        <v>823</v>
      </c>
      <c r="G18" s="264">
        <v>50000</v>
      </c>
      <c r="H18" s="322" t="s">
        <v>752</v>
      </c>
      <c r="I18" s="319">
        <v>6</v>
      </c>
      <c r="J18" s="319">
        <v>2015</v>
      </c>
      <c r="K18" s="322" t="s">
        <v>739</v>
      </c>
    </row>
    <row r="19" spans="1:11">
      <c r="A19" s="322" t="s">
        <v>790</v>
      </c>
      <c r="B19" s="322" t="s">
        <v>19</v>
      </c>
      <c r="C19" s="322" t="s">
        <v>736</v>
      </c>
      <c r="D19" s="322" t="s">
        <v>737</v>
      </c>
      <c r="E19" s="322"/>
      <c r="F19" s="322" t="s">
        <v>824</v>
      </c>
      <c r="G19" s="264">
        <v>50000</v>
      </c>
      <c r="H19" s="322" t="s">
        <v>750</v>
      </c>
      <c r="I19" s="319">
        <v>5</v>
      </c>
      <c r="J19" s="319">
        <v>2015</v>
      </c>
      <c r="K19" s="322" t="s">
        <v>739</v>
      </c>
    </row>
    <row r="20" spans="1:11">
      <c r="A20" s="322" t="s">
        <v>790</v>
      </c>
      <c r="B20" s="322" t="s">
        <v>19</v>
      </c>
      <c r="C20" s="322" t="s">
        <v>736</v>
      </c>
      <c r="D20" s="322" t="s">
        <v>737</v>
      </c>
      <c r="E20" s="322"/>
      <c r="F20" s="322" t="s">
        <v>825</v>
      </c>
      <c r="G20" s="264">
        <v>50000</v>
      </c>
      <c r="H20" s="322" t="s">
        <v>751</v>
      </c>
      <c r="I20" s="319">
        <v>5</v>
      </c>
      <c r="J20" s="319">
        <v>2015</v>
      </c>
      <c r="K20" s="322" t="s">
        <v>739</v>
      </c>
    </row>
    <row r="21" spans="1:11">
      <c r="A21" s="322" t="s">
        <v>790</v>
      </c>
      <c r="B21" s="322" t="s">
        <v>19</v>
      </c>
      <c r="C21" s="322" t="s">
        <v>736</v>
      </c>
      <c r="D21" s="322" t="s">
        <v>737</v>
      </c>
      <c r="E21" s="322"/>
      <c r="F21" s="322" t="s">
        <v>826</v>
      </c>
      <c r="G21" s="264">
        <v>50000</v>
      </c>
      <c r="H21" s="322" t="s">
        <v>748</v>
      </c>
      <c r="I21" s="319">
        <v>4</v>
      </c>
      <c r="J21" s="319">
        <v>2015</v>
      </c>
      <c r="K21" s="322" t="s">
        <v>739</v>
      </c>
    </row>
    <row r="22" spans="1:11">
      <c r="A22" s="322" t="s">
        <v>790</v>
      </c>
      <c r="B22" s="322" t="s">
        <v>19</v>
      </c>
      <c r="C22" s="322" t="s">
        <v>736</v>
      </c>
      <c r="D22" s="322" t="s">
        <v>737</v>
      </c>
      <c r="E22" s="322"/>
      <c r="F22" s="322" t="s">
        <v>827</v>
      </c>
      <c r="G22" s="264">
        <v>50000</v>
      </c>
      <c r="H22" s="322" t="s">
        <v>749</v>
      </c>
      <c r="I22" s="319">
        <v>4</v>
      </c>
      <c r="J22" s="319">
        <v>2015</v>
      </c>
      <c r="K22" s="322" t="s">
        <v>739</v>
      </c>
    </row>
    <row r="23" spans="1:11">
      <c r="A23" s="322" t="s">
        <v>790</v>
      </c>
      <c r="B23" s="322" t="s">
        <v>19</v>
      </c>
      <c r="C23" s="322" t="s">
        <v>736</v>
      </c>
      <c r="D23" s="322" t="s">
        <v>737</v>
      </c>
      <c r="E23" s="322"/>
      <c r="F23" s="322" t="s">
        <v>828</v>
      </c>
      <c r="G23" s="264">
        <v>50000</v>
      </c>
      <c r="H23" s="322" t="s">
        <v>746</v>
      </c>
      <c r="I23" s="319">
        <v>3</v>
      </c>
      <c r="J23" s="319">
        <v>2015</v>
      </c>
      <c r="K23" s="322" t="s">
        <v>739</v>
      </c>
    </row>
    <row r="24" spans="1:11">
      <c r="A24" s="322" t="s">
        <v>790</v>
      </c>
      <c r="B24" s="322" t="s">
        <v>19</v>
      </c>
      <c r="C24" s="322" t="s">
        <v>736</v>
      </c>
      <c r="D24" s="322" t="s">
        <v>737</v>
      </c>
      <c r="E24" s="322"/>
      <c r="F24" s="322" t="s">
        <v>829</v>
      </c>
      <c r="G24" s="264">
        <v>50000</v>
      </c>
      <c r="H24" s="322" t="s">
        <v>747</v>
      </c>
      <c r="I24" s="319">
        <v>3</v>
      </c>
      <c r="J24" s="319">
        <v>2015</v>
      </c>
      <c r="K24" s="322" t="s">
        <v>739</v>
      </c>
    </row>
    <row r="25" spans="1:11">
      <c r="A25" s="322" t="s">
        <v>790</v>
      </c>
      <c r="B25" s="322" t="s">
        <v>19</v>
      </c>
      <c r="C25" s="322" t="s">
        <v>736</v>
      </c>
      <c r="D25" s="322" t="s">
        <v>737</v>
      </c>
      <c r="E25" s="322"/>
      <c r="F25" s="322" t="s">
        <v>830</v>
      </c>
      <c r="G25" s="264">
        <v>50000</v>
      </c>
      <c r="H25" s="322" t="s">
        <v>745</v>
      </c>
      <c r="I25" s="319">
        <v>2</v>
      </c>
      <c r="J25" s="319">
        <v>2015</v>
      </c>
      <c r="K25" s="322" t="s">
        <v>739</v>
      </c>
    </row>
    <row r="26" spans="1:11">
      <c r="A26" s="322" t="s">
        <v>790</v>
      </c>
      <c r="B26" s="322" t="s">
        <v>19</v>
      </c>
      <c r="C26" s="322" t="s">
        <v>736</v>
      </c>
      <c r="D26" s="322" t="s">
        <v>743</v>
      </c>
      <c r="E26" s="322"/>
      <c r="F26" s="322" t="s">
        <v>831</v>
      </c>
      <c r="G26" s="264">
        <v>50000</v>
      </c>
      <c r="H26" s="322" t="s">
        <v>744</v>
      </c>
      <c r="I26" s="319">
        <v>2</v>
      </c>
      <c r="J26" s="319">
        <v>2015</v>
      </c>
      <c r="K26" s="322" t="s">
        <v>739</v>
      </c>
    </row>
    <row r="27" spans="1:11">
      <c r="A27" s="322" t="s">
        <v>440</v>
      </c>
      <c r="B27" s="322" t="s">
        <v>19</v>
      </c>
      <c r="C27" s="322" t="s">
        <v>736</v>
      </c>
      <c r="D27" s="322" t="s">
        <v>737</v>
      </c>
      <c r="E27" s="322" t="s">
        <v>409</v>
      </c>
      <c r="F27" s="322" t="s">
        <v>740</v>
      </c>
      <c r="G27" s="264">
        <v>-102928.91</v>
      </c>
      <c r="H27" s="322" t="s">
        <v>741</v>
      </c>
      <c r="I27" s="319">
        <v>2</v>
      </c>
      <c r="J27" s="319">
        <v>2015</v>
      </c>
      <c r="K27" s="322" t="s">
        <v>739</v>
      </c>
    </row>
    <row r="28" spans="1:11">
      <c r="A28" s="322" t="s">
        <v>440</v>
      </c>
      <c r="B28" s="322" t="s">
        <v>19</v>
      </c>
      <c r="C28" s="322" t="s">
        <v>736</v>
      </c>
      <c r="D28" s="322" t="s">
        <v>737</v>
      </c>
      <c r="E28" s="322" t="s">
        <v>409</v>
      </c>
      <c r="F28" s="322" t="s">
        <v>740</v>
      </c>
      <c r="G28" s="264">
        <v>-111182.24</v>
      </c>
      <c r="H28" s="322" t="s">
        <v>741</v>
      </c>
      <c r="I28" s="319">
        <v>3</v>
      </c>
      <c r="J28" s="319">
        <v>2015</v>
      </c>
      <c r="K28" s="322" t="s">
        <v>739</v>
      </c>
    </row>
    <row r="29" spans="1:11">
      <c r="A29" s="322" t="s">
        <v>440</v>
      </c>
      <c r="B29" s="322" t="s">
        <v>19</v>
      </c>
      <c r="C29" s="322" t="s">
        <v>736</v>
      </c>
      <c r="D29" s="322" t="s">
        <v>737</v>
      </c>
      <c r="E29" s="322" t="s">
        <v>409</v>
      </c>
      <c r="F29" s="322" t="s">
        <v>740</v>
      </c>
      <c r="G29" s="264">
        <v>-106749.04</v>
      </c>
      <c r="H29" s="322" t="s">
        <v>741</v>
      </c>
      <c r="I29" s="319">
        <v>4</v>
      </c>
      <c r="J29" s="319">
        <v>2015</v>
      </c>
      <c r="K29" s="322" t="s">
        <v>739</v>
      </c>
    </row>
    <row r="30" spans="1:11">
      <c r="A30" s="322" t="s">
        <v>440</v>
      </c>
      <c r="B30" s="322" t="s">
        <v>19</v>
      </c>
      <c r="C30" s="322" t="s">
        <v>736</v>
      </c>
      <c r="D30" s="322" t="s">
        <v>737</v>
      </c>
      <c r="E30" s="322" t="s">
        <v>409</v>
      </c>
      <c r="F30" s="322" t="s">
        <v>740</v>
      </c>
      <c r="G30" s="264">
        <v>-110205.28</v>
      </c>
      <c r="H30" s="322" t="s">
        <v>741</v>
      </c>
      <c r="I30" s="319">
        <v>5</v>
      </c>
      <c r="J30" s="319">
        <v>2015</v>
      </c>
      <c r="K30" s="322" t="s">
        <v>739</v>
      </c>
    </row>
    <row r="31" spans="1:11">
      <c r="A31" s="322" t="s">
        <v>440</v>
      </c>
      <c r="B31" s="322" t="s">
        <v>19</v>
      </c>
      <c r="C31" s="322" t="s">
        <v>736</v>
      </c>
      <c r="D31" s="322" t="s">
        <v>737</v>
      </c>
      <c r="E31" s="322" t="s">
        <v>409</v>
      </c>
      <c r="F31" s="322" t="s">
        <v>740</v>
      </c>
      <c r="G31" s="264">
        <v>-120040.22</v>
      </c>
      <c r="H31" s="322" t="s">
        <v>741</v>
      </c>
      <c r="I31" s="319">
        <v>6</v>
      </c>
      <c r="J31" s="319">
        <v>2015</v>
      </c>
      <c r="K31" s="322" t="s">
        <v>739</v>
      </c>
    </row>
    <row r="32" spans="1:11">
      <c r="A32" s="322" t="s">
        <v>440</v>
      </c>
      <c r="B32" s="322" t="s">
        <v>19</v>
      </c>
      <c r="C32" s="322" t="s">
        <v>736</v>
      </c>
      <c r="D32" s="322" t="s">
        <v>737</v>
      </c>
      <c r="E32" s="322" t="s">
        <v>409</v>
      </c>
      <c r="F32" s="322" t="s">
        <v>740</v>
      </c>
      <c r="G32" s="264">
        <v>-104098.05</v>
      </c>
      <c r="H32" s="322" t="s">
        <v>741</v>
      </c>
      <c r="I32" s="319">
        <v>7</v>
      </c>
      <c r="J32" s="319">
        <v>2015</v>
      </c>
      <c r="K32" s="322" t="s">
        <v>739</v>
      </c>
    </row>
    <row r="33" spans="1:11">
      <c r="A33" s="322" t="s">
        <v>440</v>
      </c>
      <c r="B33" s="322" t="s">
        <v>19</v>
      </c>
      <c r="C33" s="322" t="s">
        <v>736</v>
      </c>
      <c r="D33" s="322" t="s">
        <v>737</v>
      </c>
      <c r="E33" s="322" t="s">
        <v>409</v>
      </c>
      <c r="F33" s="322" t="s">
        <v>740</v>
      </c>
      <c r="G33" s="264">
        <v>-107227.28</v>
      </c>
      <c r="H33" s="322" t="s">
        <v>741</v>
      </c>
      <c r="I33" s="319">
        <v>8</v>
      </c>
      <c r="J33" s="319">
        <v>2015</v>
      </c>
      <c r="K33" s="322" t="s">
        <v>739</v>
      </c>
    </row>
    <row r="34" spans="1:11">
      <c r="A34" s="322" t="s">
        <v>440</v>
      </c>
      <c r="B34" s="322" t="s">
        <v>19</v>
      </c>
      <c r="C34" s="322" t="s">
        <v>736</v>
      </c>
      <c r="D34" s="322" t="s">
        <v>737</v>
      </c>
      <c r="E34" s="322" t="s">
        <v>409</v>
      </c>
      <c r="F34" s="322" t="s">
        <v>740</v>
      </c>
      <c r="G34" s="264">
        <v>-90059.26</v>
      </c>
      <c r="H34" s="322" t="s">
        <v>741</v>
      </c>
      <c r="I34" s="319">
        <v>9</v>
      </c>
      <c r="J34" s="319">
        <v>2015</v>
      </c>
      <c r="K34" s="322" t="s">
        <v>739</v>
      </c>
    </row>
    <row r="35" spans="1:11">
      <c r="A35" s="322" t="s">
        <v>440</v>
      </c>
      <c r="B35" s="322" t="s">
        <v>19</v>
      </c>
      <c r="C35" s="322" t="s">
        <v>736</v>
      </c>
      <c r="D35" s="322" t="s">
        <v>737</v>
      </c>
      <c r="E35" s="322" t="s">
        <v>409</v>
      </c>
      <c r="F35" s="322" t="s">
        <v>740</v>
      </c>
      <c r="G35" s="264">
        <v>-91518.28</v>
      </c>
      <c r="H35" s="322" t="s">
        <v>741</v>
      </c>
      <c r="I35" s="319">
        <v>10</v>
      </c>
      <c r="J35" s="319">
        <v>2015</v>
      </c>
      <c r="K35" s="322" t="s">
        <v>739</v>
      </c>
    </row>
    <row r="36" spans="1:11">
      <c r="A36" s="322" t="s">
        <v>440</v>
      </c>
      <c r="B36" s="322" t="s">
        <v>19</v>
      </c>
      <c r="C36" s="322" t="s">
        <v>736</v>
      </c>
      <c r="D36" s="322" t="s">
        <v>762</v>
      </c>
      <c r="E36" s="322" t="s">
        <v>409</v>
      </c>
      <c r="F36" s="322" t="s">
        <v>763</v>
      </c>
      <c r="G36" s="264">
        <v>50000</v>
      </c>
      <c r="H36" s="322" t="s">
        <v>764</v>
      </c>
      <c r="I36" s="319">
        <v>10</v>
      </c>
      <c r="J36" s="319">
        <v>2015</v>
      </c>
      <c r="K36" s="322" t="s">
        <v>739</v>
      </c>
    </row>
    <row r="37" spans="1:11">
      <c r="A37" s="322" t="s">
        <v>440</v>
      </c>
      <c r="B37" s="322" t="s">
        <v>19</v>
      </c>
      <c r="C37" s="322" t="s">
        <v>736</v>
      </c>
      <c r="D37" s="322" t="s">
        <v>737</v>
      </c>
      <c r="E37" s="322" t="s">
        <v>409</v>
      </c>
      <c r="F37" s="322" t="s">
        <v>740</v>
      </c>
      <c r="G37" s="264">
        <v>-66926.47</v>
      </c>
      <c r="H37" s="322" t="s">
        <v>741</v>
      </c>
      <c r="I37" s="319">
        <v>11</v>
      </c>
      <c r="J37" s="319">
        <v>2015</v>
      </c>
      <c r="K37" s="322" t="s">
        <v>739</v>
      </c>
    </row>
    <row r="38" spans="1:11">
      <c r="A38" s="322" t="s">
        <v>440</v>
      </c>
      <c r="B38" s="322" t="s">
        <v>19</v>
      </c>
      <c r="C38" s="322" t="s">
        <v>736</v>
      </c>
      <c r="D38" s="322" t="s">
        <v>762</v>
      </c>
      <c r="E38" s="322" t="s">
        <v>409</v>
      </c>
      <c r="F38" s="322" t="s">
        <v>763</v>
      </c>
      <c r="G38" s="264">
        <v>-50000</v>
      </c>
      <c r="H38" s="322" t="s">
        <v>764</v>
      </c>
      <c r="I38" s="319">
        <v>11</v>
      </c>
      <c r="J38" s="319">
        <v>2015</v>
      </c>
      <c r="K38" s="322" t="s">
        <v>739</v>
      </c>
    </row>
    <row r="39" spans="1:11">
      <c r="A39" s="322" t="s">
        <v>440</v>
      </c>
      <c r="B39" s="322" t="s">
        <v>19</v>
      </c>
      <c r="C39" s="322" t="s">
        <v>736</v>
      </c>
      <c r="D39" s="322" t="s">
        <v>737</v>
      </c>
      <c r="E39" s="322" t="s">
        <v>409</v>
      </c>
      <c r="F39" s="322" t="s">
        <v>740</v>
      </c>
      <c r="G39" s="264">
        <v>-62408.69</v>
      </c>
      <c r="H39" s="322" t="s">
        <v>741</v>
      </c>
      <c r="I39" s="319">
        <v>12</v>
      </c>
      <c r="J39" s="319">
        <v>2015</v>
      </c>
      <c r="K39" s="322" t="s">
        <v>739</v>
      </c>
    </row>
    <row r="40" spans="1:11">
      <c r="G40" s="264">
        <f>SUBTOTAL(9,G3:G39)</f>
        <v>22312.199999999895</v>
      </c>
    </row>
  </sheetData>
  <autoFilter ref="A2:K39"/>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B1" zoomScaleNormal="100" workbookViewId="0">
      <selection activeCell="B1" sqref="B1"/>
    </sheetView>
  </sheetViews>
  <sheetFormatPr defaultColWidth="13.85546875" defaultRowHeight="12.75"/>
  <cols>
    <col min="1" max="1" width="5.7109375" style="244" hidden="1" customWidth="1"/>
    <col min="2" max="2" width="15.140625" style="244" customWidth="1"/>
    <col min="3" max="3" width="16.42578125" style="244" customWidth="1"/>
    <col min="4" max="4" width="38.42578125" style="244" customWidth="1"/>
    <col min="5" max="6" width="16.42578125" style="244" customWidth="1"/>
    <col min="7" max="7" width="18.140625" style="244" customWidth="1"/>
    <col min="8" max="8" width="13.85546875" style="244"/>
    <col min="9" max="9" width="16.42578125" style="244" customWidth="1"/>
    <col min="10" max="256" width="13.85546875" style="244"/>
    <col min="257" max="257" width="0" style="244" hidden="1" customWidth="1"/>
    <col min="258" max="258" width="15.140625" style="244" customWidth="1"/>
    <col min="259" max="259" width="16.42578125" style="244" customWidth="1"/>
    <col min="260" max="260" width="38.42578125" style="244" customWidth="1"/>
    <col min="261" max="262" width="16.42578125" style="244" customWidth="1"/>
    <col min="263" max="263" width="18.140625" style="244" customWidth="1"/>
    <col min="264" max="264" width="13.85546875" style="244"/>
    <col min="265" max="265" width="16.42578125" style="244" customWidth="1"/>
    <col min="266" max="512" width="13.85546875" style="244"/>
    <col min="513" max="513" width="0" style="244" hidden="1" customWidth="1"/>
    <col min="514" max="514" width="15.140625" style="244" customWidth="1"/>
    <col min="515" max="515" width="16.42578125" style="244" customWidth="1"/>
    <col min="516" max="516" width="38.42578125" style="244" customWidth="1"/>
    <col min="517" max="518" width="16.42578125" style="244" customWidth="1"/>
    <col min="519" max="519" width="18.140625" style="244" customWidth="1"/>
    <col min="520" max="520" width="13.85546875" style="244"/>
    <col min="521" max="521" width="16.42578125" style="244" customWidth="1"/>
    <col min="522" max="768" width="13.85546875" style="244"/>
    <col min="769" max="769" width="0" style="244" hidden="1" customWidth="1"/>
    <col min="770" max="770" width="15.140625" style="244" customWidth="1"/>
    <col min="771" max="771" width="16.42578125" style="244" customWidth="1"/>
    <col min="772" max="772" width="38.42578125" style="244" customWidth="1"/>
    <col min="773" max="774" width="16.42578125" style="244" customWidth="1"/>
    <col min="775" max="775" width="18.140625" style="244" customWidth="1"/>
    <col min="776" max="776" width="13.85546875" style="244"/>
    <col min="777" max="777" width="16.42578125" style="244" customWidth="1"/>
    <col min="778" max="1024" width="13.85546875" style="244"/>
    <col min="1025" max="1025" width="0" style="244" hidden="1" customWidth="1"/>
    <col min="1026" max="1026" width="15.140625" style="244" customWidth="1"/>
    <col min="1027" max="1027" width="16.42578125" style="244" customWidth="1"/>
    <col min="1028" max="1028" width="38.42578125" style="244" customWidth="1"/>
    <col min="1029" max="1030" width="16.42578125" style="244" customWidth="1"/>
    <col min="1031" max="1031" width="18.140625" style="244" customWidth="1"/>
    <col min="1032" max="1032" width="13.85546875" style="244"/>
    <col min="1033" max="1033" width="16.42578125" style="244" customWidth="1"/>
    <col min="1034" max="1280" width="13.85546875" style="244"/>
    <col min="1281" max="1281" width="0" style="244" hidden="1" customWidth="1"/>
    <col min="1282" max="1282" width="15.140625" style="244" customWidth="1"/>
    <col min="1283" max="1283" width="16.42578125" style="244" customWidth="1"/>
    <col min="1284" max="1284" width="38.42578125" style="244" customWidth="1"/>
    <col min="1285" max="1286" width="16.42578125" style="244" customWidth="1"/>
    <col min="1287" max="1287" width="18.140625" style="244" customWidth="1"/>
    <col min="1288" max="1288" width="13.85546875" style="244"/>
    <col min="1289" max="1289" width="16.42578125" style="244" customWidth="1"/>
    <col min="1290" max="1536" width="13.85546875" style="244"/>
    <col min="1537" max="1537" width="0" style="244" hidden="1" customWidth="1"/>
    <col min="1538" max="1538" width="15.140625" style="244" customWidth="1"/>
    <col min="1539" max="1539" width="16.42578125" style="244" customWidth="1"/>
    <col min="1540" max="1540" width="38.42578125" style="244" customWidth="1"/>
    <col min="1541" max="1542" width="16.42578125" style="244" customWidth="1"/>
    <col min="1543" max="1543" width="18.140625" style="244" customWidth="1"/>
    <col min="1544" max="1544" width="13.85546875" style="244"/>
    <col min="1545" max="1545" width="16.42578125" style="244" customWidth="1"/>
    <col min="1546" max="1792" width="13.85546875" style="244"/>
    <col min="1793" max="1793" width="0" style="244" hidden="1" customWidth="1"/>
    <col min="1794" max="1794" width="15.140625" style="244" customWidth="1"/>
    <col min="1795" max="1795" width="16.42578125" style="244" customWidth="1"/>
    <col min="1796" max="1796" width="38.42578125" style="244" customWidth="1"/>
    <col min="1797" max="1798" width="16.42578125" style="244" customWidth="1"/>
    <col min="1799" max="1799" width="18.140625" style="244" customWidth="1"/>
    <col min="1800" max="1800" width="13.85546875" style="244"/>
    <col min="1801" max="1801" width="16.42578125" style="244" customWidth="1"/>
    <col min="1802" max="2048" width="13.85546875" style="244"/>
    <col min="2049" max="2049" width="0" style="244" hidden="1" customWidth="1"/>
    <col min="2050" max="2050" width="15.140625" style="244" customWidth="1"/>
    <col min="2051" max="2051" width="16.42578125" style="244" customWidth="1"/>
    <col min="2052" max="2052" width="38.42578125" style="244" customWidth="1"/>
    <col min="2053" max="2054" width="16.42578125" style="244" customWidth="1"/>
    <col min="2055" max="2055" width="18.140625" style="244" customWidth="1"/>
    <col min="2056" max="2056" width="13.85546875" style="244"/>
    <col min="2057" max="2057" width="16.42578125" style="244" customWidth="1"/>
    <col min="2058" max="2304" width="13.85546875" style="244"/>
    <col min="2305" max="2305" width="0" style="244" hidden="1" customWidth="1"/>
    <col min="2306" max="2306" width="15.140625" style="244" customWidth="1"/>
    <col min="2307" max="2307" width="16.42578125" style="244" customWidth="1"/>
    <col min="2308" max="2308" width="38.42578125" style="244" customWidth="1"/>
    <col min="2309" max="2310" width="16.42578125" style="244" customWidth="1"/>
    <col min="2311" max="2311" width="18.140625" style="244" customWidth="1"/>
    <col min="2312" max="2312" width="13.85546875" style="244"/>
    <col min="2313" max="2313" width="16.42578125" style="244" customWidth="1"/>
    <col min="2314" max="2560" width="13.85546875" style="244"/>
    <col min="2561" max="2561" width="0" style="244" hidden="1" customWidth="1"/>
    <col min="2562" max="2562" width="15.140625" style="244" customWidth="1"/>
    <col min="2563" max="2563" width="16.42578125" style="244" customWidth="1"/>
    <col min="2564" max="2564" width="38.42578125" style="244" customWidth="1"/>
    <col min="2565" max="2566" width="16.42578125" style="244" customWidth="1"/>
    <col min="2567" max="2567" width="18.140625" style="244" customWidth="1"/>
    <col min="2568" max="2568" width="13.85546875" style="244"/>
    <col min="2569" max="2569" width="16.42578125" style="244" customWidth="1"/>
    <col min="2570" max="2816" width="13.85546875" style="244"/>
    <col min="2817" max="2817" width="0" style="244" hidden="1" customWidth="1"/>
    <col min="2818" max="2818" width="15.140625" style="244" customWidth="1"/>
    <col min="2819" max="2819" width="16.42578125" style="244" customWidth="1"/>
    <col min="2820" max="2820" width="38.42578125" style="244" customWidth="1"/>
    <col min="2821" max="2822" width="16.42578125" style="244" customWidth="1"/>
    <col min="2823" max="2823" width="18.140625" style="244" customWidth="1"/>
    <col min="2824" max="2824" width="13.85546875" style="244"/>
    <col min="2825" max="2825" width="16.42578125" style="244" customWidth="1"/>
    <col min="2826" max="3072" width="13.85546875" style="244"/>
    <col min="3073" max="3073" width="0" style="244" hidden="1" customWidth="1"/>
    <col min="3074" max="3074" width="15.140625" style="244" customWidth="1"/>
    <col min="3075" max="3075" width="16.42578125" style="244" customWidth="1"/>
    <col min="3076" max="3076" width="38.42578125" style="244" customWidth="1"/>
    <col min="3077" max="3078" width="16.42578125" style="244" customWidth="1"/>
    <col min="3079" max="3079" width="18.140625" style="244" customWidth="1"/>
    <col min="3080" max="3080" width="13.85546875" style="244"/>
    <col min="3081" max="3081" width="16.42578125" style="244" customWidth="1"/>
    <col min="3082" max="3328" width="13.85546875" style="244"/>
    <col min="3329" max="3329" width="0" style="244" hidden="1" customWidth="1"/>
    <col min="3330" max="3330" width="15.140625" style="244" customWidth="1"/>
    <col min="3331" max="3331" width="16.42578125" style="244" customWidth="1"/>
    <col min="3332" max="3332" width="38.42578125" style="244" customWidth="1"/>
    <col min="3333" max="3334" width="16.42578125" style="244" customWidth="1"/>
    <col min="3335" max="3335" width="18.140625" style="244" customWidth="1"/>
    <col min="3336" max="3336" width="13.85546875" style="244"/>
    <col min="3337" max="3337" width="16.42578125" style="244" customWidth="1"/>
    <col min="3338" max="3584" width="13.85546875" style="244"/>
    <col min="3585" max="3585" width="0" style="244" hidden="1" customWidth="1"/>
    <col min="3586" max="3586" width="15.140625" style="244" customWidth="1"/>
    <col min="3587" max="3587" width="16.42578125" style="244" customWidth="1"/>
    <col min="3588" max="3588" width="38.42578125" style="244" customWidth="1"/>
    <col min="3589" max="3590" width="16.42578125" style="244" customWidth="1"/>
    <col min="3591" max="3591" width="18.140625" style="244" customWidth="1"/>
    <col min="3592" max="3592" width="13.85546875" style="244"/>
    <col min="3593" max="3593" width="16.42578125" style="244" customWidth="1"/>
    <col min="3594" max="3840" width="13.85546875" style="244"/>
    <col min="3841" max="3841" width="0" style="244" hidden="1" customWidth="1"/>
    <col min="3842" max="3842" width="15.140625" style="244" customWidth="1"/>
    <col min="3843" max="3843" width="16.42578125" style="244" customWidth="1"/>
    <col min="3844" max="3844" width="38.42578125" style="244" customWidth="1"/>
    <col min="3845" max="3846" width="16.42578125" style="244" customWidth="1"/>
    <col min="3847" max="3847" width="18.140625" style="244" customWidth="1"/>
    <col min="3848" max="3848" width="13.85546875" style="244"/>
    <col min="3849" max="3849" width="16.42578125" style="244" customWidth="1"/>
    <col min="3850" max="4096" width="13.85546875" style="244"/>
    <col min="4097" max="4097" width="0" style="244" hidden="1" customWidth="1"/>
    <col min="4098" max="4098" width="15.140625" style="244" customWidth="1"/>
    <col min="4099" max="4099" width="16.42578125" style="244" customWidth="1"/>
    <col min="4100" max="4100" width="38.42578125" style="244" customWidth="1"/>
    <col min="4101" max="4102" width="16.42578125" style="244" customWidth="1"/>
    <col min="4103" max="4103" width="18.140625" style="244" customWidth="1"/>
    <col min="4104" max="4104" width="13.85546875" style="244"/>
    <col min="4105" max="4105" width="16.42578125" style="244" customWidth="1"/>
    <col min="4106" max="4352" width="13.85546875" style="244"/>
    <col min="4353" max="4353" width="0" style="244" hidden="1" customWidth="1"/>
    <col min="4354" max="4354" width="15.140625" style="244" customWidth="1"/>
    <col min="4355" max="4355" width="16.42578125" style="244" customWidth="1"/>
    <col min="4356" max="4356" width="38.42578125" style="244" customWidth="1"/>
    <col min="4357" max="4358" width="16.42578125" style="244" customWidth="1"/>
    <col min="4359" max="4359" width="18.140625" style="244" customWidth="1"/>
    <col min="4360" max="4360" width="13.85546875" style="244"/>
    <col min="4361" max="4361" width="16.42578125" style="244" customWidth="1"/>
    <col min="4362" max="4608" width="13.85546875" style="244"/>
    <col min="4609" max="4609" width="0" style="244" hidden="1" customWidth="1"/>
    <col min="4610" max="4610" width="15.140625" style="244" customWidth="1"/>
    <col min="4611" max="4611" width="16.42578125" style="244" customWidth="1"/>
    <col min="4612" max="4612" width="38.42578125" style="244" customWidth="1"/>
    <col min="4613" max="4614" width="16.42578125" style="244" customWidth="1"/>
    <col min="4615" max="4615" width="18.140625" style="244" customWidth="1"/>
    <col min="4616" max="4616" width="13.85546875" style="244"/>
    <col min="4617" max="4617" width="16.42578125" style="244" customWidth="1"/>
    <col min="4618" max="4864" width="13.85546875" style="244"/>
    <col min="4865" max="4865" width="0" style="244" hidden="1" customWidth="1"/>
    <col min="4866" max="4866" width="15.140625" style="244" customWidth="1"/>
    <col min="4867" max="4867" width="16.42578125" style="244" customWidth="1"/>
    <col min="4868" max="4868" width="38.42578125" style="244" customWidth="1"/>
    <col min="4869" max="4870" width="16.42578125" style="244" customWidth="1"/>
    <col min="4871" max="4871" width="18.140625" style="244" customWidth="1"/>
    <col min="4872" max="4872" width="13.85546875" style="244"/>
    <col min="4873" max="4873" width="16.42578125" style="244" customWidth="1"/>
    <col min="4874" max="5120" width="13.85546875" style="244"/>
    <col min="5121" max="5121" width="0" style="244" hidden="1" customWidth="1"/>
    <col min="5122" max="5122" width="15.140625" style="244" customWidth="1"/>
    <col min="5123" max="5123" width="16.42578125" style="244" customWidth="1"/>
    <col min="5124" max="5124" width="38.42578125" style="244" customWidth="1"/>
    <col min="5125" max="5126" width="16.42578125" style="244" customWidth="1"/>
    <col min="5127" max="5127" width="18.140625" style="244" customWidth="1"/>
    <col min="5128" max="5128" width="13.85546875" style="244"/>
    <col min="5129" max="5129" width="16.42578125" style="244" customWidth="1"/>
    <col min="5130" max="5376" width="13.85546875" style="244"/>
    <col min="5377" max="5377" width="0" style="244" hidden="1" customWidth="1"/>
    <col min="5378" max="5378" width="15.140625" style="244" customWidth="1"/>
    <col min="5379" max="5379" width="16.42578125" style="244" customWidth="1"/>
    <col min="5380" max="5380" width="38.42578125" style="244" customWidth="1"/>
    <col min="5381" max="5382" width="16.42578125" style="244" customWidth="1"/>
    <col min="5383" max="5383" width="18.140625" style="244" customWidth="1"/>
    <col min="5384" max="5384" width="13.85546875" style="244"/>
    <col min="5385" max="5385" width="16.42578125" style="244" customWidth="1"/>
    <col min="5386" max="5632" width="13.85546875" style="244"/>
    <col min="5633" max="5633" width="0" style="244" hidden="1" customWidth="1"/>
    <col min="5634" max="5634" width="15.140625" style="244" customWidth="1"/>
    <col min="5635" max="5635" width="16.42578125" style="244" customWidth="1"/>
    <col min="5636" max="5636" width="38.42578125" style="244" customWidth="1"/>
    <col min="5637" max="5638" width="16.42578125" style="244" customWidth="1"/>
    <col min="5639" max="5639" width="18.140625" style="244" customWidth="1"/>
    <col min="5640" max="5640" width="13.85546875" style="244"/>
    <col min="5641" max="5641" width="16.42578125" style="244" customWidth="1"/>
    <col min="5642" max="5888" width="13.85546875" style="244"/>
    <col min="5889" max="5889" width="0" style="244" hidden="1" customWidth="1"/>
    <col min="5890" max="5890" width="15.140625" style="244" customWidth="1"/>
    <col min="5891" max="5891" width="16.42578125" style="244" customWidth="1"/>
    <col min="5892" max="5892" width="38.42578125" style="244" customWidth="1"/>
    <col min="5893" max="5894" width="16.42578125" style="244" customWidth="1"/>
    <col min="5895" max="5895" width="18.140625" style="244" customWidth="1"/>
    <col min="5896" max="5896" width="13.85546875" style="244"/>
    <col min="5897" max="5897" width="16.42578125" style="244" customWidth="1"/>
    <col min="5898" max="6144" width="13.85546875" style="244"/>
    <col min="6145" max="6145" width="0" style="244" hidden="1" customWidth="1"/>
    <col min="6146" max="6146" width="15.140625" style="244" customWidth="1"/>
    <col min="6147" max="6147" width="16.42578125" style="244" customWidth="1"/>
    <col min="6148" max="6148" width="38.42578125" style="244" customWidth="1"/>
    <col min="6149" max="6150" width="16.42578125" style="244" customWidth="1"/>
    <col min="6151" max="6151" width="18.140625" style="244" customWidth="1"/>
    <col min="6152" max="6152" width="13.85546875" style="244"/>
    <col min="6153" max="6153" width="16.42578125" style="244" customWidth="1"/>
    <col min="6154" max="6400" width="13.85546875" style="244"/>
    <col min="6401" max="6401" width="0" style="244" hidden="1" customWidth="1"/>
    <col min="6402" max="6402" width="15.140625" style="244" customWidth="1"/>
    <col min="6403" max="6403" width="16.42578125" style="244" customWidth="1"/>
    <col min="6404" max="6404" width="38.42578125" style="244" customWidth="1"/>
    <col min="6405" max="6406" width="16.42578125" style="244" customWidth="1"/>
    <col min="6407" max="6407" width="18.140625" style="244" customWidth="1"/>
    <col min="6408" max="6408" width="13.85546875" style="244"/>
    <col min="6409" max="6409" width="16.42578125" style="244" customWidth="1"/>
    <col min="6410" max="6656" width="13.85546875" style="244"/>
    <col min="6657" max="6657" width="0" style="244" hidden="1" customWidth="1"/>
    <col min="6658" max="6658" width="15.140625" style="244" customWidth="1"/>
    <col min="6659" max="6659" width="16.42578125" style="244" customWidth="1"/>
    <col min="6660" max="6660" width="38.42578125" style="244" customWidth="1"/>
    <col min="6661" max="6662" width="16.42578125" style="244" customWidth="1"/>
    <col min="6663" max="6663" width="18.140625" style="244" customWidth="1"/>
    <col min="6664" max="6664" width="13.85546875" style="244"/>
    <col min="6665" max="6665" width="16.42578125" style="244" customWidth="1"/>
    <col min="6666" max="6912" width="13.85546875" style="244"/>
    <col min="6913" max="6913" width="0" style="244" hidden="1" customWidth="1"/>
    <col min="6914" max="6914" width="15.140625" style="244" customWidth="1"/>
    <col min="6915" max="6915" width="16.42578125" style="244" customWidth="1"/>
    <col min="6916" max="6916" width="38.42578125" style="244" customWidth="1"/>
    <col min="6917" max="6918" width="16.42578125" style="244" customWidth="1"/>
    <col min="6919" max="6919" width="18.140625" style="244" customWidth="1"/>
    <col min="6920" max="6920" width="13.85546875" style="244"/>
    <col min="6921" max="6921" width="16.42578125" style="244" customWidth="1"/>
    <col min="6922" max="7168" width="13.85546875" style="244"/>
    <col min="7169" max="7169" width="0" style="244" hidden="1" customWidth="1"/>
    <col min="7170" max="7170" width="15.140625" style="244" customWidth="1"/>
    <col min="7171" max="7171" width="16.42578125" style="244" customWidth="1"/>
    <col min="7172" max="7172" width="38.42578125" style="244" customWidth="1"/>
    <col min="7173" max="7174" width="16.42578125" style="244" customWidth="1"/>
    <col min="7175" max="7175" width="18.140625" style="244" customWidth="1"/>
    <col min="7176" max="7176" width="13.85546875" style="244"/>
    <col min="7177" max="7177" width="16.42578125" style="244" customWidth="1"/>
    <col min="7178" max="7424" width="13.85546875" style="244"/>
    <col min="7425" max="7425" width="0" style="244" hidden="1" customWidth="1"/>
    <col min="7426" max="7426" width="15.140625" style="244" customWidth="1"/>
    <col min="7427" max="7427" width="16.42578125" style="244" customWidth="1"/>
    <col min="7428" max="7428" width="38.42578125" style="244" customWidth="1"/>
    <col min="7429" max="7430" width="16.42578125" style="244" customWidth="1"/>
    <col min="7431" max="7431" width="18.140625" style="244" customWidth="1"/>
    <col min="7432" max="7432" width="13.85546875" style="244"/>
    <col min="7433" max="7433" width="16.42578125" style="244" customWidth="1"/>
    <col min="7434" max="7680" width="13.85546875" style="244"/>
    <col min="7681" max="7681" width="0" style="244" hidden="1" customWidth="1"/>
    <col min="7682" max="7682" width="15.140625" style="244" customWidth="1"/>
    <col min="7683" max="7683" width="16.42578125" style="244" customWidth="1"/>
    <col min="7684" max="7684" width="38.42578125" style="244" customWidth="1"/>
    <col min="7685" max="7686" width="16.42578125" style="244" customWidth="1"/>
    <col min="7687" max="7687" width="18.140625" style="244" customWidth="1"/>
    <col min="7688" max="7688" width="13.85546875" style="244"/>
    <col min="7689" max="7689" width="16.42578125" style="244" customWidth="1"/>
    <col min="7690" max="7936" width="13.85546875" style="244"/>
    <col min="7937" max="7937" width="0" style="244" hidden="1" customWidth="1"/>
    <col min="7938" max="7938" width="15.140625" style="244" customWidth="1"/>
    <col min="7939" max="7939" width="16.42578125" style="244" customWidth="1"/>
    <col min="7940" max="7940" width="38.42578125" style="244" customWidth="1"/>
    <col min="7941" max="7942" width="16.42578125" style="244" customWidth="1"/>
    <col min="7943" max="7943" width="18.140625" style="244" customWidth="1"/>
    <col min="7944" max="7944" width="13.85546875" style="244"/>
    <col min="7945" max="7945" width="16.42578125" style="244" customWidth="1"/>
    <col min="7946" max="8192" width="13.85546875" style="244"/>
    <col min="8193" max="8193" width="0" style="244" hidden="1" customWidth="1"/>
    <col min="8194" max="8194" width="15.140625" style="244" customWidth="1"/>
    <col min="8195" max="8195" width="16.42578125" style="244" customWidth="1"/>
    <col min="8196" max="8196" width="38.42578125" style="244" customWidth="1"/>
    <col min="8197" max="8198" width="16.42578125" style="244" customWidth="1"/>
    <col min="8199" max="8199" width="18.140625" style="244" customWidth="1"/>
    <col min="8200" max="8200" width="13.85546875" style="244"/>
    <col min="8201" max="8201" width="16.42578125" style="244" customWidth="1"/>
    <col min="8202" max="8448" width="13.85546875" style="244"/>
    <col min="8449" max="8449" width="0" style="244" hidden="1" customWidth="1"/>
    <col min="8450" max="8450" width="15.140625" style="244" customWidth="1"/>
    <col min="8451" max="8451" width="16.42578125" style="244" customWidth="1"/>
    <col min="8452" max="8452" width="38.42578125" style="244" customWidth="1"/>
    <col min="8453" max="8454" width="16.42578125" style="244" customWidth="1"/>
    <col min="8455" max="8455" width="18.140625" style="244" customWidth="1"/>
    <col min="8456" max="8456" width="13.85546875" style="244"/>
    <col min="8457" max="8457" width="16.42578125" style="244" customWidth="1"/>
    <col min="8458" max="8704" width="13.85546875" style="244"/>
    <col min="8705" max="8705" width="0" style="244" hidden="1" customWidth="1"/>
    <col min="8706" max="8706" width="15.140625" style="244" customWidth="1"/>
    <col min="8707" max="8707" width="16.42578125" style="244" customWidth="1"/>
    <col min="8708" max="8708" width="38.42578125" style="244" customWidth="1"/>
    <col min="8709" max="8710" width="16.42578125" style="244" customWidth="1"/>
    <col min="8711" max="8711" width="18.140625" style="244" customWidth="1"/>
    <col min="8712" max="8712" width="13.85546875" style="244"/>
    <col min="8713" max="8713" width="16.42578125" style="244" customWidth="1"/>
    <col min="8714" max="8960" width="13.85546875" style="244"/>
    <col min="8961" max="8961" width="0" style="244" hidden="1" customWidth="1"/>
    <col min="8962" max="8962" width="15.140625" style="244" customWidth="1"/>
    <col min="8963" max="8963" width="16.42578125" style="244" customWidth="1"/>
    <col min="8964" max="8964" width="38.42578125" style="244" customWidth="1"/>
    <col min="8965" max="8966" width="16.42578125" style="244" customWidth="1"/>
    <col min="8967" max="8967" width="18.140625" style="244" customWidth="1"/>
    <col min="8968" max="8968" width="13.85546875" style="244"/>
    <col min="8969" max="8969" width="16.42578125" style="244" customWidth="1"/>
    <col min="8970" max="9216" width="13.85546875" style="244"/>
    <col min="9217" max="9217" width="0" style="244" hidden="1" customWidth="1"/>
    <col min="9218" max="9218" width="15.140625" style="244" customWidth="1"/>
    <col min="9219" max="9219" width="16.42578125" style="244" customWidth="1"/>
    <col min="9220" max="9220" width="38.42578125" style="244" customWidth="1"/>
    <col min="9221" max="9222" width="16.42578125" style="244" customWidth="1"/>
    <col min="9223" max="9223" width="18.140625" style="244" customWidth="1"/>
    <col min="9224" max="9224" width="13.85546875" style="244"/>
    <col min="9225" max="9225" width="16.42578125" style="244" customWidth="1"/>
    <col min="9226" max="9472" width="13.85546875" style="244"/>
    <col min="9473" max="9473" width="0" style="244" hidden="1" customWidth="1"/>
    <col min="9474" max="9474" width="15.140625" style="244" customWidth="1"/>
    <col min="9475" max="9475" width="16.42578125" style="244" customWidth="1"/>
    <col min="9476" max="9476" width="38.42578125" style="244" customWidth="1"/>
    <col min="9477" max="9478" width="16.42578125" style="244" customWidth="1"/>
    <col min="9479" max="9479" width="18.140625" style="244" customWidth="1"/>
    <col min="9480" max="9480" width="13.85546875" style="244"/>
    <col min="9481" max="9481" width="16.42578125" style="244" customWidth="1"/>
    <col min="9482" max="9728" width="13.85546875" style="244"/>
    <col min="9729" max="9729" width="0" style="244" hidden="1" customWidth="1"/>
    <col min="9730" max="9730" width="15.140625" style="244" customWidth="1"/>
    <col min="9731" max="9731" width="16.42578125" style="244" customWidth="1"/>
    <col min="9732" max="9732" width="38.42578125" style="244" customWidth="1"/>
    <col min="9733" max="9734" width="16.42578125" style="244" customWidth="1"/>
    <col min="9735" max="9735" width="18.140625" style="244" customWidth="1"/>
    <col min="9736" max="9736" width="13.85546875" style="244"/>
    <col min="9737" max="9737" width="16.42578125" style="244" customWidth="1"/>
    <col min="9738" max="9984" width="13.85546875" style="244"/>
    <col min="9985" max="9985" width="0" style="244" hidden="1" customWidth="1"/>
    <col min="9986" max="9986" width="15.140625" style="244" customWidth="1"/>
    <col min="9987" max="9987" width="16.42578125" style="244" customWidth="1"/>
    <col min="9988" max="9988" width="38.42578125" style="244" customWidth="1"/>
    <col min="9989" max="9990" width="16.42578125" style="244" customWidth="1"/>
    <col min="9991" max="9991" width="18.140625" style="244" customWidth="1"/>
    <col min="9992" max="9992" width="13.85546875" style="244"/>
    <col min="9993" max="9993" width="16.42578125" style="244" customWidth="1"/>
    <col min="9994" max="10240" width="13.85546875" style="244"/>
    <col min="10241" max="10241" width="0" style="244" hidden="1" customWidth="1"/>
    <col min="10242" max="10242" width="15.140625" style="244" customWidth="1"/>
    <col min="10243" max="10243" width="16.42578125" style="244" customWidth="1"/>
    <col min="10244" max="10244" width="38.42578125" style="244" customWidth="1"/>
    <col min="10245" max="10246" width="16.42578125" style="244" customWidth="1"/>
    <col min="10247" max="10247" width="18.140625" style="244" customWidth="1"/>
    <col min="10248" max="10248" width="13.85546875" style="244"/>
    <col min="10249" max="10249" width="16.42578125" style="244" customWidth="1"/>
    <col min="10250" max="10496" width="13.85546875" style="244"/>
    <col min="10497" max="10497" width="0" style="244" hidden="1" customWidth="1"/>
    <col min="10498" max="10498" width="15.140625" style="244" customWidth="1"/>
    <col min="10499" max="10499" width="16.42578125" style="244" customWidth="1"/>
    <col min="10500" max="10500" width="38.42578125" style="244" customWidth="1"/>
    <col min="10501" max="10502" width="16.42578125" style="244" customWidth="1"/>
    <col min="10503" max="10503" width="18.140625" style="244" customWidth="1"/>
    <col min="10504" max="10504" width="13.85546875" style="244"/>
    <col min="10505" max="10505" width="16.42578125" style="244" customWidth="1"/>
    <col min="10506" max="10752" width="13.85546875" style="244"/>
    <col min="10753" max="10753" width="0" style="244" hidden="1" customWidth="1"/>
    <col min="10754" max="10754" width="15.140625" style="244" customWidth="1"/>
    <col min="10755" max="10755" width="16.42578125" style="244" customWidth="1"/>
    <col min="10756" max="10756" width="38.42578125" style="244" customWidth="1"/>
    <col min="10757" max="10758" width="16.42578125" style="244" customWidth="1"/>
    <col min="10759" max="10759" width="18.140625" style="244" customWidth="1"/>
    <col min="10760" max="10760" width="13.85546875" style="244"/>
    <col min="10761" max="10761" width="16.42578125" style="244" customWidth="1"/>
    <col min="10762" max="11008" width="13.85546875" style="244"/>
    <col min="11009" max="11009" width="0" style="244" hidden="1" customWidth="1"/>
    <col min="11010" max="11010" width="15.140625" style="244" customWidth="1"/>
    <col min="11011" max="11011" width="16.42578125" style="244" customWidth="1"/>
    <col min="11012" max="11012" width="38.42578125" style="244" customWidth="1"/>
    <col min="11013" max="11014" width="16.42578125" style="244" customWidth="1"/>
    <col min="11015" max="11015" width="18.140625" style="244" customWidth="1"/>
    <col min="11016" max="11016" width="13.85546875" style="244"/>
    <col min="11017" max="11017" width="16.42578125" style="244" customWidth="1"/>
    <col min="11018" max="11264" width="13.85546875" style="244"/>
    <col min="11265" max="11265" width="0" style="244" hidden="1" customWidth="1"/>
    <col min="11266" max="11266" width="15.140625" style="244" customWidth="1"/>
    <col min="11267" max="11267" width="16.42578125" style="244" customWidth="1"/>
    <col min="11268" max="11268" width="38.42578125" style="244" customWidth="1"/>
    <col min="11269" max="11270" width="16.42578125" style="244" customWidth="1"/>
    <col min="11271" max="11271" width="18.140625" style="244" customWidth="1"/>
    <col min="11272" max="11272" width="13.85546875" style="244"/>
    <col min="11273" max="11273" width="16.42578125" style="244" customWidth="1"/>
    <col min="11274" max="11520" width="13.85546875" style="244"/>
    <col min="11521" max="11521" width="0" style="244" hidden="1" customWidth="1"/>
    <col min="11522" max="11522" width="15.140625" style="244" customWidth="1"/>
    <col min="11523" max="11523" width="16.42578125" style="244" customWidth="1"/>
    <col min="11524" max="11524" width="38.42578125" style="244" customWidth="1"/>
    <col min="11525" max="11526" width="16.42578125" style="244" customWidth="1"/>
    <col min="11527" max="11527" width="18.140625" style="244" customWidth="1"/>
    <col min="11528" max="11528" width="13.85546875" style="244"/>
    <col min="11529" max="11529" width="16.42578125" style="244" customWidth="1"/>
    <col min="11530" max="11776" width="13.85546875" style="244"/>
    <col min="11777" max="11777" width="0" style="244" hidden="1" customWidth="1"/>
    <col min="11778" max="11778" width="15.140625" style="244" customWidth="1"/>
    <col min="11779" max="11779" width="16.42578125" style="244" customWidth="1"/>
    <col min="11780" max="11780" width="38.42578125" style="244" customWidth="1"/>
    <col min="11781" max="11782" width="16.42578125" style="244" customWidth="1"/>
    <col min="11783" max="11783" width="18.140625" style="244" customWidth="1"/>
    <col min="11784" max="11784" width="13.85546875" style="244"/>
    <col min="11785" max="11785" width="16.42578125" style="244" customWidth="1"/>
    <col min="11786" max="12032" width="13.85546875" style="244"/>
    <col min="12033" max="12033" width="0" style="244" hidden="1" customWidth="1"/>
    <col min="12034" max="12034" width="15.140625" style="244" customWidth="1"/>
    <col min="12035" max="12035" width="16.42578125" style="244" customWidth="1"/>
    <col min="12036" max="12036" width="38.42578125" style="244" customWidth="1"/>
    <col min="12037" max="12038" width="16.42578125" style="244" customWidth="1"/>
    <col min="12039" max="12039" width="18.140625" style="244" customWidth="1"/>
    <col min="12040" max="12040" width="13.85546875" style="244"/>
    <col min="12041" max="12041" width="16.42578125" style="244" customWidth="1"/>
    <col min="12042" max="12288" width="13.85546875" style="244"/>
    <col min="12289" max="12289" width="0" style="244" hidden="1" customWidth="1"/>
    <col min="12290" max="12290" width="15.140625" style="244" customWidth="1"/>
    <col min="12291" max="12291" width="16.42578125" style="244" customWidth="1"/>
    <col min="12292" max="12292" width="38.42578125" style="244" customWidth="1"/>
    <col min="12293" max="12294" width="16.42578125" style="244" customWidth="1"/>
    <col min="12295" max="12295" width="18.140625" style="244" customWidth="1"/>
    <col min="12296" max="12296" width="13.85546875" style="244"/>
    <col min="12297" max="12297" width="16.42578125" style="244" customWidth="1"/>
    <col min="12298" max="12544" width="13.85546875" style="244"/>
    <col min="12545" max="12545" width="0" style="244" hidden="1" customWidth="1"/>
    <col min="12546" max="12546" width="15.140625" style="244" customWidth="1"/>
    <col min="12547" max="12547" width="16.42578125" style="244" customWidth="1"/>
    <col min="12548" max="12548" width="38.42578125" style="244" customWidth="1"/>
    <col min="12549" max="12550" width="16.42578125" style="244" customWidth="1"/>
    <col min="12551" max="12551" width="18.140625" style="244" customWidth="1"/>
    <col min="12552" max="12552" width="13.85546875" style="244"/>
    <col min="12553" max="12553" width="16.42578125" style="244" customWidth="1"/>
    <col min="12554" max="12800" width="13.85546875" style="244"/>
    <col min="12801" max="12801" width="0" style="244" hidden="1" customWidth="1"/>
    <col min="12802" max="12802" width="15.140625" style="244" customWidth="1"/>
    <col min="12803" max="12803" width="16.42578125" style="244" customWidth="1"/>
    <col min="12804" max="12804" width="38.42578125" style="244" customWidth="1"/>
    <col min="12805" max="12806" width="16.42578125" style="244" customWidth="1"/>
    <col min="12807" max="12807" width="18.140625" style="244" customWidth="1"/>
    <col min="12808" max="12808" width="13.85546875" style="244"/>
    <col min="12809" max="12809" width="16.42578125" style="244" customWidth="1"/>
    <col min="12810" max="13056" width="13.85546875" style="244"/>
    <col min="13057" max="13057" width="0" style="244" hidden="1" customWidth="1"/>
    <col min="13058" max="13058" width="15.140625" style="244" customWidth="1"/>
    <col min="13059" max="13059" width="16.42578125" style="244" customWidth="1"/>
    <col min="13060" max="13060" width="38.42578125" style="244" customWidth="1"/>
    <col min="13061" max="13062" width="16.42578125" style="244" customWidth="1"/>
    <col min="13063" max="13063" width="18.140625" style="244" customWidth="1"/>
    <col min="13064" max="13064" width="13.85546875" style="244"/>
    <col min="13065" max="13065" width="16.42578125" style="244" customWidth="1"/>
    <col min="13066" max="13312" width="13.85546875" style="244"/>
    <col min="13313" max="13313" width="0" style="244" hidden="1" customWidth="1"/>
    <col min="13314" max="13314" width="15.140625" style="244" customWidth="1"/>
    <col min="13315" max="13315" width="16.42578125" style="244" customWidth="1"/>
    <col min="13316" max="13316" width="38.42578125" style="244" customWidth="1"/>
    <col min="13317" max="13318" width="16.42578125" style="244" customWidth="1"/>
    <col min="13319" max="13319" width="18.140625" style="244" customWidth="1"/>
    <col min="13320" max="13320" width="13.85546875" style="244"/>
    <col min="13321" max="13321" width="16.42578125" style="244" customWidth="1"/>
    <col min="13322" max="13568" width="13.85546875" style="244"/>
    <col min="13569" max="13569" width="0" style="244" hidden="1" customWidth="1"/>
    <col min="13570" max="13570" width="15.140625" style="244" customWidth="1"/>
    <col min="13571" max="13571" width="16.42578125" style="244" customWidth="1"/>
    <col min="13572" max="13572" width="38.42578125" style="244" customWidth="1"/>
    <col min="13573" max="13574" width="16.42578125" style="244" customWidth="1"/>
    <col min="13575" max="13575" width="18.140625" style="244" customWidth="1"/>
    <col min="13576" max="13576" width="13.85546875" style="244"/>
    <col min="13577" max="13577" width="16.42578125" style="244" customWidth="1"/>
    <col min="13578" max="13824" width="13.85546875" style="244"/>
    <col min="13825" max="13825" width="0" style="244" hidden="1" customWidth="1"/>
    <col min="13826" max="13826" width="15.140625" style="244" customWidth="1"/>
    <col min="13827" max="13827" width="16.42578125" style="244" customWidth="1"/>
    <col min="13828" max="13828" width="38.42578125" style="244" customWidth="1"/>
    <col min="13829" max="13830" width="16.42578125" style="244" customWidth="1"/>
    <col min="13831" max="13831" width="18.140625" style="244" customWidth="1"/>
    <col min="13832" max="13832" width="13.85546875" style="244"/>
    <col min="13833" max="13833" width="16.42578125" style="244" customWidth="1"/>
    <col min="13834" max="14080" width="13.85546875" style="244"/>
    <col min="14081" max="14081" width="0" style="244" hidden="1" customWidth="1"/>
    <col min="14082" max="14082" width="15.140625" style="244" customWidth="1"/>
    <col min="14083" max="14083" width="16.42578125" style="244" customWidth="1"/>
    <col min="14084" max="14084" width="38.42578125" style="244" customWidth="1"/>
    <col min="14085" max="14086" width="16.42578125" style="244" customWidth="1"/>
    <col min="14087" max="14087" width="18.140625" style="244" customWidth="1"/>
    <col min="14088" max="14088" width="13.85546875" style="244"/>
    <col min="14089" max="14089" width="16.42578125" style="244" customWidth="1"/>
    <col min="14090" max="14336" width="13.85546875" style="244"/>
    <col min="14337" max="14337" width="0" style="244" hidden="1" customWidth="1"/>
    <col min="14338" max="14338" width="15.140625" style="244" customWidth="1"/>
    <col min="14339" max="14339" width="16.42578125" style="244" customWidth="1"/>
    <col min="14340" max="14340" width="38.42578125" style="244" customWidth="1"/>
    <col min="14341" max="14342" width="16.42578125" style="244" customWidth="1"/>
    <col min="14343" max="14343" width="18.140625" style="244" customWidth="1"/>
    <col min="14344" max="14344" width="13.85546875" style="244"/>
    <col min="14345" max="14345" width="16.42578125" style="244" customWidth="1"/>
    <col min="14346" max="14592" width="13.85546875" style="244"/>
    <col min="14593" max="14593" width="0" style="244" hidden="1" customWidth="1"/>
    <col min="14594" max="14594" width="15.140625" style="244" customWidth="1"/>
    <col min="14595" max="14595" width="16.42578125" style="244" customWidth="1"/>
    <col min="14596" max="14596" width="38.42578125" style="244" customWidth="1"/>
    <col min="14597" max="14598" width="16.42578125" style="244" customWidth="1"/>
    <col min="14599" max="14599" width="18.140625" style="244" customWidth="1"/>
    <col min="14600" max="14600" width="13.85546875" style="244"/>
    <col min="14601" max="14601" width="16.42578125" style="244" customWidth="1"/>
    <col min="14602" max="14848" width="13.85546875" style="244"/>
    <col min="14849" max="14849" width="0" style="244" hidden="1" customWidth="1"/>
    <col min="14850" max="14850" width="15.140625" style="244" customWidth="1"/>
    <col min="14851" max="14851" width="16.42578125" style="244" customWidth="1"/>
    <col min="14852" max="14852" width="38.42578125" style="244" customWidth="1"/>
    <col min="14853" max="14854" width="16.42578125" style="244" customWidth="1"/>
    <col min="14855" max="14855" width="18.140625" style="244" customWidth="1"/>
    <col min="14856" max="14856" width="13.85546875" style="244"/>
    <col min="14857" max="14857" width="16.42578125" style="244" customWidth="1"/>
    <col min="14858" max="15104" width="13.85546875" style="244"/>
    <col min="15105" max="15105" width="0" style="244" hidden="1" customWidth="1"/>
    <col min="15106" max="15106" width="15.140625" style="244" customWidth="1"/>
    <col min="15107" max="15107" width="16.42578125" style="244" customWidth="1"/>
    <col min="15108" max="15108" width="38.42578125" style="244" customWidth="1"/>
    <col min="15109" max="15110" width="16.42578125" style="244" customWidth="1"/>
    <col min="15111" max="15111" width="18.140625" style="244" customWidth="1"/>
    <col min="15112" max="15112" width="13.85546875" style="244"/>
    <col min="15113" max="15113" width="16.42578125" style="244" customWidth="1"/>
    <col min="15114" max="15360" width="13.85546875" style="244"/>
    <col min="15361" max="15361" width="0" style="244" hidden="1" customWidth="1"/>
    <col min="15362" max="15362" width="15.140625" style="244" customWidth="1"/>
    <col min="15363" max="15363" width="16.42578125" style="244" customWidth="1"/>
    <col min="15364" max="15364" width="38.42578125" style="244" customWidth="1"/>
    <col min="15365" max="15366" width="16.42578125" style="244" customWidth="1"/>
    <col min="15367" max="15367" width="18.140625" style="244" customWidth="1"/>
    <col min="15368" max="15368" width="13.85546875" style="244"/>
    <col min="15369" max="15369" width="16.42578125" style="244" customWidth="1"/>
    <col min="15370" max="15616" width="13.85546875" style="244"/>
    <col min="15617" max="15617" width="0" style="244" hidden="1" customWidth="1"/>
    <col min="15618" max="15618" width="15.140625" style="244" customWidth="1"/>
    <col min="15619" max="15619" width="16.42578125" style="244" customWidth="1"/>
    <col min="15620" max="15620" width="38.42578125" style="244" customWidth="1"/>
    <col min="15621" max="15622" width="16.42578125" style="244" customWidth="1"/>
    <col min="15623" max="15623" width="18.140625" style="244" customWidth="1"/>
    <col min="15624" max="15624" width="13.85546875" style="244"/>
    <col min="15625" max="15625" width="16.42578125" style="244" customWidth="1"/>
    <col min="15626" max="15872" width="13.85546875" style="244"/>
    <col min="15873" max="15873" width="0" style="244" hidden="1" customWidth="1"/>
    <col min="15874" max="15874" width="15.140625" style="244" customWidth="1"/>
    <col min="15875" max="15875" width="16.42578125" style="244" customWidth="1"/>
    <col min="15876" max="15876" width="38.42578125" style="244" customWidth="1"/>
    <col min="15877" max="15878" width="16.42578125" style="244" customWidth="1"/>
    <col min="15879" max="15879" width="18.140625" style="244" customWidth="1"/>
    <col min="15880" max="15880" width="13.85546875" style="244"/>
    <col min="15881" max="15881" width="16.42578125" style="244" customWidth="1"/>
    <col min="15882" max="16128" width="13.85546875" style="244"/>
    <col min="16129" max="16129" width="0" style="244" hidden="1" customWidth="1"/>
    <col min="16130" max="16130" width="15.140625" style="244" customWidth="1"/>
    <col min="16131" max="16131" width="16.42578125" style="244" customWidth="1"/>
    <col min="16132" max="16132" width="38.42578125" style="244" customWidth="1"/>
    <col min="16133" max="16134" width="16.42578125" style="244" customWidth="1"/>
    <col min="16135" max="16135" width="18.140625" style="244" customWidth="1"/>
    <col min="16136" max="16136" width="13.85546875" style="244"/>
    <col min="16137" max="16137" width="16.42578125" style="244" customWidth="1"/>
    <col min="16138" max="16384" width="13.85546875" style="244"/>
  </cols>
  <sheetData>
    <row r="1" spans="2:10">
      <c r="B1" s="242"/>
      <c r="C1" s="243"/>
      <c r="D1" s="243"/>
      <c r="E1" s="243"/>
      <c r="F1" s="243"/>
      <c r="I1" s="245"/>
      <c r="J1" s="245"/>
    </row>
    <row r="2" spans="2:10">
      <c r="B2" s="242" t="s">
        <v>632</v>
      </c>
      <c r="C2" s="243"/>
      <c r="D2" s="243"/>
      <c r="E2" s="246"/>
      <c r="F2" s="243"/>
      <c r="J2" s="245"/>
    </row>
    <row r="3" spans="2:10">
      <c r="B3" s="242" t="s">
        <v>44</v>
      </c>
      <c r="C3" s="243"/>
      <c r="D3" s="243"/>
      <c r="E3" s="247" t="s">
        <v>633</v>
      </c>
      <c r="F3" s="243"/>
    </row>
    <row r="4" spans="2:10">
      <c r="B4" s="242" t="s">
        <v>47</v>
      </c>
      <c r="C4" s="243"/>
      <c r="D4" s="243"/>
      <c r="E4" s="247" t="s">
        <v>634</v>
      </c>
      <c r="F4" s="243"/>
      <c r="I4" s="245"/>
      <c r="J4" s="245"/>
    </row>
    <row r="5" spans="2:10">
      <c r="B5" s="248" t="s">
        <v>275</v>
      </c>
      <c r="C5" s="243"/>
      <c r="D5" s="243"/>
      <c r="E5" s="249">
        <v>0</v>
      </c>
      <c r="F5" s="243"/>
      <c r="J5" s="245"/>
    </row>
    <row r="6" spans="2:10">
      <c r="B6" s="250" t="s">
        <v>52</v>
      </c>
      <c r="C6" s="251" t="s">
        <v>53</v>
      </c>
      <c r="D6" s="251" t="s">
        <v>54</v>
      </c>
      <c r="E6" s="251" t="s">
        <v>635</v>
      </c>
      <c r="F6" s="251" t="s">
        <v>56</v>
      </c>
      <c r="G6" s="252" t="s">
        <v>636</v>
      </c>
    </row>
    <row r="7" spans="2:10">
      <c r="B7" s="250" t="s">
        <v>62</v>
      </c>
      <c r="C7" s="253">
        <v>0</v>
      </c>
      <c r="D7" s="254"/>
      <c r="E7" s="255"/>
      <c r="F7" s="253">
        <f>E5-C7+E7</f>
        <v>0</v>
      </c>
      <c r="G7" s="256"/>
    </row>
    <row r="8" spans="2:10">
      <c r="B8" s="250" t="s">
        <v>68</v>
      </c>
      <c r="C8" s="253">
        <f>42412.5+46205.01</f>
        <v>88617.510000000009</v>
      </c>
      <c r="D8" s="257" t="s">
        <v>637</v>
      </c>
      <c r="E8" s="255">
        <f>75850.2+173191.29</f>
        <v>249041.49</v>
      </c>
      <c r="F8" s="255">
        <f t="shared" ref="F8:F18" si="0">F7-C8+E8</f>
        <v>160423.97999999998</v>
      </c>
      <c r="G8" s="256" t="s">
        <v>638</v>
      </c>
    </row>
    <row r="9" spans="2:10" ht="13.5">
      <c r="B9" s="250" t="s">
        <v>70</v>
      </c>
      <c r="C9" s="253">
        <v>38810.82</v>
      </c>
      <c r="D9" s="258" t="s">
        <v>639</v>
      </c>
      <c r="E9" s="259">
        <v>51578.13</v>
      </c>
      <c r="F9" s="255">
        <f t="shared" si="0"/>
        <v>173191.28999999998</v>
      </c>
      <c r="G9" s="256" t="s">
        <v>640</v>
      </c>
    </row>
    <row r="10" spans="2:10">
      <c r="B10" s="250" t="s">
        <v>72</v>
      </c>
      <c r="C10" s="253">
        <v>11630.36</v>
      </c>
      <c r="D10" s="257"/>
      <c r="E10" s="255"/>
      <c r="F10" s="255">
        <f t="shared" si="0"/>
        <v>161560.93</v>
      </c>
      <c r="G10" s="256" t="s">
        <v>641</v>
      </c>
    </row>
    <row r="11" spans="2:10" ht="13.5">
      <c r="B11" s="250" t="s">
        <v>74</v>
      </c>
      <c r="C11" s="253">
        <v>12199.24</v>
      </c>
      <c r="D11" s="258"/>
      <c r="E11" s="255"/>
      <c r="F11" s="255">
        <f t="shared" si="0"/>
        <v>149361.69</v>
      </c>
      <c r="G11" s="256" t="s">
        <v>642</v>
      </c>
    </row>
    <row r="12" spans="2:10" ht="13.5">
      <c r="B12" s="250" t="s">
        <v>75</v>
      </c>
      <c r="C12" s="253">
        <v>25662.65</v>
      </c>
      <c r="D12" s="258" t="s">
        <v>639</v>
      </c>
      <c r="E12" s="255">
        <v>49492.25</v>
      </c>
      <c r="F12" s="255">
        <f t="shared" si="0"/>
        <v>173191.29</v>
      </c>
      <c r="G12" s="256" t="s">
        <v>643</v>
      </c>
    </row>
    <row r="13" spans="2:10">
      <c r="B13" s="250" t="s">
        <v>78</v>
      </c>
      <c r="C13" s="253">
        <v>50427.360000000001</v>
      </c>
      <c r="D13" s="257" t="s">
        <v>644</v>
      </c>
      <c r="E13" s="255">
        <v>25460</v>
      </c>
      <c r="F13" s="255">
        <f t="shared" si="0"/>
        <v>148223.93</v>
      </c>
      <c r="G13" s="256" t="s">
        <v>645</v>
      </c>
    </row>
    <row r="14" spans="2:10">
      <c r="B14" s="250" t="s">
        <v>79</v>
      </c>
      <c r="C14" s="253">
        <v>50680.19</v>
      </c>
      <c r="D14" s="257" t="s">
        <v>644</v>
      </c>
      <c r="E14" s="255">
        <v>25460</v>
      </c>
      <c r="F14" s="255">
        <f t="shared" si="0"/>
        <v>123003.73999999999</v>
      </c>
      <c r="G14" s="256" t="s">
        <v>646</v>
      </c>
    </row>
    <row r="15" spans="2:10" ht="13.5">
      <c r="B15" s="250" t="s">
        <v>81</v>
      </c>
      <c r="C15" s="253">
        <v>35004.480000000003</v>
      </c>
      <c r="D15" s="258" t="s">
        <v>639</v>
      </c>
      <c r="E15" s="255">
        <f>25460+59732.03</f>
        <v>85192.03</v>
      </c>
      <c r="F15" s="255">
        <f t="shared" si="0"/>
        <v>173191.28999999998</v>
      </c>
      <c r="G15" s="256" t="s">
        <v>647</v>
      </c>
    </row>
    <row r="16" spans="2:10">
      <c r="B16" s="250" t="s">
        <v>82</v>
      </c>
      <c r="C16" s="253">
        <v>25475.47</v>
      </c>
      <c r="D16" s="257" t="s">
        <v>644</v>
      </c>
      <c r="E16" s="255">
        <v>25475.47</v>
      </c>
      <c r="F16" s="255">
        <f t="shared" si="0"/>
        <v>173191.28999999998</v>
      </c>
      <c r="G16" s="256" t="s">
        <v>648</v>
      </c>
    </row>
    <row r="17" spans="2:7">
      <c r="B17" s="250" t="s">
        <v>83</v>
      </c>
      <c r="C17" s="253">
        <v>33692.58</v>
      </c>
      <c r="D17" s="257" t="s">
        <v>649</v>
      </c>
      <c r="E17" s="255">
        <v>50950.95</v>
      </c>
      <c r="F17" s="255">
        <f t="shared" si="0"/>
        <v>190449.65999999997</v>
      </c>
      <c r="G17" s="256" t="s">
        <v>650</v>
      </c>
    </row>
    <row r="18" spans="2:7" ht="13.5">
      <c r="B18" s="250" t="s">
        <v>84</v>
      </c>
      <c r="C18" s="253">
        <v>25475.47</v>
      </c>
      <c r="D18" s="258" t="s">
        <v>639</v>
      </c>
      <c r="E18" s="255">
        <v>8217.1</v>
      </c>
      <c r="F18" s="255">
        <f t="shared" si="0"/>
        <v>173191.28999999998</v>
      </c>
      <c r="G18" s="256" t="s">
        <v>651</v>
      </c>
    </row>
    <row r="21" spans="2:7">
      <c r="B21" s="242" t="s">
        <v>632</v>
      </c>
      <c r="C21" s="243"/>
      <c r="D21" s="243"/>
      <c r="E21" s="246"/>
      <c r="F21" s="243"/>
    </row>
    <row r="22" spans="2:7">
      <c r="B22" s="242" t="s">
        <v>44</v>
      </c>
      <c r="C22" s="243"/>
      <c r="D22" s="243"/>
      <c r="E22" s="247" t="s">
        <v>633</v>
      </c>
      <c r="F22" s="243"/>
    </row>
    <row r="23" spans="2:7">
      <c r="B23" s="242" t="s">
        <v>47</v>
      </c>
      <c r="C23" s="243"/>
      <c r="D23" s="243"/>
      <c r="E23" s="247" t="s">
        <v>634</v>
      </c>
      <c r="F23" s="243"/>
    </row>
    <row r="24" spans="2:7">
      <c r="B24" s="248" t="s">
        <v>50</v>
      </c>
      <c r="C24" s="243"/>
      <c r="D24" s="243"/>
      <c r="E24" s="249">
        <v>173191.29</v>
      </c>
      <c r="F24" s="243"/>
    </row>
    <row r="25" spans="2:7">
      <c r="B25" s="250" t="s">
        <v>52</v>
      </c>
      <c r="C25" s="251" t="s">
        <v>53</v>
      </c>
      <c r="D25" s="251" t="s">
        <v>54</v>
      </c>
      <c r="E25" s="251" t="s">
        <v>635</v>
      </c>
      <c r="F25" s="251" t="s">
        <v>56</v>
      </c>
      <c r="G25" s="252" t="s">
        <v>636</v>
      </c>
    </row>
    <row r="26" spans="2:7">
      <c r="B26" s="250" t="s">
        <v>62</v>
      </c>
      <c r="C26" s="253">
        <v>51768.32</v>
      </c>
      <c r="D26" s="255" t="s">
        <v>652</v>
      </c>
      <c r="E26" s="255">
        <v>76230.81</v>
      </c>
      <c r="F26" s="253">
        <f>E24-C26+E26</f>
        <v>197653.78</v>
      </c>
      <c r="G26" s="256" t="s">
        <v>653</v>
      </c>
    </row>
    <row r="27" spans="2:7">
      <c r="B27" s="250" t="s">
        <v>68</v>
      </c>
      <c r="C27" s="253">
        <v>43361.56</v>
      </c>
      <c r="D27" s="257"/>
      <c r="E27" s="255"/>
      <c r="F27" s="255">
        <f t="shared" ref="F27:F37" si="1">F26-C27+E27</f>
        <v>154292.22</v>
      </c>
      <c r="G27" s="256" t="s">
        <v>654</v>
      </c>
    </row>
    <row r="28" spans="2:7">
      <c r="B28" s="250" t="s">
        <v>70</v>
      </c>
      <c r="C28" s="253">
        <v>54612.71</v>
      </c>
      <c r="D28" s="255" t="s">
        <v>655</v>
      </c>
      <c r="E28" s="259">
        <v>165100.9</v>
      </c>
      <c r="F28" s="255">
        <f t="shared" si="1"/>
        <v>264780.41000000003</v>
      </c>
      <c r="G28" s="256" t="s">
        <v>656</v>
      </c>
    </row>
    <row r="29" spans="2:7">
      <c r="B29" s="250" t="s">
        <v>72</v>
      </c>
      <c r="C29" s="253">
        <v>45360.15</v>
      </c>
      <c r="D29" s="257" t="s">
        <v>655</v>
      </c>
      <c r="E29" s="255"/>
      <c r="F29" s="255">
        <f t="shared" si="1"/>
        <v>219420.26000000004</v>
      </c>
      <c r="G29" s="256" t="s">
        <v>657</v>
      </c>
    </row>
    <row r="30" spans="2:7">
      <c r="B30" s="250" t="s">
        <v>74</v>
      </c>
      <c r="C30" s="253">
        <v>66345.45</v>
      </c>
      <c r="D30" s="257" t="s">
        <v>658</v>
      </c>
      <c r="E30" s="255">
        <v>76158.55</v>
      </c>
      <c r="F30" s="255">
        <f t="shared" si="1"/>
        <v>229233.36000000004</v>
      </c>
      <c r="G30" s="256" t="s">
        <v>659</v>
      </c>
    </row>
    <row r="31" spans="2:7">
      <c r="B31" s="250" t="s">
        <v>75</v>
      </c>
      <c r="C31" s="253">
        <v>62363.3</v>
      </c>
      <c r="D31" s="257" t="s">
        <v>655</v>
      </c>
      <c r="E31" s="255"/>
      <c r="F31" s="255">
        <f t="shared" si="1"/>
        <v>166870.06000000006</v>
      </c>
      <c r="G31" s="256" t="s">
        <v>660</v>
      </c>
    </row>
    <row r="32" spans="2:7">
      <c r="B32" s="250" t="s">
        <v>78</v>
      </c>
      <c r="C32" s="253">
        <v>59284.61</v>
      </c>
      <c r="D32" s="257" t="s">
        <v>661</v>
      </c>
      <c r="E32" s="255">
        <v>77162.28</v>
      </c>
      <c r="F32" s="255">
        <f t="shared" si="1"/>
        <v>184747.73000000004</v>
      </c>
      <c r="G32" s="256" t="s">
        <v>662</v>
      </c>
    </row>
    <row r="33" spans="2:7">
      <c r="B33" s="250" t="s">
        <v>79</v>
      </c>
      <c r="C33" s="253">
        <v>72179.19</v>
      </c>
      <c r="D33" s="257" t="s">
        <v>655</v>
      </c>
      <c r="E33" s="255"/>
      <c r="F33" s="255">
        <f t="shared" si="1"/>
        <v>112568.54000000004</v>
      </c>
      <c r="G33" s="256" t="s">
        <v>663</v>
      </c>
    </row>
    <row r="34" spans="2:7">
      <c r="B34" s="250" t="s">
        <v>81</v>
      </c>
      <c r="C34" s="253">
        <v>49424.04</v>
      </c>
      <c r="D34" s="257" t="s">
        <v>655</v>
      </c>
      <c r="E34" s="255"/>
      <c r="F34" s="255">
        <f t="shared" si="1"/>
        <v>63144.500000000036</v>
      </c>
      <c r="G34" s="256" t="s">
        <v>664</v>
      </c>
    </row>
    <row r="35" spans="2:7">
      <c r="B35" s="250" t="s">
        <v>82</v>
      </c>
      <c r="C35" s="253">
        <v>46961.74</v>
      </c>
      <c r="D35" s="257"/>
      <c r="E35" s="255"/>
      <c r="F35" s="255">
        <f t="shared" si="1"/>
        <v>16182.760000000038</v>
      </c>
      <c r="G35" s="256" t="s">
        <v>665</v>
      </c>
    </row>
    <row r="36" spans="2:7">
      <c r="B36" s="250" t="s">
        <v>83</v>
      </c>
      <c r="C36" s="253">
        <v>55958.26</v>
      </c>
      <c r="D36" s="257" t="s">
        <v>666</v>
      </c>
      <c r="E36" s="255">
        <v>230070.45</v>
      </c>
      <c r="F36" s="255">
        <f t="shared" si="1"/>
        <v>190294.95000000004</v>
      </c>
      <c r="G36" s="256" t="s">
        <v>667</v>
      </c>
    </row>
    <row r="37" spans="2:7">
      <c r="B37" s="250" t="s">
        <v>84</v>
      </c>
      <c r="C37" s="253">
        <v>82569.14</v>
      </c>
      <c r="D37" s="257" t="s">
        <v>655</v>
      </c>
      <c r="E37" s="255"/>
      <c r="F37" s="255">
        <f t="shared" si="1"/>
        <v>107725.81000000004</v>
      </c>
      <c r="G37" s="256" t="s">
        <v>668</v>
      </c>
    </row>
    <row r="38" spans="2:7">
      <c r="F38" s="259"/>
    </row>
    <row r="39" spans="2:7">
      <c r="F39" s="259"/>
    </row>
    <row r="40" spans="2:7">
      <c r="F40" s="259"/>
    </row>
    <row r="41" spans="2:7">
      <c r="F41" s="259"/>
    </row>
    <row r="42" spans="2:7">
      <c r="F42" s="259"/>
    </row>
    <row r="43" spans="2:7">
      <c r="F43" s="259"/>
    </row>
    <row r="44" spans="2:7">
      <c r="F44" s="259"/>
    </row>
    <row r="45" spans="2:7">
      <c r="F45" s="259"/>
    </row>
    <row r="46" spans="2:7">
      <c r="F46" s="259"/>
    </row>
    <row r="47" spans="2:7">
      <c r="F47" s="259"/>
    </row>
    <row r="48" spans="2:7">
      <c r="F48" s="259"/>
    </row>
    <row r="49" spans="6:6">
      <c r="F49" s="259"/>
    </row>
    <row r="50" spans="6:6">
      <c r="F50" s="259"/>
    </row>
    <row r="51" spans="6:6">
      <c r="F51" s="259"/>
    </row>
    <row r="52" spans="6:6">
      <c r="F52" s="259"/>
    </row>
    <row r="53" spans="6:6">
      <c r="F53" s="259"/>
    </row>
  </sheetData>
  <pageMargins left="0.75" right="0.75" top="1" bottom="1" header="0.5" footer="0.5"/>
  <pageSetup scale="79" orientation="portrait" horizontalDpi="300" verticalDpi="300" r:id="rId1"/>
  <headerFooter alignWithMargins="0">
    <oddFooter>&amp;C&amp;10&amp;Z&amp;F
Prepared by Melody Wright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codeName="Sheet1"/>
  <dimension ref="A1:K279"/>
  <sheetViews>
    <sheetView showGridLines="0" zoomScaleNormal="100" workbookViewId="0"/>
  </sheetViews>
  <sheetFormatPr defaultColWidth="13.85546875" defaultRowHeight="12" customHeight="1"/>
  <cols>
    <col min="1" max="1" width="13.85546875" style="24"/>
    <col min="2" max="2" width="15.140625" style="24" customWidth="1"/>
    <col min="3" max="3" width="13.28515625" style="24" customWidth="1"/>
    <col min="4" max="4" width="47.28515625" style="24" customWidth="1"/>
    <col min="5" max="5" width="16.85546875" style="24" customWidth="1"/>
    <col min="6" max="6" width="15.140625" style="24" customWidth="1"/>
    <col min="7" max="7" width="23" style="24" customWidth="1"/>
    <col min="8" max="8" width="16.42578125" style="24" customWidth="1"/>
    <col min="9" max="9" width="13.85546875" style="24"/>
    <col min="10" max="10" width="12.42578125" style="24" customWidth="1"/>
    <col min="11" max="11" width="10.85546875" style="24" customWidth="1"/>
    <col min="12" max="257" width="13.85546875" style="24"/>
    <col min="258" max="258" width="15.140625" style="24" customWidth="1"/>
    <col min="259" max="259" width="13.28515625" style="24" customWidth="1"/>
    <col min="260" max="260" width="47.28515625" style="24" customWidth="1"/>
    <col min="261" max="261" width="16.85546875" style="24" customWidth="1"/>
    <col min="262" max="262" width="15.140625" style="24" customWidth="1"/>
    <col min="263" max="263" width="23" style="24" customWidth="1"/>
    <col min="264" max="264" width="16.42578125" style="24" customWidth="1"/>
    <col min="265" max="265" width="13.85546875" style="24"/>
    <col min="266" max="266" width="12.42578125" style="24" customWidth="1"/>
    <col min="267" max="267" width="10.85546875" style="24" customWidth="1"/>
    <col min="268" max="513" width="13.85546875" style="24"/>
    <col min="514" max="514" width="15.140625" style="24" customWidth="1"/>
    <col min="515" max="515" width="13.28515625" style="24" customWidth="1"/>
    <col min="516" max="516" width="47.28515625" style="24" customWidth="1"/>
    <col min="517" max="517" width="16.85546875" style="24" customWidth="1"/>
    <col min="518" max="518" width="15.140625" style="24" customWidth="1"/>
    <col min="519" max="519" width="23" style="24" customWidth="1"/>
    <col min="520" max="520" width="16.42578125" style="24" customWidth="1"/>
    <col min="521" max="521" width="13.85546875" style="24"/>
    <col min="522" max="522" width="12.42578125" style="24" customWidth="1"/>
    <col min="523" max="523" width="10.85546875" style="24" customWidth="1"/>
    <col min="524" max="769" width="13.85546875" style="24"/>
    <col min="770" max="770" width="15.140625" style="24" customWidth="1"/>
    <col min="771" max="771" width="13.28515625" style="24" customWidth="1"/>
    <col min="772" max="772" width="47.28515625" style="24" customWidth="1"/>
    <col min="773" max="773" width="16.85546875" style="24" customWidth="1"/>
    <col min="774" max="774" width="15.140625" style="24" customWidth="1"/>
    <col min="775" max="775" width="23" style="24" customWidth="1"/>
    <col min="776" max="776" width="16.42578125" style="24" customWidth="1"/>
    <col min="777" max="777" width="13.85546875" style="24"/>
    <col min="778" max="778" width="12.42578125" style="24" customWidth="1"/>
    <col min="779" max="779" width="10.85546875" style="24" customWidth="1"/>
    <col min="780" max="1025" width="13.85546875" style="24"/>
    <col min="1026" max="1026" width="15.140625" style="24" customWidth="1"/>
    <col min="1027" max="1027" width="13.28515625" style="24" customWidth="1"/>
    <col min="1028" max="1028" width="47.28515625" style="24" customWidth="1"/>
    <col min="1029" max="1029" width="16.85546875" style="24" customWidth="1"/>
    <col min="1030" max="1030" width="15.140625" style="24" customWidth="1"/>
    <col min="1031" max="1031" width="23" style="24" customWidth="1"/>
    <col min="1032" max="1032" width="16.42578125" style="24" customWidth="1"/>
    <col min="1033" max="1033" width="13.85546875" style="24"/>
    <col min="1034" max="1034" width="12.42578125" style="24" customWidth="1"/>
    <col min="1035" max="1035" width="10.85546875" style="24" customWidth="1"/>
    <col min="1036" max="1281" width="13.85546875" style="24"/>
    <col min="1282" max="1282" width="15.140625" style="24" customWidth="1"/>
    <col min="1283" max="1283" width="13.28515625" style="24" customWidth="1"/>
    <col min="1284" max="1284" width="47.28515625" style="24" customWidth="1"/>
    <col min="1285" max="1285" width="16.85546875" style="24" customWidth="1"/>
    <col min="1286" max="1286" width="15.140625" style="24" customWidth="1"/>
    <col min="1287" max="1287" width="23" style="24" customWidth="1"/>
    <col min="1288" max="1288" width="16.42578125" style="24" customWidth="1"/>
    <col min="1289" max="1289" width="13.85546875" style="24"/>
    <col min="1290" max="1290" width="12.42578125" style="24" customWidth="1"/>
    <col min="1291" max="1291" width="10.85546875" style="24" customWidth="1"/>
    <col min="1292" max="1537" width="13.85546875" style="24"/>
    <col min="1538" max="1538" width="15.140625" style="24" customWidth="1"/>
    <col min="1539" max="1539" width="13.28515625" style="24" customWidth="1"/>
    <col min="1540" max="1540" width="47.28515625" style="24" customWidth="1"/>
    <col min="1541" max="1541" width="16.85546875" style="24" customWidth="1"/>
    <col min="1542" max="1542" width="15.140625" style="24" customWidth="1"/>
    <col min="1543" max="1543" width="23" style="24" customWidth="1"/>
    <col min="1544" max="1544" width="16.42578125" style="24" customWidth="1"/>
    <col min="1545" max="1545" width="13.85546875" style="24"/>
    <col min="1546" max="1546" width="12.42578125" style="24" customWidth="1"/>
    <col min="1547" max="1547" width="10.85546875" style="24" customWidth="1"/>
    <col min="1548" max="1793" width="13.85546875" style="24"/>
    <col min="1794" max="1794" width="15.140625" style="24" customWidth="1"/>
    <col min="1795" max="1795" width="13.28515625" style="24" customWidth="1"/>
    <col min="1796" max="1796" width="47.28515625" style="24" customWidth="1"/>
    <col min="1797" max="1797" width="16.85546875" style="24" customWidth="1"/>
    <col min="1798" max="1798" width="15.140625" style="24" customWidth="1"/>
    <col min="1799" max="1799" width="23" style="24" customWidth="1"/>
    <col min="1800" max="1800" width="16.42578125" style="24" customWidth="1"/>
    <col min="1801" max="1801" width="13.85546875" style="24"/>
    <col min="1802" max="1802" width="12.42578125" style="24" customWidth="1"/>
    <col min="1803" max="1803" width="10.85546875" style="24" customWidth="1"/>
    <col min="1804" max="2049" width="13.85546875" style="24"/>
    <col min="2050" max="2050" width="15.140625" style="24" customWidth="1"/>
    <col min="2051" max="2051" width="13.28515625" style="24" customWidth="1"/>
    <col min="2052" max="2052" width="47.28515625" style="24" customWidth="1"/>
    <col min="2053" max="2053" width="16.85546875" style="24" customWidth="1"/>
    <col min="2054" max="2054" width="15.140625" style="24" customWidth="1"/>
    <col min="2055" max="2055" width="23" style="24" customWidth="1"/>
    <col min="2056" max="2056" width="16.42578125" style="24" customWidth="1"/>
    <col min="2057" max="2057" width="13.85546875" style="24"/>
    <col min="2058" max="2058" width="12.42578125" style="24" customWidth="1"/>
    <col min="2059" max="2059" width="10.85546875" style="24" customWidth="1"/>
    <col min="2060" max="2305" width="13.85546875" style="24"/>
    <col min="2306" max="2306" width="15.140625" style="24" customWidth="1"/>
    <col min="2307" max="2307" width="13.28515625" style="24" customWidth="1"/>
    <col min="2308" max="2308" width="47.28515625" style="24" customWidth="1"/>
    <col min="2309" max="2309" width="16.85546875" style="24" customWidth="1"/>
    <col min="2310" max="2310" width="15.140625" style="24" customWidth="1"/>
    <col min="2311" max="2311" width="23" style="24" customWidth="1"/>
    <col min="2312" max="2312" width="16.42578125" style="24" customWidth="1"/>
    <col min="2313" max="2313" width="13.85546875" style="24"/>
    <col min="2314" max="2314" width="12.42578125" style="24" customWidth="1"/>
    <col min="2315" max="2315" width="10.85546875" style="24" customWidth="1"/>
    <col min="2316" max="2561" width="13.85546875" style="24"/>
    <col min="2562" max="2562" width="15.140625" style="24" customWidth="1"/>
    <col min="2563" max="2563" width="13.28515625" style="24" customWidth="1"/>
    <col min="2564" max="2564" width="47.28515625" style="24" customWidth="1"/>
    <col min="2565" max="2565" width="16.85546875" style="24" customWidth="1"/>
    <col min="2566" max="2566" width="15.140625" style="24" customWidth="1"/>
    <col min="2567" max="2567" width="23" style="24" customWidth="1"/>
    <col min="2568" max="2568" width="16.42578125" style="24" customWidth="1"/>
    <col min="2569" max="2569" width="13.85546875" style="24"/>
    <col min="2570" max="2570" width="12.42578125" style="24" customWidth="1"/>
    <col min="2571" max="2571" width="10.85546875" style="24" customWidth="1"/>
    <col min="2572" max="2817" width="13.85546875" style="24"/>
    <col min="2818" max="2818" width="15.140625" style="24" customWidth="1"/>
    <col min="2819" max="2819" width="13.28515625" style="24" customWidth="1"/>
    <col min="2820" max="2820" width="47.28515625" style="24" customWidth="1"/>
    <col min="2821" max="2821" width="16.85546875" style="24" customWidth="1"/>
    <col min="2822" max="2822" width="15.140625" style="24" customWidth="1"/>
    <col min="2823" max="2823" width="23" style="24" customWidth="1"/>
    <col min="2824" max="2824" width="16.42578125" style="24" customWidth="1"/>
    <col min="2825" max="2825" width="13.85546875" style="24"/>
    <col min="2826" max="2826" width="12.42578125" style="24" customWidth="1"/>
    <col min="2827" max="2827" width="10.85546875" style="24" customWidth="1"/>
    <col min="2828" max="3073" width="13.85546875" style="24"/>
    <col min="3074" max="3074" width="15.140625" style="24" customWidth="1"/>
    <col min="3075" max="3075" width="13.28515625" style="24" customWidth="1"/>
    <col min="3076" max="3076" width="47.28515625" style="24" customWidth="1"/>
    <col min="3077" max="3077" width="16.85546875" style="24" customWidth="1"/>
    <col min="3078" max="3078" width="15.140625" style="24" customWidth="1"/>
    <col min="3079" max="3079" width="23" style="24" customWidth="1"/>
    <col min="3080" max="3080" width="16.42578125" style="24" customWidth="1"/>
    <col min="3081" max="3081" width="13.85546875" style="24"/>
    <col min="3082" max="3082" width="12.42578125" style="24" customWidth="1"/>
    <col min="3083" max="3083" width="10.85546875" style="24" customWidth="1"/>
    <col min="3084" max="3329" width="13.85546875" style="24"/>
    <col min="3330" max="3330" width="15.140625" style="24" customWidth="1"/>
    <col min="3331" max="3331" width="13.28515625" style="24" customWidth="1"/>
    <col min="3332" max="3332" width="47.28515625" style="24" customWidth="1"/>
    <col min="3333" max="3333" width="16.85546875" style="24" customWidth="1"/>
    <col min="3334" max="3334" width="15.140625" style="24" customWidth="1"/>
    <col min="3335" max="3335" width="23" style="24" customWidth="1"/>
    <col min="3336" max="3336" width="16.42578125" style="24" customWidth="1"/>
    <col min="3337" max="3337" width="13.85546875" style="24"/>
    <col min="3338" max="3338" width="12.42578125" style="24" customWidth="1"/>
    <col min="3339" max="3339" width="10.85546875" style="24" customWidth="1"/>
    <col min="3340" max="3585" width="13.85546875" style="24"/>
    <col min="3586" max="3586" width="15.140625" style="24" customWidth="1"/>
    <col min="3587" max="3587" width="13.28515625" style="24" customWidth="1"/>
    <col min="3588" max="3588" width="47.28515625" style="24" customWidth="1"/>
    <col min="3589" max="3589" width="16.85546875" style="24" customWidth="1"/>
    <col min="3590" max="3590" width="15.140625" style="24" customWidth="1"/>
    <col min="3591" max="3591" width="23" style="24" customWidth="1"/>
    <col min="3592" max="3592" width="16.42578125" style="24" customWidth="1"/>
    <col min="3593" max="3593" width="13.85546875" style="24"/>
    <col min="3594" max="3594" width="12.42578125" style="24" customWidth="1"/>
    <col min="3595" max="3595" width="10.85546875" style="24" customWidth="1"/>
    <col min="3596" max="3841" width="13.85546875" style="24"/>
    <col min="3842" max="3842" width="15.140625" style="24" customWidth="1"/>
    <col min="3843" max="3843" width="13.28515625" style="24" customWidth="1"/>
    <col min="3844" max="3844" width="47.28515625" style="24" customWidth="1"/>
    <col min="3845" max="3845" width="16.85546875" style="24" customWidth="1"/>
    <col min="3846" max="3846" width="15.140625" style="24" customWidth="1"/>
    <col min="3847" max="3847" width="23" style="24" customWidth="1"/>
    <col min="3848" max="3848" width="16.42578125" style="24" customWidth="1"/>
    <col min="3849" max="3849" width="13.85546875" style="24"/>
    <col min="3850" max="3850" width="12.42578125" style="24" customWidth="1"/>
    <col min="3851" max="3851" width="10.85546875" style="24" customWidth="1"/>
    <col min="3852" max="4097" width="13.85546875" style="24"/>
    <col min="4098" max="4098" width="15.140625" style="24" customWidth="1"/>
    <col min="4099" max="4099" width="13.28515625" style="24" customWidth="1"/>
    <col min="4100" max="4100" width="47.28515625" style="24" customWidth="1"/>
    <col min="4101" max="4101" width="16.85546875" style="24" customWidth="1"/>
    <col min="4102" max="4102" width="15.140625" style="24" customWidth="1"/>
    <col min="4103" max="4103" width="23" style="24" customWidth="1"/>
    <col min="4104" max="4104" width="16.42578125" style="24" customWidth="1"/>
    <col min="4105" max="4105" width="13.85546875" style="24"/>
    <col min="4106" max="4106" width="12.42578125" style="24" customWidth="1"/>
    <col min="4107" max="4107" width="10.85546875" style="24" customWidth="1"/>
    <col min="4108" max="4353" width="13.85546875" style="24"/>
    <col min="4354" max="4354" width="15.140625" style="24" customWidth="1"/>
    <col min="4355" max="4355" width="13.28515625" style="24" customWidth="1"/>
    <col min="4356" max="4356" width="47.28515625" style="24" customWidth="1"/>
    <col min="4357" max="4357" width="16.85546875" style="24" customWidth="1"/>
    <col min="4358" max="4358" width="15.140625" style="24" customWidth="1"/>
    <col min="4359" max="4359" width="23" style="24" customWidth="1"/>
    <col min="4360" max="4360" width="16.42578125" style="24" customWidth="1"/>
    <col min="4361" max="4361" width="13.85546875" style="24"/>
    <col min="4362" max="4362" width="12.42578125" style="24" customWidth="1"/>
    <col min="4363" max="4363" width="10.85546875" style="24" customWidth="1"/>
    <col min="4364" max="4609" width="13.85546875" style="24"/>
    <col min="4610" max="4610" width="15.140625" style="24" customWidth="1"/>
    <col min="4611" max="4611" width="13.28515625" style="24" customWidth="1"/>
    <col min="4612" max="4612" width="47.28515625" style="24" customWidth="1"/>
    <col min="4613" max="4613" width="16.85546875" style="24" customWidth="1"/>
    <col min="4614" max="4614" width="15.140625" style="24" customWidth="1"/>
    <col min="4615" max="4615" width="23" style="24" customWidth="1"/>
    <col min="4616" max="4616" width="16.42578125" style="24" customWidth="1"/>
    <col min="4617" max="4617" width="13.85546875" style="24"/>
    <col min="4618" max="4618" width="12.42578125" style="24" customWidth="1"/>
    <col min="4619" max="4619" width="10.85546875" style="24" customWidth="1"/>
    <col min="4620" max="4865" width="13.85546875" style="24"/>
    <col min="4866" max="4866" width="15.140625" style="24" customWidth="1"/>
    <col min="4867" max="4867" width="13.28515625" style="24" customWidth="1"/>
    <col min="4868" max="4868" width="47.28515625" style="24" customWidth="1"/>
    <col min="4869" max="4869" width="16.85546875" style="24" customWidth="1"/>
    <col min="4870" max="4870" width="15.140625" style="24" customWidth="1"/>
    <col min="4871" max="4871" width="23" style="24" customWidth="1"/>
    <col min="4872" max="4872" width="16.42578125" style="24" customWidth="1"/>
    <col min="4873" max="4873" width="13.85546875" style="24"/>
    <col min="4874" max="4874" width="12.42578125" style="24" customWidth="1"/>
    <col min="4875" max="4875" width="10.85546875" style="24" customWidth="1"/>
    <col min="4876" max="5121" width="13.85546875" style="24"/>
    <col min="5122" max="5122" width="15.140625" style="24" customWidth="1"/>
    <col min="5123" max="5123" width="13.28515625" style="24" customWidth="1"/>
    <col min="5124" max="5124" width="47.28515625" style="24" customWidth="1"/>
    <col min="5125" max="5125" width="16.85546875" style="24" customWidth="1"/>
    <col min="5126" max="5126" width="15.140625" style="24" customWidth="1"/>
    <col min="5127" max="5127" width="23" style="24" customWidth="1"/>
    <col min="5128" max="5128" width="16.42578125" style="24" customWidth="1"/>
    <col min="5129" max="5129" width="13.85546875" style="24"/>
    <col min="5130" max="5130" width="12.42578125" style="24" customWidth="1"/>
    <col min="5131" max="5131" width="10.85546875" style="24" customWidth="1"/>
    <col min="5132" max="5377" width="13.85546875" style="24"/>
    <col min="5378" max="5378" width="15.140625" style="24" customWidth="1"/>
    <col min="5379" max="5379" width="13.28515625" style="24" customWidth="1"/>
    <col min="5380" max="5380" width="47.28515625" style="24" customWidth="1"/>
    <col min="5381" max="5381" width="16.85546875" style="24" customWidth="1"/>
    <col min="5382" max="5382" width="15.140625" style="24" customWidth="1"/>
    <col min="5383" max="5383" width="23" style="24" customWidth="1"/>
    <col min="5384" max="5384" width="16.42578125" style="24" customWidth="1"/>
    <col min="5385" max="5385" width="13.85546875" style="24"/>
    <col min="5386" max="5386" width="12.42578125" style="24" customWidth="1"/>
    <col min="5387" max="5387" width="10.85546875" style="24" customWidth="1"/>
    <col min="5388" max="5633" width="13.85546875" style="24"/>
    <col min="5634" max="5634" width="15.140625" style="24" customWidth="1"/>
    <col min="5635" max="5635" width="13.28515625" style="24" customWidth="1"/>
    <col min="5636" max="5636" width="47.28515625" style="24" customWidth="1"/>
    <col min="5637" max="5637" width="16.85546875" style="24" customWidth="1"/>
    <col min="5638" max="5638" width="15.140625" style="24" customWidth="1"/>
    <col min="5639" max="5639" width="23" style="24" customWidth="1"/>
    <col min="5640" max="5640" width="16.42578125" style="24" customWidth="1"/>
    <col min="5641" max="5641" width="13.85546875" style="24"/>
    <col min="5642" max="5642" width="12.42578125" style="24" customWidth="1"/>
    <col min="5643" max="5643" width="10.85546875" style="24" customWidth="1"/>
    <col min="5644" max="5889" width="13.85546875" style="24"/>
    <col min="5890" max="5890" width="15.140625" style="24" customWidth="1"/>
    <col min="5891" max="5891" width="13.28515625" style="24" customWidth="1"/>
    <col min="5892" max="5892" width="47.28515625" style="24" customWidth="1"/>
    <col min="5893" max="5893" width="16.85546875" style="24" customWidth="1"/>
    <col min="5894" max="5894" width="15.140625" style="24" customWidth="1"/>
    <col min="5895" max="5895" width="23" style="24" customWidth="1"/>
    <col min="5896" max="5896" width="16.42578125" style="24" customWidth="1"/>
    <col min="5897" max="5897" width="13.85546875" style="24"/>
    <col min="5898" max="5898" width="12.42578125" style="24" customWidth="1"/>
    <col min="5899" max="5899" width="10.85546875" style="24" customWidth="1"/>
    <col min="5900" max="6145" width="13.85546875" style="24"/>
    <col min="6146" max="6146" width="15.140625" style="24" customWidth="1"/>
    <col min="6147" max="6147" width="13.28515625" style="24" customWidth="1"/>
    <col min="6148" max="6148" width="47.28515625" style="24" customWidth="1"/>
    <col min="6149" max="6149" width="16.85546875" style="24" customWidth="1"/>
    <col min="6150" max="6150" width="15.140625" style="24" customWidth="1"/>
    <col min="6151" max="6151" width="23" style="24" customWidth="1"/>
    <col min="6152" max="6152" width="16.42578125" style="24" customWidth="1"/>
    <col min="6153" max="6153" width="13.85546875" style="24"/>
    <col min="6154" max="6154" width="12.42578125" style="24" customWidth="1"/>
    <col min="6155" max="6155" width="10.85546875" style="24" customWidth="1"/>
    <col min="6156" max="6401" width="13.85546875" style="24"/>
    <col min="6402" max="6402" width="15.140625" style="24" customWidth="1"/>
    <col min="6403" max="6403" width="13.28515625" style="24" customWidth="1"/>
    <col min="6404" max="6404" width="47.28515625" style="24" customWidth="1"/>
    <col min="6405" max="6405" width="16.85546875" style="24" customWidth="1"/>
    <col min="6406" max="6406" width="15.140625" style="24" customWidth="1"/>
    <col min="6407" max="6407" width="23" style="24" customWidth="1"/>
    <col min="6408" max="6408" width="16.42578125" style="24" customWidth="1"/>
    <col min="6409" max="6409" width="13.85546875" style="24"/>
    <col min="6410" max="6410" width="12.42578125" style="24" customWidth="1"/>
    <col min="6411" max="6411" width="10.85546875" style="24" customWidth="1"/>
    <col min="6412" max="6657" width="13.85546875" style="24"/>
    <col min="6658" max="6658" width="15.140625" style="24" customWidth="1"/>
    <col min="6659" max="6659" width="13.28515625" style="24" customWidth="1"/>
    <col min="6660" max="6660" width="47.28515625" style="24" customWidth="1"/>
    <col min="6661" max="6661" width="16.85546875" style="24" customWidth="1"/>
    <col min="6662" max="6662" width="15.140625" style="24" customWidth="1"/>
    <col min="6663" max="6663" width="23" style="24" customWidth="1"/>
    <col min="6664" max="6664" width="16.42578125" style="24" customWidth="1"/>
    <col min="6665" max="6665" width="13.85546875" style="24"/>
    <col min="6666" max="6666" width="12.42578125" style="24" customWidth="1"/>
    <col min="6667" max="6667" width="10.85546875" style="24" customWidth="1"/>
    <col min="6668" max="6913" width="13.85546875" style="24"/>
    <col min="6914" max="6914" width="15.140625" style="24" customWidth="1"/>
    <col min="6915" max="6915" width="13.28515625" style="24" customWidth="1"/>
    <col min="6916" max="6916" width="47.28515625" style="24" customWidth="1"/>
    <col min="6917" max="6917" width="16.85546875" style="24" customWidth="1"/>
    <col min="6918" max="6918" width="15.140625" style="24" customWidth="1"/>
    <col min="6919" max="6919" width="23" style="24" customWidth="1"/>
    <col min="6920" max="6920" width="16.42578125" style="24" customWidth="1"/>
    <col min="6921" max="6921" width="13.85546875" style="24"/>
    <col min="6922" max="6922" width="12.42578125" style="24" customWidth="1"/>
    <col min="6923" max="6923" width="10.85546875" style="24" customWidth="1"/>
    <col min="6924" max="7169" width="13.85546875" style="24"/>
    <col min="7170" max="7170" width="15.140625" style="24" customWidth="1"/>
    <col min="7171" max="7171" width="13.28515625" style="24" customWidth="1"/>
    <col min="7172" max="7172" width="47.28515625" style="24" customWidth="1"/>
    <col min="7173" max="7173" width="16.85546875" style="24" customWidth="1"/>
    <col min="7174" max="7174" width="15.140625" style="24" customWidth="1"/>
    <col min="7175" max="7175" width="23" style="24" customWidth="1"/>
    <col min="7176" max="7176" width="16.42578125" style="24" customWidth="1"/>
    <col min="7177" max="7177" width="13.85546875" style="24"/>
    <col min="7178" max="7178" width="12.42578125" style="24" customWidth="1"/>
    <col min="7179" max="7179" width="10.85546875" style="24" customWidth="1"/>
    <col min="7180" max="7425" width="13.85546875" style="24"/>
    <col min="7426" max="7426" width="15.140625" style="24" customWidth="1"/>
    <col min="7427" max="7427" width="13.28515625" style="24" customWidth="1"/>
    <col min="7428" max="7428" width="47.28515625" style="24" customWidth="1"/>
    <col min="7429" max="7429" width="16.85546875" style="24" customWidth="1"/>
    <col min="7430" max="7430" width="15.140625" style="24" customWidth="1"/>
    <col min="7431" max="7431" width="23" style="24" customWidth="1"/>
    <col min="7432" max="7432" width="16.42578125" style="24" customWidth="1"/>
    <col min="7433" max="7433" width="13.85546875" style="24"/>
    <col min="7434" max="7434" width="12.42578125" style="24" customWidth="1"/>
    <col min="7435" max="7435" width="10.85546875" style="24" customWidth="1"/>
    <col min="7436" max="7681" width="13.85546875" style="24"/>
    <col min="7682" max="7682" width="15.140625" style="24" customWidth="1"/>
    <col min="7683" max="7683" width="13.28515625" style="24" customWidth="1"/>
    <col min="7684" max="7684" width="47.28515625" style="24" customWidth="1"/>
    <col min="7685" max="7685" width="16.85546875" style="24" customWidth="1"/>
    <col min="7686" max="7686" width="15.140625" style="24" customWidth="1"/>
    <col min="7687" max="7687" width="23" style="24" customWidth="1"/>
    <col min="7688" max="7688" width="16.42578125" style="24" customWidth="1"/>
    <col min="7689" max="7689" width="13.85546875" style="24"/>
    <col min="7690" max="7690" width="12.42578125" style="24" customWidth="1"/>
    <col min="7691" max="7691" width="10.85546875" style="24" customWidth="1"/>
    <col min="7692" max="7937" width="13.85546875" style="24"/>
    <col min="7938" max="7938" width="15.140625" style="24" customWidth="1"/>
    <col min="7939" max="7939" width="13.28515625" style="24" customWidth="1"/>
    <col min="7940" max="7940" width="47.28515625" style="24" customWidth="1"/>
    <col min="7941" max="7941" width="16.85546875" style="24" customWidth="1"/>
    <col min="7942" max="7942" width="15.140625" style="24" customWidth="1"/>
    <col min="7943" max="7943" width="23" style="24" customWidth="1"/>
    <col min="7944" max="7944" width="16.42578125" style="24" customWidth="1"/>
    <col min="7945" max="7945" width="13.85546875" style="24"/>
    <col min="7946" max="7946" width="12.42578125" style="24" customWidth="1"/>
    <col min="7947" max="7947" width="10.85546875" style="24" customWidth="1"/>
    <col min="7948" max="8193" width="13.85546875" style="24"/>
    <col min="8194" max="8194" width="15.140625" style="24" customWidth="1"/>
    <col min="8195" max="8195" width="13.28515625" style="24" customWidth="1"/>
    <col min="8196" max="8196" width="47.28515625" style="24" customWidth="1"/>
    <col min="8197" max="8197" width="16.85546875" style="24" customWidth="1"/>
    <col min="8198" max="8198" width="15.140625" style="24" customWidth="1"/>
    <col min="8199" max="8199" width="23" style="24" customWidth="1"/>
    <col min="8200" max="8200" width="16.42578125" style="24" customWidth="1"/>
    <col min="8201" max="8201" width="13.85546875" style="24"/>
    <col min="8202" max="8202" width="12.42578125" style="24" customWidth="1"/>
    <col min="8203" max="8203" width="10.85546875" style="24" customWidth="1"/>
    <col min="8204" max="8449" width="13.85546875" style="24"/>
    <col min="8450" max="8450" width="15.140625" style="24" customWidth="1"/>
    <col min="8451" max="8451" width="13.28515625" style="24" customWidth="1"/>
    <col min="8452" max="8452" width="47.28515625" style="24" customWidth="1"/>
    <col min="8453" max="8453" width="16.85546875" style="24" customWidth="1"/>
    <col min="8454" max="8454" width="15.140625" style="24" customWidth="1"/>
    <col min="8455" max="8455" width="23" style="24" customWidth="1"/>
    <col min="8456" max="8456" width="16.42578125" style="24" customWidth="1"/>
    <col min="8457" max="8457" width="13.85546875" style="24"/>
    <col min="8458" max="8458" width="12.42578125" style="24" customWidth="1"/>
    <col min="8459" max="8459" width="10.85546875" style="24" customWidth="1"/>
    <col min="8460" max="8705" width="13.85546875" style="24"/>
    <col min="8706" max="8706" width="15.140625" style="24" customWidth="1"/>
    <col min="8707" max="8707" width="13.28515625" style="24" customWidth="1"/>
    <col min="8708" max="8708" width="47.28515625" style="24" customWidth="1"/>
    <col min="8709" max="8709" width="16.85546875" style="24" customWidth="1"/>
    <col min="8710" max="8710" width="15.140625" style="24" customWidth="1"/>
    <col min="8711" max="8711" width="23" style="24" customWidth="1"/>
    <col min="8712" max="8712" width="16.42578125" style="24" customWidth="1"/>
    <col min="8713" max="8713" width="13.85546875" style="24"/>
    <col min="8714" max="8714" width="12.42578125" style="24" customWidth="1"/>
    <col min="8715" max="8715" width="10.85546875" style="24" customWidth="1"/>
    <col min="8716" max="8961" width="13.85546875" style="24"/>
    <col min="8962" max="8962" width="15.140625" style="24" customWidth="1"/>
    <col min="8963" max="8963" width="13.28515625" style="24" customWidth="1"/>
    <col min="8964" max="8964" width="47.28515625" style="24" customWidth="1"/>
    <col min="8965" max="8965" width="16.85546875" style="24" customWidth="1"/>
    <col min="8966" max="8966" width="15.140625" style="24" customWidth="1"/>
    <col min="8967" max="8967" width="23" style="24" customWidth="1"/>
    <col min="8968" max="8968" width="16.42578125" style="24" customWidth="1"/>
    <col min="8969" max="8969" width="13.85546875" style="24"/>
    <col min="8970" max="8970" width="12.42578125" style="24" customWidth="1"/>
    <col min="8971" max="8971" width="10.85546875" style="24" customWidth="1"/>
    <col min="8972" max="9217" width="13.85546875" style="24"/>
    <col min="9218" max="9218" width="15.140625" style="24" customWidth="1"/>
    <col min="9219" max="9219" width="13.28515625" style="24" customWidth="1"/>
    <col min="9220" max="9220" width="47.28515625" style="24" customWidth="1"/>
    <col min="9221" max="9221" width="16.85546875" style="24" customWidth="1"/>
    <col min="9222" max="9222" width="15.140625" style="24" customWidth="1"/>
    <col min="9223" max="9223" width="23" style="24" customWidth="1"/>
    <col min="9224" max="9224" width="16.42578125" style="24" customWidth="1"/>
    <col min="9225" max="9225" width="13.85546875" style="24"/>
    <col min="9226" max="9226" width="12.42578125" style="24" customWidth="1"/>
    <col min="9227" max="9227" width="10.85546875" style="24" customWidth="1"/>
    <col min="9228" max="9473" width="13.85546875" style="24"/>
    <col min="9474" max="9474" width="15.140625" style="24" customWidth="1"/>
    <col min="9475" max="9475" width="13.28515625" style="24" customWidth="1"/>
    <col min="9476" max="9476" width="47.28515625" style="24" customWidth="1"/>
    <col min="9477" max="9477" width="16.85546875" style="24" customWidth="1"/>
    <col min="9478" max="9478" width="15.140625" style="24" customWidth="1"/>
    <col min="9479" max="9479" width="23" style="24" customWidth="1"/>
    <col min="9480" max="9480" width="16.42578125" style="24" customWidth="1"/>
    <col min="9481" max="9481" width="13.85546875" style="24"/>
    <col min="9482" max="9482" width="12.42578125" style="24" customWidth="1"/>
    <col min="9483" max="9483" width="10.85546875" style="24" customWidth="1"/>
    <col min="9484" max="9729" width="13.85546875" style="24"/>
    <col min="9730" max="9730" width="15.140625" style="24" customWidth="1"/>
    <col min="9731" max="9731" width="13.28515625" style="24" customWidth="1"/>
    <col min="9732" max="9732" width="47.28515625" style="24" customWidth="1"/>
    <col min="9733" max="9733" width="16.85546875" style="24" customWidth="1"/>
    <col min="9734" max="9734" width="15.140625" style="24" customWidth="1"/>
    <col min="9735" max="9735" width="23" style="24" customWidth="1"/>
    <col min="9736" max="9736" width="16.42578125" style="24" customWidth="1"/>
    <col min="9737" max="9737" width="13.85546875" style="24"/>
    <col min="9738" max="9738" width="12.42578125" style="24" customWidth="1"/>
    <col min="9739" max="9739" width="10.85546875" style="24" customWidth="1"/>
    <col min="9740" max="9985" width="13.85546875" style="24"/>
    <col min="9986" max="9986" width="15.140625" style="24" customWidth="1"/>
    <col min="9987" max="9987" width="13.28515625" style="24" customWidth="1"/>
    <col min="9988" max="9988" width="47.28515625" style="24" customWidth="1"/>
    <col min="9989" max="9989" width="16.85546875" style="24" customWidth="1"/>
    <col min="9990" max="9990" width="15.140625" style="24" customWidth="1"/>
    <col min="9991" max="9991" width="23" style="24" customWidth="1"/>
    <col min="9992" max="9992" width="16.42578125" style="24" customWidth="1"/>
    <col min="9993" max="9993" width="13.85546875" style="24"/>
    <col min="9994" max="9994" width="12.42578125" style="24" customWidth="1"/>
    <col min="9995" max="9995" width="10.85546875" style="24" customWidth="1"/>
    <col min="9996" max="10241" width="13.85546875" style="24"/>
    <col min="10242" max="10242" width="15.140625" style="24" customWidth="1"/>
    <col min="10243" max="10243" width="13.28515625" style="24" customWidth="1"/>
    <col min="10244" max="10244" width="47.28515625" style="24" customWidth="1"/>
    <col min="10245" max="10245" width="16.85546875" style="24" customWidth="1"/>
    <col min="10246" max="10246" width="15.140625" style="24" customWidth="1"/>
    <col min="10247" max="10247" width="23" style="24" customWidth="1"/>
    <col min="10248" max="10248" width="16.42578125" style="24" customWidth="1"/>
    <col min="10249" max="10249" width="13.85546875" style="24"/>
    <col min="10250" max="10250" width="12.42578125" style="24" customWidth="1"/>
    <col min="10251" max="10251" width="10.85546875" style="24" customWidth="1"/>
    <col min="10252" max="10497" width="13.85546875" style="24"/>
    <col min="10498" max="10498" width="15.140625" style="24" customWidth="1"/>
    <col min="10499" max="10499" width="13.28515625" style="24" customWidth="1"/>
    <col min="10500" max="10500" width="47.28515625" style="24" customWidth="1"/>
    <col min="10501" max="10501" width="16.85546875" style="24" customWidth="1"/>
    <col min="10502" max="10502" width="15.140625" style="24" customWidth="1"/>
    <col min="10503" max="10503" width="23" style="24" customWidth="1"/>
    <col min="10504" max="10504" width="16.42578125" style="24" customWidth="1"/>
    <col min="10505" max="10505" width="13.85546875" style="24"/>
    <col min="10506" max="10506" width="12.42578125" style="24" customWidth="1"/>
    <col min="10507" max="10507" width="10.85546875" style="24" customWidth="1"/>
    <col min="10508" max="10753" width="13.85546875" style="24"/>
    <col min="10754" max="10754" width="15.140625" style="24" customWidth="1"/>
    <col min="10755" max="10755" width="13.28515625" style="24" customWidth="1"/>
    <col min="10756" max="10756" width="47.28515625" style="24" customWidth="1"/>
    <col min="10757" max="10757" width="16.85546875" style="24" customWidth="1"/>
    <col min="10758" max="10758" width="15.140625" style="24" customWidth="1"/>
    <col min="10759" max="10759" width="23" style="24" customWidth="1"/>
    <col min="10760" max="10760" width="16.42578125" style="24" customWidth="1"/>
    <col min="10761" max="10761" width="13.85546875" style="24"/>
    <col min="10762" max="10762" width="12.42578125" style="24" customWidth="1"/>
    <col min="10763" max="10763" width="10.85546875" style="24" customWidth="1"/>
    <col min="10764" max="11009" width="13.85546875" style="24"/>
    <col min="11010" max="11010" width="15.140625" style="24" customWidth="1"/>
    <col min="11011" max="11011" width="13.28515625" style="24" customWidth="1"/>
    <col min="11012" max="11012" width="47.28515625" style="24" customWidth="1"/>
    <col min="11013" max="11013" width="16.85546875" style="24" customWidth="1"/>
    <col min="11014" max="11014" width="15.140625" style="24" customWidth="1"/>
    <col min="11015" max="11015" width="23" style="24" customWidth="1"/>
    <col min="11016" max="11016" width="16.42578125" style="24" customWidth="1"/>
    <col min="11017" max="11017" width="13.85546875" style="24"/>
    <col min="11018" max="11018" width="12.42578125" style="24" customWidth="1"/>
    <col min="11019" max="11019" width="10.85546875" style="24" customWidth="1"/>
    <col min="11020" max="11265" width="13.85546875" style="24"/>
    <col min="11266" max="11266" width="15.140625" style="24" customWidth="1"/>
    <col min="11267" max="11267" width="13.28515625" style="24" customWidth="1"/>
    <col min="11268" max="11268" width="47.28515625" style="24" customWidth="1"/>
    <col min="11269" max="11269" width="16.85546875" style="24" customWidth="1"/>
    <col min="11270" max="11270" width="15.140625" style="24" customWidth="1"/>
    <col min="11271" max="11271" width="23" style="24" customWidth="1"/>
    <col min="11272" max="11272" width="16.42578125" style="24" customWidth="1"/>
    <col min="11273" max="11273" width="13.85546875" style="24"/>
    <col min="11274" max="11274" width="12.42578125" style="24" customWidth="1"/>
    <col min="11275" max="11275" width="10.85546875" style="24" customWidth="1"/>
    <col min="11276" max="11521" width="13.85546875" style="24"/>
    <col min="11522" max="11522" width="15.140625" style="24" customWidth="1"/>
    <col min="11523" max="11523" width="13.28515625" style="24" customWidth="1"/>
    <col min="11524" max="11524" width="47.28515625" style="24" customWidth="1"/>
    <col min="11525" max="11525" width="16.85546875" style="24" customWidth="1"/>
    <col min="11526" max="11526" width="15.140625" style="24" customWidth="1"/>
    <col min="11527" max="11527" width="23" style="24" customWidth="1"/>
    <col min="11528" max="11528" width="16.42578125" style="24" customWidth="1"/>
    <col min="11529" max="11529" width="13.85546875" style="24"/>
    <col min="11530" max="11530" width="12.42578125" style="24" customWidth="1"/>
    <col min="11531" max="11531" width="10.85546875" style="24" customWidth="1"/>
    <col min="11532" max="11777" width="13.85546875" style="24"/>
    <col min="11778" max="11778" width="15.140625" style="24" customWidth="1"/>
    <col min="11779" max="11779" width="13.28515625" style="24" customWidth="1"/>
    <col min="11780" max="11780" width="47.28515625" style="24" customWidth="1"/>
    <col min="11781" max="11781" width="16.85546875" style="24" customWidth="1"/>
    <col min="11782" max="11782" width="15.140625" style="24" customWidth="1"/>
    <col min="11783" max="11783" width="23" style="24" customWidth="1"/>
    <col min="11784" max="11784" width="16.42578125" style="24" customWidth="1"/>
    <col min="11785" max="11785" width="13.85546875" style="24"/>
    <col min="11786" max="11786" width="12.42578125" style="24" customWidth="1"/>
    <col min="11787" max="11787" width="10.85546875" style="24" customWidth="1"/>
    <col min="11788" max="12033" width="13.85546875" style="24"/>
    <col min="12034" max="12034" width="15.140625" style="24" customWidth="1"/>
    <col min="12035" max="12035" width="13.28515625" style="24" customWidth="1"/>
    <col min="12036" max="12036" width="47.28515625" style="24" customWidth="1"/>
    <col min="12037" max="12037" width="16.85546875" style="24" customWidth="1"/>
    <col min="12038" max="12038" width="15.140625" style="24" customWidth="1"/>
    <col min="12039" max="12039" width="23" style="24" customWidth="1"/>
    <col min="12040" max="12040" width="16.42578125" style="24" customWidth="1"/>
    <col min="12041" max="12041" width="13.85546875" style="24"/>
    <col min="12042" max="12042" width="12.42578125" style="24" customWidth="1"/>
    <col min="12043" max="12043" width="10.85546875" style="24" customWidth="1"/>
    <col min="12044" max="12289" width="13.85546875" style="24"/>
    <col min="12290" max="12290" width="15.140625" style="24" customWidth="1"/>
    <col min="12291" max="12291" width="13.28515625" style="24" customWidth="1"/>
    <col min="12292" max="12292" width="47.28515625" style="24" customWidth="1"/>
    <col min="12293" max="12293" width="16.85546875" style="24" customWidth="1"/>
    <col min="12294" max="12294" width="15.140625" style="24" customWidth="1"/>
    <col min="12295" max="12295" width="23" style="24" customWidth="1"/>
    <col min="12296" max="12296" width="16.42578125" style="24" customWidth="1"/>
    <col min="12297" max="12297" width="13.85546875" style="24"/>
    <col min="12298" max="12298" width="12.42578125" style="24" customWidth="1"/>
    <col min="12299" max="12299" width="10.85546875" style="24" customWidth="1"/>
    <col min="12300" max="12545" width="13.85546875" style="24"/>
    <col min="12546" max="12546" width="15.140625" style="24" customWidth="1"/>
    <col min="12547" max="12547" width="13.28515625" style="24" customWidth="1"/>
    <col min="12548" max="12548" width="47.28515625" style="24" customWidth="1"/>
    <col min="12549" max="12549" width="16.85546875" style="24" customWidth="1"/>
    <col min="12550" max="12550" width="15.140625" style="24" customWidth="1"/>
    <col min="12551" max="12551" width="23" style="24" customWidth="1"/>
    <col min="12552" max="12552" width="16.42578125" style="24" customWidth="1"/>
    <col min="12553" max="12553" width="13.85546875" style="24"/>
    <col min="12554" max="12554" width="12.42578125" style="24" customWidth="1"/>
    <col min="12555" max="12555" width="10.85546875" style="24" customWidth="1"/>
    <col min="12556" max="12801" width="13.85546875" style="24"/>
    <col min="12802" max="12802" width="15.140625" style="24" customWidth="1"/>
    <col min="12803" max="12803" width="13.28515625" style="24" customWidth="1"/>
    <col min="12804" max="12804" width="47.28515625" style="24" customWidth="1"/>
    <col min="12805" max="12805" width="16.85546875" style="24" customWidth="1"/>
    <col min="12806" max="12806" width="15.140625" style="24" customWidth="1"/>
    <col min="12807" max="12807" width="23" style="24" customWidth="1"/>
    <col min="12808" max="12808" width="16.42578125" style="24" customWidth="1"/>
    <col min="12809" max="12809" width="13.85546875" style="24"/>
    <col min="12810" max="12810" width="12.42578125" style="24" customWidth="1"/>
    <col min="12811" max="12811" width="10.85546875" style="24" customWidth="1"/>
    <col min="12812" max="13057" width="13.85546875" style="24"/>
    <col min="13058" max="13058" width="15.140625" style="24" customWidth="1"/>
    <col min="13059" max="13059" width="13.28515625" style="24" customWidth="1"/>
    <col min="13060" max="13060" width="47.28515625" style="24" customWidth="1"/>
    <col min="13061" max="13061" width="16.85546875" style="24" customWidth="1"/>
    <col min="13062" max="13062" width="15.140625" style="24" customWidth="1"/>
    <col min="13063" max="13063" width="23" style="24" customWidth="1"/>
    <col min="13064" max="13064" width="16.42578125" style="24" customWidth="1"/>
    <col min="13065" max="13065" width="13.85546875" style="24"/>
    <col min="13066" max="13066" width="12.42578125" style="24" customWidth="1"/>
    <col min="13067" max="13067" width="10.85546875" style="24" customWidth="1"/>
    <col min="13068" max="13313" width="13.85546875" style="24"/>
    <col min="13314" max="13314" width="15.140625" style="24" customWidth="1"/>
    <col min="13315" max="13315" width="13.28515625" style="24" customWidth="1"/>
    <col min="13316" max="13316" width="47.28515625" style="24" customWidth="1"/>
    <col min="13317" max="13317" width="16.85546875" style="24" customWidth="1"/>
    <col min="13318" max="13318" width="15.140625" style="24" customWidth="1"/>
    <col min="13319" max="13319" width="23" style="24" customWidth="1"/>
    <col min="13320" max="13320" width="16.42578125" style="24" customWidth="1"/>
    <col min="13321" max="13321" width="13.85546875" style="24"/>
    <col min="13322" max="13322" width="12.42578125" style="24" customWidth="1"/>
    <col min="13323" max="13323" width="10.85546875" style="24" customWidth="1"/>
    <col min="13324" max="13569" width="13.85546875" style="24"/>
    <col min="13570" max="13570" width="15.140625" style="24" customWidth="1"/>
    <col min="13571" max="13571" width="13.28515625" style="24" customWidth="1"/>
    <col min="13572" max="13572" width="47.28515625" style="24" customWidth="1"/>
    <col min="13573" max="13573" width="16.85546875" style="24" customWidth="1"/>
    <col min="13574" max="13574" width="15.140625" style="24" customWidth="1"/>
    <col min="13575" max="13575" width="23" style="24" customWidth="1"/>
    <col min="13576" max="13576" width="16.42578125" style="24" customWidth="1"/>
    <col min="13577" max="13577" width="13.85546875" style="24"/>
    <col min="13578" max="13578" width="12.42578125" style="24" customWidth="1"/>
    <col min="13579" max="13579" width="10.85546875" style="24" customWidth="1"/>
    <col min="13580" max="13825" width="13.85546875" style="24"/>
    <col min="13826" max="13826" width="15.140625" style="24" customWidth="1"/>
    <col min="13827" max="13827" width="13.28515625" style="24" customWidth="1"/>
    <col min="13828" max="13828" width="47.28515625" style="24" customWidth="1"/>
    <col min="13829" max="13829" width="16.85546875" style="24" customWidth="1"/>
    <col min="13830" max="13830" width="15.140625" style="24" customWidth="1"/>
    <col min="13831" max="13831" width="23" style="24" customWidth="1"/>
    <col min="13832" max="13832" width="16.42578125" style="24" customWidth="1"/>
    <col min="13833" max="13833" width="13.85546875" style="24"/>
    <col min="13834" max="13834" width="12.42578125" style="24" customWidth="1"/>
    <col min="13835" max="13835" width="10.85546875" style="24" customWidth="1"/>
    <col min="13836" max="14081" width="13.85546875" style="24"/>
    <col min="14082" max="14082" width="15.140625" style="24" customWidth="1"/>
    <col min="14083" max="14083" width="13.28515625" style="24" customWidth="1"/>
    <col min="14084" max="14084" width="47.28515625" style="24" customWidth="1"/>
    <col min="14085" max="14085" width="16.85546875" style="24" customWidth="1"/>
    <col min="14086" max="14086" width="15.140625" style="24" customWidth="1"/>
    <col min="14087" max="14087" width="23" style="24" customWidth="1"/>
    <col min="14088" max="14088" width="16.42578125" style="24" customWidth="1"/>
    <col min="14089" max="14089" width="13.85546875" style="24"/>
    <col min="14090" max="14090" width="12.42578125" style="24" customWidth="1"/>
    <col min="14091" max="14091" width="10.85546875" style="24" customWidth="1"/>
    <col min="14092" max="14337" width="13.85546875" style="24"/>
    <col min="14338" max="14338" width="15.140625" style="24" customWidth="1"/>
    <col min="14339" max="14339" width="13.28515625" style="24" customWidth="1"/>
    <col min="14340" max="14340" width="47.28515625" style="24" customWidth="1"/>
    <col min="14341" max="14341" width="16.85546875" style="24" customWidth="1"/>
    <col min="14342" max="14342" width="15.140625" style="24" customWidth="1"/>
    <col min="14343" max="14343" width="23" style="24" customWidth="1"/>
    <col min="14344" max="14344" width="16.42578125" style="24" customWidth="1"/>
    <col min="14345" max="14345" width="13.85546875" style="24"/>
    <col min="14346" max="14346" width="12.42578125" style="24" customWidth="1"/>
    <col min="14347" max="14347" width="10.85546875" style="24" customWidth="1"/>
    <col min="14348" max="14593" width="13.85546875" style="24"/>
    <col min="14594" max="14594" width="15.140625" style="24" customWidth="1"/>
    <col min="14595" max="14595" width="13.28515625" style="24" customWidth="1"/>
    <col min="14596" max="14596" width="47.28515625" style="24" customWidth="1"/>
    <col min="14597" max="14597" width="16.85546875" style="24" customWidth="1"/>
    <col min="14598" max="14598" width="15.140625" style="24" customWidth="1"/>
    <col min="14599" max="14599" width="23" style="24" customWidth="1"/>
    <col min="14600" max="14600" width="16.42578125" style="24" customWidth="1"/>
    <col min="14601" max="14601" width="13.85546875" style="24"/>
    <col min="14602" max="14602" width="12.42578125" style="24" customWidth="1"/>
    <col min="14603" max="14603" width="10.85546875" style="24" customWidth="1"/>
    <col min="14604" max="14849" width="13.85546875" style="24"/>
    <col min="14850" max="14850" width="15.140625" style="24" customWidth="1"/>
    <col min="14851" max="14851" width="13.28515625" style="24" customWidth="1"/>
    <col min="14852" max="14852" width="47.28515625" style="24" customWidth="1"/>
    <col min="14853" max="14853" width="16.85546875" style="24" customWidth="1"/>
    <col min="14854" max="14854" width="15.140625" style="24" customWidth="1"/>
    <col min="14855" max="14855" width="23" style="24" customWidth="1"/>
    <col min="14856" max="14856" width="16.42578125" style="24" customWidth="1"/>
    <col min="14857" max="14857" width="13.85546875" style="24"/>
    <col min="14858" max="14858" width="12.42578125" style="24" customWidth="1"/>
    <col min="14859" max="14859" width="10.85546875" style="24" customWidth="1"/>
    <col min="14860" max="15105" width="13.85546875" style="24"/>
    <col min="15106" max="15106" width="15.140625" style="24" customWidth="1"/>
    <col min="15107" max="15107" width="13.28515625" style="24" customWidth="1"/>
    <col min="15108" max="15108" width="47.28515625" style="24" customWidth="1"/>
    <col min="15109" max="15109" width="16.85546875" style="24" customWidth="1"/>
    <col min="15110" max="15110" width="15.140625" style="24" customWidth="1"/>
    <col min="15111" max="15111" width="23" style="24" customWidth="1"/>
    <col min="15112" max="15112" width="16.42578125" style="24" customWidth="1"/>
    <col min="15113" max="15113" width="13.85546875" style="24"/>
    <col min="15114" max="15114" width="12.42578125" style="24" customWidth="1"/>
    <col min="15115" max="15115" width="10.85546875" style="24" customWidth="1"/>
    <col min="15116" max="15361" width="13.85546875" style="24"/>
    <col min="15362" max="15362" width="15.140625" style="24" customWidth="1"/>
    <col min="15363" max="15363" width="13.28515625" style="24" customWidth="1"/>
    <col min="15364" max="15364" width="47.28515625" style="24" customWidth="1"/>
    <col min="15365" max="15365" width="16.85546875" style="24" customWidth="1"/>
    <col min="15366" max="15366" width="15.140625" style="24" customWidth="1"/>
    <col min="15367" max="15367" width="23" style="24" customWidth="1"/>
    <col min="15368" max="15368" width="16.42578125" style="24" customWidth="1"/>
    <col min="15369" max="15369" width="13.85546875" style="24"/>
    <col min="15370" max="15370" width="12.42578125" style="24" customWidth="1"/>
    <col min="15371" max="15371" width="10.85546875" style="24" customWidth="1"/>
    <col min="15372" max="15617" width="13.85546875" style="24"/>
    <col min="15618" max="15618" width="15.140625" style="24" customWidth="1"/>
    <col min="15619" max="15619" width="13.28515625" style="24" customWidth="1"/>
    <col min="15620" max="15620" width="47.28515625" style="24" customWidth="1"/>
    <col min="15621" max="15621" width="16.85546875" style="24" customWidth="1"/>
    <col min="15622" max="15622" width="15.140625" style="24" customWidth="1"/>
    <col min="15623" max="15623" width="23" style="24" customWidth="1"/>
    <col min="15624" max="15624" width="16.42578125" style="24" customWidth="1"/>
    <col min="15625" max="15625" width="13.85546875" style="24"/>
    <col min="15626" max="15626" width="12.42578125" style="24" customWidth="1"/>
    <col min="15627" max="15627" width="10.85546875" style="24" customWidth="1"/>
    <col min="15628" max="15873" width="13.85546875" style="24"/>
    <col min="15874" max="15874" width="15.140625" style="24" customWidth="1"/>
    <col min="15875" max="15875" width="13.28515625" style="24" customWidth="1"/>
    <col min="15876" max="15876" width="47.28515625" style="24" customWidth="1"/>
    <col min="15877" max="15877" width="16.85546875" style="24" customWidth="1"/>
    <col min="15878" max="15878" width="15.140625" style="24" customWidth="1"/>
    <col min="15879" max="15879" width="23" style="24" customWidth="1"/>
    <col min="15880" max="15880" width="16.42578125" style="24" customWidth="1"/>
    <col min="15881" max="15881" width="13.85546875" style="24"/>
    <col min="15882" max="15882" width="12.42578125" style="24" customWidth="1"/>
    <col min="15883" max="15883" width="10.85546875" style="24" customWidth="1"/>
    <col min="15884" max="16129" width="13.85546875" style="24"/>
    <col min="16130" max="16130" width="15.140625" style="24" customWidth="1"/>
    <col min="16131" max="16131" width="13.28515625" style="24" customWidth="1"/>
    <col min="16132" max="16132" width="47.28515625" style="24" customWidth="1"/>
    <col min="16133" max="16133" width="16.85546875" style="24" customWidth="1"/>
    <col min="16134" max="16134" width="15.140625" style="24" customWidth="1"/>
    <col min="16135" max="16135" width="23" style="24" customWidth="1"/>
    <col min="16136" max="16136" width="16.42578125" style="24" customWidth="1"/>
    <col min="16137" max="16137" width="13.85546875" style="24"/>
    <col min="16138" max="16138" width="12.42578125" style="24" customWidth="1"/>
    <col min="16139" max="16139" width="10.85546875" style="24" customWidth="1"/>
    <col min="16140" max="16384" width="13.85546875" style="24"/>
  </cols>
  <sheetData>
    <row r="1" spans="1:11" ht="12" customHeight="1">
      <c r="A1" s="22"/>
      <c r="B1" s="23" t="s">
        <v>42</v>
      </c>
      <c r="C1" s="22"/>
      <c r="D1" s="22"/>
      <c r="E1" s="22"/>
      <c r="F1" s="22" t="s">
        <v>43</v>
      </c>
      <c r="G1" s="22"/>
      <c r="H1" s="22"/>
      <c r="K1" s="25"/>
    </row>
    <row r="2" spans="1:11" ht="12" customHeight="1">
      <c r="A2" s="22"/>
      <c r="B2" s="23" t="s">
        <v>44</v>
      </c>
      <c r="C2" s="22"/>
      <c r="D2" s="22"/>
      <c r="E2" s="23" t="s">
        <v>45</v>
      </c>
      <c r="F2" s="22" t="s">
        <v>46</v>
      </c>
      <c r="G2" s="22"/>
      <c r="H2" s="22"/>
    </row>
    <row r="3" spans="1:11" ht="12" customHeight="1">
      <c r="A3" s="22"/>
      <c r="B3" s="23" t="s">
        <v>47</v>
      </c>
      <c r="C3" s="22"/>
      <c r="D3" s="22"/>
      <c r="E3" s="26" t="s">
        <v>48</v>
      </c>
      <c r="F3" s="22"/>
      <c r="G3" s="22"/>
      <c r="H3" s="22"/>
    </row>
    <row r="4" spans="1:11" ht="12" customHeight="1">
      <c r="A4" s="22"/>
      <c r="B4" s="23"/>
      <c r="C4" s="22"/>
      <c r="D4" s="22"/>
      <c r="E4" s="22"/>
      <c r="F4" s="22" t="s">
        <v>49</v>
      </c>
      <c r="G4" s="22"/>
      <c r="H4" s="22"/>
    </row>
    <row r="5" spans="1:11" ht="12" customHeight="1">
      <c r="A5" s="22"/>
      <c r="B5" s="23" t="s">
        <v>50</v>
      </c>
      <c r="C5" s="22"/>
      <c r="D5" s="22"/>
      <c r="E5" s="27">
        <v>0</v>
      </c>
      <c r="F5" s="22"/>
      <c r="G5" s="22" t="s">
        <v>51</v>
      </c>
      <c r="H5" s="22"/>
      <c r="I5" s="22"/>
      <c r="J5" s="22"/>
    </row>
    <row r="6" spans="1:11" ht="12" customHeight="1">
      <c r="A6" s="23"/>
      <c r="B6" s="28" t="s">
        <v>52</v>
      </c>
      <c r="C6" s="29" t="s">
        <v>53</v>
      </c>
      <c r="D6" s="29" t="s">
        <v>54</v>
      </c>
      <c r="E6" s="29" t="s">
        <v>55</v>
      </c>
      <c r="F6" s="29" t="s">
        <v>56</v>
      </c>
      <c r="G6" s="30" t="s">
        <v>57</v>
      </c>
      <c r="H6" s="31" t="s">
        <v>58</v>
      </c>
      <c r="I6" s="32" t="s">
        <v>59</v>
      </c>
      <c r="J6" s="32" t="s">
        <v>60</v>
      </c>
      <c r="K6" s="32" t="s">
        <v>61</v>
      </c>
    </row>
    <row r="7" spans="1:11" ht="12" customHeight="1">
      <c r="A7" s="22"/>
      <c r="B7" s="28" t="s">
        <v>62</v>
      </c>
      <c r="C7" s="33">
        <v>15708.5</v>
      </c>
      <c r="D7" s="34" t="s">
        <v>63</v>
      </c>
      <c r="E7" s="35">
        <f>108091-13840</f>
        <v>94251</v>
      </c>
      <c r="F7" s="36">
        <f>E5-C7+E7</f>
        <v>78542.5</v>
      </c>
      <c r="G7" s="37" t="s">
        <v>64</v>
      </c>
      <c r="H7" s="38" t="s">
        <v>65</v>
      </c>
      <c r="I7" s="39" t="s">
        <v>66</v>
      </c>
      <c r="J7" s="40">
        <v>108091</v>
      </c>
      <c r="K7" s="39" t="s">
        <v>67</v>
      </c>
    </row>
    <row r="8" spans="1:11" ht="12" customHeight="1">
      <c r="A8" s="22"/>
      <c r="B8" s="28" t="s">
        <v>68</v>
      </c>
      <c r="C8" s="41">
        <v>15708.5</v>
      </c>
      <c r="D8" s="42"/>
      <c r="E8" s="35"/>
      <c r="F8" s="36">
        <f t="shared" ref="F8:F18" si="0">F7-C8+E8</f>
        <v>62834</v>
      </c>
      <c r="G8" s="37" t="s">
        <v>69</v>
      </c>
      <c r="H8" s="38" t="s">
        <v>65</v>
      </c>
      <c r="I8" s="39" t="s">
        <v>66</v>
      </c>
      <c r="J8" s="40">
        <v>-13840</v>
      </c>
      <c r="K8" s="39" t="s">
        <v>67</v>
      </c>
    </row>
    <row r="9" spans="1:11" ht="12" customHeight="1">
      <c r="A9" s="22"/>
      <c r="B9" s="28" t="s">
        <v>70</v>
      </c>
      <c r="C9" s="41">
        <v>15708.5</v>
      </c>
      <c r="D9" s="43"/>
      <c r="E9" s="35"/>
      <c r="F9" s="36">
        <f>F8-C9+E9</f>
        <v>47125.5</v>
      </c>
      <c r="G9" s="44" t="s">
        <v>71</v>
      </c>
      <c r="H9" s="38" t="s">
        <v>65</v>
      </c>
      <c r="I9" s="39"/>
      <c r="J9" s="40">
        <v>-2238</v>
      </c>
      <c r="K9" s="39"/>
    </row>
    <row r="10" spans="1:11" ht="12" customHeight="1">
      <c r="A10" s="22"/>
      <c r="B10" s="28" t="s">
        <v>72</v>
      </c>
      <c r="C10" s="41">
        <v>14962.5</v>
      </c>
      <c r="D10" s="43" t="s">
        <v>73</v>
      </c>
      <c r="E10" s="35">
        <v>-2238</v>
      </c>
      <c r="F10" s="36">
        <f>F9-C10+E10</f>
        <v>29925</v>
      </c>
      <c r="G10" s="37" t="s">
        <v>64</v>
      </c>
      <c r="H10" s="38" t="s">
        <v>65</v>
      </c>
      <c r="I10" s="39" t="s">
        <v>66</v>
      </c>
      <c r="J10" s="40">
        <v>107507</v>
      </c>
      <c r="K10" s="39" t="s">
        <v>67</v>
      </c>
    </row>
    <row r="11" spans="1:11" ht="12" customHeight="1">
      <c r="A11" s="22"/>
      <c r="B11" s="28" t="s">
        <v>74</v>
      </c>
      <c r="C11" s="41">
        <v>14962.5</v>
      </c>
      <c r="D11" s="43"/>
      <c r="E11" s="35"/>
      <c r="F11" s="36">
        <f t="shared" si="0"/>
        <v>14962.5</v>
      </c>
      <c r="G11" s="37" t="s">
        <v>69</v>
      </c>
      <c r="H11" s="38" t="s">
        <v>65</v>
      </c>
      <c r="I11" s="39" t="s">
        <v>66</v>
      </c>
      <c r="J11" s="40">
        <v>-13840</v>
      </c>
      <c r="K11" s="39" t="s">
        <v>67</v>
      </c>
    </row>
    <row r="12" spans="1:11" ht="12" customHeight="1">
      <c r="A12" s="22"/>
      <c r="B12" s="28" t="s">
        <v>75</v>
      </c>
      <c r="C12" s="41">
        <v>14962.5</v>
      </c>
      <c r="D12" s="43" t="s">
        <v>76</v>
      </c>
      <c r="E12" s="35">
        <v>107507</v>
      </c>
      <c r="F12" s="36">
        <f t="shared" si="0"/>
        <v>107507</v>
      </c>
      <c r="G12" s="38" t="s">
        <v>77</v>
      </c>
      <c r="H12" s="38" t="s">
        <v>65</v>
      </c>
      <c r="I12" s="38" t="s">
        <v>66</v>
      </c>
      <c r="J12" s="45">
        <v>-588</v>
      </c>
      <c r="K12" s="39" t="s">
        <v>67</v>
      </c>
    </row>
    <row r="13" spans="1:11" ht="12" customHeight="1">
      <c r="A13" s="22"/>
      <c r="B13" s="28" t="s">
        <v>78</v>
      </c>
      <c r="C13" s="41">
        <v>15611.17</v>
      </c>
      <c r="D13" s="43"/>
      <c r="E13" s="35">
        <v>-13840</v>
      </c>
      <c r="F13" s="36">
        <f t="shared" si="0"/>
        <v>78055.83</v>
      </c>
      <c r="G13" s="37"/>
      <c r="H13" s="38"/>
      <c r="I13" s="46"/>
      <c r="J13" s="40"/>
      <c r="K13" s="39"/>
    </row>
    <row r="14" spans="1:11" ht="12" customHeight="1">
      <c r="A14" s="22"/>
      <c r="B14" s="28" t="s">
        <v>79</v>
      </c>
      <c r="C14" s="41">
        <v>15493.57</v>
      </c>
      <c r="D14" s="43" t="s">
        <v>80</v>
      </c>
      <c r="E14" s="35">
        <v>-588</v>
      </c>
      <c r="F14" s="36">
        <f t="shared" si="0"/>
        <v>61974.26</v>
      </c>
      <c r="G14" s="47"/>
      <c r="H14" s="38"/>
      <c r="I14" s="39"/>
      <c r="J14" s="40"/>
      <c r="K14" s="39"/>
    </row>
    <row r="15" spans="1:11" ht="12" customHeight="1">
      <c r="A15" s="22"/>
      <c r="B15" s="28" t="s">
        <v>81</v>
      </c>
      <c r="C15" s="41">
        <v>15493.56</v>
      </c>
      <c r="D15" s="43"/>
      <c r="E15" s="35"/>
      <c r="F15" s="36">
        <f t="shared" si="0"/>
        <v>46480.700000000004</v>
      </c>
      <c r="G15" s="48"/>
      <c r="H15" s="49"/>
      <c r="I15" s="49"/>
      <c r="J15" s="49"/>
      <c r="K15" s="49"/>
    </row>
    <row r="16" spans="1:11" ht="12" customHeight="1">
      <c r="A16" s="22"/>
      <c r="B16" s="28" t="s">
        <v>82</v>
      </c>
      <c r="C16" s="41">
        <v>15493.56</v>
      </c>
      <c r="D16" s="43"/>
      <c r="E16" s="35"/>
      <c r="F16" s="36">
        <f t="shared" si="0"/>
        <v>30987.140000000007</v>
      </c>
      <c r="G16" s="48"/>
      <c r="H16" s="49"/>
      <c r="I16" s="49"/>
      <c r="J16" s="49"/>
      <c r="K16" s="49"/>
    </row>
    <row r="17" spans="1:11" ht="12" customHeight="1">
      <c r="A17" s="22"/>
      <c r="B17" s="28" t="s">
        <v>83</v>
      </c>
      <c r="C17" s="41">
        <v>15493.57</v>
      </c>
      <c r="D17" s="43"/>
      <c r="E17" s="35"/>
      <c r="F17" s="36">
        <f t="shared" si="0"/>
        <v>15493.570000000007</v>
      </c>
      <c r="G17" s="48"/>
      <c r="H17" s="49"/>
      <c r="I17" s="49"/>
      <c r="J17" s="49"/>
      <c r="K17" s="49"/>
    </row>
    <row r="18" spans="1:11" ht="12" customHeight="1">
      <c r="A18" s="22"/>
      <c r="B18" s="28" t="s">
        <v>84</v>
      </c>
      <c r="C18" s="41">
        <v>15493.57</v>
      </c>
      <c r="D18" s="43"/>
      <c r="E18" s="35"/>
      <c r="F18" s="36">
        <f t="shared" si="0"/>
        <v>7.2759576141834259E-12</v>
      </c>
      <c r="G18" s="48"/>
      <c r="H18" s="49"/>
      <c r="I18" s="49"/>
      <c r="J18" s="49"/>
      <c r="K18" s="49"/>
    </row>
    <row r="19" spans="1:11" ht="12" customHeight="1">
      <c r="A19" s="22"/>
      <c r="B19" s="50" t="s">
        <v>85</v>
      </c>
      <c r="C19" s="51">
        <f>SUM(C7:C18)</f>
        <v>185092</v>
      </c>
      <c r="D19" s="52"/>
      <c r="E19" s="53">
        <f>SUM(E7:E18)</f>
        <v>185092</v>
      </c>
      <c r="F19" s="53"/>
      <c r="G19" s="53"/>
      <c r="H19" s="54"/>
      <c r="I19" s="54"/>
      <c r="J19" s="54"/>
      <c r="K19" s="54"/>
    </row>
    <row r="20" spans="1:11" ht="12" customHeight="1">
      <c r="A20" s="22"/>
      <c r="B20" s="50"/>
      <c r="C20" s="51"/>
      <c r="D20" s="52"/>
      <c r="E20" s="53"/>
      <c r="F20" s="53"/>
      <c r="G20" s="53"/>
      <c r="H20" s="54"/>
      <c r="I20" s="54"/>
      <c r="J20" s="54"/>
      <c r="K20" s="54"/>
    </row>
    <row r="21" spans="1:11" ht="12" customHeight="1">
      <c r="A21" s="22"/>
      <c r="B21" s="23" t="s">
        <v>86</v>
      </c>
      <c r="C21" s="22"/>
      <c r="D21" s="22"/>
      <c r="E21" s="22"/>
      <c r="F21" s="22" t="s">
        <v>43</v>
      </c>
      <c r="G21" s="22"/>
    </row>
    <row r="22" spans="1:11" ht="12" customHeight="1">
      <c r="A22" s="22"/>
      <c r="B22" s="23" t="s">
        <v>44</v>
      </c>
      <c r="C22" s="22"/>
      <c r="D22" s="22"/>
      <c r="E22" s="23" t="s">
        <v>45</v>
      </c>
      <c r="F22" s="22" t="s">
        <v>87</v>
      </c>
      <c r="G22" s="22"/>
    </row>
    <row r="23" spans="1:11" ht="12" customHeight="1">
      <c r="A23" s="22"/>
      <c r="B23" s="23" t="s">
        <v>47</v>
      </c>
      <c r="C23" s="22"/>
      <c r="D23" s="22"/>
      <c r="E23" s="26" t="s">
        <v>48</v>
      </c>
      <c r="F23" s="22" t="s">
        <v>88</v>
      </c>
      <c r="G23" s="22"/>
    </row>
    <row r="24" spans="1:11" ht="12" customHeight="1">
      <c r="A24" s="22"/>
      <c r="B24" s="23"/>
      <c r="C24" s="22"/>
      <c r="D24" s="22"/>
      <c r="E24" s="22"/>
      <c r="F24" s="22" t="s">
        <v>89</v>
      </c>
      <c r="G24" s="22"/>
    </row>
    <row r="25" spans="1:11" ht="12" customHeight="1">
      <c r="A25" s="22"/>
      <c r="B25" s="23" t="str">
        <f>B5</f>
        <v>BALANCE AT 12-31-15</v>
      </c>
      <c r="C25" s="22"/>
      <c r="D25" s="22"/>
      <c r="E25" s="27">
        <v>525456.81999999995</v>
      </c>
      <c r="F25" s="22"/>
      <c r="G25" s="22" t="s">
        <v>51</v>
      </c>
    </row>
    <row r="26" spans="1:11" ht="12" customHeight="1">
      <c r="A26" s="22"/>
      <c r="B26" s="28" t="s">
        <v>52</v>
      </c>
      <c r="C26" s="29" t="s">
        <v>53</v>
      </c>
      <c r="D26" s="29" t="s">
        <v>54</v>
      </c>
      <c r="E26" s="29" t="s">
        <v>55</v>
      </c>
      <c r="F26" s="29" t="s">
        <v>56</v>
      </c>
      <c r="G26" s="30" t="s">
        <v>57</v>
      </c>
      <c r="H26" s="31" t="s">
        <v>58</v>
      </c>
      <c r="I26" s="32" t="s">
        <v>59</v>
      </c>
      <c r="J26" s="32" t="s">
        <v>60</v>
      </c>
      <c r="K26" s="32" t="s">
        <v>61</v>
      </c>
    </row>
    <row r="27" spans="1:11" ht="12" customHeight="1">
      <c r="A27" s="23"/>
      <c r="B27" s="28" t="s">
        <v>62</v>
      </c>
      <c r="C27" s="41">
        <v>96641.919999999998</v>
      </c>
      <c r="D27" s="43"/>
      <c r="E27" s="35"/>
      <c r="F27" s="35">
        <f>E25-C27+E27</f>
        <v>428814.89999999997</v>
      </c>
      <c r="G27" s="55" t="s">
        <v>90</v>
      </c>
      <c r="H27" s="56" t="s">
        <v>91</v>
      </c>
      <c r="I27" s="39"/>
      <c r="J27" s="40">
        <v>-5900</v>
      </c>
      <c r="K27" s="39"/>
    </row>
    <row r="28" spans="1:11" ht="12" customHeight="1">
      <c r="A28" s="22"/>
      <c r="B28" s="28" t="s">
        <v>68</v>
      </c>
      <c r="C28" s="41">
        <v>107203.72</v>
      </c>
      <c r="D28" s="43"/>
      <c r="E28" s="35"/>
      <c r="F28" s="35">
        <f t="shared" ref="F28:F38" si="1">F27-C28+E28</f>
        <v>321611.17999999993</v>
      </c>
      <c r="G28" s="55" t="s">
        <v>92</v>
      </c>
      <c r="H28" s="57" t="s">
        <v>93</v>
      </c>
      <c r="I28" s="58" t="s">
        <v>94</v>
      </c>
      <c r="J28" s="59">
        <v>285994</v>
      </c>
      <c r="K28" s="39" t="s">
        <v>95</v>
      </c>
    </row>
    <row r="29" spans="1:11" ht="12" customHeight="1">
      <c r="A29" s="22"/>
      <c r="B29" s="28" t="s">
        <v>70</v>
      </c>
      <c r="C29" s="41">
        <v>107203.73</v>
      </c>
      <c r="D29" s="43"/>
      <c r="E29" s="35"/>
      <c r="F29" s="35">
        <f t="shared" si="1"/>
        <v>214407.44999999995</v>
      </c>
      <c r="G29" s="55" t="s">
        <v>96</v>
      </c>
      <c r="H29" s="38"/>
      <c r="I29" s="39"/>
      <c r="J29" s="40">
        <v>94910.79</v>
      </c>
      <c r="K29" s="39" t="s">
        <v>97</v>
      </c>
    </row>
    <row r="30" spans="1:11" ht="12" customHeight="1">
      <c r="A30" s="22"/>
      <c r="B30" s="28" t="s">
        <v>72</v>
      </c>
      <c r="C30" s="41">
        <v>104253.72</v>
      </c>
      <c r="D30" s="43" t="s">
        <v>73</v>
      </c>
      <c r="E30" s="35">
        <v>-5900</v>
      </c>
      <c r="F30" s="35">
        <f t="shared" si="1"/>
        <v>104253.72999999995</v>
      </c>
      <c r="G30" s="55" t="s">
        <v>98</v>
      </c>
      <c r="H30" s="38"/>
      <c r="I30" s="56"/>
      <c r="J30" s="40">
        <v>-117871</v>
      </c>
      <c r="K30" s="39" t="s">
        <v>95</v>
      </c>
    </row>
    <row r="31" spans="1:11" ht="12" customHeight="1">
      <c r="A31" s="22"/>
      <c r="B31" s="28" t="s">
        <v>74</v>
      </c>
      <c r="C31" s="41">
        <v>104253.73</v>
      </c>
      <c r="D31" s="43"/>
      <c r="E31" s="35"/>
      <c r="F31" s="35">
        <f t="shared" si="1"/>
        <v>-4.3655745685100555E-11</v>
      </c>
      <c r="G31" s="55" t="s">
        <v>99</v>
      </c>
      <c r="H31" s="38"/>
      <c r="I31" s="39"/>
      <c r="J31" s="40">
        <v>-94910.79</v>
      </c>
      <c r="K31" s="39"/>
    </row>
    <row r="32" spans="1:11" ht="12" customHeight="1">
      <c r="A32" s="22"/>
      <c r="B32" s="28" t="s">
        <v>75</v>
      </c>
      <c r="C32" s="41">
        <v>108921.04</v>
      </c>
      <c r="D32" s="43" t="s">
        <v>100</v>
      </c>
      <c r="E32" s="35">
        <f>94910.79+285994-117871</f>
        <v>263033.78999999998</v>
      </c>
      <c r="F32" s="35">
        <f t="shared" si="1"/>
        <v>154112.74999999994</v>
      </c>
      <c r="G32" s="55" t="s">
        <v>101</v>
      </c>
      <c r="H32" s="57" t="s">
        <v>102</v>
      </c>
      <c r="I32" s="38" t="s">
        <v>103</v>
      </c>
      <c r="J32" s="60">
        <v>1071076</v>
      </c>
      <c r="K32" s="39" t="s">
        <v>95</v>
      </c>
    </row>
    <row r="33" spans="1:11" ht="12" customHeight="1">
      <c r="A33" s="22"/>
      <c r="B33" s="28" t="s">
        <v>78</v>
      </c>
      <c r="C33" s="41">
        <v>209280.91</v>
      </c>
      <c r="D33" s="61" t="s">
        <v>104</v>
      </c>
      <c r="E33" s="35">
        <f>J32+J33+J34+J35+J36+J31</f>
        <v>1079685.3999999999</v>
      </c>
      <c r="F33" s="35">
        <f t="shared" si="1"/>
        <v>1024517.2399999999</v>
      </c>
      <c r="G33" s="55" t="s">
        <v>101</v>
      </c>
      <c r="H33" s="38" t="s">
        <v>105</v>
      </c>
      <c r="I33" s="38" t="s">
        <v>103</v>
      </c>
      <c r="J33" s="62">
        <v>53553.8</v>
      </c>
      <c r="K33" s="39" t="s">
        <v>95</v>
      </c>
    </row>
    <row r="34" spans="1:11" ht="12" customHeight="1">
      <c r="A34" s="22"/>
      <c r="B34" s="28" t="s">
        <v>79</v>
      </c>
      <c r="C34" s="41">
        <v>16146.55</v>
      </c>
      <c r="D34" s="43" t="s">
        <v>80</v>
      </c>
      <c r="E34" s="35">
        <v>-29815</v>
      </c>
      <c r="F34" s="35">
        <f t="shared" si="1"/>
        <v>978555.68999999983</v>
      </c>
      <c r="G34" s="55" t="s">
        <v>106</v>
      </c>
      <c r="H34" s="38" t="s">
        <v>105</v>
      </c>
      <c r="I34" s="39" t="s">
        <v>107</v>
      </c>
      <c r="J34" s="40">
        <v>14299.7</v>
      </c>
      <c r="K34" s="39" t="s">
        <v>95</v>
      </c>
    </row>
    <row r="35" spans="1:11" ht="12" customHeight="1">
      <c r="A35" s="22"/>
      <c r="B35" s="28" t="s">
        <v>81</v>
      </c>
      <c r="C35" s="41">
        <v>111057.34</v>
      </c>
      <c r="D35" s="43"/>
      <c r="E35" s="35"/>
      <c r="F35" s="35">
        <f t="shared" si="1"/>
        <v>867498.34999999986</v>
      </c>
      <c r="G35" s="55" t="s">
        <v>108</v>
      </c>
      <c r="H35" s="63" t="s">
        <v>109</v>
      </c>
      <c r="I35" s="38"/>
      <c r="J35" s="40">
        <v>40000</v>
      </c>
      <c r="K35" s="39" t="s">
        <v>110</v>
      </c>
    </row>
    <row r="36" spans="1:11" ht="12" customHeight="1">
      <c r="A36" s="22"/>
      <c r="B36" s="28" t="s">
        <v>82</v>
      </c>
      <c r="C36" s="41">
        <v>111057.34</v>
      </c>
      <c r="D36" s="43"/>
      <c r="E36" s="35"/>
      <c r="F36" s="35">
        <f t="shared" si="1"/>
        <v>756441.00999999989</v>
      </c>
      <c r="G36" s="55" t="s">
        <v>111</v>
      </c>
      <c r="H36" s="49" t="s">
        <v>109</v>
      </c>
      <c r="I36" s="38"/>
      <c r="J36" s="40">
        <v>-4333.3100000000004</v>
      </c>
      <c r="K36" s="39" t="s">
        <v>110</v>
      </c>
    </row>
    <row r="37" spans="1:11" ht="12" customHeight="1">
      <c r="A37" s="22"/>
      <c r="B37" s="28" t="s">
        <v>83</v>
      </c>
      <c r="C37" s="41">
        <v>111057.34</v>
      </c>
      <c r="D37" s="43"/>
      <c r="E37" s="35"/>
      <c r="F37" s="35">
        <f t="shared" si="1"/>
        <v>645383.66999999993</v>
      </c>
      <c r="G37" s="55" t="s">
        <v>77</v>
      </c>
      <c r="H37" s="38" t="s">
        <v>93</v>
      </c>
      <c r="I37" s="38"/>
      <c r="J37" s="40">
        <v>-29815</v>
      </c>
      <c r="K37" s="39" t="s">
        <v>112</v>
      </c>
    </row>
    <row r="38" spans="1:11" ht="12" customHeight="1">
      <c r="A38" s="22"/>
      <c r="B38" s="28" t="s">
        <v>84</v>
      </c>
      <c r="C38" s="41">
        <v>111057.35</v>
      </c>
      <c r="D38" s="43"/>
      <c r="E38" s="35"/>
      <c r="F38" s="35">
        <f t="shared" si="1"/>
        <v>534326.31999999995</v>
      </c>
      <c r="G38" s="55"/>
      <c r="H38" s="38"/>
      <c r="I38" s="38"/>
      <c r="J38" s="40"/>
      <c r="K38" s="39"/>
    </row>
    <row r="39" spans="1:11" ht="12" customHeight="1">
      <c r="A39" s="22"/>
      <c r="B39" s="50" t="s">
        <v>85</v>
      </c>
      <c r="C39" s="64">
        <f>SUM(C27:C38)</f>
        <v>1298134.6900000002</v>
      </c>
      <c r="D39" s="22"/>
      <c r="E39" s="64">
        <f>SUM(E27:E38)</f>
        <v>1307004.19</v>
      </c>
      <c r="F39" s="22"/>
      <c r="G39" s="55"/>
      <c r="H39" s="38"/>
      <c r="I39" s="38"/>
      <c r="J39" s="40"/>
      <c r="K39" s="39"/>
    </row>
    <row r="40" spans="1:11" ht="12" customHeight="1">
      <c r="A40" s="22"/>
      <c r="B40" s="22"/>
      <c r="C40" s="64"/>
      <c r="D40" s="22"/>
      <c r="E40" s="22"/>
      <c r="F40" s="22"/>
      <c r="G40" s="55"/>
      <c r="H40" s="38"/>
      <c r="I40" s="38"/>
      <c r="J40" s="40"/>
      <c r="K40" s="39"/>
    </row>
    <row r="41" spans="1:11" ht="12" customHeight="1">
      <c r="A41" s="22"/>
      <c r="B41" s="22"/>
      <c r="C41" s="64"/>
      <c r="D41" s="22"/>
      <c r="E41" s="22"/>
      <c r="F41" s="22"/>
      <c r="G41" s="55"/>
      <c r="H41" s="38"/>
      <c r="I41" s="38"/>
      <c r="J41" s="40"/>
      <c r="K41" s="39"/>
    </row>
    <row r="42" spans="1:11" ht="12" customHeight="1">
      <c r="A42" s="22"/>
      <c r="B42" s="22"/>
      <c r="C42" s="64"/>
      <c r="D42" s="22"/>
      <c r="E42" s="22"/>
      <c r="F42" s="22"/>
      <c r="G42" s="55"/>
      <c r="H42" s="38"/>
      <c r="I42" s="38"/>
      <c r="J42" s="40"/>
      <c r="K42" s="39"/>
    </row>
    <row r="43" spans="1:11" ht="12" customHeight="1">
      <c r="A43" s="22"/>
      <c r="B43" s="23" t="s">
        <v>113</v>
      </c>
      <c r="C43" s="22"/>
      <c r="D43" s="22"/>
      <c r="E43" s="22"/>
      <c r="F43" s="22" t="s">
        <v>43</v>
      </c>
      <c r="G43" s="65"/>
    </row>
    <row r="44" spans="1:11" ht="12" customHeight="1">
      <c r="A44" s="22"/>
      <c r="B44" s="23" t="s">
        <v>44</v>
      </c>
      <c r="C44" s="22"/>
      <c r="D44" s="22"/>
      <c r="E44" s="23" t="s">
        <v>45</v>
      </c>
      <c r="F44" s="22" t="s">
        <v>87</v>
      </c>
      <c r="G44" s="22"/>
    </row>
    <row r="45" spans="1:11" ht="12" customHeight="1">
      <c r="A45" s="22"/>
      <c r="B45" s="23" t="s">
        <v>47</v>
      </c>
      <c r="C45" s="22"/>
      <c r="D45" s="22"/>
      <c r="E45" s="26" t="s">
        <v>48</v>
      </c>
      <c r="F45" s="22" t="s">
        <v>88</v>
      </c>
      <c r="G45" s="22"/>
    </row>
    <row r="46" spans="1:11" ht="12" customHeight="1">
      <c r="A46" s="22"/>
      <c r="B46" s="23"/>
      <c r="C46" s="22"/>
      <c r="D46" s="22"/>
      <c r="E46" s="22"/>
      <c r="F46" s="22" t="s">
        <v>114</v>
      </c>
      <c r="G46" s="22"/>
    </row>
    <row r="47" spans="1:11" ht="12" customHeight="1">
      <c r="A47" s="22"/>
      <c r="B47" s="23" t="str">
        <f>B5</f>
        <v>BALANCE AT 12-31-15</v>
      </c>
      <c r="C47" s="22"/>
      <c r="D47" s="22"/>
      <c r="E47" s="27">
        <v>98850.97</v>
      </c>
      <c r="F47" s="22"/>
      <c r="G47" s="22" t="s">
        <v>51</v>
      </c>
    </row>
    <row r="48" spans="1:11" ht="12" customHeight="1">
      <c r="A48" s="22"/>
      <c r="B48" s="66" t="s">
        <v>52</v>
      </c>
      <c r="C48" s="67" t="s">
        <v>53</v>
      </c>
      <c r="D48" s="67" t="s">
        <v>54</v>
      </c>
      <c r="E48" s="67" t="s">
        <v>55</v>
      </c>
      <c r="F48" s="68" t="s">
        <v>56</v>
      </c>
      <c r="G48" s="30" t="s">
        <v>57</v>
      </c>
      <c r="H48" s="31" t="s">
        <v>58</v>
      </c>
      <c r="I48" s="32" t="s">
        <v>59</v>
      </c>
      <c r="J48" s="32" t="s">
        <v>60</v>
      </c>
      <c r="K48" s="32" t="s">
        <v>61</v>
      </c>
    </row>
    <row r="49" spans="1:11" ht="12" customHeight="1">
      <c r="A49" s="23"/>
      <c r="B49" s="28" t="s">
        <v>62</v>
      </c>
      <c r="C49" s="41">
        <v>19643.419999999998</v>
      </c>
      <c r="D49" s="69"/>
      <c r="E49" s="35"/>
      <c r="F49" s="35">
        <f>E47-C49+E49</f>
        <v>79207.55</v>
      </c>
      <c r="G49" s="55" t="s">
        <v>96</v>
      </c>
      <c r="I49" s="38"/>
      <c r="J49" s="40">
        <v>16583.330000000002</v>
      </c>
      <c r="K49" s="39" t="s">
        <v>97</v>
      </c>
    </row>
    <row r="50" spans="1:11" ht="12" customHeight="1">
      <c r="A50" s="22"/>
      <c r="B50" s="28" t="s">
        <v>68</v>
      </c>
      <c r="C50" s="41">
        <v>19643.419999999998</v>
      </c>
      <c r="D50" s="43"/>
      <c r="E50" s="35"/>
      <c r="F50" s="36">
        <f t="shared" ref="F50:F60" si="2">F49-C50+E50</f>
        <v>59564.130000000005</v>
      </c>
      <c r="G50" s="55" t="s">
        <v>99</v>
      </c>
      <c r="H50" s="38"/>
      <c r="I50" s="38"/>
      <c r="J50" s="40">
        <v>-16583.330000000002</v>
      </c>
      <c r="K50" s="39"/>
    </row>
    <row r="51" spans="1:11" ht="12" customHeight="1">
      <c r="A51" s="22"/>
      <c r="B51" s="28" t="s">
        <v>70</v>
      </c>
      <c r="C51" s="41">
        <v>19643.41</v>
      </c>
      <c r="D51" s="43"/>
      <c r="E51" s="35"/>
      <c r="F51" s="36">
        <f t="shared" si="2"/>
        <v>39920.720000000001</v>
      </c>
      <c r="G51" s="55" t="s">
        <v>115</v>
      </c>
      <c r="H51" s="24" t="s">
        <v>116</v>
      </c>
      <c r="I51" s="38" t="s">
        <v>117</v>
      </c>
      <c r="J51" s="40">
        <v>199000</v>
      </c>
      <c r="K51" s="39" t="s">
        <v>95</v>
      </c>
    </row>
    <row r="52" spans="1:11" ht="12" customHeight="1">
      <c r="A52" s="22"/>
      <c r="B52" s="28" t="s">
        <v>72</v>
      </c>
      <c r="C52" s="41">
        <v>19643.419999999998</v>
      </c>
      <c r="D52" s="43"/>
      <c r="E52" s="35"/>
      <c r="F52" s="35">
        <f t="shared" si="2"/>
        <v>20277.300000000003</v>
      </c>
      <c r="G52" s="37" t="s">
        <v>77</v>
      </c>
      <c r="H52" s="38" t="s">
        <v>116</v>
      </c>
      <c r="I52" s="38" t="s">
        <v>118</v>
      </c>
      <c r="J52" s="40">
        <v>-4542</v>
      </c>
      <c r="K52" s="39" t="s">
        <v>112</v>
      </c>
    </row>
    <row r="53" spans="1:11" ht="12" customHeight="1">
      <c r="A53" s="22"/>
      <c r="B53" s="28" t="s">
        <v>74</v>
      </c>
      <c r="C53" s="41">
        <v>20277.3</v>
      </c>
      <c r="D53" s="70"/>
      <c r="E53" s="41"/>
      <c r="F53" s="35">
        <f t="shared" si="2"/>
        <v>3.637978807091713E-12</v>
      </c>
      <c r="G53" s="55"/>
      <c r="H53" s="71"/>
      <c r="I53" s="39"/>
      <c r="J53" s="40"/>
      <c r="K53" s="39"/>
    </row>
    <row r="54" spans="1:11" ht="12" customHeight="1">
      <c r="A54" s="22"/>
      <c r="B54" s="28" t="s">
        <v>75</v>
      </c>
      <c r="C54" s="41">
        <v>16583.333333333332</v>
      </c>
      <c r="D54" s="70"/>
      <c r="E54" s="35">
        <v>16583.333333333332</v>
      </c>
      <c r="F54" s="35">
        <f t="shared" si="2"/>
        <v>0</v>
      </c>
      <c r="G54" s="72"/>
      <c r="H54" s="73"/>
      <c r="I54" s="74"/>
      <c r="J54" s="75"/>
      <c r="K54" s="74"/>
    </row>
    <row r="55" spans="1:11" ht="12" customHeight="1">
      <c r="A55" s="22"/>
      <c r="B55" s="28" t="s">
        <v>78</v>
      </c>
      <c r="C55" s="41">
        <v>33166.660000000003</v>
      </c>
      <c r="D55" s="61" t="s">
        <v>104</v>
      </c>
      <c r="E55" s="35">
        <f>-16583.33+199000</f>
        <v>182416.66999999998</v>
      </c>
      <c r="F55" s="35">
        <f t="shared" si="2"/>
        <v>149250.00999999998</v>
      </c>
      <c r="G55" s="72"/>
      <c r="H55" s="73"/>
      <c r="I55" s="74"/>
      <c r="J55" s="75"/>
      <c r="K55" s="74"/>
    </row>
    <row r="56" spans="1:11" ht="12" customHeight="1">
      <c r="A56" s="22"/>
      <c r="B56" s="28" t="s">
        <v>79</v>
      </c>
      <c r="C56" s="41">
        <v>-504.67</v>
      </c>
      <c r="D56" s="43" t="s">
        <v>80</v>
      </c>
      <c r="E56" s="35">
        <v>-4542</v>
      </c>
      <c r="F56" s="35">
        <f t="shared" si="2"/>
        <v>145212.68</v>
      </c>
      <c r="G56" s="72"/>
      <c r="H56" s="73"/>
      <c r="I56" s="74"/>
      <c r="J56" s="75"/>
      <c r="K56" s="74"/>
    </row>
    <row r="57" spans="1:11" ht="12" customHeight="1">
      <c r="A57" s="22"/>
      <c r="B57" s="28" t="s">
        <v>81</v>
      </c>
      <c r="C57" s="41">
        <v>16078.66</v>
      </c>
      <c r="D57" s="43"/>
      <c r="E57" s="35"/>
      <c r="F57" s="35">
        <f t="shared" si="2"/>
        <v>129134.01999999999</v>
      </c>
      <c r="G57" s="72"/>
      <c r="I57" s="74"/>
      <c r="J57" s="75"/>
      <c r="K57" s="74"/>
    </row>
    <row r="58" spans="1:11" ht="12" customHeight="1">
      <c r="A58" s="22"/>
      <c r="B58" s="28" t="s">
        <v>82</v>
      </c>
      <c r="C58" s="41">
        <v>16078.66</v>
      </c>
      <c r="D58" s="61"/>
      <c r="E58" s="35"/>
      <c r="F58" s="35">
        <f t="shared" si="2"/>
        <v>113055.35999999999</v>
      </c>
      <c r="G58" s="72"/>
      <c r="H58" s="73"/>
      <c r="I58" s="74"/>
      <c r="J58" s="75"/>
      <c r="K58" s="74"/>
    </row>
    <row r="59" spans="1:11" ht="12" customHeight="1">
      <c r="A59" s="22"/>
      <c r="B59" s="28" t="s">
        <v>83</v>
      </c>
      <c r="C59" s="41">
        <v>16078.66</v>
      </c>
      <c r="D59" s="43"/>
      <c r="E59" s="41"/>
      <c r="F59" s="35">
        <f t="shared" si="2"/>
        <v>96976.699999999983</v>
      </c>
      <c r="G59" s="55"/>
      <c r="H59" s="38"/>
      <c r="I59" s="39"/>
      <c r="J59" s="40"/>
      <c r="K59" s="39"/>
    </row>
    <row r="60" spans="1:11" ht="12" customHeight="1">
      <c r="A60" s="22"/>
      <c r="B60" s="28" t="s">
        <v>84</v>
      </c>
      <c r="C60" s="41">
        <v>16078.68</v>
      </c>
      <c r="D60" s="61"/>
      <c r="E60" s="41"/>
      <c r="F60" s="35">
        <f t="shared" si="2"/>
        <v>80898.01999999999</v>
      </c>
      <c r="G60" s="55"/>
      <c r="H60" s="38"/>
      <c r="I60" s="39"/>
      <c r="J60" s="40"/>
      <c r="K60" s="39"/>
    </row>
    <row r="61" spans="1:11" ht="12" customHeight="1">
      <c r="A61" s="22"/>
      <c r="B61" s="50" t="s">
        <v>85</v>
      </c>
      <c r="C61" s="64">
        <f>SUM(C49:C60)</f>
        <v>212410.95333333331</v>
      </c>
      <c r="D61" s="22"/>
      <c r="E61" s="64">
        <f>SUM(E49:E60)</f>
        <v>194458.00333333333</v>
      </c>
      <c r="F61" s="22"/>
      <c r="G61" s="22"/>
    </row>
    <row r="62" spans="1:11" ht="12" customHeight="1">
      <c r="A62" s="22"/>
      <c r="B62" s="22"/>
      <c r="C62" s="22"/>
      <c r="D62" s="22"/>
      <c r="E62" s="22"/>
      <c r="F62" s="22"/>
      <c r="G62" s="22"/>
    </row>
    <row r="63" spans="1:11" ht="12" customHeight="1">
      <c r="A63" s="22"/>
      <c r="B63" s="23" t="s">
        <v>119</v>
      </c>
      <c r="C63" s="22"/>
      <c r="D63" s="22"/>
      <c r="E63" s="22"/>
      <c r="F63" s="22"/>
      <c r="G63" s="22"/>
    </row>
    <row r="64" spans="1:11" ht="12" customHeight="1">
      <c r="A64" s="22"/>
      <c r="B64" s="23" t="s">
        <v>44</v>
      </c>
      <c r="C64" s="22"/>
      <c r="D64" s="22" t="s">
        <v>120</v>
      </c>
      <c r="E64" s="26" t="s">
        <v>121</v>
      </c>
      <c r="F64" s="76">
        <v>3971.92</v>
      </c>
      <c r="G64" s="22"/>
    </row>
    <row r="65" spans="1:11" ht="12" customHeight="1">
      <c r="A65" s="22"/>
      <c r="B65" s="23" t="s">
        <v>44</v>
      </c>
      <c r="C65" s="22"/>
      <c r="D65" s="22" t="s">
        <v>122</v>
      </c>
      <c r="E65" s="26" t="s">
        <v>123</v>
      </c>
      <c r="F65" s="76">
        <v>6313.65</v>
      </c>
      <c r="G65" s="22"/>
    </row>
    <row r="66" spans="1:11" ht="12" customHeight="1">
      <c r="A66" s="22"/>
      <c r="B66" s="23" t="s">
        <v>44</v>
      </c>
      <c r="C66" s="22"/>
      <c r="D66" s="22"/>
      <c r="E66" s="26" t="s">
        <v>124</v>
      </c>
      <c r="F66" s="76">
        <v>1915.62</v>
      </c>
      <c r="G66" s="22"/>
    </row>
    <row r="67" spans="1:11" ht="12" customHeight="1">
      <c r="A67" s="22"/>
      <c r="B67" s="23" t="s">
        <v>47</v>
      </c>
      <c r="C67" s="22"/>
      <c r="D67" s="22"/>
      <c r="E67" s="26" t="s">
        <v>48</v>
      </c>
      <c r="F67" s="76">
        <v>12201.19</v>
      </c>
      <c r="G67" s="22"/>
    </row>
    <row r="68" spans="1:11" ht="12" customHeight="1">
      <c r="A68" s="22"/>
      <c r="B68" s="23" t="str">
        <f>B5</f>
        <v>BALANCE AT 12-31-15</v>
      </c>
      <c r="C68" s="22"/>
      <c r="D68" s="23"/>
      <c r="E68" s="77">
        <v>68948.149999999994</v>
      </c>
      <c r="F68" s="22"/>
      <c r="G68" s="22" t="s">
        <v>51</v>
      </c>
    </row>
    <row r="69" spans="1:11" ht="12" customHeight="1">
      <c r="A69" s="22"/>
      <c r="B69" s="28" t="s">
        <v>52</v>
      </c>
      <c r="C69" s="29" t="s">
        <v>53</v>
      </c>
      <c r="D69" s="29" t="s">
        <v>54</v>
      </c>
      <c r="E69" s="29" t="s">
        <v>55</v>
      </c>
      <c r="F69" s="29" t="s">
        <v>56</v>
      </c>
      <c r="G69" s="30" t="s">
        <v>57</v>
      </c>
      <c r="H69" s="31" t="s">
        <v>58</v>
      </c>
      <c r="I69" s="32" t="s">
        <v>59</v>
      </c>
      <c r="J69" s="32" t="s">
        <v>60</v>
      </c>
      <c r="K69" s="32" t="s">
        <v>61</v>
      </c>
    </row>
    <row r="70" spans="1:11" ht="12" customHeight="1">
      <c r="A70" s="22"/>
      <c r="B70" s="28" t="s">
        <v>62</v>
      </c>
      <c r="C70" s="41">
        <v>13789.63</v>
      </c>
      <c r="D70" s="78"/>
      <c r="E70" s="35"/>
      <c r="F70" s="35">
        <f>E68-C70+E70</f>
        <v>55158.52</v>
      </c>
      <c r="G70" s="55" t="s">
        <v>125</v>
      </c>
      <c r="H70" s="38" t="s">
        <v>126</v>
      </c>
      <c r="I70" s="39" t="s">
        <v>127</v>
      </c>
      <c r="J70" s="40">
        <v>146414.22</v>
      </c>
      <c r="K70" s="39" t="s">
        <v>128</v>
      </c>
    </row>
    <row r="71" spans="1:11" ht="12" customHeight="1">
      <c r="A71" s="22"/>
      <c r="B71" s="28" t="s">
        <v>68</v>
      </c>
      <c r="C71" s="41">
        <v>13789.63</v>
      </c>
      <c r="D71" s="61"/>
      <c r="E71" s="35"/>
      <c r="F71" s="35">
        <f t="shared" ref="F71:F81" si="3">F70-C71+E71</f>
        <v>41368.89</v>
      </c>
      <c r="G71" s="55"/>
      <c r="H71" s="38"/>
      <c r="I71" s="58"/>
      <c r="J71" s="59"/>
      <c r="K71" s="39"/>
    </row>
    <row r="72" spans="1:11" ht="12" customHeight="1">
      <c r="A72" s="22"/>
      <c r="B72" s="28" t="s">
        <v>70</v>
      </c>
      <c r="C72" s="41">
        <v>13789.63</v>
      </c>
      <c r="D72" s="78"/>
      <c r="E72" s="35"/>
      <c r="F72" s="35">
        <f t="shared" si="3"/>
        <v>27579.260000000002</v>
      </c>
      <c r="G72" s="55"/>
      <c r="H72" s="38"/>
      <c r="I72" s="39"/>
      <c r="J72" s="40"/>
      <c r="K72" s="39"/>
    </row>
    <row r="73" spans="1:11" ht="12" customHeight="1">
      <c r="A73" s="22"/>
      <c r="B73" s="28" t="s">
        <v>72</v>
      </c>
      <c r="C73" s="41">
        <v>13789.63</v>
      </c>
      <c r="D73" s="78"/>
      <c r="E73" s="41"/>
      <c r="F73" s="35">
        <f t="shared" si="3"/>
        <v>13789.630000000003</v>
      </c>
      <c r="G73" s="79"/>
      <c r="H73" s="57"/>
      <c r="I73" s="58"/>
      <c r="J73" s="59"/>
      <c r="K73" s="39"/>
    </row>
    <row r="74" spans="1:11" ht="12" customHeight="1">
      <c r="A74" s="22"/>
      <c r="B74" s="28" t="s">
        <v>74</v>
      </c>
      <c r="C74" s="41">
        <v>13789.63</v>
      </c>
      <c r="D74" s="78"/>
      <c r="E74" s="35"/>
      <c r="F74" s="35">
        <f t="shared" si="3"/>
        <v>3.637978807091713E-12</v>
      </c>
      <c r="G74" s="79"/>
      <c r="H74" s="38"/>
      <c r="I74" s="39"/>
      <c r="J74" s="40"/>
      <c r="K74" s="39"/>
    </row>
    <row r="75" spans="1:11" ht="12" customHeight="1">
      <c r="A75" s="22"/>
      <c r="B75" s="28" t="s">
        <v>75</v>
      </c>
      <c r="C75" s="41">
        <v>13789.63</v>
      </c>
      <c r="D75" s="61"/>
      <c r="E75" s="35"/>
      <c r="F75" s="35">
        <f>F74-C75+E75</f>
        <v>-13789.629999999996</v>
      </c>
      <c r="G75" s="80"/>
      <c r="H75" s="57"/>
      <c r="I75" s="58"/>
      <c r="J75" s="59"/>
      <c r="K75" s="39"/>
    </row>
    <row r="76" spans="1:11" ht="12" customHeight="1">
      <c r="A76" s="22"/>
      <c r="B76" s="28" t="s">
        <v>78</v>
      </c>
      <c r="C76" s="41">
        <v>10612.75</v>
      </c>
      <c r="D76" s="61" t="s">
        <v>129</v>
      </c>
      <c r="E76" s="81">
        <v>146414.22</v>
      </c>
      <c r="F76" s="35">
        <f>F75-C76+E76</f>
        <v>122011.84</v>
      </c>
      <c r="G76" s="55"/>
      <c r="H76" s="38"/>
      <c r="I76" s="39"/>
      <c r="J76" s="40"/>
      <c r="K76" s="39"/>
    </row>
    <row r="77" spans="1:11" ht="12" customHeight="1">
      <c r="A77" s="22"/>
      <c r="B77" s="28" t="s">
        <v>79</v>
      </c>
      <c r="C77" s="41">
        <v>12201.19</v>
      </c>
      <c r="D77" s="78"/>
      <c r="E77" s="82"/>
      <c r="F77" s="35">
        <f t="shared" si="3"/>
        <v>109810.65</v>
      </c>
      <c r="G77" s="80"/>
      <c r="H77" s="57"/>
      <c r="I77" s="58"/>
      <c r="J77" s="59"/>
      <c r="K77" s="39"/>
    </row>
    <row r="78" spans="1:11" ht="12" customHeight="1">
      <c r="A78" s="22"/>
      <c r="B78" s="28" t="s">
        <v>81</v>
      </c>
      <c r="C78" s="41">
        <v>12201.19</v>
      </c>
      <c r="D78" s="78"/>
      <c r="E78" s="35"/>
      <c r="F78" s="35">
        <f t="shared" si="3"/>
        <v>97609.459999999992</v>
      </c>
      <c r="G78" s="79"/>
      <c r="H78" s="38"/>
      <c r="I78" s="39"/>
      <c r="J78" s="40"/>
      <c r="K78" s="39"/>
    </row>
    <row r="79" spans="1:11" ht="12" customHeight="1">
      <c r="A79" s="22"/>
      <c r="B79" s="28" t="s">
        <v>82</v>
      </c>
      <c r="C79" s="41">
        <v>12201.19</v>
      </c>
      <c r="D79" s="78"/>
      <c r="E79" s="35"/>
      <c r="F79" s="35">
        <f t="shared" si="3"/>
        <v>85408.26999999999</v>
      </c>
      <c r="G79" s="80"/>
      <c r="H79" s="57"/>
      <c r="I79" s="58"/>
      <c r="J79" s="59"/>
      <c r="K79" s="39"/>
    </row>
    <row r="80" spans="1:11" ht="12" customHeight="1">
      <c r="A80" s="22"/>
      <c r="B80" s="28" t="s">
        <v>83</v>
      </c>
      <c r="C80" s="41">
        <v>12201.19</v>
      </c>
      <c r="D80" s="78"/>
      <c r="E80" s="35"/>
      <c r="F80" s="35">
        <f t="shared" si="3"/>
        <v>73207.079999999987</v>
      </c>
      <c r="G80" s="79"/>
      <c r="H80" s="38"/>
      <c r="I80" s="39"/>
      <c r="J80" s="40"/>
      <c r="K80" s="39"/>
    </row>
    <row r="81" spans="1:11" ht="12" customHeight="1">
      <c r="A81" s="22"/>
      <c r="B81" s="28" t="s">
        <v>84</v>
      </c>
      <c r="C81" s="41">
        <v>12201.19</v>
      </c>
      <c r="D81" s="78"/>
      <c r="E81" s="35"/>
      <c r="F81" s="35">
        <f t="shared" si="3"/>
        <v>61005.889999999985</v>
      </c>
      <c r="G81" s="79"/>
      <c r="H81" s="38"/>
      <c r="I81" s="39"/>
      <c r="J81" s="40"/>
      <c r="K81" s="39"/>
    </row>
    <row r="82" spans="1:11" ht="12" customHeight="1">
      <c r="A82" s="22"/>
      <c r="B82" s="50" t="s">
        <v>85</v>
      </c>
      <c r="C82" s="64">
        <f>SUM(C70:C81)</f>
        <v>154356.48000000001</v>
      </c>
      <c r="D82" s="22"/>
      <c r="E82" s="64">
        <f>SUM(E70:E81)</f>
        <v>146414.22</v>
      </c>
      <c r="F82" s="22"/>
      <c r="G82" s="22"/>
    </row>
    <row r="83" spans="1:11" ht="12" customHeight="1">
      <c r="A83" s="22"/>
      <c r="B83" s="50"/>
      <c r="C83" s="64"/>
      <c r="D83" s="22"/>
      <c r="E83" s="64"/>
      <c r="F83" s="22"/>
      <c r="G83" s="22"/>
    </row>
    <row r="84" spans="1:11" ht="12" customHeight="1">
      <c r="A84" s="22"/>
      <c r="B84" s="23" t="s">
        <v>130</v>
      </c>
      <c r="C84" s="22"/>
      <c r="D84" s="22"/>
      <c r="E84" s="22"/>
      <c r="F84" s="22"/>
      <c r="G84" s="22"/>
    </row>
    <row r="85" spans="1:11" ht="12" customHeight="1">
      <c r="A85" s="22"/>
      <c r="B85" s="23" t="s">
        <v>44</v>
      </c>
      <c r="C85" s="22"/>
      <c r="D85" s="22"/>
      <c r="E85" s="26" t="s">
        <v>131</v>
      </c>
      <c r="F85" s="83">
        <v>14569.71</v>
      </c>
      <c r="G85" s="22"/>
    </row>
    <row r="86" spans="1:11" ht="12" customHeight="1">
      <c r="A86" s="22"/>
      <c r="B86" s="23" t="s">
        <v>44</v>
      </c>
      <c r="C86" s="22"/>
      <c r="D86" s="22"/>
      <c r="E86" s="26" t="s">
        <v>132</v>
      </c>
      <c r="F86" s="83">
        <v>726</v>
      </c>
      <c r="G86" s="22" t="s">
        <v>133</v>
      </c>
    </row>
    <row r="87" spans="1:11" ht="12" customHeight="1">
      <c r="A87" s="22"/>
      <c r="B87" s="23" t="s">
        <v>47</v>
      </c>
      <c r="C87" s="22"/>
      <c r="D87" s="22"/>
      <c r="E87" s="26" t="s">
        <v>134</v>
      </c>
      <c r="F87" s="83">
        <f>SUM(F85:F86)</f>
        <v>15295.71</v>
      </c>
      <c r="G87" s="22" t="s">
        <v>135</v>
      </c>
    </row>
    <row r="88" spans="1:11" ht="12" customHeight="1">
      <c r="A88" s="22"/>
      <c r="B88" s="23" t="str">
        <f>B5</f>
        <v>BALANCE AT 12-31-15</v>
      </c>
      <c r="C88" s="22"/>
      <c r="D88" s="23"/>
      <c r="E88" s="77">
        <v>69976.160000000003</v>
      </c>
      <c r="F88" s="22"/>
      <c r="G88" s="22" t="s">
        <v>51</v>
      </c>
    </row>
    <row r="89" spans="1:11" ht="12" customHeight="1">
      <c r="A89" s="22"/>
      <c r="B89" s="28" t="s">
        <v>52</v>
      </c>
      <c r="C89" s="29" t="s">
        <v>53</v>
      </c>
      <c r="D89" s="29" t="s">
        <v>54</v>
      </c>
      <c r="E89" s="29" t="s">
        <v>55</v>
      </c>
      <c r="F89" s="29" t="s">
        <v>56</v>
      </c>
      <c r="G89" s="30" t="s">
        <v>57</v>
      </c>
      <c r="H89" s="31" t="s">
        <v>58</v>
      </c>
      <c r="I89" s="32" t="s">
        <v>59</v>
      </c>
      <c r="J89" s="32" t="s">
        <v>60</v>
      </c>
      <c r="K89" s="32" t="s">
        <v>61</v>
      </c>
    </row>
    <row r="90" spans="1:11" ht="12" customHeight="1">
      <c r="A90" s="22"/>
      <c r="B90" s="28" t="s">
        <v>62</v>
      </c>
      <c r="C90" s="41">
        <v>17347.07</v>
      </c>
      <c r="D90" s="61"/>
      <c r="E90" s="35"/>
      <c r="F90" s="35">
        <f>E88-C90+E90</f>
        <v>52629.090000000004</v>
      </c>
      <c r="G90" s="55" t="s">
        <v>136</v>
      </c>
      <c r="H90" s="57"/>
      <c r="I90" s="84"/>
      <c r="J90" s="59">
        <v>29728.240000000002</v>
      </c>
      <c r="K90" s="39" t="s">
        <v>137</v>
      </c>
    </row>
    <row r="91" spans="1:11" ht="12" customHeight="1">
      <c r="A91" s="22"/>
      <c r="B91" s="28" t="s">
        <v>68</v>
      </c>
      <c r="C91" s="41">
        <v>17347.060000000001</v>
      </c>
      <c r="D91" s="61"/>
      <c r="E91" s="35"/>
      <c r="F91" s="35">
        <f t="shared" ref="F91:F101" si="4">F90-C91+E91</f>
        <v>35282.03</v>
      </c>
      <c r="G91" s="55" t="s">
        <v>138</v>
      </c>
      <c r="H91" s="38"/>
      <c r="I91" s="46"/>
      <c r="J91" s="40">
        <v>14864.12</v>
      </c>
      <c r="K91" s="39" t="s">
        <v>139</v>
      </c>
    </row>
    <row r="92" spans="1:11" ht="12" customHeight="1">
      <c r="A92" s="22"/>
      <c r="B92" s="28" t="s">
        <v>70</v>
      </c>
      <c r="C92" s="41">
        <v>17347.07</v>
      </c>
      <c r="D92" s="61"/>
      <c r="E92" s="35"/>
      <c r="F92" s="36">
        <f t="shared" si="4"/>
        <v>17934.96</v>
      </c>
      <c r="G92" s="55" t="s">
        <v>140</v>
      </c>
      <c r="H92" s="38"/>
      <c r="I92" s="85"/>
      <c r="J92" s="40">
        <v>14864.12</v>
      </c>
      <c r="K92" s="39" t="s">
        <v>141</v>
      </c>
    </row>
    <row r="93" spans="1:11" ht="12" customHeight="1">
      <c r="A93" s="22"/>
      <c r="B93" s="28" t="s">
        <v>72</v>
      </c>
      <c r="C93" s="41">
        <v>17347.07</v>
      </c>
      <c r="D93" s="61"/>
      <c r="E93" s="41"/>
      <c r="F93" s="36">
        <f t="shared" si="4"/>
        <v>587.88999999999942</v>
      </c>
      <c r="G93" s="86" t="s">
        <v>99</v>
      </c>
      <c r="H93" s="38"/>
      <c r="I93" s="85"/>
      <c r="J93" s="87">
        <v>-59456.480000000003</v>
      </c>
      <c r="K93" s="39"/>
    </row>
    <row r="94" spans="1:11" ht="12" customHeight="1">
      <c r="A94" s="22"/>
      <c r="B94" s="28" t="s">
        <v>74</v>
      </c>
      <c r="C94" s="41">
        <v>28</v>
      </c>
      <c r="D94" s="61"/>
      <c r="E94" s="35"/>
      <c r="F94" s="36">
        <f t="shared" si="4"/>
        <v>559.88999999999942</v>
      </c>
      <c r="G94" s="55" t="s">
        <v>142</v>
      </c>
      <c r="H94" s="38" t="s">
        <v>143</v>
      </c>
      <c r="I94" s="85" t="s">
        <v>144</v>
      </c>
      <c r="J94" s="87">
        <v>178369.5</v>
      </c>
      <c r="K94" s="39" t="s">
        <v>145</v>
      </c>
    </row>
    <row r="95" spans="1:11" ht="12" customHeight="1">
      <c r="A95" s="22"/>
      <c r="B95" s="28" t="s">
        <v>75</v>
      </c>
      <c r="C95" s="41">
        <v>29756.240000000002</v>
      </c>
      <c r="D95" s="61" t="s">
        <v>146</v>
      </c>
      <c r="E95" s="35">
        <v>29728.240000000002</v>
      </c>
      <c r="F95" s="36">
        <f t="shared" si="4"/>
        <v>531.88999999999942</v>
      </c>
      <c r="G95" s="55" t="s">
        <v>147</v>
      </c>
      <c r="H95" s="88" t="s">
        <v>143</v>
      </c>
      <c r="I95" s="85" t="s">
        <v>144</v>
      </c>
      <c r="J95" s="60">
        <v>4843.1000000000004</v>
      </c>
      <c r="K95" s="39" t="s">
        <v>145</v>
      </c>
    </row>
    <row r="96" spans="1:11" ht="12" customHeight="1">
      <c r="A96" s="22"/>
      <c r="B96" s="28" t="s">
        <v>78</v>
      </c>
      <c r="C96" s="41">
        <v>29756.240000000002</v>
      </c>
      <c r="D96" s="61" t="s">
        <v>146</v>
      </c>
      <c r="E96" s="81">
        <v>14864.12</v>
      </c>
      <c r="F96" s="35">
        <f t="shared" si="4"/>
        <v>-14360.230000000001</v>
      </c>
      <c r="G96" s="55"/>
      <c r="H96" s="89"/>
      <c r="I96" s="85"/>
      <c r="J96" s="60"/>
      <c r="K96" s="39"/>
    </row>
    <row r="97" spans="1:11" ht="12" customHeight="1">
      <c r="A97" s="22"/>
      <c r="B97" s="28" t="s">
        <v>79</v>
      </c>
      <c r="C97" s="41">
        <v>28</v>
      </c>
      <c r="D97" s="61" t="s">
        <v>146</v>
      </c>
      <c r="E97" s="82">
        <v>14864.12</v>
      </c>
      <c r="F97" s="35">
        <f t="shared" si="4"/>
        <v>475.88999999999942</v>
      </c>
      <c r="G97" s="90"/>
      <c r="H97" s="89"/>
      <c r="I97" s="85"/>
      <c r="J97" s="60"/>
      <c r="K97" s="39"/>
    </row>
    <row r="98" spans="1:11" ht="12" customHeight="1">
      <c r="A98" s="22"/>
      <c r="B98" s="28" t="s">
        <v>81</v>
      </c>
      <c r="C98" s="41">
        <v>16910.07</v>
      </c>
      <c r="D98" s="61" t="s">
        <v>148</v>
      </c>
      <c r="E98" s="35">
        <f>-59456.48+178369.5+4843.1</f>
        <v>123756.12</v>
      </c>
      <c r="F98" s="35">
        <f t="shared" si="4"/>
        <v>107321.94</v>
      </c>
      <c r="G98" s="90"/>
      <c r="H98" s="89"/>
      <c r="I98" s="85"/>
      <c r="J98" s="60"/>
      <c r="K98" s="39"/>
    </row>
    <row r="99" spans="1:11" ht="12" customHeight="1">
      <c r="A99" s="22"/>
      <c r="B99" s="28" t="s">
        <v>82</v>
      </c>
      <c r="C99" s="41">
        <v>15295.71</v>
      </c>
      <c r="D99" s="61"/>
      <c r="E99" s="35"/>
      <c r="F99" s="35">
        <f t="shared" si="4"/>
        <v>92026.23000000001</v>
      </c>
      <c r="G99" s="55"/>
      <c r="H99" s="38"/>
      <c r="I99" s="85"/>
      <c r="J99" s="60"/>
      <c r="K99" s="39"/>
    </row>
    <row r="100" spans="1:11" ht="12" customHeight="1">
      <c r="A100" s="22"/>
      <c r="B100" s="28" t="s">
        <v>83</v>
      </c>
      <c r="C100" s="41">
        <v>15295.71</v>
      </c>
      <c r="D100" s="61"/>
      <c r="E100" s="35"/>
      <c r="F100" s="35">
        <f t="shared" si="4"/>
        <v>76730.520000000019</v>
      </c>
      <c r="G100" s="55"/>
      <c r="H100" s="38"/>
      <c r="I100" s="85"/>
      <c r="J100" s="40"/>
      <c r="K100" s="39"/>
    </row>
    <row r="101" spans="1:11" ht="12" customHeight="1">
      <c r="A101" s="22"/>
      <c r="B101" s="28" t="s">
        <v>84</v>
      </c>
      <c r="C101" s="41">
        <v>15295.71</v>
      </c>
      <c r="D101" s="61"/>
      <c r="E101" s="35"/>
      <c r="F101" s="35">
        <f t="shared" si="4"/>
        <v>61434.810000000019</v>
      </c>
      <c r="G101" s="90"/>
      <c r="H101" s="38"/>
      <c r="I101" s="85"/>
      <c r="J101" s="60"/>
      <c r="K101" s="39"/>
    </row>
    <row r="102" spans="1:11" ht="12" customHeight="1">
      <c r="A102" s="22"/>
      <c r="B102" s="50" t="s">
        <v>85</v>
      </c>
      <c r="C102" s="64">
        <f>SUM(C90:C101)</f>
        <v>191753.94999999998</v>
      </c>
      <c r="D102" s="22"/>
      <c r="E102" s="64">
        <f>SUM(E90:E101)</f>
        <v>183212.6</v>
      </c>
      <c r="F102" s="22"/>
      <c r="G102" s="90"/>
      <c r="H102" s="38"/>
      <c r="I102" s="85"/>
      <c r="J102" s="60"/>
      <c r="K102" s="39"/>
    </row>
    <row r="103" spans="1:11" ht="12" customHeight="1">
      <c r="A103" s="22"/>
      <c r="B103" s="22"/>
      <c r="C103" s="22"/>
      <c r="D103" s="22"/>
      <c r="E103" s="22"/>
      <c r="F103" s="22"/>
      <c r="G103" s="90"/>
      <c r="H103" s="38"/>
      <c r="I103" s="91"/>
      <c r="J103" s="60"/>
      <c r="K103" s="39"/>
    </row>
    <row r="104" spans="1:11" ht="12" customHeight="1">
      <c r="A104" s="22"/>
      <c r="B104" s="23" t="s">
        <v>149</v>
      </c>
      <c r="C104" s="22"/>
      <c r="D104" s="22"/>
      <c r="E104" s="22"/>
      <c r="F104" s="22"/>
      <c r="G104" s="63" t="s">
        <v>150</v>
      </c>
      <c r="H104" s="38"/>
      <c r="I104" s="39"/>
      <c r="J104" s="40"/>
      <c r="K104" s="39"/>
    </row>
    <row r="105" spans="1:11" ht="12" customHeight="1">
      <c r="A105" s="22"/>
      <c r="B105" s="23" t="s">
        <v>44</v>
      </c>
      <c r="C105" s="22"/>
      <c r="D105" s="22"/>
      <c r="E105" s="26" t="s">
        <v>151</v>
      </c>
      <c r="F105" s="22"/>
      <c r="G105" s="22"/>
    </row>
    <row r="106" spans="1:11" ht="12" customHeight="1">
      <c r="A106" s="22"/>
      <c r="B106" s="23" t="s">
        <v>47</v>
      </c>
      <c r="C106" s="22"/>
      <c r="D106" s="22"/>
      <c r="E106" s="26" t="s">
        <v>48</v>
      </c>
      <c r="F106" s="22"/>
      <c r="G106" s="22"/>
    </row>
    <row r="107" spans="1:11" ht="12" customHeight="1">
      <c r="A107" s="22"/>
      <c r="B107" s="23" t="str">
        <f>B5</f>
        <v>BALANCE AT 12-31-15</v>
      </c>
      <c r="C107" s="22"/>
      <c r="D107" s="23"/>
      <c r="E107" s="27">
        <v>5918</v>
      </c>
      <c r="F107" s="22"/>
      <c r="G107" s="22" t="s">
        <v>51</v>
      </c>
    </row>
    <row r="108" spans="1:11" ht="12" customHeight="1">
      <c r="A108" s="22"/>
      <c r="B108" s="28" t="s">
        <v>52</v>
      </c>
      <c r="C108" s="29" t="s">
        <v>53</v>
      </c>
      <c r="D108" s="29" t="s">
        <v>54</v>
      </c>
      <c r="E108" s="29" t="s">
        <v>55</v>
      </c>
      <c r="F108" s="29" t="s">
        <v>56</v>
      </c>
      <c r="G108" s="30" t="s">
        <v>57</v>
      </c>
      <c r="H108" s="31" t="s">
        <v>58</v>
      </c>
      <c r="I108" s="32" t="s">
        <v>59</v>
      </c>
      <c r="J108" s="32" t="s">
        <v>60</v>
      </c>
      <c r="K108" s="32" t="s">
        <v>61</v>
      </c>
    </row>
    <row r="109" spans="1:11" ht="12" customHeight="1">
      <c r="A109" s="22"/>
      <c r="B109" s="28" t="s">
        <v>62</v>
      </c>
      <c r="C109" s="33">
        <v>1479.5</v>
      </c>
      <c r="D109" s="92"/>
      <c r="E109" s="33"/>
      <c r="F109" s="35">
        <f>E107-C109+E109</f>
        <v>4438.5</v>
      </c>
      <c r="G109" s="55" t="s">
        <v>152</v>
      </c>
      <c r="H109" s="38" t="s">
        <v>153</v>
      </c>
      <c r="I109" s="39" t="s">
        <v>154</v>
      </c>
      <c r="J109" s="40">
        <v>18238</v>
      </c>
      <c r="K109" s="58" t="s">
        <v>155</v>
      </c>
    </row>
    <row r="110" spans="1:11" ht="12" customHeight="1">
      <c r="A110" s="22"/>
      <c r="B110" s="28" t="s">
        <v>68</v>
      </c>
      <c r="C110" s="33">
        <v>1479.5</v>
      </c>
      <c r="D110" s="35"/>
      <c r="E110" s="35"/>
      <c r="F110" s="35">
        <f t="shared" ref="F110:F120" si="5">F109-C110+E110</f>
        <v>2959</v>
      </c>
      <c r="G110" s="55"/>
      <c r="H110" s="38"/>
      <c r="I110" s="39"/>
      <c r="J110" s="59"/>
      <c r="K110" s="39"/>
    </row>
    <row r="111" spans="1:11" ht="12" customHeight="1">
      <c r="A111" s="22"/>
      <c r="B111" s="28" t="s">
        <v>70</v>
      </c>
      <c r="C111" s="33">
        <v>1479.5</v>
      </c>
      <c r="D111" s="35"/>
      <c r="E111" s="35"/>
      <c r="F111" s="35">
        <f t="shared" si="5"/>
        <v>1479.5</v>
      </c>
      <c r="G111" s="55"/>
      <c r="H111" s="38"/>
      <c r="I111" s="39"/>
      <c r="J111" s="40"/>
      <c r="K111" s="58"/>
    </row>
    <row r="112" spans="1:11" ht="12" customHeight="1">
      <c r="A112" s="22"/>
      <c r="B112" s="28" t="s">
        <v>72</v>
      </c>
      <c r="C112" s="41">
        <v>1479.5</v>
      </c>
      <c r="D112" s="35"/>
      <c r="E112" s="35"/>
      <c r="F112" s="35">
        <f t="shared" si="5"/>
        <v>0</v>
      </c>
      <c r="G112" s="55"/>
      <c r="H112" s="38"/>
      <c r="I112" s="58"/>
      <c r="J112" s="59"/>
      <c r="K112" s="39"/>
    </row>
    <row r="113" spans="1:11" ht="12" customHeight="1">
      <c r="A113" s="22"/>
      <c r="B113" s="28" t="s">
        <v>74</v>
      </c>
      <c r="C113" s="41">
        <v>1519.83</v>
      </c>
      <c r="D113" s="70"/>
      <c r="E113" s="35">
        <v>18238</v>
      </c>
      <c r="F113" s="35">
        <f t="shared" si="5"/>
        <v>16718.169999999998</v>
      </c>
      <c r="G113" s="55"/>
      <c r="H113" s="38"/>
      <c r="I113" s="39"/>
      <c r="J113" s="40"/>
      <c r="K113" s="39"/>
    </row>
    <row r="114" spans="1:11" ht="12" customHeight="1">
      <c r="A114" s="22"/>
      <c r="B114" s="28" t="s">
        <v>75</v>
      </c>
      <c r="C114" s="41">
        <v>1519.83</v>
      </c>
      <c r="D114" s="35"/>
      <c r="E114" s="35"/>
      <c r="F114" s="35">
        <f t="shared" si="5"/>
        <v>15198.339999999998</v>
      </c>
      <c r="G114" s="79"/>
      <c r="H114" s="38"/>
      <c r="I114" s="39"/>
      <c r="J114" s="40"/>
      <c r="K114" s="39"/>
    </row>
    <row r="115" spans="1:11" ht="12" customHeight="1">
      <c r="A115" s="22"/>
      <c r="B115" s="28" t="s">
        <v>78</v>
      </c>
      <c r="C115" s="41">
        <v>1519.83</v>
      </c>
      <c r="D115" s="35"/>
      <c r="E115" s="35"/>
      <c r="F115" s="35">
        <f t="shared" si="5"/>
        <v>13678.509999999998</v>
      </c>
      <c r="G115" s="79"/>
      <c r="H115" s="38"/>
      <c r="I115" s="39"/>
      <c r="J115" s="40"/>
      <c r="K115" s="39"/>
    </row>
    <row r="116" spans="1:11" ht="12" customHeight="1">
      <c r="A116" s="22"/>
      <c r="B116" s="28" t="s">
        <v>79</v>
      </c>
      <c r="C116" s="41">
        <v>1519.83</v>
      </c>
      <c r="D116" s="35"/>
      <c r="E116" s="35"/>
      <c r="F116" s="35">
        <f t="shared" si="5"/>
        <v>12158.679999999998</v>
      </c>
      <c r="G116" s="79"/>
      <c r="H116" s="38"/>
      <c r="I116" s="39"/>
      <c r="J116" s="40"/>
      <c r="K116" s="39"/>
    </row>
    <row r="117" spans="1:11" ht="12" customHeight="1">
      <c r="A117" s="22"/>
      <c r="B117" s="28" t="s">
        <v>81</v>
      </c>
      <c r="C117" s="41">
        <v>1519.83</v>
      </c>
      <c r="D117" s="35"/>
      <c r="E117" s="35"/>
      <c r="F117" s="35">
        <f t="shared" si="5"/>
        <v>10638.849999999999</v>
      </c>
      <c r="G117" s="79"/>
      <c r="H117" s="38"/>
      <c r="I117" s="39"/>
      <c r="J117" s="40"/>
      <c r="K117" s="39"/>
    </row>
    <row r="118" spans="1:11" ht="12" customHeight="1">
      <c r="A118" s="22"/>
      <c r="B118" s="28" t="s">
        <v>82</v>
      </c>
      <c r="C118" s="41">
        <v>1519.83</v>
      </c>
      <c r="D118" s="35"/>
      <c r="E118" s="35"/>
      <c r="F118" s="35">
        <f t="shared" si="5"/>
        <v>9119.0199999999986</v>
      </c>
      <c r="G118" s="79"/>
      <c r="H118" s="38"/>
      <c r="I118" s="39"/>
      <c r="J118" s="40"/>
      <c r="K118" s="39"/>
    </row>
    <row r="119" spans="1:11" ht="12" customHeight="1">
      <c r="A119" s="22"/>
      <c r="B119" s="28" t="s">
        <v>83</v>
      </c>
      <c r="C119" s="41">
        <v>1519.83</v>
      </c>
      <c r="D119" s="35"/>
      <c r="E119" s="35"/>
      <c r="F119" s="35">
        <f t="shared" si="5"/>
        <v>7599.1899999999987</v>
      </c>
      <c r="G119" s="79"/>
      <c r="H119" s="38"/>
      <c r="I119" s="39"/>
      <c r="J119" s="40"/>
      <c r="K119" s="39"/>
    </row>
    <row r="120" spans="1:11" ht="12" customHeight="1">
      <c r="A120" s="22"/>
      <c r="B120" s="28" t="s">
        <v>84</v>
      </c>
      <c r="C120" s="41">
        <v>1519.83</v>
      </c>
      <c r="D120" s="35"/>
      <c r="E120" s="35"/>
      <c r="F120" s="35">
        <f t="shared" si="5"/>
        <v>6079.3599999999988</v>
      </c>
      <c r="G120" s="79"/>
      <c r="H120" s="38"/>
      <c r="I120" s="39"/>
      <c r="J120" s="40"/>
      <c r="K120" s="39"/>
    </row>
    <row r="121" spans="1:11" ht="12" customHeight="1">
      <c r="A121" s="22"/>
      <c r="B121" s="50" t="s">
        <v>85</v>
      </c>
      <c r="C121" s="64">
        <f>SUM(C109:C120)</f>
        <v>18076.64</v>
      </c>
      <c r="D121" s="22"/>
      <c r="E121" s="64">
        <f>SUM(E109:E120)</f>
        <v>18238</v>
      </c>
      <c r="F121" s="22"/>
      <c r="G121" s="22"/>
    </row>
    <row r="122" spans="1:11" ht="12" customHeight="1">
      <c r="A122" s="22"/>
      <c r="B122" s="22"/>
      <c r="C122" s="22"/>
      <c r="D122" s="22"/>
      <c r="E122" s="22"/>
      <c r="F122" s="22"/>
      <c r="G122" s="22" t="s">
        <v>51</v>
      </c>
    </row>
    <row r="123" spans="1:11" ht="12" customHeight="1">
      <c r="A123" s="22"/>
      <c r="B123" s="23" t="s">
        <v>156</v>
      </c>
      <c r="C123" s="22"/>
      <c r="D123" s="22"/>
      <c r="E123" s="22"/>
      <c r="F123" s="22"/>
      <c r="G123" s="30" t="s">
        <v>57</v>
      </c>
      <c r="H123" s="31" t="s">
        <v>58</v>
      </c>
      <c r="I123" s="32" t="s">
        <v>59</v>
      </c>
      <c r="J123" s="32" t="s">
        <v>60</v>
      </c>
      <c r="K123" s="32" t="s">
        <v>61</v>
      </c>
    </row>
    <row r="124" spans="1:11" ht="12" customHeight="1">
      <c r="A124" s="22"/>
      <c r="B124" s="23" t="s">
        <v>44</v>
      </c>
      <c r="C124" s="22"/>
      <c r="D124" s="22"/>
      <c r="E124" s="26" t="s">
        <v>157</v>
      </c>
      <c r="F124" s="22"/>
      <c r="G124" s="93" t="s">
        <v>158</v>
      </c>
      <c r="H124" s="38" t="s">
        <v>159</v>
      </c>
      <c r="I124" s="39" t="s">
        <v>127</v>
      </c>
      <c r="J124" s="40">
        <f>-1530-8160-7650</f>
        <v>-17340</v>
      </c>
      <c r="K124" s="39" t="s">
        <v>160</v>
      </c>
    </row>
    <row r="125" spans="1:11" ht="12" customHeight="1">
      <c r="A125" s="22"/>
      <c r="B125" s="23" t="s">
        <v>47</v>
      </c>
      <c r="C125" s="22"/>
      <c r="D125" s="22"/>
      <c r="E125" s="26" t="s">
        <v>48</v>
      </c>
      <c r="F125" s="22"/>
      <c r="G125" s="93" t="s">
        <v>161</v>
      </c>
      <c r="H125" s="38" t="s">
        <v>162</v>
      </c>
      <c r="I125" s="94" t="s">
        <v>163</v>
      </c>
      <c r="J125" s="59">
        <v>4257</v>
      </c>
      <c r="K125" s="39" t="s">
        <v>164</v>
      </c>
    </row>
    <row r="126" spans="1:11" ht="12" customHeight="1">
      <c r="A126" s="22"/>
      <c r="B126" s="23" t="str">
        <f>B5</f>
        <v>BALANCE AT 12-31-15</v>
      </c>
      <c r="C126" s="22"/>
      <c r="D126" s="23"/>
      <c r="E126" s="27">
        <v>1763642.41</v>
      </c>
      <c r="F126" s="22"/>
      <c r="G126" s="93" t="s">
        <v>161</v>
      </c>
      <c r="H126" s="38" t="s">
        <v>162</v>
      </c>
      <c r="I126" s="94" t="s">
        <v>163</v>
      </c>
      <c r="J126" s="40">
        <v>25857</v>
      </c>
      <c r="K126" s="39" t="s">
        <v>165</v>
      </c>
    </row>
    <row r="127" spans="1:11" ht="12" customHeight="1">
      <c r="A127" s="22"/>
      <c r="B127" s="28" t="s">
        <v>52</v>
      </c>
      <c r="C127" s="29" t="s">
        <v>53</v>
      </c>
      <c r="D127" s="29" t="s">
        <v>54</v>
      </c>
      <c r="E127" s="29" t="s">
        <v>55</v>
      </c>
      <c r="F127" s="29" t="s">
        <v>56</v>
      </c>
      <c r="G127" s="95" t="s">
        <v>166</v>
      </c>
      <c r="H127" s="38" t="s">
        <v>167</v>
      </c>
      <c r="I127" s="94" t="s">
        <v>168</v>
      </c>
      <c r="J127" s="96">
        <v>80902.22</v>
      </c>
      <c r="K127" s="97" t="s">
        <v>160</v>
      </c>
    </row>
    <row r="128" spans="1:11" ht="12" customHeight="1">
      <c r="A128" s="22"/>
      <c r="B128" s="28" t="s">
        <v>62</v>
      </c>
      <c r="C128" s="41">
        <v>219428.01</v>
      </c>
      <c r="D128" s="35" t="s">
        <v>169</v>
      </c>
      <c r="E128" s="35">
        <f>-1530-8160-7650</f>
        <v>-17340</v>
      </c>
      <c r="F128" s="35">
        <f>E126-C128+E128</f>
        <v>1526874.4</v>
      </c>
      <c r="G128" s="98" t="s">
        <v>170</v>
      </c>
      <c r="H128" s="38" t="s">
        <v>171</v>
      </c>
      <c r="I128" s="39"/>
      <c r="J128" s="40">
        <v>18013</v>
      </c>
      <c r="K128" s="39" t="s">
        <v>172</v>
      </c>
    </row>
    <row r="129" spans="1:11" ht="12" customHeight="1">
      <c r="A129" s="22"/>
      <c r="B129" s="28" t="s">
        <v>68</v>
      </c>
      <c r="C129" s="41">
        <v>219428.02</v>
      </c>
      <c r="D129" s="22"/>
      <c r="E129" s="35"/>
      <c r="F129" s="35">
        <f>F128+E129-C129</f>
        <v>1307446.3799999999</v>
      </c>
      <c r="G129" s="98"/>
      <c r="H129" s="38"/>
      <c r="I129" s="99"/>
      <c r="J129" s="40"/>
      <c r="K129" s="39"/>
    </row>
    <row r="130" spans="1:11" ht="12" customHeight="1">
      <c r="A130" s="22"/>
      <c r="B130" s="28" t="s">
        <v>70</v>
      </c>
      <c r="C130" s="41">
        <v>219428.02</v>
      </c>
      <c r="D130" s="43"/>
      <c r="E130" s="35"/>
      <c r="F130" s="35">
        <f t="shared" ref="F130:F138" si="6">F129+E130-C130</f>
        <v>1088018.3599999999</v>
      </c>
      <c r="G130" s="100" t="s">
        <v>173</v>
      </c>
      <c r="H130" s="73" t="s">
        <v>174</v>
      </c>
      <c r="I130" s="101"/>
      <c r="J130" s="75">
        <v>-8435.24</v>
      </c>
      <c r="K130" s="74" t="s">
        <v>172</v>
      </c>
    </row>
    <row r="131" spans="1:11" ht="12" customHeight="1">
      <c r="A131" s="22"/>
      <c r="B131" s="28" t="s">
        <v>72</v>
      </c>
      <c r="C131" s="41">
        <v>219428.01</v>
      </c>
      <c r="D131" s="35"/>
      <c r="E131" s="35"/>
      <c r="F131" s="35">
        <f t="shared" si="6"/>
        <v>868590.34999999986</v>
      </c>
      <c r="G131" s="98" t="s">
        <v>175</v>
      </c>
      <c r="H131" s="38" t="s">
        <v>174</v>
      </c>
      <c r="I131" s="39"/>
      <c r="J131" s="40">
        <v>122000</v>
      </c>
      <c r="K131" s="39" t="s">
        <v>172</v>
      </c>
    </row>
    <row r="132" spans="1:11" ht="12" customHeight="1">
      <c r="A132" s="22"/>
      <c r="B132" s="28" t="s">
        <v>74</v>
      </c>
      <c r="C132" s="41">
        <v>219428.04</v>
      </c>
      <c r="D132" s="102"/>
      <c r="E132" s="35"/>
      <c r="F132" s="35">
        <f t="shared" si="6"/>
        <v>649162.30999999982</v>
      </c>
      <c r="G132" s="93" t="s">
        <v>166</v>
      </c>
      <c r="H132" s="38" t="s">
        <v>174</v>
      </c>
      <c r="I132" s="94" t="s">
        <v>168</v>
      </c>
      <c r="J132" s="40">
        <v>2492182</v>
      </c>
      <c r="K132" s="39" t="s">
        <v>172</v>
      </c>
    </row>
    <row r="133" spans="1:11" ht="12" customHeight="1">
      <c r="A133" s="22"/>
      <c r="B133" s="28" t="s">
        <v>75</v>
      </c>
      <c r="C133" s="41">
        <v>218651.68</v>
      </c>
      <c r="D133" s="102" t="s">
        <v>176</v>
      </c>
      <c r="E133" s="35">
        <f>4257+25857</f>
        <v>30114</v>
      </c>
      <c r="F133" s="35">
        <f t="shared" si="6"/>
        <v>460624.62999999983</v>
      </c>
      <c r="G133" s="103" t="s">
        <v>177</v>
      </c>
      <c r="H133" s="73" t="s">
        <v>174</v>
      </c>
      <c r="I133" s="94"/>
      <c r="J133" s="75">
        <v>-219346.74</v>
      </c>
      <c r="K133" s="39" t="s">
        <v>172</v>
      </c>
    </row>
    <row r="134" spans="1:11" ht="12" customHeight="1">
      <c r="A134" s="22"/>
      <c r="B134" s="28" t="s">
        <v>78</v>
      </c>
      <c r="C134" s="41">
        <v>218651.69</v>
      </c>
      <c r="D134" s="35"/>
      <c r="E134" s="35"/>
      <c r="F134" s="35">
        <f t="shared" si="6"/>
        <v>241972.93999999983</v>
      </c>
      <c r="G134" s="93" t="s">
        <v>178</v>
      </c>
      <c r="H134" s="38" t="s">
        <v>174</v>
      </c>
      <c r="I134" s="94" t="s">
        <v>179</v>
      </c>
      <c r="J134" s="40">
        <v>25000</v>
      </c>
      <c r="K134" s="39" t="s">
        <v>172</v>
      </c>
    </row>
    <row r="135" spans="1:11" ht="12" customHeight="1">
      <c r="A135" s="22"/>
      <c r="B135" s="28" t="s">
        <v>79</v>
      </c>
      <c r="C135" s="41">
        <v>299580.15999999997</v>
      </c>
      <c r="D135" s="102" t="s">
        <v>180</v>
      </c>
      <c r="E135" s="35">
        <v>80902.22</v>
      </c>
      <c r="F135" s="35">
        <f t="shared" si="6"/>
        <v>23294.999999999825</v>
      </c>
      <c r="G135" s="93" t="s">
        <v>181</v>
      </c>
      <c r="H135" s="38" t="s">
        <v>174</v>
      </c>
      <c r="I135" s="94" t="s">
        <v>182</v>
      </c>
      <c r="J135" s="40">
        <v>16500</v>
      </c>
      <c r="K135" s="39" t="s">
        <v>172</v>
      </c>
    </row>
    <row r="136" spans="1:11" ht="12" customHeight="1">
      <c r="A136" s="22"/>
      <c r="B136" s="28" t="s">
        <v>81</v>
      </c>
      <c r="C136" s="33">
        <v>209222.49</v>
      </c>
      <c r="D136" s="102" t="s">
        <v>183</v>
      </c>
      <c r="E136" s="104">
        <f>18013+2492182-8435.24</f>
        <v>2501759.7599999998</v>
      </c>
      <c r="F136" s="35">
        <f t="shared" si="6"/>
        <v>2315832.2699999996</v>
      </c>
      <c r="G136" s="93" t="s">
        <v>184</v>
      </c>
      <c r="H136" s="38" t="s">
        <v>174</v>
      </c>
      <c r="I136" s="94" t="s">
        <v>185</v>
      </c>
      <c r="J136" s="40">
        <v>26000</v>
      </c>
      <c r="K136" s="39" t="s">
        <v>172</v>
      </c>
    </row>
    <row r="137" spans="1:11" ht="12" customHeight="1">
      <c r="A137" s="22"/>
      <c r="B137" s="28" t="s">
        <v>82</v>
      </c>
      <c r="C137" s="41">
        <v>207555.83</v>
      </c>
      <c r="D137" s="102" t="s">
        <v>186</v>
      </c>
      <c r="E137" s="35">
        <f>J133+J131+J135+J139+J138</f>
        <v>-87583.739999999991</v>
      </c>
      <c r="F137" s="35">
        <f t="shared" si="6"/>
        <v>2020692.6999999993</v>
      </c>
      <c r="G137" s="95" t="s">
        <v>187</v>
      </c>
      <c r="H137" s="38" t="s">
        <v>174</v>
      </c>
      <c r="I137" s="94"/>
      <c r="J137" s="96">
        <v>16565</v>
      </c>
      <c r="K137" s="39" t="s">
        <v>172</v>
      </c>
    </row>
    <row r="138" spans="1:11" ht="12" customHeight="1">
      <c r="A138" s="22"/>
      <c r="B138" s="28" t="s">
        <v>83</v>
      </c>
      <c r="C138" s="41">
        <v>208366.41</v>
      </c>
      <c r="D138" s="105"/>
      <c r="E138" s="35">
        <f>J140+J137+J136+J134</f>
        <v>56289</v>
      </c>
      <c r="F138" s="35">
        <f t="shared" si="6"/>
        <v>1868615.2899999993</v>
      </c>
      <c r="G138" s="95" t="s">
        <v>188</v>
      </c>
      <c r="H138" s="38" t="s">
        <v>171</v>
      </c>
      <c r="I138" s="94"/>
      <c r="J138" s="96">
        <f>-11000-1375</f>
        <v>-12375</v>
      </c>
      <c r="K138" s="39" t="s">
        <v>172</v>
      </c>
    </row>
    <row r="139" spans="1:11" ht="12" customHeight="1">
      <c r="A139" s="22"/>
      <c r="B139" s="28" t="s">
        <v>84</v>
      </c>
      <c r="C139" s="106">
        <v>208381.57</v>
      </c>
      <c r="D139" s="105"/>
      <c r="E139" s="81"/>
      <c r="F139" s="35">
        <f>F138+E139-C139</f>
        <v>1660233.7199999993</v>
      </c>
      <c r="G139" s="95" t="s">
        <v>189</v>
      </c>
      <c r="H139" s="38" t="s">
        <v>171</v>
      </c>
      <c r="I139" s="94"/>
      <c r="J139" s="96">
        <v>5638</v>
      </c>
      <c r="K139" s="39" t="s">
        <v>172</v>
      </c>
    </row>
    <row r="140" spans="1:11" ht="12" customHeight="1">
      <c r="A140" s="22"/>
      <c r="B140" s="50" t="s">
        <v>85</v>
      </c>
      <c r="C140" s="64">
        <f>SUM(C128:C139)</f>
        <v>2667549.9299999997</v>
      </c>
      <c r="D140" s="107"/>
      <c r="E140" s="64">
        <f>SUM(E128:E139)</f>
        <v>2564141.2400000002</v>
      </c>
      <c r="F140" s="53"/>
      <c r="G140" s="95" t="s">
        <v>190</v>
      </c>
      <c r="H140" s="38" t="s">
        <v>171</v>
      </c>
      <c r="I140" s="94"/>
      <c r="J140" s="96">
        <v>-11276</v>
      </c>
      <c r="K140" s="97"/>
    </row>
    <row r="141" spans="1:11" ht="12" customHeight="1">
      <c r="A141" s="22"/>
      <c r="B141" s="50"/>
      <c r="C141" s="64"/>
      <c r="D141" s="107"/>
      <c r="E141" s="64"/>
      <c r="F141" s="53"/>
      <c r="G141" s="108"/>
      <c r="H141" s="38"/>
      <c r="I141" s="109"/>
      <c r="J141" s="96"/>
      <c r="K141" s="97"/>
    </row>
    <row r="142" spans="1:11" ht="12" customHeight="1">
      <c r="A142" s="22"/>
      <c r="B142" s="50"/>
      <c r="C142" s="64"/>
      <c r="D142" s="107"/>
      <c r="E142" s="64"/>
      <c r="F142" s="53"/>
      <c r="G142" s="86"/>
      <c r="H142" s="38"/>
      <c r="I142" s="109"/>
      <c r="J142" s="96"/>
      <c r="K142" s="97"/>
    </row>
    <row r="143" spans="1:11" ht="12" customHeight="1">
      <c r="A143" s="22"/>
      <c r="B143" s="50"/>
      <c r="C143" s="51"/>
      <c r="D143" s="107"/>
      <c r="E143" s="53"/>
      <c r="F143" s="53"/>
      <c r="G143" s="110"/>
      <c r="H143" s="38"/>
      <c r="I143" s="109"/>
      <c r="J143" s="96"/>
      <c r="K143" s="97"/>
    </row>
    <row r="144" spans="1:11" ht="12" customHeight="1">
      <c r="A144" s="22"/>
      <c r="B144" s="23" t="s">
        <v>191</v>
      </c>
      <c r="C144" s="22"/>
      <c r="D144" s="22"/>
      <c r="E144" s="22"/>
      <c r="F144" s="22"/>
      <c r="G144" s="110"/>
      <c r="H144" s="38"/>
      <c r="I144" s="109"/>
      <c r="J144" s="96"/>
      <c r="K144" s="97"/>
    </row>
    <row r="145" spans="1:11" ht="12" customHeight="1">
      <c r="A145" s="22"/>
      <c r="B145" s="23" t="s">
        <v>44</v>
      </c>
      <c r="C145" s="22"/>
      <c r="D145" s="22"/>
      <c r="E145" s="26" t="s">
        <v>192</v>
      </c>
      <c r="F145" s="22"/>
    </row>
    <row r="146" spans="1:11" ht="12" customHeight="1">
      <c r="A146" s="22"/>
      <c r="B146" s="23" t="s">
        <v>47</v>
      </c>
      <c r="C146" s="22"/>
      <c r="D146" s="22"/>
      <c r="E146" s="26" t="s">
        <v>48</v>
      </c>
      <c r="F146" s="22" t="s">
        <v>49</v>
      </c>
    </row>
    <row r="147" spans="1:11" ht="12" customHeight="1">
      <c r="A147" s="22"/>
      <c r="B147" s="23" t="str">
        <f>B5</f>
        <v>BALANCE AT 12-31-15</v>
      </c>
      <c r="C147" s="22"/>
      <c r="D147" s="23"/>
      <c r="E147" s="27">
        <v>100878.13</v>
      </c>
      <c r="F147" s="22"/>
      <c r="G147" s="22" t="s">
        <v>51</v>
      </c>
    </row>
    <row r="148" spans="1:11" ht="12" customHeight="1">
      <c r="A148" s="22"/>
      <c r="B148" s="28" t="s">
        <v>52</v>
      </c>
      <c r="C148" s="29" t="s">
        <v>53</v>
      </c>
      <c r="D148" s="29" t="s">
        <v>54</v>
      </c>
      <c r="E148" s="29" t="s">
        <v>55</v>
      </c>
      <c r="F148" s="29" t="s">
        <v>56</v>
      </c>
      <c r="G148" s="30" t="s">
        <v>57</v>
      </c>
      <c r="H148" s="31" t="s">
        <v>58</v>
      </c>
      <c r="I148" s="32" t="s">
        <v>59</v>
      </c>
      <c r="J148" s="32" t="s">
        <v>60</v>
      </c>
      <c r="K148" s="32" t="s">
        <v>61</v>
      </c>
    </row>
    <row r="149" spans="1:11" ht="12" customHeight="1">
      <c r="A149" s="22"/>
      <c r="B149" s="28" t="s">
        <v>62</v>
      </c>
      <c r="C149" s="41">
        <v>25150.080000000002</v>
      </c>
      <c r="D149" s="78"/>
      <c r="E149" s="41"/>
      <c r="F149" s="35">
        <f>E147-C149+E149</f>
        <v>75728.05</v>
      </c>
      <c r="G149" s="55" t="s">
        <v>193</v>
      </c>
      <c r="H149" s="38" t="s">
        <v>194</v>
      </c>
      <c r="I149" s="39" t="s">
        <v>195</v>
      </c>
      <c r="J149" s="40">
        <v>52500</v>
      </c>
      <c r="K149" s="39" t="s">
        <v>196</v>
      </c>
    </row>
    <row r="150" spans="1:11" ht="12" customHeight="1">
      <c r="A150" s="22"/>
      <c r="B150" s="28" t="s">
        <v>68</v>
      </c>
      <c r="C150" s="41">
        <v>25242.69</v>
      </c>
      <c r="D150" s="78"/>
      <c r="E150" s="35"/>
      <c r="F150" s="35">
        <f t="shared" ref="F150:F160" si="7">F149-C150+E150</f>
        <v>50485.36</v>
      </c>
      <c r="G150" s="55" t="s">
        <v>197</v>
      </c>
      <c r="H150" s="38" t="s">
        <v>194</v>
      </c>
      <c r="I150" s="39" t="s">
        <v>198</v>
      </c>
      <c r="J150" s="59">
        <v>16500</v>
      </c>
      <c r="K150" s="39" t="s">
        <v>196</v>
      </c>
    </row>
    <row r="151" spans="1:11" ht="12" customHeight="1">
      <c r="A151" s="22"/>
      <c r="B151" s="28" t="s">
        <v>70</v>
      </c>
      <c r="C151" s="41">
        <v>25242.68</v>
      </c>
      <c r="D151" s="35"/>
      <c r="E151" s="35"/>
      <c r="F151" s="35">
        <f t="shared" si="7"/>
        <v>25242.68</v>
      </c>
      <c r="G151" s="55" t="s">
        <v>101</v>
      </c>
      <c r="H151" s="38" t="s">
        <v>199</v>
      </c>
      <c r="I151" s="39" t="s">
        <v>200</v>
      </c>
      <c r="J151" s="40">
        <v>134015</v>
      </c>
      <c r="K151" s="39" t="s">
        <v>196</v>
      </c>
    </row>
    <row r="152" spans="1:11" ht="12" customHeight="1">
      <c r="A152" s="22"/>
      <c r="B152" s="28" t="s">
        <v>72</v>
      </c>
      <c r="C152" s="41">
        <v>25242.68</v>
      </c>
      <c r="D152" s="61"/>
      <c r="E152" s="35"/>
      <c r="F152" s="35">
        <f t="shared" si="7"/>
        <v>0</v>
      </c>
      <c r="G152" s="55" t="s">
        <v>101</v>
      </c>
      <c r="H152" s="38" t="s">
        <v>105</v>
      </c>
      <c r="I152" s="84" t="s">
        <v>200</v>
      </c>
      <c r="J152" s="59">
        <v>6700.75</v>
      </c>
      <c r="K152" s="39" t="s">
        <v>196</v>
      </c>
    </row>
    <row r="153" spans="1:11" ht="12" customHeight="1">
      <c r="A153" s="22"/>
      <c r="B153" s="28" t="s">
        <v>74</v>
      </c>
      <c r="C153" s="41">
        <v>24256.82</v>
      </c>
      <c r="D153" s="70"/>
      <c r="E153" s="35">
        <v>291081.75</v>
      </c>
      <c r="F153" s="35">
        <f t="shared" si="7"/>
        <v>266824.93</v>
      </c>
      <c r="G153" s="55" t="s">
        <v>201</v>
      </c>
      <c r="H153" s="57" t="s">
        <v>199</v>
      </c>
      <c r="I153" s="39" t="s">
        <v>202</v>
      </c>
      <c r="J153" s="40">
        <v>81366</v>
      </c>
      <c r="K153" s="39" t="s">
        <v>196</v>
      </c>
    </row>
    <row r="154" spans="1:11" ht="12" customHeight="1">
      <c r="A154" s="22"/>
      <c r="B154" s="28" t="s">
        <v>75</v>
      </c>
      <c r="C154" s="41">
        <v>24256.82</v>
      </c>
      <c r="D154" s="111"/>
      <c r="E154" s="35"/>
      <c r="F154" s="35">
        <f t="shared" si="7"/>
        <v>242568.11</v>
      </c>
      <c r="G154" s="55"/>
      <c r="H154" s="63"/>
      <c r="I154" s="39"/>
      <c r="J154" s="40"/>
      <c r="K154" s="39"/>
    </row>
    <row r="155" spans="1:11" ht="12" customHeight="1">
      <c r="A155" s="22"/>
      <c r="B155" s="28" t="s">
        <v>78</v>
      </c>
      <c r="C155" s="41">
        <v>24256.82</v>
      </c>
      <c r="D155" s="78"/>
      <c r="E155" s="35"/>
      <c r="F155" s="35">
        <f t="shared" si="7"/>
        <v>218311.28999999998</v>
      </c>
      <c r="G155" s="55"/>
      <c r="H155" s="38"/>
      <c r="I155" s="39"/>
      <c r="J155" s="40"/>
      <c r="K155" s="39"/>
    </row>
    <row r="156" spans="1:11" ht="12" customHeight="1">
      <c r="A156" s="22"/>
      <c r="B156" s="28" t="s">
        <v>79</v>
      </c>
      <c r="C156" s="41">
        <v>24256.82</v>
      </c>
      <c r="D156" s="78"/>
      <c r="E156" s="35"/>
      <c r="F156" s="35">
        <f t="shared" si="7"/>
        <v>194054.46999999997</v>
      </c>
      <c r="G156" s="55"/>
      <c r="H156" s="38"/>
      <c r="I156" s="39"/>
      <c r="J156" s="40"/>
      <c r="K156" s="39"/>
    </row>
    <row r="157" spans="1:11" ht="12" customHeight="1">
      <c r="A157" s="22"/>
      <c r="B157" s="28" t="s">
        <v>81</v>
      </c>
      <c r="C157" s="41">
        <v>24256.82</v>
      </c>
      <c r="D157" s="78"/>
      <c r="E157" s="35"/>
      <c r="F157" s="35">
        <f t="shared" si="7"/>
        <v>169797.64999999997</v>
      </c>
      <c r="G157" s="55"/>
      <c r="H157" s="38"/>
      <c r="I157" s="39"/>
      <c r="J157" s="40"/>
      <c r="K157" s="39"/>
    </row>
    <row r="158" spans="1:11" ht="12" customHeight="1">
      <c r="A158" s="22"/>
      <c r="B158" s="28" t="s">
        <v>82</v>
      </c>
      <c r="C158" s="41">
        <v>24256.82</v>
      </c>
      <c r="D158" s="78"/>
      <c r="E158" s="35"/>
      <c r="F158" s="35">
        <f t="shared" si="7"/>
        <v>145540.82999999996</v>
      </c>
      <c r="G158" s="55"/>
      <c r="H158" s="38"/>
      <c r="I158" s="39"/>
      <c r="J158" s="40"/>
      <c r="K158" s="39"/>
    </row>
    <row r="159" spans="1:11" ht="12" customHeight="1">
      <c r="A159" s="22"/>
      <c r="B159" s="28" t="s">
        <v>83</v>
      </c>
      <c r="C159" s="41">
        <v>24256.82</v>
      </c>
      <c r="D159" s="78"/>
      <c r="E159" s="35"/>
      <c r="F159" s="35">
        <f t="shared" si="7"/>
        <v>121284.00999999995</v>
      </c>
      <c r="G159" s="55"/>
      <c r="H159" s="38"/>
      <c r="I159" s="39"/>
      <c r="J159" s="40"/>
      <c r="K159" s="39"/>
    </row>
    <row r="160" spans="1:11" ht="12" customHeight="1">
      <c r="A160" s="22"/>
      <c r="B160" s="28" t="s">
        <v>84</v>
      </c>
      <c r="C160" s="41">
        <v>24256.82</v>
      </c>
      <c r="D160" s="61" t="s">
        <v>203</v>
      </c>
      <c r="E160" s="35">
        <v>-97027.19</v>
      </c>
      <c r="F160" s="35">
        <f t="shared" si="7"/>
        <v>0</v>
      </c>
      <c r="G160" s="55"/>
      <c r="H160" s="38"/>
      <c r="I160" s="39"/>
      <c r="J160" s="40"/>
      <c r="K160" s="39"/>
    </row>
    <row r="161" spans="1:11" ht="12" customHeight="1">
      <c r="A161" s="22"/>
      <c r="B161" s="50" t="s">
        <v>85</v>
      </c>
      <c r="C161" s="64">
        <f>SUM(C149:C160)</f>
        <v>294932.69000000006</v>
      </c>
      <c r="D161" s="22"/>
      <c r="E161" s="64">
        <f>SUM(E149:E160)</f>
        <v>194054.56</v>
      </c>
      <c r="F161" s="22"/>
      <c r="G161" s="22"/>
    </row>
    <row r="162" spans="1:11" ht="12" customHeight="1">
      <c r="A162" s="22"/>
      <c r="B162" s="22"/>
      <c r="C162" s="64"/>
      <c r="D162" s="22"/>
      <c r="E162" s="64"/>
      <c r="F162" s="22"/>
      <c r="G162" s="22"/>
    </row>
    <row r="163" spans="1:11" ht="12" customHeight="1">
      <c r="A163" s="22"/>
      <c r="B163" s="23" t="s">
        <v>204</v>
      </c>
      <c r="C163" s="22"/>
      <c r="D163" s="22"/>
      <c r="E163" s="22"/>
      <c r="F163" s="22"/>
      <c r="G163" s="22"/>
    </row>
    <row r="164" spans="1:11" ht="12" customHeight="1">
      <c r="A164" s="22"/>
      <c r="B164" s="23" t="s">
        <v>44</v>
      </c>
      <c r="C164" s="22"/>
      <c r="D164" s="22"/>
      <c r="E164" s="26" t="s">
        <v>205</v>
      </c>
      <c r="F164" s="22"/>
      <c r="G164" s="22"/>
    </row>
    <row r="165" spans="1:11" ht="12" customHeight="1">
      <c r="A165" s="22"/>
      <c r="B165" s="22" t="s">
        <v>47</v>
      </c>
      <c r="C165" s="22"/>
      <c r="D165" s="22"/>
      <c r="E165" s="26" t="s">
        <v>48</v>
      </c>
      <c r="F165" s="22" t="s">
        <v>49</v>
      </c>
      <c r="G165" s="22"/>
    </row>
    <row r="166" spans="1:11" ht="12" customHeight="1">
      <c r="A166" s="22"/>
      <c r="B166" s="23" t="str">
        <f>B5</f>
        <v>BALANCE AT 12-31-15</v>
      </c>
      <c r="C166" s="22"/>
      <c r="D166" s="23"/>
      <c r="E166" s="27">
        <v>24692.959999999999</v>
      </c>
      <c r="F166" s="22"/>
      <c r="G166" s="22" t="s">
        <v>51</v>
      </c>
    </row>
    <row r="167" spans="1:11" ht="12" customHeight="1">
      <c r="A167" s="22"/>
      <c r="B167" s="112" t="s">
        <v>52</v>
      </c>
      <c r="C167" s="113" t="s">
        <v>53</v>
      </c>
      <c r="D167" s="113" t="s">
        <v>54</v>
      </c>
      <c r="E167" s="113" t="s">
        <v>55</v>
      </c>
      <c r="F167" s="114" t="s">
        <v>56</v>
      </c>
      <c r="G167" s="30" t="s">
        <v>57</v>
      </c>
      <c r="H167" s="31" t="s">
        <v>58</v>
      </c>
      <c r="I167" s="32" t="s">
        <v>59</v>
      </c>
      <c r="J167" s="32" t="s">
        <v>60</v>
      </c>
      <c r="K167" s="32" t="s">
        <v>61</v>
      </c>
    </row>
    <row r="168" spans="1:11" ht="12" customHeight="1">
      <c r="A168" s="22"/>
      <c r="B168" s="115" t="s">
        <v>62</v>
      </c>
      <c r="C168" s="82">
        <v>4000.43</v>
      </c>
      <c r="D168" s="82"/>
      <c r="E168" s="82"/>
      <c r="F168" s="35">
        <f>E166-C168+E168</f>
        <v>20692.53</v>
      </c>
      <c r="G168" s="116" t="s">
        <v>64</v>
      </c>
      <c r="H168" s="38" t="s">
        <v>206</v>
      </c>
      <c r="I168" s="117" t="s">
        <v>207</v>
      </c>
      <c r="J168" s="40">
        <v>220</v>
      </c>
      <c r="K168" s="39" t="s">
        <v>208</v>
      </c>
    </row>
    <row r="169" spans="1:11" ht="12" customHeight="1">
      <c r="A169" s="22"/>
      <c r="B169" s="28" t="s">
        <v>68</v>
      </c>
      <c r="C169" s="41">
        <v>4000.43</v>
      </c>
      <c r="D169" s="118" t="s">
        <v>209</v>
      </c>
      <c r="E169" s="41">
        <v>220</v>
      </c>
      <c r="F169" s="35">
        <f t="shared" ref="F169:F179" si="8">F168-C169+E169</f>
        <v>16912.099999999999</v>
      </c>
      <c r="G169" s="116" t="s">
        <v>64</v>
      </c>
      <c r="H169" s="63" t="s">
        <v>210</v>
      </c>
      <c r="I169" s="117" t="s">
        <v>211</v>
      </c>
      <c r="J169" s="40">
        <v>200</v>
      </c>
      <c r="K169" s="39" t="s">
        <v>212</v>
      </c>
    </row>
    <row r="170" spans="1:11" ht="12" customHeight="1">
      <c r="A170" s="22"/>
      <c r="B170" s="28" t="s">
        <v>70</v>
      </c>
      <c r="C170" s="41">
        <v>4000.42</v>
      </c>
      <c r="D170" s="118" t="s">
        <v>213</v>
      </c>
      <c r="E170" s="35">
        <v>200</v>
      </c>
      <c r="F170" s="35">
        <f t="shared" si="8"/>
        <v>13111.679999999998</v>
      </c>
      <c r="G170" s="116" t="s">
        <v>64</v>
      </c>
      <c r="H170" s="38" t="s">
        <v>214</v>
      </c>
      <c r="I170" s="117" t="s">
        <v>215</v>
      </c>
      <c r="J170" s="40">
        <v>12435</v>
      </c>
      <c r="K170" s="39" t="s">
        <v>216</v>
      </c>
    </row>
    <row r="171" spans="1:11" ht="12" customHeight="1">
      <c r="A171" s="22"/>
      <c r="B171" s="28" t="s">
        <v>72</v>
      </c>
      <c r="C171" s="41">
        <v>3979.58</v>
      </c>
      <c r="D171" s="118"/>
      <c r="E171" s="41"/>
      <c r="F171" s="35">
        <f t="shared" si="8"/>
        <v>9132.0999999999985</v>
      </c>
      <c r="G171" s="116" t="s">
        <v>64</v>
      </c>
      <c r="H171" s="38" t="s">
        <v>217</v>
      </c>
      <c r="I171" s="117" t="s">
        <v>218</v>
      </c>
      <c r="J171" s="40">
        <v>29550</v>
      </c>
      <c r="K171" s="58" t="s">
        <v>219</v>
      </c>
    </row>
    <row r="172" spans="1:11" ht="12" customHeight="1">
      <c r="A172" s="22"/>
      <c r="B172" s="28" t="s">
        <v>74</v>
      </c>
      <c r="C172" s="35">
        <v>3979.58</v>
      </c>
      <c r="D172" s="118"/>
      <c r="E172" s="35">
        <v>12435</v>
      </c>
      <c r="F172" s="35">
        <f t="shared" si="8"/>
        <v>17587.519999999997</v>
      </c>
      <c r="G172" s="116" t="s">
        <v>64</v>
      </c>
      <c r="H172" s="38" t="s">
        <v>220</v>
      </c>
      <c r="I172" s="117" t="s">
        <v>221</v>
      </c>
      <c r="J172" s="40">
        <v>3000</v>
      </c>
      <c r="K172" s="39" t="s">
        <v>219</v>
      </c>
    </row>
    <row r="173" spans="1:11" ht="12" customHeight="1">
      <c r="A173" s="22"/>
      <c r="B173" s="28" t="s">
        <v>75</v>
      </c>
      <c r="C173" s="35">
        <v>3979.58</v>
      </c>
      <c r="D173" s="22" t="s">
        <v>222</v>
      </c>
      <c r="E173" s="35">
        <f>29550+3000</f>
        <v>32550</v>
      </c>
      <c r="F173" s="35">
        <f>F172-C173+E173</f>
        <v>46157.939999999995</v>
      </c>
      <c r="G173" s="116" t="s">
        <v>64</v>
      </c>
      <c r="H173" s="38" t="s">
        <v>214</v>
      </c>
      <c r="I173" s="117" t="s">
        <v>215</v>
      </c>
      <c r="J173" s="40">
        <v>-255</v>
      </c>
      <c r="K173" s="39" t="s">
        <v>216</v>
      </c>
    </row>
    <row r="174" spans="1:11" ht="12" customHeight="1">
      <c r="A174" s="22"/>
      <c r="B174" s="28" t="s">
        <v>78</v>
      </c>
      <c r="C174" s="35">
        <v>3979.58</v>
      </c>
      <c r="D174" s="118"/>
      <c r="E174" s="35"/>
      <c r="F174" s="35">
        <f>F173-C174+E174</f>
        <v>42178.359999999993</v>
      </c>
      <c r="G174" s="116" t="s">
        <v>64</v>
      </c>
      <c r="H174" s="73" t="s">
        <v>223</v>
      </c>
      <c r="I174" s="117" t="s">
        <v>224</v>
      </c>
      <c r="J174" s="75">
        <v>1500</v>
      </c>
      <c r="K174" s="74" t="s">
        <v>225</v>
      </c>
    </row>
    <row r="175" spans="1:11" ht="12" customHeight="1">
      <c r="A175" s="22"/>
      <c r="B175" s="28" t="s">
        <v>79</v>
      </c>
      <c r="C175" s="35">
        <v>3915.83</v>
      </c>
      <c r="D175" s="61" t="s">
        <v>226</v>
      </c>
      <c r="E175" s="35">
        <v>-255</v>
      </c>
      <c r="F175" s="35">
        <f t="shared" si="8"/>
        <v>38007.529999999992</v>
      </c>
      <c r="G175" s="116" t="s">
        <v>227</v>
      </c>
      <c r="H175" s="119" t="s">
        <v>228</v>
      </c>
      <c r="I175" s="117" t="s">
        <v>229</v>
      </c>
      <c r="J175" s="75">
        <v>100</v>
      </c>
      <c r="K175" s="74" t="s">
        <v>230</v>
      </c>
    </row>
    <row r="176" spans="1:11" ht="12" customHeight="1">
      <c r="A176" s="22"/>
      <c r="B176" s="28" t="s">
        <v>81</v>
      </c>
      <c r="C176" s="35">
        <v>3958.32</v>
      </c>
      <c r="D176" s="35"/>
      <c r="E176" s="35"/>
      <c r="F176" s="35">
        <f t="shared" si="8"/>
        <v>34049.209999999992</v>
      </c>
      <c r="G176" s="116"/>
      <c r="H176" s="73"/>
      <c r="I176" s="117"/>
      <c r="J176" s="75"/>
      <c r="K176" s="120"/>
    </row>
    <row r="177" spans="1:11" ht="12" customHeight="1">
      <c r="A177" s="22"/>
      <c r="B177" s="28" t="s">
        <v>82</v>
      </c>
      <c r="C177" s="35">
        <v>3958.34</v>
      </c>
      <c r="D177" s="35"/>
      <c r="E177" s="35"/>
      <c r="F177" s="35">
        <f t="shared" si="8"/>
        <v>30090.869999999992</v>
      </c>
      <c r="G177" s="116"/>
      <c r="H177" s="89"/>
      <c r="I177" s="117"/>
      <c r="J177" s="40"/>
      <c r="K177" s="39"/>
    </row>
    <row r="178" spans="1:11" ht="12" customHeight="1">
      <c r="A178" s="22"/>
      <c r="B178" s="28" t="s">
        <v>83</v>
      </c>
      <c r="C178" s="35">
        <v>3958.34</v>
      </c>
      <c r="D178" s="35"/>
      <c r="E178" s="35"/>
      <c r="F178" s="35">
        <f t="shared" si="8"/>
        <v>26132.529999999992</v>
      </c>
      <c r="G178" s="116"/>
      <c r="I178" s="117"/>
      <c r="J178" s="75"/>
      <c r="K178" s="74"/>
    </row>
    <row r="179" spans="1:11" ht="12" customHeight="1">
      <c r="A179" s="22"/>
      <c r="B179" s="28" t="s">
        <v>84</v>
      </c>
      <c r="C179" s="35">
        <v>3937.49</v>
      </c>
      <c r="D179" s="35" t="s">
        <v>231</v>
      </c>
      <c r="E179" s="35">
        <f>1500+100</f>
        <v>1600</v>
      </c>
      <c r="F179" s="35">
        <f t="shared" si="8"/>
        <v>23795.039999999994</v>
      </c>
      <c r="G179" s="116"/>
      <c r="H179" s="73"/>
      <c r="I179" s="117"/>
      <c r="J179" s="75"/>
      <c r="K179" s="74"/>
    </row>
    <row r="180" spans="1:11" ht="12" customHeight="1">
      <c r="A180" s="22"/>
      <c r="B180" s="50" t="s">
        <v>85</v>
      </c>
      <c r="C180" s="64">
        <f>SUM(C168:C179)</f>
        <v>47647.919999999991</v>
      </c>
      <c r="E180" s="64">
        <f>SUM(E168:E179)</f>
        <v>46750</v>
      </c>
      <c r="G180" s="121"/>
      <c r="H180" s="121"/>
      <c r="I180" s="121"/>
      <c r="J180" s="121"/>
      <c r="K180" s="121"/>
    </row>
    <row r="181" spans="1:11" ht="12" customHeight="1">
      <c r="A181" s="22"/>
      <c r="B181" s="50"/>
      <c r="C181" s="64"/>
      <c r="E181" s="64"/>
      <c r="G181" s="121"/>
      <c r="H181" s="121"/>
      <c r="I181" s="121"/>
      <c r="J181" s="121"/>
      <c r="K181" s="121"/>
    </row>
    <row r="182" spans="1:11" ht="12" customHeight="1">
      <c r="A182" s="22"/>
      <c r="B182" s="23" t="s">
        <v>232</v>
      </c>
      <c r="C182" s="22"/>
      <c r="D182" s="22"/>
      <c r="E182" s="22"/>
      <c r="F182" s="22"/>
      <c r="G182" s="121"/>
      <c r="H182" s="121"/>
      <c r="I182" s="121"/>
      <c r="J182" s="121"/>
      <c r="K182" s="121"/>
    </row>
    <row r="183" spans="1:11" ht="12" customHeight="1">
      <c r="A183" s="22"/>
      <c r="B183" s="23" t="s">
        <v>233</v>
      </c>
      <c r="C183" s="22"/>
      <c r="D183" s="23"/>
      <c r="E183" s="26" t="s">
        <v>234</v>
      </c>
      <c r="F183" s="22"/>
      <c r="G183" s="22"/>
    </row>
    <row r="184" spans="1:11" ht="12" customHeight="1">
      <c r="A184" s="22"/>
      <c r="B184" s="23" t="s">
        <v>235</v>
      </c>
      <c r="C184" s="22"/>
      <c r="D184" s="23"/>
      <c r="E184" s="26" t="s">
        <v>48</v>
      </c>
      <c r="F184" s="22" t="s">
        <v>49</v>
      </c>
      <c r="G184" s="22"/>
    </row>
    <row r="185" spans="1:11" ht="12" customHeight="1">
      <c r="A185" s="22"/>
      <c r="B185" s="23" t="str">
        <f>B5</f>
        <v>BALANCE AT 12-31-15</v>
      </c>
      <c r="C185" s="22"/>
      <c r="D185" s="22"/>
      <c r="E185" s="27">
        <v>22865.64</v>
      </c>
      <c r="F185" s="22"/>
      <c r="G185" s="22" t="s">
        <v>51</v>
      </c>
    </row>
    <row r="186" spans="1:11" ht="12" customHeight="1">
      <c r="A186" s="22"/>
      <c r="B186" s="28" t="s">
        <v>52</v>
      </c>
      <c r="C186" s="29" t="s">
        <v>53</v>
      </c>
      <c r="D186" s="29" t="s">
        <v>54</v>
      </c>
      <c r="E186" s="29" t="s">
        <v>55</v>
      </c>
      <c r="F186" s="29" t="s">
        <v>56</v>
      </c>
      <c r="G186" s="30" t="s">
        <v>57</v>
      </c>
      <c r="H186" s="31" t="s">
        <v>58</v>
      </c>
      <c r="I186" s="32" t="s">
        <v>59</v>
      </c>
      <c r="J186" s="32" t="s">
        <v>60</v>
      </c>
      <c r="K186" s="32" t="s">
        <v>61</v>
      </c>
    </row>
    <row r="187" spans="1:11" ht="12" customHeight="1">
      <c r="A187" s="22"/>
      <c r="B187" s="28" t="s">
        <v>62</v>
      </c>
      <c r="C187" s="41">
        <v>5716.41</v>
      </c>
      <c r="D187" s="35"/>
      <c r="E187" s="35"/>
      <c r="F187" s="35">
        <f>E185-C187+E187</f>
        <v>17149.23</v>
      </c>
      <c r="G187" s="122" t="s">
        <v>152</v>
      </c>
      <c r="H187" s="38" t="s">
        <v>236</v>
      </c>
      <c r="I187" s="39" t="s">
        <v>237</v>
      </c>
      <c r="J187" s="40">
        <v>27170</v>
      </c>
      <c r="K187" s="58" t="s">
        <v>155</v>
      </c>
    </row>
    <row r="188" spans="1:11" ht="12" customHeight="1">
      <c r="A188" s="22"/>
      <c r="B188" s="28" t="s">
        <v>68</v>
      </c>
      <c r="C188" s="41">
        <v>5716.41</v>
      </c>
      <c r="D188" s="35"/>
      <c r="E188" s="35"/>
      <c r="F188" s="35">
        <f>F187+E188-C188</f>
        <v>11432.82</v>
      </c>
      <c r="G188" s="55" t="s">
        <v>238</v>
      </c>
      <c r="H188" s="57" t="s">
        <v>236</v>
      </c>
      <c r="I188" s="123" t="s">
        <v>239</v>
      </c>
      <c r="J188" s="59">
        <v>22335</v>
      </c>
      <c r="K188" s="39" t="s">
        <v>155</v>
      </c>
    </row>
    <row r="189" spans="1:11" ht="12" customHeight="1">
      <c r="A189" s="22"/>
      <c r="B189" s="28" t="s">
        <v>70</v>
      </c>
      <c r="C189" s="41">
        <v>5716.41</v>
      </c>
      <c r="D189" s="35"/>
      <c r="E189" s="35"/>
      <c r="F189" s="35">
        <f t="shared" ref="F189:F198" si="9">F188+E189-C189</f>
        <v>5716.41</v>
      </c>
      <c r="G189" s="55" t="s">
        <v>240</v>
      </c>
      <c r="H189" s="38" t="s">
        <v>236</v>
      </c>
      <c r="I189" s="85" t="s">
        <v>241</v>
      </c>
      <c r="J189" s="40">
        <v>18990</v>
      </c>
      <c r="K189" s="58" t="s">
        <v>155</v>
      </c>
    </row>
    <row r="190" spans="1:11" ht="12" customHeight="1">
      <c r="A190" s="22"/>
      <c r="B190" s="28" t="s">
        <v>72</v>
      </c>
      <c r="C190" s="41">
        <v>5716.41</v>
      </c>
      <c r="D190" s="118"/>
      <c r="E190" s="41"/>
      <c r="F190" s="35">
        <f t="shared" si="9"/>
        <v>0</v>
      </c>
      <c r="G190" s="80"/>
      <c r="H190" s="57"/>
      <c r="I190" s="58"/>
      <c r="J190" s="59"/>
      <c r="K190" s="39"/>
    </row>
    <row r="191" spans="1:11" ht="12" customHeight="1">
      <c r="A191" s="22"/>
      <c r="B191" s="28" t="s">
        <v>74</v>
      </c>
      <c r="C191" s="41">
        <v>5707.92</v>
      </c>
      <c r="D191" s="70"/>
      <c r="E191" s="35">
        <v>68495</v>
      </c>
      <c r="F191" s="35">
        <f t="shared" si="9"/>
        <v>62787.08</v>
      </c>
      <c r="G191" s="79"/>
      <c r="H191" s="38"/>
      <c r="I191" s="39"/>
      <c r="J191" s="40"/>
      <c r="K191" s="39"/>
    </row>
    <row r="192" spans="1:11" ht="12" customHeight="1">
      <c r="A192" s="22"/>
      <c r="B192" s="28" t="s">
        <v>75</v>
      </c>
      <c r="C192" s="41">
        <v>5707.92</v>
      </c>
      <c r="D192" s="118"/>
      <c r="E192" s="41"/>
      <c r="F192" s="35">
        <f t="shared" si="9"/>
        <v>57079.16</v>
      </c>
      <c r="G192" s="79"/>
      <c r="H192" s="38"/>
      <c r="I192" s="39"/>
      <c r="J192" s="40"/>
      <c r="K192" s="39"/>
    </row>
    <row r="193" spans="1:11" ht="12" customHeight="1">
      <c r="A193" s="22"/>
      <c r="B193" s="28" t="s">
        <v>78</v>
      </c>
      <c r="C193" s="41">
        <v>5707.92</v>
      </c>
      <c r="D193" s="41"/>
      <c r="E193" s="35"/>
      <c r="F193" s="35">
        <f t="shared" si="9"/>
        <v>51371.240000000005</v>
      </c>
      <c r="G193" s="79"/>
      <c r="H193" s="38"/>
      <c r="I193" s="39"/>
      <c r="J193" s="40"/>
      <c r="K193" s="39"/>
    </row>
    <row r="194" spans="1:11" ht="12" customHeight="1">
      <c r="A194" s="22"/>
      <c r="B194" s="28" t="s">
        <v>79</v>
      </c>
      <c r="C194" s="41">
        <v>5707.92</v>
      </c>
      <c r="D194" s="118"/>
      <c r="E194" s="35"/>
      <c r="F194" s="35">
        <f t="shared" si="9"/>
        <v>45663.320000000007</v>
      </c>
      <c r="G194" s="79"/>
      <c r="H194" s="38"/>
      <c r="I194" s="39"/>
      <c r="J194" s="40"/>
      <c r="K194" s="39"/>
    </row>
    <row r="195" spans="1:11" ht="12" customHeight="1">
      <c r="A195" s="22"/>
      <c r="B195" s="28" t="s">
        <v>81</v>
      </c>
      <c r="C195" s="41">
        <v>5707.92</v>
      </c>
      <c r="D195" s="35"/>
      <c r="E195" s="35"/>
      <c r="F195" s="35">
        <f t="shared" si="9"/>
        <v>39955.400000000009</v>
      </c>
      <c r="G195" s="79"/>
      <c r="H195" s="38"/>
      <c r="I195" s="39"/>
      <c r="J195" s="40"/>
      <c r="K195" s="39"/>
    </row>
    <row r="196" spans="1:11" ht="12" customHeight="1">
      <c r="A196" s="22"/>
      <c r="B196" s="28" t="s">
        <v>82</v>
      </c>
      <c r="C196" s="41">
        <v>5707.92</v>
      </c>
      <c r="D196" s="35"/>
      <c r="E196" s="35"/>
      <c r="F196" s="35">
        <f t="shared" si="9"/>
        <v>34247.48000000001</v>
      </c>
      <c r="G196" s="79"/>
      <c r="H196" s="38"/>
      <c r="I196" s="39"/>
      <c r="J196" s="40"/>
      <c r="K196" s="39"/>
    </row>
    <row r="197" spans="1:11" ht="12" customHeight="1">
      <c r="A197" s="22"/>
      <c r="B197" s="28" t="s">
        <v>83</v>
      </c>
      <c r="C197" s="41">
        <v>5707.92</v>
      </c>
      <c r="D197" s="35"/>
      <c r="E197" s="35"/>
      <c r="F197" s="35">
        <f t="shared" si="9"/>
        <v>28539.560000000012</v>
      </c>
      <c r="G197" s="79"/>
      <c r="H197" s="38"/>
      <c r="I197" s="39"/>
      <c r="J197" s="40"/>
      <c r="K197" s="39"/>
    </row>
    <row r="198" spans="1:11" ht="12" customHeight="1">
      <c r="A198" s="22"/>
      <c r="B198" s="28" t="s">
        <v>84</v>
      </c>
      <c r="C198" s="41">
        <v>5707.92</v>
      </c>
      <c r="D198" s="35" t="s">
        <v>203</v>
      </c>
      <c r="E198" s="35">
        <v>-22831.64</v>
      </c>
      <c r="F198" s="35">
        <f t="shared" si="9"/>
        <v>1.2732925824820995E-11</v>
      </c>
      <c r="G198" s="79"/>
      <c r="H198" s="38"/>
      <c r="I198" s="39"/>
      <c r="J198" s="40"/>
      <c r="K198" s="39"/>
    </row>
    <row r="199" spans="1:11" ht="12" customHeight="1">
      <c r="A199" s="22"/>
      <c r="B199" s="50" t="s">
        <v>85</v>
      </c>
      <c r="C199" s="64">
        <f>SUM(C187:C198)</f>
        <v>68528.999999999985</v>
      </c>
      <c r="D199" s="22"/>
      <c r="E199" s="64">
        <f>SUM(E187:E198)</f>
        <v>45663.360000000001</v>
      </c>
      <c r="F199" s="22"/>
      <c r="G199" s="22"/>
    </row>
    <row r="200" spans="1:11" ht="12" customHeight="1">
      <c r="A200" s="22"/>
      <c r="B200" s="22"/>
      <c r="C200" s="64"/>
      <c r="D200" s="22"/>
      <c r="E200" s="64"/>
      <c r="F200" s="22"/>
      <c r="G200" s="22"/>
    </row>
    <row r="201" spans="1:11" ht="12" customHeight="1">
      <c r="A201" s="22"/>
      <c r="B201" s="23" t="s">
        <v>242</v>
      </c>
      <c r="C201" s="22"/>
      <c r="D201" s="22"/>
      <c r="E201" s="22"/>
      <c r="F201" s="22"/>
      <c r="G201" s="121"/>
      <c r="H201" s="121"/>
      <c r="I201" s="121"/>
      <c r="J201" s="121"/>
      <c r="K201" s="121"/>
    </row>
    <row r="202" spans="1:11" ht="12" customHeight="1">
      <c r="A202" s="22"/>
      <c r="B202" s="23" t="s">
        <v>44</v>
      </c>
      <c r="C202" s="22"/>
      <c r="D202" s="22"/>
      <c r="E202" s="26" t="s">
        <v>243</v>
      </c>
      <c r="F202" s="22"/>
      <c r="G202" s="22"/>
    </row>
    <row r="203" spans="1:11" ht="12" customHeight="1">
      <c r="A203" s="22"/>
      <c r="B203" s="23" t="s">
        <v>47</v>
      </c>
      <c r="C203" s="22"/>
      <c r="D203" s="22"/>
      <c r="E203" s="26" t="s">
        <v>48</v>
      </c>
      <c r="F203" s="22" t="s">
        <v>49</v>
      </c>
      <c r="G203" s="22"/>
    </row>
    <row r="204" spans="1:11" ht="12" customHeight="1">
      <c r="A204" s="22"/>
      <c r="B204" s="23" t="str">
        <f>B5</f>
        <v>BALANCE AT 12-31-15</v>
      </c>
      <c r="C204" s="22"/>
      <c r="D204" s="22"/>
      <c r="E204" s="27">
        <v>1968</v>
      </c>
      <c r="F204" s="22"/>
      <c r="G204" s="22" t="s">
        <v>51</v>
      </c>
    </row>
    <row r="205" spans="1:11" ht="12" customHeight="1">
      <c r="A205" s="22"/>
      <c r="B205" s="112" t="s">
        <v>52</v>
      </c>
      <c r="C205" s="113" t="s">
        <v>53</v>
      </c>
      <c r="D205" s="113" t="s">
        <v>54</v>
      </c>
      <c r="E205" s="113" t="s">
        <v>55</v>
      </c>
      <c r="F205" s="124" t="s">
        <v>56</v>
      </c>
      <c r="G205" s="30" t="s">
        <v>57</v>
      </c>
      <c r="H205" s="31" t="s">
        <v>58</v>
      </c>
      <c r="I205" s="32" t="s">
        <v>59</v>
      </c>
      <c r="J205" s="32" t="s">
        <v>60</v>
      </c>
      <c r="K205" s="32" t="s">
        <v>61</v>
      </c>
    </row>
    <row r="206" spans="1:11" ht="12" customHeight="1">
      <c r="A206" s="22"/>
      <c r="B206" s="115" t="s">
        <v>62</v>
      </c>
      <c r="C206" s="82">
        <v>492</v>
      </c>
      <c r="D206" s="125"/>
      <c r="E206" s="82"/>
      <c r="F206" s="82">
        <f>E204-C206+E206</f>
        <v>1476</v>
      </c>
      <c r="G206" s="126" t="s">
        <v>64</v>
      </c>
      <c r="H206" s="38" t="s">
        <v>244</v>
      </c>
      <c r="I206" s="39" t="s">
        <v>245</v>
      </c>
      <c r="J206" s="40">
        <v>5904</v>
      </c>
      <c r="K206" s="58" t="s">
        <v>246</v>
      </c>
    </row>
    <row r="207" spans="1:11" ht="12" customHeight="1">
      <c r="A207" s="22"/>
      <c r="B207" s="28" t="s">
        <v>68</v>
      </c>
      <c r="C207" s="82">
        <v>492</v>
      </c>
      <c r="D207" s="78"/>
      <c r="E207" s="35"/>
      <c r="F207" s="82">
        <f>F206-C207+E207</f>
        <v>984</v>
      </c>
      <c r="G207" s="126"/>
      <c r="H207" s="57"/>
      <c r="I207" s="58"/>
      <c r="J207" s="59"/>
      <c r="K207" s="39"/>
    </row>
    <row r="208" spans="1:11" ht="12" customHeight="1">
      <c r="A208" s="22"/>
      <c r="B208" s="28" t="s">
        <v>70</v>
      </c>
      <c r="C208" s="82">
        <v>492</v>
      </c>
      <c r="D208" s="43"/>
      <c r="E208" s="35"/>
      <c r="F208" s="82">
        <f t="shared" ref="F208:F217" si="10">F207-C208+E208</f>
        <v>492</v>
      </c>
      <c r="G208" s="126"/>
      <c r="H208" s="38"/>
      <c r="I208" s="39"/>
      <c r="J208" s="40"/>
      <c r="K208" s="58"/>
    </row>
    <row r="209" spans="1:11" ht="12" customHeight="1">
      <c r="A209" s="22"/>
      <c r="B209" s="28" t="s">
        <v>72</v>
      </c>
      <c r="C209" s="35">
        <v>492</v>
      </c>
      <c r="D209" s="43"/>
      <c r="E209" s="35"/>
      <c r="F209" s="82">
        <f t="shared" si="10"/>
        <v>0</v>
      </c>
      <c r="G209" s="79"/>
      <c r="H209" s="38"/>
      <c r="I209" s="38"/>
      <c r="J209" s="59"/>
      <c r="K209" s="39"/>
    </row>
    <row r="210" spans="1:11" ht="12" customHeight="1">
      <c r="A210" s="22"/>
      <c r="B210" s="28" t="s">
        <v>74</v>
      </c>
      <c r="C210" s="35"/>
      <c r="D210" s="43"/>
      <c r="E210" s="35"/>
      <c r="F210" s="82">
        <f t="shared" si="10"/>
        <v>0</v>
      </c>
      <c r="G210" s="79"/>
      <c r="H210" s="38"/>
      <c r="I210" s="38"/>
      <c r="J210" s="40"/>
      <c r="K210" s="39"/>
    </row>
    <row r="211" spans="1:11" ht="12" customHeight="1">
      <c r="A211" s="22"/>
      <c r="B211" s="28" t="s">
        <v>75</v>
      </c>
      <c r="C211" s="35"/>
      <c r="D211" s="43"/>
      <c r="E211" s="35"/>
      <c r="F211" s="82">
        <f t="shared" si="10"/>
        <v>0</v>
      </c>
      <c r="G211" s="79"/>
      <c r="H211" s="38"/>
      <c r="I211" s="39"/>
      <c r="J211" s="40"/>
      <c r="K211" s="39"/>
    </row>
    <row r="212" spans="1:11" ht="12" customHeight="1">
      <c r="A212" s="22"/>
      <c r="B212" s="28" t="s">
        <v>78</v>
      </c>
      <c r="C212" s="35">
        <v>984</v>
      </c>
      <c r="D212" s="43" t="s">
        <v>247</v>
      </c>
      <c r="E212" s="35">
        <v>5904</v>
      </c>
      <c r="F212" s="82">
        <f t="shared" si="10"/>
        <v>4920</v>
      </c>
      <c r="G212" s="79"/>
      <c r="H212" s="38"/>
      <c r="I212" s="39"/>
      <c r="J212" s="40"/>
      <c r="K212" s="39"/>
    </row>
    <row r="213" spans="1:11" ht="12" customHeight="1">
      <c r="A213" s="22"/>
      <c r="B213" s="28" t="s">
        <v>79</v>
      </c>
      <c r="C213" s="35">
        <v>984</v>
      </c>
      <c r="D213" s="43"/>
      <c r="E213" s="35"/>
      <c r="F213" s="82">
        <f t="shared" si="10"/>
        <v>3936</v>
      </c>
      <c r="G213" s="79"/>
      <c r="H213" s="38"/>
      <c r="I213" s="39"/>
      <c r="J213" s="40"/>
      <c r="K213" s="39"/>
    </row>
    <row r="214" spans="1:11" ht="12" customHeight="1">
      <c r="A214" s="22"/>
      <c r="B214" s="28" t="s">
        <v>81</v>
      </c>
      <c r="C214" s="35">
        <v>492</v>
      </c>
      <c r="D214" s="43"/>
      <c r="E214" s="35"/>
      <c r="F214" s="82">
        <f t="shared" si="10"/>
        <v>3444</v>
      </c>
      <c r="G214" s="79"/>
      <c r="H214" s="38"/>
      <c r="I214" s="39"/>
      <c r="J214" s="40"/>
      <c r="K214" s="39"/>
    </row>
    <row r="215" spans="1:11" ht="12" customHeight="1">
      <c r="A215" s="22"/>
      <c r="B215" s="28" t="s">
        <v>82</v>
      </c>
      <c r="C215" s="35">
        <v>492</v>
      </c>
      <c r="D215" s="43"/>
      <c r="E215" s="35"/>
      <c r="F215" s="82">
        <f t="shared" si="10"/>
        <v>2952</v>
      </c>
      <c r="G215" s="79"/>
      <c r="H215" s="38"/>
      <c r="I215" s="39"/>
      <c r="J215" s="40"/>
      <c r="K215" s="39"/>
    </row>
    <row r="216" spans="1:11" ht="12" customHeight="1">
      <c r="A216" s="22"/>
      <c r="B216" s="28" t="s">
        <v>83</v>
      </c>
      <c r="C216" s="35">
        <v>492</v>
      </c>
      <c r="D216" s="43"/>
      <c r="E216" s="35"/>
      <c r="F216" s="82">
        <f t="shared" si="10"/>
        <v>2460</v>
      </c>
      <c r="G216" s="79"/>
      <c r="H216" s="38"/>
      <c r="I216" s="39"/>
      <c r="J216" s="40"/>
      <c r="K216" s="39"/>
    </row>
    <row r="217" spans="1:11" ht="12" customHeight="1">
      <c r="B217" s="28" t="s">
        <v>84</v>
      </c>
      <c r="C217" s="35">
        <v>492</v>
      </c>
      <c r="D217" s="43" t="s">
        <v>203</v>
      </c>
      <c r="E217" s="35">
        <v>-1968</v>
      </c>
      <c r="F217" s="82">
        <f t="shared" si="10"/>
        <v>0</v>
      </c>
      <c r="G217" s="79"/>
      <c r="H217" s="38"/>
      <c r="I217" s="39"/>
      <c r="J217" s="40"/>
      <c r="K217" s="39"/>
    </row>
    <row r="218" spans="1:11" ht="12" customHeight="1">
      <c r="B218" s="50" t="s">
        <v>85</v>
      </c>
      <c r="C218" s="64">
        <f>SUM(C206:C217)</f>
        <v>5904</v>
      </c>
      <c r="E218" s="64">
        <f>SUM(E206:E217)</f>
        <v>3936</v>
      </c>
    </row>
    <row r="219" spans="1:11" ht="12" customHeight="1">
      <c r="B219" s="22"/>
      <c r="C219" s="22"/>
      <c r="D219" s="22"/>
      <c r="E219" s="22"/>
      <c r="F219" s="22"/>
      <c r="G219" s="22"/>
    </row>
    <row r="220" spans="1:11" ht="12" hidden="1" customHeight="1">
      <c r="B220" s="23" t="s">
        <v>248</v>
      </c>
      <c r="C220" s="22"/>
      <c r="D220" s="22"/>
      <c r="E220" s="22"/>
      <c r="F220" s="22"/>
      <c r="G220" s="22"/>
    </row>
    <row r="221" spans="1:11" ht="12" hidden="1" customHeight="1">
      <c r="B221" s="23" t="s">
        <v>44</v>
      </c>
      <c r="C221" s="22"/>
      <c r="D221" s="22"/>
      <c r="E221" s="26" t="s">
        <v>249</v>
      </c>
      <c r="F221" s="22"/>
      <c r="G221" s="22"/>
    </row>
    <row r="222" spans="1:11" ht="12" hidden="1" customHeight="1">
      <c r="B222" s="23" t="s">
        <v>47</v>
      </c>
      <c r="C222" s="22"/>
      <c r="D222" s="22"/>
      <c r="E222" s="26" t="s">
        <v>48</v>
      </c>
      <c r="F222" s="22" t="s">
        <v>49</v>
      </c>
      <c r="G222" s="22"/>
    </row>
    <row r="223" spans="1:11" ht="12" hidden="1" customHeight="1">
      <c r="B223" s="23" t="str">
        <f>B5</f>
        <v>BALANCE AT 12-31-15</v>
      </c>
      <c r="C223" s="22"/>
      <c r="D223" s="22"/>
      <c r="E223" s="27">
        <v>0</v>
      </c>
      <c r="F223" s="22"/>
      <c r="G223" s="22" t="s">
        <v>51</v>
      </c>
    </row>
    <row r="224" spans="1:11" ht="12" hidden="1" customHeight="1">
      <c r="B224" s="112" t="s">
        <v>52</v>
      </c>
      <c r="C224" s="113" t="s">
        <v>53</v>
      </c>
      <c r="D224" s="113" t="s">
        <v>54</v>
      </c>
      <c r="E224" s="113" t="s">
        <v>55</v>
      </c>
      <c r="F224" s="114" t="s">
        <v>56</v>
      </c>
      <c r="G224" s="30" t="s">
        <v>57</v>
      </c>
      <c r="H224" s="31" t="s">
        <v>58</v>
      </c>
      <c r="I224" s="32" t="s">
        <v>59</v>
      </c>
      <c r="J224" s="32" t="s">
        <v>60</v>
      </c>
      <c r="K224" s="32" t="s">
        <v>61</v>
      </c>
    </row>
    <row r="225" spans="1:11" ht="12" hidden="1" customHeight="1">
      <c r="B225" s="115" t="s">
        <v>62</v>
      </c>
      <c r="C225" s="35"/>
      <c r="D225" s="127"/>
      <c r="E225" s="128"/>
      <c r="F225" s="82">
        <f>E223-C225+E225</f>
        <v>0</v>
      </c>
      <c r="G225" s="126"/>
      <c r="H225" s="38"/>
      <c r="I225" s="39"/>
      <c r="J225" s="40"/>
      <c r="K225" s="58"/>
    </row>
    <row r="226" spans="1:11" ht="12" hidden="1" customHeight="1">
      <c r="A226" s="25" t="s">
        <v>40</v>
      </c>
      <c r="B226" s="28" t="s">
        <v>68</v>
      </c>
      <c r="C226" s="35"/>
      <c r="D226" s="129"/>
      <c r="E226" s="129"/>
      <c r="F226" s="82">
        <f>F225-C226+E226</f>
        <v>0</v>
      </c>
      <c r="G226" s="126"/>
      <c r="H226" s="57"/>
      <c r="I226" s="58"/>
      <c r="J226" s="59"/>
      <c r="K226" s="39"/>
    </row>
    <row r="227" spans="1:11" ht="12" hidden="1" customHeight="1">
      <c r="A227" s="25" t="s">
        <v>40</v>
      </c>
      <c r="B227" s="28" t="s">
        <v>70</v>
      </c>
      <c r="C227" s="35"/>
      <c r="D227" s="129"/>
      <c r="E227" s="129"/>
      <c r="F227" s="82">
        <f t="shared" ref="F227:F236" si="11">F226-C227+E227</f>
        <v>0</v>
      </c>
      <c r="G227" s="126"/>
      <c r="H227" s="38"/>
      <c r="I227" s="39"/>
      <c r="J227" s="40"/>
      <c r="K227" s="58"/>
    </row>
    <row r="228" spans="1:11" ht="12" hidden="1" customHeight="1">
      <c r="B228" s="115" t="s">
        <v>72</v>
      </c>
      <c r="C228" s="35"/>
      <c r="D228" s="35"/>
      <c r="E228" s="35"/>
      <c r="F228" s="82">
        <f t="shared" si="11"/>
        <v>0</v>
      </c>
      <c r="G228" s="122"/>
      <c r="H228" s="57"/>
      <c r="I228" s="58"/>
      <c r="J228" s="59"/>
      <c r="K228" s="39"/>
    </row>
    <row r="229" spans="1:11" ht="12" hidden="1" customHeight="1">
      <c r="B229" s="28" t="s">
        <v>74</v>
      </c>
      <c r="C229" s="35"/>
      <c r="D229" s="130"/>
      <c r="E229" s="35"/>
      <c r="F229" s="82">
        <f t="shared" si="11"/>
        <v>0</v>
      </c>
      <c r="G229" s="79"/>
      <c r="H229" s="38"/>
      <c r="I229" s="39"/>
      <c r="J229" s="40"/>
      <c r="K229" s="39"/>
    </row>
    <row r="230" spans="1:11" ht="12" hidden="1" customHeight="1">
      <c r="B230" s="28" t="s">
        <v>75</v>
      </c>
      <c r="C230" s="35"/>
      <c r="D230" s="35"/>
      <c r="E230" s="35"/>
      <c r="F230" s="82">
        <f t="shared" si="11"/>
        <v>0</v>
      </c>
      <c r="G230" s="79"/>
      <c r="H230" s="38"/>
      <c r="I230" s="39"/>
      <c r="J230" s="40"/>
      <c r="K230" s="39"/>
    </row>
    <row r="231" spans="1:11" ht="12" hidden="1" customHeight="1">
      <c r="B231" s="115" t="s">
        <v>78</v>
      </c>
      <c r="C231" s="35"/>
      <c r="D231" s="129"/>
      <c r="E231" s="35"/>
      <c r="F231" s="82">
        <f t="shared" si="11"/>
        <v>0</v>
      </c>
      <c r="G231" s="79"/>
      <c r="H231" s="38"/>
      <c r="I231" s="39"/>
      <c r="J231" s="40"/>
      <c r="K231" s="39"/>
    </row>
    <row r="232" spans="1:11" ht="12" hidden="1" customHeight="1">
      <c r="A232" s="25" t="s">
        <v>40</v>
      </c>
      <c r="B232" s="28" t="s">
        <v>79</v>
      </c>
      <c r="C232" s="35"/>
      <c r="D232" s="118"/>
      <c r="E232" s="129"/>
      <c r="F232" s="82">
        <f t="shared" si="11"/>
        <v>0</v>
      </c>
      <c r="G232" s="79"/>
      <c r="H232" s="38"/>
      <c r="I232" s="39"/>
      <c r="J232" s="40"/>
      <c r="K232" s="39"/>
    </row>
    <row r="233" spans="1:11" ht="12" hidden="1" customHeight="1">
      <c r="B233" s="28" t="s">
        <v>81</v>
      </c>
      <c r="C233" s="35"/>
      <c r="D233" s="129"/>
      <c r="E233" s="129"/>
      <c r="F233" s="82">
        <f t="shared" si="11"/>
        <v>0</v>
      </c>
      <c r="G233" s="79"/>
      <c r="H233" s="38"/>
      <c r="I233" s="39"/>
      <c r="J233" s="40"/>
      <c r="K233" s="39"/>
    </row>
    <row r="234" spans="1:11" ht="12" hidden="1" customHeight="1">
      <c r="B234" s="115" t="s">
        <v>82</v>
      </c>
      <c r="C234" s="35"/>
      <c r="D234" s="129"/>
      <c r="E234" s="129"/>
      <c r="F234" s="82">
        <f t="shared" si="11"/>
        <v>0</v>
      </c>
      <c r="G234" s="79"/>
      <c r="H234" s="38"/>
      <c r="I234" s="39"/>
      <c r="J234" s="40"/>
      <c r="K234" s="39"/>
    </row>
    <row r="235" spans="1:11" ht="12" hidden="1" customHeight="1">
      <c r="B235" s="28" t="s">
        <v>83</v>
      </c>
      <c r="C235" s="35"/>
      <c r="D235" s="129"/>
      <c r="E235" s="129"/>
      <c r="F235" s="82">
        <f t="shared" si="11"/>
        <v>0</v>
      </c>
      <c r="G235" s="79"/>
      <c r="H235" s="38"/>
      <c r="I235" s="39"/>
      <c r="J235" s="40"/>
      <c r="K235" s="39"/>
    </row>
    <row r="236" spans="1:11" ht="12" hidden="1" customHeight="1">
      <c r="B236" s="28" t="s">
        <v>62</v>
      </c>
      <c r="C236" s="35"/>
      <c r="D236" s="129"/>
      <c r="E236" s="129"/>
      <c r="F236" s="82">
        <f t="shared" si="11"/>
        <v>0</v>
      </c>
      <c r="G236" s="79"/>
      <c r="H236" s="38"/>
      <c r="I236" s="39"/>
      <c r="J236" s="40"/>
      <c r="K236" s="39"/>
    </row>
    <row r="237" spans="1:11" ht="12" hidden="1" customHeight="1">
      <c r="B237" s="50" t="s">
        <v>85</v>
      </c>
      <c r="C237" s="131">
        <f>SUM(C225:C236)</f>
        <v>0</v>
      </c>
      <c r="D237" s="121"/>
      <c r="E237" s="131">
        <f>SUM(E225:E236)</f>
        <v>0</v>
      </c>
      <c r="F237" s="121"/>
      <c r="G237" s="53"/>
    </row>
    <row r="238" spans="1:11" ht="12" hidden="1" customHeight="1">
      <c r="B238" s="121"/>
      <c r="C238" s="131"/>
      <c r="D238" s="121"/>
      <c r="E238" s="131"/>
      <c r="F238" s="121"/>
      <c r="G238" s="53"/>
    </row>
    <row r="239" spans="1:11" ht="12" customHeight="1">
      <c r="B239" s="23" t="s">
        <v>250</v>
      </c>
      <c r="C239" s="22"/>
      <c r="D239" s="22"/>
      <c r="E239" s="22"/>
      <c r="F239" s="22"/>
      <c r="G239" s="22"/>
    </row>
    <row r="240" spans="1:11" ht="12" customHeight="1">
      <c r="B240" s="23" t="s">
        <v>44</v>
      </c>
      <c r="C240" s="22"/>
      <c r="D240" s="22"/>
      <c r="E240" s="26" t="s">
        <v>251</v>
      </c>
      <c r="F240" s="22"/>
      <c r="G240" s="22"/>
    </row>
    <row r="241" spans="1:11" ht="12" customHeight="1">
      <c r="B241" s="23" t="s">
        <v>47</v>
      </c>
      <c r="C241" s="22"/>
      <c r="D241" s="22"/>
      <c r="E241" s="26" t="s">
        <v>48</v>
      </c>
      <c r="F241" s="22" t="s">
        <v>49</v>
      </c>
      <c r="G241" s="22"/>
    </row>
    <row r="242" spans="1:11" ht="12" customHeight="1">
      <c r="B242" s="23" t="str">
        <f>B5</f>
        <v>BALANCE AT 12-31-15</v>
      </c>
      <c r="C242" s="22"/>
      <c r="D242" s="22"/>
      <c r="E242" s="27">
        <v>24215.8</v>
      </c>
      <c r="F242" s="22"/>
      <c r="G242" s="22" t="s">
        <v>51</v>
      </c>
    </row>
    <row r="243" spans="1:11" ht="12" customHeight="1">
      <c r="B243" s="112" t="s">
        <v>52</v>
      </c>
      <c r="C243" s="113" t="s">
        <v>53</v>
      </c>
      <c r="D243" s="113" t="s">
        <v>54</v>
      </c>
      <c r="E243" s="113" t="s">
        <v>55</v>
      </c>
      <c r="F243" s="114" t="s">
        <v>56</v>
      </c>
      <c r="G243" s="30" t="s">
        <v>57</v>
      </c>
      <c r="H243" s="31" t="s">
        <v>58</v>
      </c>
      <c r="I243" s="32" t="s">
        <v>59</v>
      </c>
      <c r="J243" s="32" t="s">
        <v>60</v>
      </c>
      <c r="K243" s="32" t="s">
        <v>61</v>
      </c>
    </row>
    <row r="244" spans="1:11" ht="12" customHeight="1">
      <c r="B244" s="115" t="s">
        <v>62</v>
      </c>
      <c r="C244" s="35">
        <v>6053.95</v>
      </c>
      <c r="D244" s="127"/>
      <c r="E244" s="128"/>
      <c r="F244" s="82">
        <f>E242-C244+E244</f>
        <v>18161.849999999999</v>
      </c>
      <c r="G244" s="126" t="s">
        <v>252</v>
      </c>
      <c r="H244" s="38" t="s">
        <v>253</v>
      </c>
      <c r="I244" s="39" t="s">
        <v>254</v>
      </c>
      <c r="J244" s="40">
        <v>56426</v>
      </c>
      <c r="K244" s="58" t="s">
        <v>155</v>
      </c>
    </row>
    <row r="245" spans="1:11" ht="12" customHeight="1">
      <c r="A245" s="25" t="s">
        <v>40</v>
      </c>
      <c r="B245" s="28" t="s">
        <v>68</v>
      </c>
      <c r="C245" s="35">
        <v>6053.95</v>
      </c>
      <c r="D245" s="129"/>
      <c r="E245" s="129"/>
      <c r="F245" s="82">
        <f>F244-C245+E245</f>
        <v>12107.899999999998</v>
      </c>
      <c r="G245" s="126" t="s">
        <v>252</v>
      </c>
      <c r="H245" s="38" t="s">
        <v>105</v>
      </c>
      <c r="I245" s="39" t="s">
        <v>254</v>
      </c>
      <c r="J245" s="40">
        <v>2821.3</v>
      </c>
      <c r="K245" s="39" t="s">
        <v>155</v>
      </c>
    </row>
    <row r="246" spans="1:11" ht="12" customHeight="1">
      <c r="A246" s="25" t="s">
        <v>40</v>
      </c>
      <c r="B246" s="28" t="s">
        <v>70</v>
      </c>
      <c r="C246" s="35">
        <v>6053.95</v>
      </c>
      <c r="D246" s="129"/>
      <c r="E246" s="129"/>
      <c r="F246" s="132">
        <f t="shared" ref="F246:F255" si="12">F245-C246+E246</f>
        <v>6053.949999999998</v>
      </c>
      <c r="G246" s="49"/>
      <c r="H246" s="49"/>
      <c r="I246" s="49"/>
      <c r="J246" s="49"/>
      <c r="K246" s="49"/>
    </row>
    <row r="247" spans="1:11" ht="12" customHeight="1">
      <c r="B247" s="115" t="s">
        <v>72</v>
      </c>
      <c r="C247" s="35">
        <v>6053.95</v>
      </c>
      <c r="D247" s="35"/>
      <c r="E247" s="35"/>
      <c r="F247" s="82">
        <f t="shared" si="12"/>
        <v>-1.8189894035458565E-12</v>
      </c>
      <c r="G247" s="122"/>
      <c r="H247" s="57"/>
      <c r="I247" s="58"/>
      <c r="J247" s="59"/>
      <c r="K247" s="133"/>
    </row>
    <row r="248" spans="1:11" ht="12" customHeight="1">
      <c r="B248" s="28" t="s">
        <v>74</v>
      </c>
      <c r="C248" s="35">
        <v>4937.28</v>
      </c>
      <c r="D248" s="118"/>
      <c r="E248" s="35">
        <v>59247.3</v>
      </c>
      <c r="F248" s="82">
        <f t="shared" si="12"/>
        <v>54310.020000000004</v>
      </c>
      <c r="G248" s="79"/>
      <c r="H248" s="38"/>
      <c r="I248" s="39"/>
      <c r="J248" s="40"/>
      <c r="K248" s="39"/>
    </row>
    <row r="249" spans="1:11" ht="12" customHeight="1">
      <c r="B249" s="28" t="s">
        <v>75</v>
      </c>
      <c r="C249" s="35">
        <v>4937.28</v>
      </c>
      <c r="D249" s="35"/>
      <c r="E249" s="35"/>
      <c r="F249" s="82">
        <f t="shared" si="12"/>
        <v>49372.740000000005</v>
      </c>
      <c r="G249" s="79"/>
      <c r="H249" s="38"/>
      <c r="I249" s="39"/>
      <c r="J249" s="40"/>
      <c r="K249" s="39"/>
    </row>
    <row r="250" spans="1:11" ht="12" customHeight="1">
      <c r="B250" s="115" t="s">
        <v>78</v>
      </c>
      <c r="C250" s="35">
        <v>4937.28</v>
      </c>
      <c r="D250" s="129"/>
      <c r="E250" s="35"/>
      <c r="F250" s="82">
        <f t="shared" si="12"/>
        <v>44435.460000000006</v>
      </c>
      <c r="G250" s="79"/>
      <c r="H250" s="38"/>
      <c r="I250" s="39"/>
      <c r="J250" s="40"/>
      <c r="K250" s="39"/>
    </row>
    <row r="251" spans="1:11" ht="12" customHeight="1">
      <c r="A251" s="25" t="s">
        <v>40</v>
      </c>
      <c r="B251" s="28" t="s">
        <v>79</v>
      </c>
      <c r="C251" s="35">
        <v>4937.28</v>
      </c>
      <c r="D251" s="118"/>
      <c r="E251" s="129"/>
      <c r="F251" s="82">
        <f t="shared" si="12"/>
        <v>39498.180000000008</v>
      </c>
      <c r="G251" s="79"/>
      <c r="H251" s="38"/>
      <c r="I251" s="39"/>
      <c r="J251" s="40"/>
      <c r="K251" s="39"/>
    </row>
    <row r="252" spans="1:11" ht="12" customHeight="1">
      <c r="B252" s="28" t="s">
        <v>81</v>
      </c>
      <c r="C252" s="35">
        <v>4937.28</v>
      </c>
      <c r="D252" s="35"/>
      <c r="E252" s="35"/>
      <c r="F252" s="82">
        <f t="shared" si="12"/>
        <v>34560.900000000009</v>
      </c>
      <c r="G252" s="79"/>
      <c r="H252" s="38"/>
      <c r="I252" s="39"/>
      <c r="J252" s="40"/>
      <c r="K252" s="39"/>
    </row>
    <row r="253" spans="1:11" ht="12" customHeight="1">
      <c r="B253" s="115" t="s">
        <v>82</v>
      </c>
      <c r="C253" s="35">
        <v>4937.28</v>
      </c>
      <c r="D253" s="35"/>
      <c r="E253" s="35"/>
      <c r="F253" s="82">
        <f t="shared" si="12"/>
        <v>29623.62000000001</v>
      </c>
      <c r="G253" s="79"/>
      <c r="H253" s="38"/>
      <c r="I253" s="39"/>
      <c r="J253" s="40"/>
      <c r="K253" s="39"/>
    </row>
    <row r="254" spans="1:11" ht="12" customHeight="1">
      <c r="B254" s="28" t="s">
        <v>83</v>
      </c>
      <c r="C254" s="35">
        <v>4937.28</v>
      </c>
      <c r="D254" s="35"/>
      <c r="E254" s="35"/>
      <c r="F254" s="82">
        <f t="shared" si="12"/>
        <v>24686.340000000011</v>
      </c>
      <c r="G254" s="79"/>
      <c r="H254" s="38"/>
      <c r="I254" s="39"/>
      <c r="J254" s="40"/>
      <c r="K254" s="39"/>
    </row>
    <row r="255" spans="1:11" ht="12" customHeight="1">
      <c r="B255" s="28" t="s">
        <v>84</v>
      </c>
      <c r="C255" s="35">
        <v>4937.28</v>
      </c>
      <c r="D255" s="129"/>
      <c r="E255" s="129"/>
      <c r="F255" s="82">
        <f t="shared" si="12"/>
        <v>19749.060000000012</v>
      </c>
      <c r="G255" s="79"/>
      <c r="H255" s="38"/>
      <c r="I255" s="39"/>
      <c r="J255" s="40"/>
      <c r="K255" s="39"/>
    </row>
    <row r="256" spans="1:11" ht="12" customHeight="1">
      <c r="B256" s="50" t="s">
        <v>85</v>
      </c>
      <c r="C256" s="131">
        <f>SUM(C244:C255)</f>
        <v>63714.039999999994</v>
      </c>
      <c r="D256" s="121"/>
      <c r="E256" s="131">
        <f>SUM(E244:E255)</f>
        <v>59247.3</v>
      </c>
      <c r="F256" s="134"/>
      <c r="G256" s="53"/>
    </row>
    <row r="257" spans="2:11" ht="12" customHeight="1">
      <c r="B257" s="22"/>
      <c r="E257" s="22"/>
      <c r="F257" s="22"/>
      <c r="G257" s="22"/>
    </row>
    <row r="258" spans="2:11" ht="12" customHeight="1">
      <c r="B258" s="24" t="s">
        <v>255</v>
      </c>
      <c r="C258" s="135">
        <f>SUMIF(B:B,"DECEMBER",C:C)</f>
        <v>419359.41000000003</v>
      </c>
      <c r="D258" s="136" t="s">
        <v>256</v>
      </c>
      <c r="E258" s="135">
        <f>SUMIF(B:B,"DECEMBER",E:E)</f>
        <v>-120226.83</v>
      </c>
      <c r="F258" s="22"/>
      <c r="G258" s="22"/>
    </row>
    <row r="259" spans="2:11" ht="12" customHeight="1">
      <c r="B259" s="24" t="s">
        <v>257</v>
      </c>
      <c r="C259" s="64">
        <f>SUMIF(B:B,"Total",C:C)</f>
        <v>5208102.293333333</v>
      </c>
      <c r="D259" s="136" t="s">
        <v>258</v>
      </c>
      <c r="E259" s="64">
        <f>SUMIF(B:B,"Total",E:E)</f>
        <v>4948211.4733333336</v>
      </c>
      <c r="F259" s="137">
        <f>SUMIF(B:B,"DECEMBER",F:F)</f>
        <v>2447522.2199999993</v>
      </c>
      <c r="G259" s="22" t="s">
        <v>259</v>
      </c>
    </row>
    <row r="260" spans="2:11" ht="12" customHeight="1">
      <c r="B260" s="24" t="s">
        <v>260</v>
      </c>
      <c r="C260" s="64"/>
      <c r="D260" s="136"/>
      <c r="E260" s="64"/>
      <c r="F260" s="138"/>
      <c r="G260" s="22"/>
    </row>
    <row r="261" spans="2:11" ht="12" customHeight="1">
      <c r="B261" s="24" t="s">
        <v>261</v>
      </c>
      <c r="C261" s="135">
        <f>SUMIF(B90:B101,"DECEMBER",C90:C101)</f>
        <v>15295.71</v>
      </c>
      <c r="E261" s="22"/>
      <c r="F261" s="64">
        <f>SUM(F259:F260)</f>
        <v>2447522.2199999993</v>
      </c>
      <c r="G261" s="22"/>
    </row>
    <row r="262" spans="2:11" ht="12" customHeight="1">
      <c r="B262" s="24" t="s">
        <v>262</v>
      </c>
      <c r="C262" s="135">
        <f>SUMIF(B70:B81,"DECEMBER",C70:C81)</f>
        <v>12201.19</v>
      </c>
      <c r="F262" s="64"/>
      <c r="G262" s="22"/>
    </row>
    <row r="263" spans="2:11" ht="12" customHeight="1">
      <c r="B263" s="24" t="s">
        <v>263</v>
      </c>
      <c r="C263" s="135">
        <f>SUMIF(B70:B256,"DECEMBER",C70:C256)-C261-C262</f>
        <v>249232.91000000006</v>
      </c>
      <c r="E263" s="24" t="s">
        <v>264</v>
      </c>
      <c r="F263" s="139">
        <f>F259+102920.17</f>
        <v>2550442.3899999992</v>
      </c>
      <c r="G263" s="22"/>
      <c r="I263" s="22"/>
      <c r="J263" s="22"/>
      <c r="K263" s="140"/>
    </row>
    <row r="264" spans="2:11" ht="12" customHeight="1">
      <c r="B264" s="24" t="s">
        <v>265</v>
      </c>
      <c r="C264" s="141">
        <f>SUM(C261:C263)</f>
        <v>276729.81000000006</v>
      </c>
      <c r="E264" s="24" t="s">
        <v>266</v>
      </c>
      <c r="F264" s="142">
        <v>2550442.39</v>
      </c>
      <c r="G264" s="22"/>
      <c r="I264" s="22"/>
      <c r="J264" s="22"/>
      <c r="K264" s="140"/>
    </row>
    <row r="265" spans="2:11" ht="12" customHeight="1" thickBot="1">
      <c r="C265" s="137">
        <f>SUMIF(B70:B256,"DECEMBER",C70:C256)</f>
        <v>276729.81000000006</v>
      </c>
      <c r="E265" s="24" t="s">
        <v>267</v>
      </c>
      <c r="F265" s="143">
        <f>F263-F264</f>
        <v>0</v>
      </c>
      <c r="G265" s="22"/>
      <c r="I265" s="22"/>
      <c r="J265" s="22"/>
      <c r="K265" s="140"/>
    </row>
    <row r="266" spans="2:11" ht="12" customHeight="1" thickTop="1">
      <c r="F266" s="22"/>
      <c r="G266" s="22"/>
    </row>
    <row r="272" spans="2:11" ht="12" customHeight="1">
      <c r="B272" s="144" t="s">
        <v>268</v>
      </c>
    </row>
    <row r="274" spans="2:5" ht="12" customHeight="1">
      <c r="B274" s="24" t="s">
        <v>269</v>
      </c>
    </row>
    <row r="275" spans="2:5" ht="12" customHeight="1">
      <c r="B275" s="24" t="s">
        <v>270</v>
      </c>
      <c r="D275" s="145">
        <f>SUMIF(B:B,"BALANCE AT 12-31-15",E:E)</f>
        <v>2707413.0399999996</v>
      </c>
    </row>
    <row r="276" spans="2:5" ht="12" customHeight="1">
      <c r="B276" s="24" t="s">
        <v>271</v>
      </c>
      <c r="D276" s="146">
        <f>-C259</f>
        <v>-5208102.293333333</v>
      </c>
    </row>
    <row r="277" spans="2:5" ht="12" customHeight="1">
      <c r="B277" s="24" t="s">
        <v>272</v>
      </c>
      <c r="D277" s="146">
        <f>E259</f>
        <v>4948211.4733333336</v>
      </c>
    </row>
    <row r="278" spans="2:5" ht="12" customHeight="1" thickBot="1">
      <c r="B278" s="24" t="s">
        <v>273</v>
      </c>
      <c r="D278" s="147">
        <f>SUM(D275:D277)</f>
        <v>2447522.2200000002</v>
      </c>
      <c r="E278" s="24" t="s">
        <v>274</v>
      </c>
    </row>
    <row r="279" spans="2:5" ht="12" customHeight="1" thickTop="1"/>
  </sheetData>
  <pageMargins left="0.15" right="0.16" top="0.7" bottom="0.47" header="0.42" footer="0.25"/>
  <pageSetup scale="68" fitToHeight="4" orientation="landscape" blackAndWhite="1" r:id="rId1"/>
  <headerFooter alignWithMargins="0">
    <oddHeader>&amp;C&amp;10Empire District Electric</oddHeader>
    <oddFooter xml:space="preserve">&amp;L&amp;8Prepared by 
Christy Roets&amp;C&amp;"Arial,Regular"&amp;8&amp;Z&amp;F&amp;R&amp;"Arial,Regular"&amp;8Page &amp;P of &amp;N
&amp;D&amp;"Helv,Regular"&amp;12
</oddFooter>
  </headerFooter>
  <rowBreaks count="2" manualBreakCount="2">
    <brk id="121" max="10" man="1"/>
    <brk id="181"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codeName="Sheet2"/>
  <dimension ref="A1:K279"/>
  <sheetViews>
    <sheetView showGridLines="0" zoomScaleNormal="100" workbookViewId="0"/>
  </sheetViews>
  <sheetFormatPr defaultColWidth="13.85546875" defaultRowHeight="12" customHeight="1"/>
  <cols>
    <col min="1" max="1" width="13.85546875" style="24"/>
    <col min="2" max="2" width="15.140625" style="24" customWidth="1"/>
    <col min="3" max="3" width="13.28515625" style="24" customWidth="1"/>
    <col min="4" max="4" width="47.28515625" style="24" customWidth="1"/>
    <col min="5" max="5" width="16.85546875" style="24" customWidth="1"/>
    <col min="6" max="6" width="15.140625" style="24" customWidth="1"/>
    <col min="7" max="7" width="23" style="24" customWidth="1"/>
    <col min="8" max="8" width="16.42578125" style="24" customWidth="1"/>
    <col min="9" max="9" width="13.85546875" style="24"/>
    <col min="10" max="10" width="12.42578125" style="24" customWidth="1"/>
    <col min="11" max="11" width="10.85546875" style="24" customWidth="1"/>
    <col min="12" max="257" width="13.85546875" style="24"/>
    <col min="258" max="258" width="15.140625" style="24" customWidth="1"/>
    <col min="259" max="259" width="13.28515625" style="24" customWidth="1"/>
    <col min="260" max="260" width="47.28515625" style="24" customWidth="1"/>
    <col min="261" max="261" width="16.85546875" style="24" customWidth="1"/>
    <col min="262" max="262" width="15.140625" style="24" customWidth="1"/>
    <col min="263" max="263" width="23" style="24" customWidth="1"/>
    <col min="264" max="264" width="16.42578125" style="24" customWidth="1"/>
    <col min="265" max="265" width="13.85546875" style="24"/>
    <col min="266" max="266" width="12.42578125" style="24" customWidth="1"/>
    <col min="267" max="267" width="10.85546875" style="24" customWidth="1"/>
    <col min="268" max="513" width="13.85546875" style="24"/>
    <col min="514" max="514" width="15.140625" style="24" customWidth="1"/>
    <col min="515" max="515" width="13.28515625" style="24" customWidth="1"/>
    <col min="516" max="516" width="47.28515625" style="24" customWidth="1"/>
    <col min="517" max="517" width="16.85546875" style="24" customWidth="1"/>
    <col min="518" max="518" width="15.140625" style="24" customWidth="1"/>
    <col min="519" max="519" width="23" style="24" customWidth="1"/>
    <col min="520" max="520" width="16.42578125" style="24" customWidth="1"/>
    <col min="521" max="521" width="13.85546875" style="24"/>
    <col min="522" max="522" width="12.42578125" style="24" customWidth="1"/>
    <col min="523" max="523" width="10.85546875" style="24" customWidth="1"/>
    <col min="524" max="769" width="13.85546875" style="24"/>
    <col min="770" max="770" width="15.140625" style="24" customWidth="1"/>
    <col min="771" max="771" width="13.28515625" style="24" customWidth="1"/>
    <col min="772" max="772" width="47.28515625" style="24" customWidth="1"/>
    <col min="773" max="773" width="16.85546875" style="24" customWidth="1"/>
    <col min="774" max="774" width="15.140625" style="24" customWidth="1"/>
    <col min="775" max="775" width="23" style="24" customWidth="1"/>
    <col min="776" max="776" width="16.42578125" style="24" customWidth="1"/>
    <col min="777" max="777" width="13.85546875" style="24"/>
    <col min="778" max="778" width="12.42578125" style="24" customWidth="1"/>
    <col min="779" max="779" width="10.85546875" style="24" customWidth="1"/>
    <col min="780" max="1025" width="13.85546875" style="24"/>
    <col min="1026" max="1026" width="15.140625" style="24" customWidth="1"/>
    <col min="1027" max="1027" width="13.28515625" style="24" customWidth="1"/>
    <col min="1028" max="1028" width="47.28515625" style="24" customWidth="1"/>
    <col min="1029" max="1029" width="16.85546875" style="24" customWidth="1"/>
    <col min="1030" max="1030" width="15.140625" style="24" customWidth="1"/>
    <col min="1031" max="1031" width="23" style="24" customWidth="1"/>
    <col min="1032" max="1032" width="16.42578125" style="24" customWidth="1"/>
    <col min="1033" max="1033" width="13.85546875" style="24"/>
    <col min="1034" max="1034" width="12.42578125" style="24" customWidth="1"/>
    <col min="1035" max="1035" width="10.85546875" style="24" customWidth="1"/>
    <col min="1036" max="1281" width="13.85546875" style="24"/>
    <col min="1282" max="1282" width="15.140625" style="24" customWidth="1"/>
    <col min="1283" max="1283" width="13.28515625" style="24" customWidth="1"/>
    <col min="1284" max="1284" width="47.28515625" style="24" customWidth="1"/>
    <col min="1285" max="1285" width="16.85546875" style="24" customWidth="1"/>
    <col min="1286" max="1286" width="15.140625" style="24" customWidth="1"/>
    <col min="1287" max="1287" width="23" style="24" customWidth="1"/>
    <col min="1288" max="1288" width="16.42578125" style="24" customWidth="1"/>
    <col min="1289" max="1289" width="13.85546875" style="24"/>
    <col min="1290" max="1290" width="12.42578125" style="24" customWidth="1"/>
    <col min="1291" max="1291" width="10.85546875" style="24" customWidth="1"/>
    <col min="1292" max="1537" width="13.85546875" style="24"/>
    <col min="1538" max="1538" width="15.140625" style="24" customWidth="1"/>
    <col min="1539" max="1539" width="13.28515625" style="24" customWidth="1"/>
    <col min="1540" max="1540" width="47.28515625" style="24" customWidth="1"/>
    <col min="1541" max="1541" width="16.85546875" style="24" customWidth="1"/>
    <col min="1542" max="1542" width="15.140625" style="24" customWidth="1"/>
    <col min="1543" max="1543" width="23" style="24" customWidth="1"/>
    <col min="1544" max="1544" width="16.42578125" style="24" customWidth="1"/>
    <col min="1545" max="1545" width="13.85546875" style="24"/>
    <col min="1546" max="1546" width="12.42578125" style="24" customWidth="1"/>
    <col min="1547" max="1547" width="10.85546875" style="24" customWidth="1"/>
    <col min="1548" max="1793" width="13.85546875" style="24"/>
    <col min="1794" max="1794" width="15.140625" style="24" customWidth="1"/>
    <col min="1795" max="1795" width="13.28515625" style="24" customWidth="1"/>
    <col min="1796" max="1796" width="47.28515625" style="24" customWidth="1"/>
    <col min="1797" max="1797" width="16.85546875" style="24" customWidth="1"/>
    <col min="1798" max="1798" width="15.140625" style="24" customWidth="1"/>
    <col min="1799" max="1799" width="23" style="24" customWidth="1"/>
    <col min="1800" max="1800" width="16.42578125" style="24" customWidth="1"/>
    <col min="1801" max="1801" width="13.85546875" style="24"/>
    <col min="1802" max="1802" width="12.42578125" style="24" customWidth="1"/>
    <col min="1803" max="1803" width="10.85546875" style="24" customWidth="1"/>
    <col min="1804" max="2049" width="13.85546875" style="24"/>
    <col min="2050" max="2050" width="15.140625" style="24" customWidth="1"/>
    <col min="2051" max="2051" width="13.28515625" style="24" customWidth="1"/>
    <col min="2052" max="2052" width="47.28515625" style="24" customWidth="1"/>
    <col min="2053" max="2053" width="16.85546875" style="24" customWidth="1"/>
    <col min="2054" max="2054" width="15.140625" style="24" customWidth="1"/>
    <col min="2055" max="2055" width="23" style="24" customWidth="1"/>
    <col min="2056" max="2056" width="16.42578125" style="24" customWidth="1"/>
    <col min="2057" max="2057" width="13.85546875" style="24"/>
    <col min="2058" max="2058" width="12.42578125" style="24" customWidth="1"/>
    <col min="2059" max="2059" width="10.85546875" style="24" customWidth="1"/>
    <col min="2060" max="2305" width="13.85546875" style="24"/>
    <col min="2306" max="2306" width="15.140625" style="24" customWidth="1"/>
    <col min="2307" max="2307" width="13.28515625" style="24" customWidth="1"/>
    <col min="2308" max="2308" width="47.28515625" style="24" customWidth="1"/>
    <col min="2309" max="2309" width="16.85546875" style="24" customWidth="1"/>
    <col min="2310" max="2310" width="15.140625" style="24" customWidth="1"/>
    <col min="2311" max="2311" width="23" style="24" customWidth="1"/>
    <col min="2312" max="2312" width="16.42578125" style="24" customWidth="1"/>
    <col min="2313" max="2313" width="13.85546875" style="24"/>
    <col min="2314" max="2314" width="12.42578125" style="24" customWidth="1"/>
    <col min="2315" max="2315" width="10.85546875" style="24" customWidth="1"/>
    <col min="2316" max="2561" width="13.85546875" style="24"/>
    <col min="2562" max="2562" width="15.140625" style="24" customWidth="1"/>
    <col min="2563" max="2563" width="13.28515625" style="24" customWidth="1"/>
    <col min="2564" max="2564" width="47.28515625" style="24" customWidth="1"/>
    <col min="2565" max="2565" width="16.85546875" style="24" customWidth="1"/>
    <col min="2566" max="2566" width="15.140625" style="24" customWidth="1"/>
    <col min="2567" max="2567" width="23" style="24" customWidth="1"/>
    <col min="2568" max="2568" width="16.42578125" style="24" customWidth="1"/>
    <col min="2569" max="2569" width="13.85546875" style="24"/>
    <col min="2570" max="2570" width="12.42578125" style="24" customWidth="1"/>
    <col min="2571" max="2571" width="10.85546875" style="24" customWidth="1"/>
    <col min="2572" max="2817" width="13.85546875" style="24"/>
    <col min="2818" max="2818" width="15.140625" style="24" customWidth="1"/>
    <col min="2819" max="2819" width="13.28515625" style="24" customWidth="1"/>
    <col min="2820" max="2820" width="47.28515625" style="24" customWidth="1"/>
    <col min="2821" max="2821" width="16.85546875" style="24" customWidth="1"/>
    <col min="2822" max="2822" width="15.140625" style="24" customWidth="1"/>
    <col min="2823" max="2823" width="23" style="24" customWidth="1"/>
    <col min="2824" max="2824" width="16.42578125" style="24" customWidth="1"/>
    <col min="2825" max="2825" width="13.85546875" style="24"/>
    <col min="2826" max="2826" width="12.42578125" style="24" customWidth="1"/>
    <col min="2827" max="2827" width="10.85546875" style="24" customWidth="1"/>
    <col min="2828" max="3073" width="13.85546875" style="24"/>
    <col min="3074" max="3074" width="15.140625" style="24" customWidth="1"/>
    <col min="3075" max="3075" width="13.28515625" style="24" customWidth="1"/>
    <col min="3076" max="3076" width="47.28515625" style="24" customWidth="1"/>
    <col min="3077" max="3077" width="16.85546875" style="24" customWidth="1"/>
    <col min="3078" max="3078" width="15.140625" style="24" customWidth="1"/>
    <col min="3079" max="3079" width="23" style="24" customWidth="1"/>
    <col min="3080" max="3080" width="16.42578125" style="24" customWidth="1"/>
    <col min="3081" max="3081" width="13.85546875" style="24"/>
    <col min="3082" max="3082" width="12.42578125" style="24" customWidth="1"/>
    <col min="3083" max="3083" width="10.85546875" style="24" customWidth="1"/>
    <col min="3084" max="3329" width="13.85546875" style="24"/>
    <col min="3330" max="3330" width="15.140625" style="24" customWidth="1"/>
    <col min="3331" max="3331" width="13.28515625" style="24" customWidth="1"/>
    <col min="3332" max="3332" width="47.28515625" style="24" customWidth="1"/>
    <col min="3333" max="3333" width="16.85546875" style="24" customWidth="1"/>
    <col min="3334" max="3334" width="15.140625" style="24" customWidth="1"/>
    <col min="3335" max="3335" width="23" style="24" customWidth="1"/>
    <col min="3336" max="3336" width="16.42578125" style="24" customWidth="1"/>
    <col min="3337" max="3337" width="13.85546875" style="24"/>
    <col min="3338" max="3338" width="12.42578125" style="24" customWidth="1"/>
    <col min="3339" max="3339" width="10.85546875" style="24" customWidth="1"/>
    <col min="3340" max="3585" width="13.85546875" style="24"/>
    <col min="3586" max="3586" width="15.140625" style="24" customWidth="1"/>
    <col min="3587" max="3587" width="13.28515625" style="24" customWidth="1"/>
    <col min="3588" max="3588" width="47.28515625" style="24" customWidth="1"/>
    <col min="3589" max="3589" width="16.85546875" style="24" customWidth="1"/>
    <col min="3590" max="3590" width="15.140625" style="24" customWidth="1"/>
    <col min="3591" max="3591" width="23" style="24" customWidth="1"/>
    <col min="3592" max="3592" width="16.42578125" style="24" customWidth="1"/>
    <col min="3593" max="3593" width="13.85546875" style="24"/>
    <col min="3594" max="3594" width="12.42578125" style="24" customWidth="1"/>
    <col min="3595" max="3595" width="10.85546875" style="24" customWidth="1"/>
    <col min="3596" max="3841" width="13.85546875" style="24"/>
    <col min="3842" max="3842" width="15.140625" style="24" customWidth="1"/>
    <col min="3843" max="3843" width="13.28515625" style="24" customWidth="1"/>
    <col min="3844" max="3844" width="47.28515625" style="24" customWidth="1"/>
    <col min="3845" max="3845" width="16.85546875" style="24" customWidth="1"/>
    <col min="3846" max="3846" width="15.140625" style="24" customWidth="1"/>
    <col min="3847" max="3847" width="23" style="24" customWidth="1"/>
    <col min="3848" max="3848" width="16.42578125" style="24" customWidth="1"/>
    <col min="3849" max="3849" width="13.85546875" style="24"/>
    <col min="3850" max="3850" width="12.42578125" style="24" customWidth="1"/>
    <col min="3851" max="3851" width="10.85546875" style="24" customWidth="1"/>
    <col min="3852" max="4097" width="13.85546875" style="24"/>
    <col min="4098" max="4098" width="15.140625" style="24" customWidth="1"/>
    <col min="4099" max="4099" width="13.28515625" style="24" customWidth="1"/>
    <col min="4100" max="4100" width="47.28515625" style="24" customWidth="1"/>
    <col min="4101" max="4101" width="16.85546875" style="24" customWidth="1"/>
    <col min="4102" max="4102" width="15.140625" style="24" customWidth="1"/>
    <col min="4103" max="4103" width="23" style="24" customWidth="1"/>
    <col min="4104" max="4104" width="16.42578125" style="24" customWidth="1"/>
    <col min="4105" max="4105" width="13.85546875" style="24"/>
    <col min="4106" max="4106" width="12.42578125" style="24" customWidth="1"/>
    <col min="4107" max="4107" width="10.85546875" style="24" customWidth="1"/>
    <col min="4108" max="4353" width="13.85546875" style="24"/>
    <col min="4354" max="4354" width="15.140625" style="24" customWidth="1"/>
    <col min="4355" max="4355" width="13.28515625" style="24" customWidth="1"/>
    <col min="4356" max="4356" width="47.28515625" style="24" customWidth="1"/>
    <col min="4357" max="4357" width="16.85546875" style="24" customWidth="1"/>
    <col min="4358" max="4358" width="15.140625" style="24" customWidth="1"/>
    <col min="4359" max="4359" width="23" style="24" customWidth="1"/>
    <col min="4360" max="4360" width="16.42578125" style="24" customWidth="1"/>
    <col min="4361" max="4361" width="13.85546875" style="24"/>
    <col min="4362" max="4362" width="12.42578125" style="24" customWidth="1"/>
    <col min="4363" max="4363" width="10.85546875" style="24" customWidth="1"/>
    <col min="4364" max="4609" width="13.85546875" style="24"/>
    <col min="4610" max="4610" width="15.140625" style="24" customWidth="1"/>
    <col min="4611" max="4611" width="13.28515625" style="24" customWidth="1"/>
    <col min="4612" max="4612" width="47.28515625" style="24" customWidth="1"/>
    <col min="4613" max="4613" width="16.85546875" style="24" customWidth="1"/>
    <col min="4614" max="4614" width="15.140625" style="24" customWidth="1"/>
    <col min="4615" max="4615" width="23" style="24" customWidth="1"/>
    <col min="4616" max="4616" width="16.42578125" style="24" customWidth="1"/>
    <col min="4617" max="4617" width="13.85546875" style="24"/>
    <col min="4618" max="4618" width="12.42578125" style="24" customWidth="1"/>
    <col min="4619" max="4619" width="10.85546875" style="24" customWidth="1"/>
    <col min="4620" max="4865" width="13.85546875" style="24"/>
    <col min="4866" max="4866" width="15.140625" style="24" customWidth="1"/>
    <col min="4867" max="4867" width="13.28515625" style="24" customWidth="1"/>
    <col min="4868" max="4868" width="47.28515625" style="24" customWidth="1"/>
    <col min="4869" max="4869" width="16.85546875" style="24" customWidth="1"/>
    <col min="4870" max="4870" width="15.140625" style="24" customWidth="1"/>
    <col min="4871" max="4871" width="23" style="24" customWidth="1"/>
    <col min="4872" max="4872" width="16.42578125" style="24" customWidth="1"/>
    <col min="4873" max="4873" width="13.85546875" style="24"/>
    <col min="4874" max="4874" width="12.42578125" style="24" customWidth="1"/>
    <col min="4875" max="4875" width="10.85546875" style="24" customWidth="1"/>
    <col min="4876" max="5121" width="13.85546875" style="24"/>
    <col min="5122" max="5122" width="15.140625" style="24" customWidth="1"/>
    <col min="5123" max="5123" width="13.28515625" style="24" customWidth="1"/>
    <col min="5124" max="5124" width="47.28515625" style="24" customWidth="1"/>
    <col min="5125" max="5125" width="16.85546875" style="24" customWidth="1"/>
    <col min="5126" max="5126" width="15.140625" style="24" customWidth="1"/>
    <col min="5127" max="5127" width="23" style="24" customWidth="1"/>
    <col min="5128" max="5128" width="16.42578125" style="24" customWidth="1"/>
    <col min="5129" max="5129" width="13.85546875" style="24"/>
    <col min="5130" max="5130" width="12.42578125" style="24" customWidth="1"/>
    <col min="5131" max="5131" width="10.85546875" style="24" customWidth="1"/>
    <col min="5132" max="5377" width="13.85546875" style="24"/>
    <col min="5378" max="5378" width="15.140625" style="24" customWidth="1"/>
    <col min="5379" max="5379" width="13.28515625" style="24" customWidth="1"/>
    <col min="5380" max="5380" width="47.28515625" style="24" customWidth="1"/>
    <col min="5381" max="5381" width="16.85546875" style="24" customWidth="1"/>
    <col min="5382" max="5382" width="15.140625" style="24" customWidth="1"/>
    <col min="5383" max="5383" width="23" style="24" customWidth="1"/>
    <col min="5384" max="5384" width="16.42578125" style="24" customWidth="1"/>
    <col min="5385" max="5385" width="13.85546875" style="24"/>
    <col min="5386" max="5386" width="12.42578125" style="24" customWidth="1"/>
    <col min="5387" max="5387" width="10.85546875" style="24" customWidth="1"/>
    <col min="5388" max="5633" width="13.85546875" style="24"/>
    <col min="5634" max="5634" width="15.140625" style="24" customWidth="1"/>
    <col min="5635" max="5635" width="13.28515625" style="24" customWidth="1"/>
    <col min="5636" max="5636" width="47.28515625" style="24" customWidth="1"/>
    <col min="5637" max="5637" width="16.85546875" style="24" customWidth="1"/>
    <col min="5638" max="5638" width="15.140625" style="24" customWidth="1"/>
    <col min="5639" max="5639" width="23" style="24" customWidth="1"/>
    <col min="5640" max="5640" width="16.42578125" style="24" customWidth="1"/>
    <col min="5641" max="5641" width="13.85546875" style="24"/>
    <col min="5642" max="5642" width="12.42578125" style="24" customWidth="1"/>
    <col min="5643" max="5643" width="10.85546875" style="24" customWidth="1"/>
    <col min="5644" max="5889" width="13.85546875" style="24"/>
    <col min="5890" max="5890" width="15.140625" style="24" customWidth="1"/>
    <col min="5891" max="5891" width="13.28515625" style="24" customWidth="1"/>
    <col min="5892" max="5892" width="47.28515625" style="24" customWidth="1"/>
    <col min="5893" max="5893" width="16.85546875" style="24" customWidth="1"/>
    <col min="5894" max="5894" width="15.140625" style="24" customWidth="1"/>
    <col min="5895" max="5895" width="23" style="24" customWidth="1"/>
    <col min="5896" max="5896" width="16.42578125" style="24" customWidth="1"/>
    <col min="5897" max="5897" width="13.85546875" style="24"/>
    <col min="5898" max="5898" width="12.42578125" style="24" customWidth="1"/>
    <col min="5899" max="5899" width="10.85546875" style="24" customWidth="1"/>
    <col min="5900" max="6145" width="13.85546875" style="24"/>
    <col min="6146" max="6146" width="15.140625" style="24" customWidth="1"/>
    <col min="6147" max="6147" width="13.28515625" style="24" customWidth="1"/>
    <col min="6148" max="6148" width="47.28515625" style="24" customWidth="1"/>
    <col min="6149" max="6149" width="16.85546875" style="24" customWidth="1"/>
    <col min="6150" max="6150" width="15.140625" style="24" customWidth="1"/>
    <col min="6151" max="6151" width="23" style="24" customWidth="1"/>
    <col min="6152" max="6152" width="16.42578125" style="24" customWidth="1"/>
    <col min="6153" max="6153" width="13.85546875" style="24"/>
    <col min="6154" max="6154" width="12.42578125" style="24" customWidth="1"/>
    <col min="6155" max="6155" width="10.85546875" style="24" customWidth="1"/>
    <col min="6156" max="6401" width="13.85546875" style="24"/>
    <col min="6402" max="6402" width="15.140625" style="24" customWidth="1"/>
    <col min="6403" max="6403" width="13.28515625" style="24" customWidth="1"/>
    <col min="6404" max="6404" width="47.28515625" style="24" customWidth="1"/>
    <col min="6405" max="6405" width="16.85546875" style="24" customWidth="1"/>
    <col min="6406" max="6406" width="15.140625" style="24" customWidth="1"/>
    <col min="6407" max="6407" width="23" style="24" customWidth="1"/>
    <col min="6408" max="6408" width="16.42578125" style="24" customWidth="1"/>
    <col min="6409" max="6409" width="13.85546875" style="24"/>
    <col min="6410" max="6410" width="12.42578125" style="24" customWidth="1"/>
    <col min="6411" max="6411" width="10.85546875" style="24" customWidth="1"/>
    <col min="6412" max="6657" width="13.85546875" style="24"/>
    <col min="6658" max="6658" width="15.140625" style="24" customWidth="1"/>
    <col min="6659" max="6659" width="13.28515625" style="24" customWidth="1"/>
    <col min="6660" max="6660" width="47.28515625" style="24" customWidth="1"/>
    <col min="6661" max="6661" width="16.85546875" style="24" customWidth="1"/>
    <col min="6662" max="6662" width="15.140625" style="24" customWidth="1"/>
    <col min="6663" max="6663" width="23" style="24" customWidth="1"/>
    <col min="6664" max="6664" width="16.42578125" style="24" customWidth="1"/>
    <col min="6665" max="6665" width="13.85546875" style="24"/>
    <col min="6666" max="6666" width="12.42578125" style="24" customWidth="1"/>
    <col min="6667" max="6667" width="10.85546875" style="24" customWidth="1"/>
    <col min="6668" max="6913" width="13.85546875" style="24"/>
    <col min="6914" max="6914" width="15.140625" style="24" customWidth="1"/>
    <col min="6915" max="6915" width="13.28515625" style="24" customWidth="1"/>
    <col min="6916" max="6916" width="47.28515625" style="24" customWidth="1"/>
    <col min="6917" max="6917" width="16.85546875" style="24" customWidth="1"/>
    <col min="6918" max="6918" width="15.140625" style="24" customWidth="1"/>
    <col min="6919" max="6919" width="23" style="24" customWidth="1"/>
    <col min="6920" max="6920" width="16.42578125" style="24" customWidth="1"/>
    <col min="6921" max="6921" width="13.85546875" style="24"/>
    <col min="6922" max="6922" width="12.42578125" style="24" customWidth="1"/>
    <col min="6923" max="6923" width="10.85546875" style="24" customWidth="1"/>
    <col min="6924" max="7169" width="13.85546875" style="24"/>
    <col min="7170" max="7170" width="15.140625" style="24" customWidth="1"/>
    <col min="7171" max="7171" width="13.28515625" style="24" customWidth="1"/>
    <col min="7172" max="7172" width="47.28515625" style="24" customWidth="1"/>
    <col min="7173" max="7173" width="16.85546875" style="24" customWidth="1"/>
    <col min="7174" max="7174" width="15.140625" style="24" customWidth="1"/>
    <col min="7175" max="7175" width="23" style="24" customWidth="1"/>
    <col min="7176" max="7176" width="16.42578125" style="24" customWidth="1"/>
    <col min="7177" max="7177" width="13.85546875" style="24"/>
    <col min="7178" max="7178" width="12.42578125" style="24" customWidth="1"/>
    <col min="7179" max="7179" width="10.85546875" style="24" customWidth="1"/>
    <col min="7180" max="7425" width="13.85546875" style="24"/>
    <col min="7426" max="7426" width="15.140625" style="24" customWidth="1"/>
    <col min="7427" max="7427" width="13.28515625" style="24" customWidth="1"/>
    <col min="7428" max="7428" width="47.28515625" style="24" customWidth="1"/>
    <col min="7429" max="7429" width="16.85546875" style="24" customWidth="1"/>
    <col min="7430" max="7430" width="15.140625" style="24" customWidth="1"/>
    <col min="7431" max="7431" width="23" style="24" customWidth="1"/>
    <col min="7432" max="7432" width="16.42578125" style="24" customWidth="1"/>
    <col min="7433" max="7433" width="13.85546875" style="24"/>
    <col min="7434" max="7434" width="12.42578125" style="24" customWidth="1"/>
    <col min="7435" max="7435" width="10.85546875" style="24" customWidth="1"/>
    <col min="7436" max="7681" width="13.85546875" style="24"/>
    <col min="7682" max="7682" width="15.140625" style="24" customWidth="1"/>
    <col min="7683" max="7683" width="13.28515625" style="24" customWidth="1"/>
    <col min="7684" max="7684" width="47.28515625" style="24" customWidth="1"/>
    <col min="7685" max="7685" width="16.85546875" style="24" customWidth="1"/>
    <col min="7686" max="7686" width="15.140625" style="24" customWidth="1"/>
    <col min="7687" max="7687" width="23" style="24" customWidth="1"/>
    <col min="7688" max="7688" width="16.42578125" style="24" customWidth="1"/>
    <col min="7689" max="7689" width="13.85546875" style="24"/>
    <col min="7690" max="7690" width="12.42578125" style="24" customWidth="1"/>
    <col min="7691" max="7691" width="10.85546875" style="24" customWidth="1"/>
    <col min="7692" max="7937" width="13.85546875" style="24"/>
    <col min="7938" max="7938" width="15.140625" style="24" customWidth="1"/>
    <col min="7939" max="7939" width="13.28515625" style="24" customWidth="1"/>
    <col min="7940" max="7940" width="47.28515625" style="24" customWidth="1"/>
    <col min="7941" max="7941" width="16.85546875" style="24" customWidth="1"/>
    <col min="7942" max="7942" width="15.140625" style="24" customWidth="1"/>
    <col min="7943" max="7943" width="23" style="24" customWidth="1"/>
    <col min="7944" max="7944" width="16.42578125" style="24" customWidth="1"/>
    <col min="7945" max="7945" width="13.85546875" style="24"/>
    <col min="7946" max="7946" width="12.42578125" style="24" customWidth="1"/>
    <col min="7947" max="7947" width="10.85546875" style="24" customWidth="1"/>
    <col min="7948" max="8193" width="13.85546875" style="24"/>
    <col min="8194" max="8194" width="15.140625" style="24" customWidth="1"/>
    <col min="8195" max="8195" width="13.28515625" style="24" customWidth="1"/>
    <col min="8196" max="8196" width="47.28515625" style="24" customWidth="1"/>
    <col min="8197" max="8197" width="16.85546875" style="24" customWidth="1"/>
    <col min="8198" max="8198" width="15.140625" style="24" customWidth="1"/>
    <col min="8199" max="8199" width="23" style="24" customWidth="1"/>
    <col min="8200" max="8200" width="16.42578125" style="24" customWidth="1"/>
    <col min="8201" max="8201" width="13.85546875" style="24"/>
    <col min="8202" max="8202" width="12.42578125" style="24" customWidth="1"/>
    <col min="8203" max="8203" width="10.85546875" style="24" customWidth="1"/>
    <col min="8204" max="8449" width="13.85546875" style="24"/>
    <col min="8450" max="8450" width="15.140625" style="24" customWidth="1"/>
    <col min="8451" max="8451" width="13.28515625" style="24" customWidth="1"/>
    <col min="8452" max="8452" width="47.28515625" style="24" customWidth="1"/>
    <col min="8453" max="8453" width="16.85546875" style="24" customWidth="1"/>
    <col min="8454" max="8454" width="15.140625" style="24" customWidth="1"/>
    <col min="8455" max="8455" width="23" style="24" customWidth="1"/>
    <col min="8456" max="8456" width="16.42578125" style="24" customWidth="1"/>
    <col min="8457" max="8457" width="13.85546875" style="24"/>
    <col min="8458" max="8458" width="12.42578125" style="24" customWidth="1"/>
    <col min="8459" max="8459" width="10.85546875" style="24" customWidth="1"/>
    <col min="8460" max="8705" width="13.85546875" style="24"/>
    <col min="8706" max="8706" width="15.140625" style="24" customWidth="1"/>
    <col min="8707" max="8707" width="13.28515625" style="24" customWidth="1"/>
    <col min="8708" max="8708" width="47.28515625" style="24" customWidth="1"/>
    <col min="8709" max="8709" width="16.85546875" style="24" customWidth="1"/>
    <col min="8710" max="8710" width="15.140625" style="24" customWidth="1"/>
    <col min="8711" max="8711" width="23" style="24" customWidth="1"/>
    <col min="8712" max="8712" width="16.42578125" style="24" customWidth="1"/>
    <col min="8713" max="8713" width="13.85546875" style="24"/>
    <col min="8714" max="8714" width="12.42578125" style="24" customWidth="1"/>
    <col min="8715" max="8715" width="10.85546875" style="24" customWidth="1"/>
    <col min="8716" max="8961" width="13.85546875" style="24"/>
    <col min="8962" max="8962" width="15.140625" style="24" customWidth="1"/>
    <col min="8963" max="8963" width="13.28515625" style="24" customWidth="1"/>
    <col min="8964" max="8964" width="47.28515625" style="24" customWidth="1"/>
    <col min="8965" max="8965" width="16.85546875" style="24" customWidth="1"/>
    <col min="8966" max="8966" width="15.140625" style="24" customWidth="1"/>
    <col min="8967" max="8967" width="23" style="24" customWidth="1"/>
    <col min="8968" max="8968" width="16.42578125" style="24" customWidth="1"/>
    <col min="8969" max="8969" width="13.85546875" style="24"/>
    <col min="8970" max="8970" width="12.42578125" style="24" customWidth="1"/>
    <col min="8971" max="8971" width="10.85546875" style="24" customWidth="1"/>
    <col min="8972" max="9217" width="13.85546875" style="24"/>
    <col min="9218" max="9218" width="15.140625" style="24" customWidth="1"/>
    <col min="9219" max="9219" width="13.28515625" style="24" customWidth="1"/>
    <col min="9220" max="9220" width="47.28515625" style="24" customWidth="1"/>
    <col min="9221" max="9221" width="16.85546875" style="24" customWidth="1"/>
    <col min="9222" max="9222" width="15.140625" style="24" customWidth="1"/>
    <col min="9223" max="9223" width="23" style="24" customWidth="1"/>
    <col min="9224" max="9224" width="16.42578125" style="24" customWidth="1"/>
    <col min="9225" max="9225" width="13.85546875" style="24"/>
    <col min="9226" max="9226" width="12.42578125" style="24" customWidth="1"/>
    <col min="9227" max="9227" width="10.85546875" style="24" customWidth="1"/>
    <col min="9228" max="9473" width="13.85546875" style="24"/>
    <col min="9474" max="9474" width="15.140625" style="24" customWidth="1"/>
    <col min="9475" max="9475" width="13.28515625" style="24" customWidth="1"/>
    <col min="9476" max="9476" width="47.28515625" style="24" customWidth="1"/>
    <col min="9477" max="9477" width="16.85546875" style="24" customWidth="1"/>
    <col min="9478" max="9478" width="15.140625" style="24" customWidth="1"/>
    <col min="9479" max="9479" width="23" style="24" customWidth="1"/>
    <col min="9480" max="9480" width="16.42578125" style="24" customWidth="1"/>
    <col min="9481" max="9481" width="13.85546875" style="24"/>
    <col min="9482" max="9482" width="12.42578125" style="24" customWidth="1"/>
    <col min="9483" max="9483" width="10.85546875" style="24" customWidth="1"/>
    <col min="9484" max="9729" width="13.85546875" style="24"/>
    <col min="9730" max="9730" width="15.140625" style="24" customWidth="1"/>
    <col min="9731" max="9731" width="13.28515625" style="24" customWidth="1"/>
    <col min="9732" max="9732" width="47.28515625" style="24" customWidth="1"/>
    <col min="9733" max="9733" width="16.85546875" style="24" customWidth="1"/>
    <col min="9734" max="9734" width="15.140625" style="24" customWidth="1"/>
    <col min="9735" max="9735" width="23" style="24" customWidth="1"/>
    <col min="9736" max="9736" width="16.42578125" style="24" customWidth="1"/>
    <col min="9737" max="9737" width="13.85546875" style="24"/>
    <col min="9738" max="9738" width="12.42578125" style="24" customWidth="1"/>
    <col min="9739" max="9739" width="10.85546875" style="24" customWidth="1"/>
    <col min="9740" max="9985" width="13.85546875" style="24"/>
    <col min="9986" max="9986" width="15.140625" style="24" customWidth="1"/>
    <col min="9987" max="9987" width="13.28515625" style="24" customWidth="1"/>
    <col min="9988" max="9988" width="47.28515625" style="24" customWidth="1"/>
    <col min="9989" max="9989" width="16.85546875" style="24" customWidth="1"/>
    <col min="9990" max="9990" width="15.140625" style="24" customWidth="1"/>
    <col min="9991" max="9991" width="23" style="24" customWidth="1"/>
    <col min="9992" max="9992" width="16.42578125" style="24" customWidth="1"/>
    <col min="9993" max="9993" width="13.85546875" style="24"/>
    <col min="9994" max="9994" width="12.42578125" style="24" customWidth="1"/>
    <col min="9995" max="9995" width="10.85546875" style="24" customWidth="1"/>
    <col min="9996" max="10241" width="13.85546875" style="24"/>
    <col min="10242" max="10242" width="15.140625" style="24" customWidth="1"/>
    <col min="10243" max="10243" width="13.28515625" style="24" customWidth="1"/>
    <col min="10244" max="10244" width="47.28515625" style="24" customWidth="1"/>
    <col min="10245" max="10245" width="16.85546875" style="24" customWidth="1"/>
    <col min="10246" max="10246" width="15.140625" style="24" customWidth="1"/>
    <col min="10247" max="10247" width="23" style="24" customWidth="1"/>
    <col min="10248" max="10248" width="16.42578125" style="24" customWidth="1"/>
    <col min="10249" max="10249" width="13.85546875" style="24"/>
    <col min="10250" max="10250" width="12.42578125" style="24" customWidth="1"/>
    <col min="10251" max="10251" width="10.85546875" style="24" customWidth="1"/>
    <col min="10252" max="10497" width="13.85546875" style="24"/>
    <col min="10498" max="10498" width="15.140625" style="24" customWidth="1"/>
    <col min="10499" max="10499" width="13.28515625" style="24" customWidth="1"/>
    <col min="10500" max="10500" width="47.28515625" style="24" customWidth="1"/>
    <col min="10501" max="10501" width="16.85546875" style="24" customWidth="1"/>
    <col min="10502" max="10502" width="15.140625" style="24" customWidth="1"/>
    <col min="10503" max="10503" width="23" style="24" customWidth="1"/>
    <col min="10504" max="10504" width="16.42578125" style="24" customWidth="1"/>
    <col min="10505" max="10505" width="13.85546875" style="24"/>
    <col min="10506" max="10506" width="12.42578125" style="24" customWidth="1"/>
    <col min="10507" max="10507" width="10.85546875" style="24" customWidth="1"/>
    <col min="10508" max="10753" width="13.85546875" style="24"/>
    <col min="10754" max="10754" width="15.140625" style="24" customWidth="1"/>
    <col min="10755" max="10755" width="13.28515625" style="24" customWidth="1"/>
    <col min="10756" max="10756" width="47.28515625" style="24" customWidth="1"/>
    <col min="10757" max="10757" width="16.85546875" style="24" customWidth="1"/>
    <col min="10758" max="10758" width="15.140625" style="24" customWidth="1"/>
    <col min="10759" max="10759" width="23" style="24" customWidth="1"/>
    <col min="10760" max="10760" width="16.42578125" style="24" customWidth="1"/>
    <col min="10761" max="10761" width="13.85546875" style="24"/>
    <col min="10762" max="10762" width="12.42578125" style="24" customWidth="1"/>
    <col min="10763" max="10763" width="10.85546875" style="24" customWidth="1"/>
    <col min="10764" max="11009" width="13.85546875" style="24"/>
    <col min="11010" max="11010" width="15.140625" style="24" customWidth="1"/>
    <col min="11011" max="11011" width="13.28515625" style="24" customWidth="1"/>
    <col min="11012" max="11012" width="47.28515625" style="24" customWidth="1"/>
    <col min="11013" max="11013" width="16.85546875" style="24" customWidth="1"/>
    <col min="11014" max="11014" width="15.140625" style="24" customWidth="1"/>
    <col min="11015" max="11015" width="23" style="24" customWidth="1"/>
    <col min="11016" max="11016" width="16.42578125" style="24" customWidth="1"/>
    <col min="11017" max="11017" width="13.85546875" style="24"/>
    <col min="11018" max="11018" width="12.42578125" style="24" customWidth="1"/>
    <col min="11019" max="11019" width="10.85546875" style="24" customWidth="1"/>
    <col min="11020" max="11265" width="13.85546875" style="24"/>
    <col min="11266" max="11266" width="15.140625" style="24" customWidth="1"/>
    <col min="11267" max="11267" width="13.28515625" style="24" customWidth="1"/>
    <col min="11268" max="11268" width="47.28515625" style="24" customWidth="1"/>
    <col min="11269" max="11269" width="16.85546875" style="24" customWidth="1"/>
    <col min="11270" max="11270" width="15.140625" style="24" customWidth="1"/>
    <col min="11271" max="11271" width="23" style="24" customWidth="1"/>
    <col min="11272" max="11272" width="16.42578125" style="24" customWidth="1"/>
    <col min="11273" max="11273" width="13.85546875" style="24"/>
    <col min="11274" max="11274" width="12.42578125" style="24" customWidth="1"/>
    <col min="11275" max="11275" width="10.85546875" style="24" customWidth="1"/>
    <col min="11276" max="11521" width="13.85546875" style="24"/>
    <col min="11522" max="11522" width="15.140625" style="24" customWidth="1"/>
    <col min="11523" max="11523" width="13.28515625" style="24" customWidth="1"/>
    <col min="11524" max="11524" width="47.28515625" style="24" customWidth="1"/>
    <col min="11525" max="11525" width="16.85546875" style="24" customWidth="1"/>
    <col min="11526" max="11526" width="15.140625" style="24" customWidth="1"/>
    <col min="11527" max="11527" width="23" style="24" customWidth="1"/>
    <col min="11528" max="11528" width="16.42578125" style="24" customWidth="1"/>
    <col min="11529" max="11529" width="13.85546875" style="24"/>
    <col min="11530" max="11530" width="12.42578125" style="24" customWidth="1"/>
    <col min="11531" max="11531" width="10.85546875" style="24" customWidth="1"/>
    <col min="11532" max="11777" width="13.85546875" style="24"/>
    <col min="11778" max="11778" width="15.140625" style="24" customWidth="1"/>
    <col min="11779" max="11779" width="13.28515625" style="24" customWidth="1"/>
    <col min="11780" max="11780" width="47.28515625" style="24" customWidth="1"/>
    <col min="11781" max="11781" width="16.85546875" style="24" customWidth="1"/>
    <col min="11782" max="11782" width="15.140625" style="24" customWidth="1"/>
    <col min="11783" max="11783" width="23" style="24" customWidth="1"/>
    <col min="11784" max="11784" width="16.42578125" style="24" customWidth="1"/>
    <col min="11785" max="11785" width="13.85546875" style="24"/>
    <col min="11786" max="11786" width="12.42578125" style="24" customWidth="1"/>
    <col min="11787" max="11787" width="10.85546875" style="24" customWidth="1"/>
    <col min="11788" max="12033" width="13.85546875" style="24"/>
    <col min="12034" max="12034" width="15.140625" style="24" customWidth="1"/>
    <col min="12035" max="12035" width="13.28515625" style="24" customWidth="1"/>
    <col min="12036" max="12036" width="47.28515625" style="24" customWidth="1"/>
    <col min="12037" max="12037" width="16.85546875" style="24" customWidth="1"/>
    <col min="12038" max="12038" width="15.140625" style="24" customWidth="1"/>
    <col min="12039" max="12039" width="23" style="24" customWidth="1"/>
    <col min="12040" max="12040" width="16.42578125" style="24" customWidth="1"/>
    <col min="12041" max="12041" width="13.85546875" style="24"/>
    <col min="12042" max="12042" width="12.42578125" style="24" customWidth="1"/>
    <col min="12043" max="12043" width="10.85546875" style="24" customWidth="1"/>
    <col min="12044" max="12289" width="13.85546875" style="24"/>
    <col min="12290" max="12290" width="15.140625" style="24" customWidth="1"/>
    <col min="12291" max="12291" width="13.28515625" style="24" customWidth="1"/>
    <col min="12292" max="12292" width="47.28515625" style="24" customWidth="1"/>
    <col min="12293" max="12293" width="16.85546875" style="24" customWidth="1"/>
    <col min="12294" max="12294" width="15.140625" style="24" customWidth="1"/>
    <col min="12295" max="12295" width="23" style="24" customWidth="1"/>
    <col min="12296" max="12296" width="16.42578125" style="24" customWidth="1"/>
    <col min="12297" max="12297" width="13.85546875" style="24"/>
    <col min="12298" max="12298" width="12.42578125" style="24" customWidth="1"/>
    <col min="12299" max="12299" width="10.85546875" style="24" customWidth="1"/>
    <col min="12300" max="12545" width="13.85546875" style="24"/>
    <col min="12546" max="12546" width="15.140625" style="24" customWidth="1"/>
    <col min="12547" max="12547" width="13.28515625" style="24" customWidth="1"/>
    <col min="12548" max="12548" width="47.28515625" style="24" customWidth="1"/>
    <col min="12549" max="12549" width="16.85546875" style="24" customWidth="1"/>
    <col min="12550" max="12550" width="15.140625" style="24" customWidth="1"/>
    <col min="12551" max="12551" width="23" style="24" customWidth="1"/>
    <col min="12552" max="12552" width="16.42578125" style="24" customWidth="1"/>
    <col min="12553" max="12553" width="13.85546875" style="24"/>
    <col min="12554" max="12554" width="12.42578125" style="24" customWidth="1"/>
    <col min="12555" max="12555" width="10.85546875" style="24" customWidth="1"/>
    <col min="12556" max="12801" width="13.85546875" style="24"/>
    <col min="12802" max="12802" width="15.140625" style="24" customWidth="1"/>
    <col min="12803" max="12803" width="13.28515625" style="24" customWidth="1"/>
    <col min="12804" max="12804" width="47.28515625" style="24" customWidth="1"/>
    <col min="12805" max="12805" width="16.85546875" style="24" customWidth="1"/>
    <col min="12806" max="12806" width="15.140625" style="24" customWidth="1"/>
    <col min="12807" max="12807" width="23" style="24" customWidth="1"/>
    <col min="12808" max="12808" width="16.42578125" style="24" customWidth="1"/>
    <col min="12809" max="12809" width="13.85546875" style="24"/>
    <col min="12810" max="12810" width="12.42578125" style="24" customWidth="1"/>
    <col min="12811" max="12811" width="10.85546875" style="24" customWidth="1"/>
    <col min="12812" max="13057" width="13.85546875" style="24"/>
    <col min="13058" max="13058" width="15.140625" style="24" customWidth="1"/>
    <col min="13059" max="13059" width="13.28515625" style="24" customWidth="1"/>
    <col min="13060" max="13060" width="47.28515625" style="24" customWidth="1"/>
    <col min="13061" max="13061" width="16.85546875" style="24" customWidth="1"/>
    <col min="13062" max="13062" width="15.140625" style="24" customWidth="1"/>
    <col min="13063" max="13063" width="23" style="24" customWidth="1"/>
    <col min="13064" max="13064" width="16.42578125" style="24" customWidth="1"/>
    <col min="13065" max="13065" width="13.85546875" style="24"/>
    <col min="13066" max="13066" width="12.42578125" style="24" customWidth="1"/>
    <col min="13067" max="13067" width="10.85546875" style="24" customWidth="1"/>
    <col min="13068" max="13313" width="13.85546875" style="24"/>
    <col min="13314" max="13314" width="15.140625" style="24" customWidth="1"/>
    <col min="13315" max="13315" width="13.28515625" style="24" customWidth="1"/>
    <col min="13316" max="13316" width="47.28515625" style="24" customWidth="1"/>
    <col min="13317" max="13317" width="16.85546875" style="24" customWidth="1"/>
    <col min="13318" max="13318" width="15.140625" style="24" customWidth="1"/>
    <col min="13319" max="13319" width="23" style="24" customWidth="1"/>
    <col min="13320" max="13320" width="16.42578125" style="24" customWidth="1"/>
    <col min="13321" max="13321" width="13.85546875" style="24"/>
    <col min="13322" max="13322" width="12.42578125" style="24" customWidth="1"/>
    <col min="13323" max="13323" width="10.85546875" style="24" customWidth="1"/>
    <col min="13324" max="13569" width="13.85546875" style="24"/>
    <col min="13570" max="13570" width="15.140625" style="24" customWidth="1"/>
    <col min="13571" max="13571" width="13.28515625" style="24" customWidth="1"/>
    <col min="13572" max="13572" width="47.28515625" style="24" customWidth="1"/>
    <col min="13573" max="13573" width="16.85546875" style="24" customWidth="1"/>
    <col min="13574" max="13574" width="15.140625" style="24" customWidth="1"/>
    <col min="13575" max="13575" width="23" style="24" customWidth="1"/>
    <col min="13576" max="13576" width="16.42578125" style="24" customWidth="1"/>
    <col min="13577" max="13577" width="13.85546875" style="24"/>
    <col min="13578" max="13578" width="12.42578125" style="24" customWidth="1"/>
    <col min="13579" max="13579" width="10.85546875" style="24" customWidth="1"/>
    <col min="13580" max="13825" width="13.85546875" style="24"/>
    <col min="13826" max="13826" width="15.140625" style="24" customWidth="1"/>
    <col min="13827" max="13827" width="13.28515625" style="24" customWidth="1"/>
    <col min="13828" max="13828" width="47.28515625" style="24" customWidth="1"/>
    <col min="13829" max="13829" width="16.85546875" style="24" customWidth="1"/>
    <col min="13830" max="13830" width="15.140625" style="24" customWidth="1"/>
    <col min="13831" max="13831" width="23" style="24" customWidth="1"/>
    <col min="13832" max="13832" width="16.42578125" style="24" customWidth="1"/>
    <col min="13833" max="13833" width="13.85546875" style="24"/>
    <col min="13834" max="13834" width="12.42578125" style="24" customWidth="1"/>
    <col min="13835" max="13835" width="10.85546875" style="24" customWidth="1"/>
    <col min="13836" max="14081" width="13.85546875" style="24"/>
    <col min="14082" max="14082" width="15.140625" style="24" customWidth="1"/>
    <col min="14083" max="14083" width="13.28515625" style="24" customWidth="1"/>
    <col min="14084" max="14084" width="47.28515625" style="24" customWidth="1"/>
    <col min="14085" max="14085" width="16.85546875" style="24" customWidth="1"/>
    <col min="14086" max="14086" width="15.140625" style="24" customWidth="1"/>
    <col min="14087" max="14087" width="23" style="24" customWidth="1"/>
    <col min="14088" max="14088" width="16.42578125" style="24" customWidth="1"/>
    <col min="14089" max="14089" width="13.85546875" style="24"/>
    <col min="14090" max="14090" width="12.42578125" style="24" customWidth="1"/>
    <col min="14091" max="14091" width="10.85546875" style="24" customWidth="1"/>
    <col min="14092" max="14337" width="13.85546875" style="24"/>
    <col min="14338" max="14338" width="15.140625" style="24" customWidth="1"/>
    <col min="14339" max="14339" width="13.28515625" style="24" customWidth="1"/>
    <col min="14340" max="14340" width="47.28515625" style="24" customWidth="1"/>
    <col min="14341" max="14341" width="16.85546875" style="24" customWidth="1"/>
    <col min="14342" max="14342" width="15.140625" style="24" customWidth="1"/>
    <col min="14343" max="14343" width="23" style="24" customWidth="1"/>
    <col min="14344" max="14344" width="16.42578125" style="24" customWidth="1"/>
    <col min="14345" max="14345" width="13.85546875" style="24"/>
    <col min="14346" max="14346" width="12.42578125" style="24" customWidth="1"/>
    <col min="14347" max="14347" width="10.85546875" style="24" customWidth="1"/>
    <col min="14348" max="14593" width="13.85546875" style="24"/>
    <col min="14594" max="14594" width="15.140625" style="24" customWidth="1"/>
    <col min="14595" max="14595" width="13.28515625" style="24" customWidth="1"/>
    <col min="14596" max="14596" width="47.28515625" style="24" customWidth="1"/>
    <col min="14597" max="14597" width="16.85546875" style="24" customWidth="1"/>
    <col min="14598" max="14598" width="15.140625" style="24" customWidth="1"/>
    <col min="14599" max="14599" width="23" style="24" customWidth="1"/>
    <col min="14600" max="14600" width="16.42578125" style="24" customWidth="1"/>
    <col min="14601" max="14601" width="13.85546875" style="24"/>
    <col min="14602" max="14602" width="12.42578125" style="24" customWidth="1"/>
    <col min="14603" max="14603" width="10.85546875" style="24" customWidth="1"/>
    <col min="14604" max="14849" width="13.85546875" style="24"/>
    <col min="14850" max="14850" width="15.140625" style="24" customWidth="1"/>
    <col min="14851" max="14851" width="13.28515625" style="24" customWidth="1"/>
    <col min="14852" max="14852" width="47.28515625" style="24" customWidth="1"/>
    <col min="14853" max="14853" width="16.85546875" style="24" customWidth="1"/>
    <col min="14854" max="14854" width="15.140625" style="24" customWidth="1"/>
    <col min="14855" max="14855" width="23" style="24" customWidth="1"/>
    <col min="14856" max="14856" width="16.42578125" style="24" customWidth="1"/>
    <col min="14857" max="14857" width="13.85546875" style="24"/>
    <col min="14858" max="14858" width="12.42578125" style="24" customWidth="1"/>
    <col min="14859" max="14859" width="10.85546875" style="24" customWidth="1"/>
    <col min="14860" max="15105" width="13.85546875" style="24"/>
    <col min="15106" max="15106" width="15.140625" style="24" customWidth="1"/>
    <col min="15107" max="15107" width="13.28515625" style="24" customWidth="1"/>
    <col min="15108" max="15108" width="47.28515625" style="24" customWidth="1"/>
    <col min="15109" max="15109" width="16.85546875" style="24" customWidth="1"/>
    <col min="15110" max="15110" width="15.140625" style="24" customWidth="1"/>
    <col min="15111" max="15111" width="23" style="24" customWidth="1"/>
    <col min="15112" max="15112" width="16.42578125" style="24" customWidth="1"/>
    <col min="15113" max="15113" width="13.85546875" style="24"/>
    <col min="15114" max="15114" width="12.42578125" style="24" customWidth="1"/>
    <col min="15115" max="15115" width="10.85546875" style="24" customWidth="1"/>
    <col min="15116" max="15361" width="13.85546875" style="24"/>
    <col min="15362" max="15362" width="15.140625" style="24" customWidth="1"/>
    <col min="15363" max="15363" width="13.28515625" style="24" customWidth="1"/>
    <col min="15364" max="15364" width="47.28515625" style="24" customWidth="1"/>
    <col min="15365" max="15365" width="16.85546875" style="24" customWidth="1"/>
    <col min="15366" max="15366" width="15.140625" style="24" customWidth="1"/>
    <col min="15367" max="15367" width="23" style="24" customWidth="1"/>
    <col min="15368" max="15368" width="16.42578125" style="24" customWidth="1"/>
    <col min="15369" max="15369" width="13.85546875" style="24"/>
    <col min="15370" max="15370" width="12.42578125" style="24" customWidth="1"/>
    <col min="15371" max="15371" width="10.85546875" style="24" customWidth="1"/>
    <col min="15372" max="15617" width="13.85546875" style="24"/>
    <col min="15618" max="15618" width="15.140625" style="24" customWidth="1"/>
    <col min="15619" max="15619" width="13.28515625" style="24" customWidth="1"/>
    <col min="15620" max="15620" width="47.28515625" style="24" customWidth="1"/>
    <col min="15621" max="15621" width="16.85546875" style="24" customWidth="1"/>
    <col min="15622" max="15622" width="15.140625" style="24" customWidth="1"/>
    <col min="15623" max="15623" width="23" style="24" customWidth="1"/>
    <col min="15624" max="15624" width="16.42578125" style="24" customWidth="1"/>
    <col min="15625" max="15625" width="13.85546875" style="24"/>
    <col min="15626" max="15626" width="12.42578125" style="24" customWidth="1"/>
    <col min="15627" max="15627" width="10.85546875" style="24" customWidth="1"/>
    <col min="15628" max="15873" width="13.85546875" style="24"/>
    <col min="15874" max="15874" width="15.140625" style="24" customWidth="1"/>
    <col min="15875" max="15875" width="13.28515625" style="24" customWidth="1"/>
    <col min="15876" max="15876" width="47.28515625" style="24" customWidth="1"/>
    <col min="15877" max="15877" width="16.85546875" style="24" customWidth="1"/>
    <col min="15878" max="15878" width="15.140625" style="24" customWidth="1"/>
    <col min="15879" max="15879" width="23" style="24" customWidth="1"/>
    <col min="15880" max="15880" width="16.42578125" style="24" customWidth="1"/>
    <col min="15881" max="15881" width="13.85546875" style="24"/>
    <col min="15882" max="15882" width="12.42578125" style="24" customWidth="1"/>
    <col min="15883" max="15883" width="10.85546875" style="24" customWidth="1"/>
    <col min="15884" max="16129" width="13.85546875" style="24"/>
    <col min="16130" max="16130" width="15.140625" style="24" customWidth="1"/>
    <col min="16131" max="16131" width="13.28515625" style="24" customWidth="1"/>
    <col min="16132" max="16132" width="47.28515625" style="24" customWidth="1"/>
    <col min="16133" max="16133" width="16.85546875" style="24" customWidth="1"/>
    <col min="16134" max="16134" width="15.140625" style="24" customWidth="1"/>
    <col min="16135" max="16135" width="23" style="24" customWidth="1"/>
    <col min="16136" max="16136" width="16.42578125" style="24" customWidth="1"/>
    <col min="16137" max="16137" width="13.85546875" style="24"/>
    <col min="16138" max="16138" width="12.42578125" style="24" customWidth="1"/>
    <col min="16139" max="16139" width="10.85546875" style="24" customWidth="1"/>
    <col min="16140" max="16384" width="13.85546875" style="24"/>
  </cols>
  <sheetData>
    <row r="1" spans="1:11" ht="12" customHeight="1">
      <c r="A1" s="22"/>
      <c r="B1" s="23" t="s">
        <v>42</v>
      </c>
      <c r="C1" s="22"/>
      <c r="D1" s="22"/>
      <c r="E1" s="22"/>
      <c r="F1" s="22" t="s">
        <v>43</v>
      </c>
      <c r="G1" s="22"/>
      <c r="H1" s="22"/>
      <c r="K1" s="25"/>
    </row>
    <row r="2" spans="1:11" ht="12" customHeight="1">
      <c r="A2" s="22"/>
      <c r="B2" s="23" t="s">
        <v>44</v>
      </c>
      <c r="C2" s="22"/>
      <c r="D2" s="22"/>
      <c r="E2" s="23" t="s">
        <v>45</v>
      </c>
      <c r="F2" s="22" t="s">
        <v>46</v>
      </c>
      <c r="G2" s="22"/>
      <c r="H2" s="22"/>
    </row>
    <row r="3" spans="1:11" ht="12" customHeight="1">
      <c r="A3" s="22"/>
      <c r="B3" s="23" t="s">
        <v>47</v>
      </c>
      <c r="C3" s="22"/>
      <c r="D3" s="22"/>
      <c r="E3" s="26" t="s">
        <v>48</v>
      </c>
      <c r="F3" s="22"/>
      <c r="G3" s="22"/>
      <c r="H3" s="22"/>
    </row>
    <row r="4" spans="1:11" ht="12" customHeight="1">
      <c r="A4" s="22"/>
      <c r="B4" s="23"/>
      <c r="C4" s="22"/>
      <c r="D4" s="22"/>
      <c r="E4" s="22"/>
      <c r="F4" s="22" t="s">
        <v>49</v>
      </c>
      <c r="G4" s="22"/>
      <c r="H4" s="22"/>
    </row>
    <row r="5" spans="1:11" ht="12" customHeight="1">
      <c r="A5" s="22"/>
      <c r="B5" s="23" t="s">
        <v>275</v>
      </c>
      <c r="C5" s="22"/>
      <c r="D5" s="22"/>
      <c r="E5" s="27">
        <v>0</v>
      </c>
      <c r="F5" s="22"/>
      <c r="G5" s="22" t="s">
        <v>51</v>
      </c>
      <c r="H5" s="22"/>
      <c r="I5" s="22"/>
      <c r="J5" s="22"/>
    </row>
    <row r="6" spans="1:11" ht="12" customHeight="1">
      <c r="A6" s="23"/>
      <c r="B6" s="28" t="s">
        <v>52</v>
      </c>
      <c r="C6" s="29" t="s">
        <v>53</v>
      </c>
      <c r="D6" s="29" t="s">
        <v>54</v>
      </c>
      <c r="E6" s="29" t="s">
        <v>55</v>
      </c>
      <c r="F6" s="29" t="s">
        <v>56</v>
      </c>
      <c r="G6" s="30" t="s">
        <v>57</v>
      </c>
      <c r="H6" s="31" t="s">
        <v>58</v>
      </c>
      <c r="I6" s="32" t="s">
        <v>59</v>
      </c>
      <c r="J6" s="32" t="s">
        <v>60</v>
      </c>
      <c r="K6" s="32" t="s">
        <v>61</v>
      </c>
    </row>
    <row r="7" spans="1:11" ht="12" customHeight="1">
      <c r="A7" s="22"/>
      <c r="B7" s="28" t="s">
        <v>62</v>
      </c>
      <c r="C7" s="33">
        <v>18474.830000000002</v>
      </c>
      <c r="D7" s="34" t="s">
        <v>276</v>
      </c>
      <c r="E7" s="35">
        <f>123938-13089</f>
        <v>110849</v>
      </c>
      <c r="F7" s="36">
        <f>E5-C7+E7</f>
        <v>92374.17</v>
      </c>
      <c r="G7" s="37" t="s">
        <v>64</v>
      </c>
      <c r="H7" s="38" t="s">
        <v>277</v>
      </c>
      <c r="I7" s="39" t="s">
        <v>66</v>
      </c>
      <c r="J7" s="40">
        <v>123938</v>
      </c>
      <c r="K7" s="39" t="s">
        <v>278</v>
      </c>
    </row>
    <row r="8" spans="1:11" ht="12" customHeight="1">
      <c r="A8" s="22"/>
      <c r="B8" s="28" t="s">
        <v>68</v>
      </c>
      <c r="C8" s="41">
        <v>18474.830000000002</v>
      </c>
      <c r="D8" s="42"/>
      <c r="E8" s="35"/>
      <c r="F8" s="36">
        <f t="shared" ref="F8:F18" si="0">F7-C8+E8</f>
        <v>73899.34</v>
      </c>
      <c r="G8" s="37" t="s">
        <v>279</v>
      </c>
      <c r="H8" s="38" t="s">
        <v>277</v>
      </c>
      <c r="I8" s="39" t="s">
        <v>66</v>
      </c>
      <c r="J8" s="40">
        <v>-13089</v>
      </c>
      <c r="K8" s="39" t="s">
        <v>278</v>
      </c>
    </row>
    <row r="9" spans="1:11" ht="12" customHeight="1">
      <c r="A9" s="22"/>
      <c r="B9" s="28" t="s">
        <v>70</v>
      </c>
      <c r="C9" s="41">
        <v>18474.830000000002</v>
      </c>
      <c r="D9" s="43"/>
      <c r="E9" s="35"/>
      <c r="F9" s="36">
        <f>F8-C9+E9</f>
        <v>55424.509999999995</v>
      </c>
      <c r="G9" s="37" t="s">
        <v>64</v>
      </c>
      <c r="H9" s="38" t="s">
        <v>277</v>
      </c>
      <c r="I9" s="39" t="s">
        <v>66</v>
      </c>
      <c r="J9" s="40">
        <v>123938</v>
      </c>
      <c r="K9" s="39" t="s">
        <v>280</v>
      </c>
    </row>
    <row r="10" spans="1:11" ht="12" customHeight="1">
      <c r="A10" s="22"/>
      <c r="B10" s="28" t="s">
        <v>72</v>
      </c>
      <c r="C10" s="41">
        <v>18474.830000000002</v>
      </c>
      <c r="D10" s="43"/>
      <c r="E10" s="35"/>
      <c r="F10" s="36">
        <f>F9-C10+E10</f>
        <v>36949.679999999993</v>
      </c>
      <c r="G10" s="37" t="s">
        <v>279</v>
      </c>
      <c r="H10" s="38" t="s">
        <v>277</v>
      </c>
      <c r="I10" s="39" t="s">
        <v>66</v>
      </c>
      <c r="J10" s="40">
        <v>-13089</v>
      </c>
      <c r="K10" s="39" t="s">
        <v>280</v>
      </c>
    </row>
    <row r="11" spans="1:11" ht="12" customHeight="1">
      <c r="A11" s="22"/>
      <c r="B11" s="28" t="s">
        <v>74</v>
      </c>
      <c r="C11" s="41">
        <v>18474.84</v>
      </c>
      <c r="D11" s="43"/>
      <c r="E11" s="35"/>
      <c r="F11" s="36">
        <f t="shared" si="0"/>
        <v>18474.839999999993</v>
      </c>
      <c r="G11" s="37" t="s">
        <v>77</v>
      </c>
      <c r="H11" s="38" t="s">
        <v>277</v>
      </c>
      <c r="I11" s="39" t="s">
        <v>66</v>
      </c>
      <c r="J11" s="40">
        <v>-636</v>
      </c>
      <c r="K11" s="39" t="s">
        <v>278</v>
      </c>
    </row>
    <row r="12" spans="1:11" ht="12" customHeight="1">
      <c r="A12" s="22"/>
      <c r="B12" s="28" t="s">
        <v>75</v>
      </c>
      <c r="C12" s="41">
        <v>18474.84</v>
      </c>
      <c r="D12" s="43"/>
      <c r="E12" s="35"/>
      <c r="F12" s="36">
        <f t="shared" si="0"/>
        <v>-7.2759576141834259E-12</v>
      </c>
      <c r="G12" s="38"/>
      <c r="H12" s="38"/>
      <c r="I12" s="38"/>
      <c r="J12" s="45"/>
      <c r="K12" s="39"/>
    </row>
    <row r="13" spans="1:11" ht="12" customHeight="1">
      <c r="A13" s="22"/>
      <c r="B13" s="28" t="s">
        <v>78</v>
      </c>
      <c r="C13" s="41">
        <v>18474.830000000002</v>
      </c>
      <c r="D13" s="43" t="s">
        <v>281</v>
      </c>
      <c r="E13" s="35">
        <f>123938-13089</f>
        <v>110849</v>
      </c>
      <c r="F13" s="36">
        <f t="shared" si="0"/>
        <v>92374.169999999984</v>
      </c>
      <c r="G13" s="37"/>
      <c r="H13" s="38"/>
      <c r="I13" s="46"/>
      <c r="J13" s="40"/>
      <c r="K13" s="39"/>
    </row>
    <row r="14" spans="1:11" ht="12" customHeight="1">
      <c r="A14" s="22"/>
      <c r="B14" s="28" t="s">
        <v>79</v>
      </c>
      <c r="C14" s="41">
        <v>18347.63</v>
      </c>
      <c r="D14" s="43" t="s">
        <v>282</v>
      </c>
      <c r="E14" s="35">
        <v>-636</v>
      </c>
      <c r="F14" s="36">
        <f t="shared" si="0"/>
        <v>73390.539999999979</v>
      </c>
      <c r="G14" s="47"/>
      <c r="H14" s="38"/>
      <c r="I14" s="39"/>
      <c r="J14" s="40"/>
      <c r="K14" s="39"/>
    </row>
    <row r="15" spans="1:11" ht="12" customHeight="1">
      <c r="A15" s="22"/>
      <c r="B15" s="28" t="s">
        <v>81</v>
      </c>
      <c r="C15" s="41">
        <v>18347.63</v>
      </c>
      <c r="D15" s="43"/>
      <c r="E15" s="35"/>
      <c r="F15" s="36">
        <f t="shared" si="0"/>
        <v>55042.909999999974</v>
      </c>
      <c r="G15" s="48"/>
      <c r="H15" s="49"/>
      <c r="I15" s="49"/>
      <c r="J15" s="49"/>
      <c r="K15" s="49"/>
    </row>
    <row r="16" spans="1:11" ht="12" customHeight="1">
      <c r="A16" s="22"/>
      <c r="B16" s="28" t="s">
        <v>82</v>
      </c>
      <c r="C16" s="41">
        <v>18347.63</v>
      </c>
      <c r="D16" s="43"/>
      <c r="E16" s="35"/>
      <c r="F16" s="36">
        <f t="shared" si="0"/>
        <v>36695.27999999997</v>
      </c>
      <c r="G16" s="48"/>
      <c r="H16" s="49"/>
      <c r="I16" s="49"/>
      <c r="J16" s="49"/>
      <c r="K16" s="49"/>
    </row>
    <row r="17" spans="1:11" ht="12" customHeight="1">
      <c r="A17" s="22"/>
      <c r="B17" s="28" t="s">
        <v>83</v>
      </c>
      <c r="C17" s="41">
        <v>18347.64</v>
      </c>
      <c r="D17" s="43"/>
      <c r="E17" s="35"/>
      <c r="F17" s="36">
        <f t="shared" si="0"/>
        <v>18347.63999999997</v>
      </c>
      <c r="G17" s="48"/>
      <c r="H17" s="49"/>
      <c r="I17" s="49"/>
      <c r="J17" s="49"/>
      <c r="K17" s="49"/>
    </row>
    <row r="18" spans="1:11" ht="12" customHeight="1">
      <c r="A18" s="22"/>
      <c r="B18" s="28" t="s">
        <v>84</v>
      </c>
      <c r="C18" s="41">
        <v>18347.64</v>
      </c>
      <c r="D18" s="43"/>
      <c r="E18" s="35"/>
      <c r="F18" s="36">
        <f t="shared" si="0"/>
        <v>-2.9103830456733704E-11</v>
      </c>
      <c r="G18" s="48"/>
      <c r="H18" s="49"/>
      <c r="I18" s="49"/>
      <c r="J18" s="49"/>
      <c r="K18" s="49"/>
    </row>
    <row r="19" spans="1:11" ht="12" customHeight="1">
      <c r="A19" s="22"/>
      <c r="B19" s="50" t="s">
        <v>85</v>
      </c>
      <c r="C19" s="51">
        <f>SUM(C7:C18)</f>
        <v>221062</v>
      </c>
      <c r="D19" s="52"/>
      <c r="E19" s="53">
        <f>SUM(E7:E18)</f>
        <v>221062</v>
      </c>
      <c r="F19" s="53"/>
      <c r="G19" s="53"/>
      <c r="H19" s="54"/>
      <c r="I19" s="54"/>
      <c r="J19" s="54"/>
      <c r="K19" s="54"/>
    </row>
    <row r="20" spans="1:11" ht="12" customHeight="1">
      <c r="A20" s="22"/>
      <c r="B20" s="50"/>
      <c r="C20" s="51"/>
      <c r="D20" s="52"/>
      <c r="E20" s="53"/>
      <c r="F20" s="53"/>
      <c r="G20" s="53"/>
      <c r="H20" s="54"/>
      <c r="I20" s="54"/>
      <c r="J20" s="54"/>
      <c r="K20" s="54"/>
    </row>
    <row r="21" spans="1:11" ht="12" customHeight="1">
      <c r="A21" s="22"/>
      <c r="B21" s="23" t="s">
        <v>86</v>
      </c>
      <c r="C21" s="22"/>
      <c r="D21" s="22"/>
      <c r="E21" s="22"/>
      <c r="F21" s="22" t="s">
        <v>43</v>
      </c>
      <c r="G21" s="22"/>
    </row>
    <row r="22" spans="1:11" ht="12" customHeight="1">
      <c r="A22" s="22"/>
      <c r="B22" s="23" t="s">
        <v>44</v>
      </c>
      <c r="C22" s="22"/>
      <c r="D22" s="22"/>
      <c r="E22" s="23" t="s">
        <v>45</v>
      </c>
      <c r="F22" s="22" t="s">
        <v>87</v>
      </c>
      <c r="G22" s="22"/>
    </row>
    <row r="23" spans="1:11" ht="12" customHeight="1">
      <c r="A23" s="22"/>
      <c r="B23" s="23" t="s">
        <v>47</v>
      </c>
      <c r="C23" s="22"/>
      <c r="D23" s="22"/>
      <c r="E23" s="26" t="s">
        <v>48</v>
      </c>
      <c r="F23" s="22" t="s">
        <v>88</v>
      </c>
      <c r="G23" s="22"/>
    </row>
    <row r="24" spans="1:11" ht="12" customHeight="1">
      <c r="A24" s="22"/>
      <c r="B24" s="23"/>
      <c r="C24" s="22"/>
      <c r="D24" s="22"/>
      <c r="E24" s="22"/>
      <c r="F24" s="22" t="s">
        <v>89</v>
      </c>
      <c r="G24" s="22"/>
    </row>
    <row r="25" spans="1:11" ht="12" customHeight="1">
      <c r="A25" s="22"/>
      <c r="B25" s="23" t="str">
        <f>B5</f>
        <v>BALANCE AT 12-31-14</v>
      </c>
      <c r="C25" s="22"/>
      <c r="D25" s="22"/>
      <c r="E25" s="27">
        <v>419742.27</v>
      </c>
      <c r="F25" s="22"/>
      <c r="G25" s="22" t="s">
        <v>51</v>
      </c>
    </row>
    <row r="26" spans="1:11" ht="12" customHeight="1">
      <c r="A26" s="22"/>
      <c r="B26" s="28" t="s">
        <v>52</v>
      </c>
      <c r="C26" s="29" t="s">
        <v>53</v>
      </c>
      <c r="D26" s="29" t="s">
        <v>54</v>
      </c>
      <c r="E26" s="29" t="s">
        <v>55</v>
      </c>
      <c r="F26" s="29" t="s">
        <v>56</v>
      </c>
      <c r="G26" s="30" t="s">
        <v>57</v>
      </c>
      <c r="H26" s="31" t="s">
        <v>58</v>
      </c>
      <c r="I26" s="32" t="s">
        <v>59</v>
      </c>
      <c r="J26" s="32" t="s">
        <v>60</v>
      </c>
      <c r="K26" s="32" t="s">
        <v>61</v>
      </c>
    </row>
    <row r="27" spans="1:11" ht="12" customHeight="1">
      <c r="A27" s="23"/>
      <c r="B27" s="28" t="s">
        <v>62</v>
      </c>
      <c r="C27" s="41">
        <v>104935.53</v>
      </c>
      <c r="D27" s="43"/>
      <c r="E27" s="35"/>
      <c r="F27" s="35">
        <f>E25-C27+E27</f>
        <v>314806.74</v>
      </c>
      <c r="G27" s="55" t="s">
        <v>90</v>
      </c>
      <c r="H27" s="38" t="s">
        <v>93</v>
      </c>
      <c r="I27" s="39"/>
      <c r="J27" s="40">
        <v>-5890</v>
      </c>
      <c r="K27" s="39"/>
    </row>
    <row r="28" spans="1:11" ht="12" customHeight="1">
      <c r="A28" s="22"/>
      <c r="B28" s="28" t="s">
        <v>68</v>
      </c>
      <c r="C28" s="41">
        <v>104935.53</v>
      </c>
      <c r="D28" s="43"/>
      <c r="E28" s="35"/>
      <c r="F28" s="35">
        <f t="shared" ref="F28:F38" si="1">F27-C28+E28</f>
        <v>209871.21</v>
      </c>
      <c r="G28" s="55" t="s">
        <v>101</v>
      </c>
      <c r="H28" s="57" t="s">
        <v>102</v>
      </c>
      <c r="I28" s="58" t="s">
        <v>283</v>
      </c>
      <c r="J28" s="59">
        <v>1137054</v>
      </c>
      <c r="K28" s="39" t="s">
        <v>284</v>
      </c>
    </row>
    <row r="29" spans="1:11" ht="12" customHeight="1">
      <c r="A29" s="22"/>
      <c r="B29" s="28" t="s">
        <v>70</v>
      </c>
      <c r="C29" s="41">
        <v>101990.53</v>
      </c>
      <c r="D29" s="43" t="s">
        <v>285</v>
      </c>
      <c r="E29" s="35">
        <v>-5890</v>
      </c>
      <c r="F29" s="35">
        <f t="shared" si="1"/>
        <v>101990.68</v>
      </c>
      <c r="G29" s="55" t="s">
        <v>101</v>
      </c>
      <c r="H29" s="38" t="s">
        <v>105</v>
      </c>
      <c r="I29" s="39" t="s">
        <v>283</v>
      </c>
      <c r="J29" s="40">
        <v>56852.7</v>
      </c>
      <c r="K29" s="39" t="s">
        <v>284</v>
      </c>
    </row>
    <row r="30" spans="1:11" ht="12" customHeight="1">
      <c r="A30" s="22"/>
      <c r="B30" s="28" t="s">
        <v>72</v>
      </c>
      <c r="C30" s="41">
        <v>101990.68</v>
      </c>
      <c r="D30" s="43"/>
      <c r="E30" s="35"/>
      <c r="F30" s="35">
        <f t="shared" si="1"/>
        <v>0</v>
      </c>
      <c r="G30" s="55" t="s">
        <v>106</v>
      </c>
      <c r="H30" s="38" t="s">
        <v>102</v>
      </c>
      <c r="I30" s="56" t="s">
        <v>286</v>
      </c>
      <c r="J30" s="40">
        <v>310232</v>
      </c>
      <c r="K30" s="39" t="s">
        <v>284</v>
      </c>
    </row>
    <row r="31" spans="1:11" ht="12" customHeight="1">
      <c r="A31" s="22"/>
      <c r="B31" s="28" t="s">
        <v>74</v>
      </c>
      <c r="C31" s="41">
        <v>120833.27</v>
      </c>
      <c r="D31" s="43" t="s">
        <v>287</v>
      </c>
      <c r="E31" s="35">
        <f>40888.68+1519650.3-126002</f>
        <v>1434536.98</v>
      </c>
      <c r="F31" s="35">
        <f t="shared" si="1"/>
        <v>1313703.71</v>
      </c>
      <c r="G31" s="55" t="s">
        <v>106</v>
      </c>
      <c r="H31" s="38" t="s">
        <v>105</v>
      </c>
      <c r="I31" s="56" t="s">
        <v>286</v>
      </c>
      <c r="J31" s="148">
        <v>15511.6</v>
      </c>
      <c r="K31" s="39" t="s">
        <v>284</v>
      </c>
    </row>
    <row r="32" spans="1:11" ht="12" customHeight="1">
      <c r="A32" s="22"/>
      <c r="B32" s="28" t="s">
        <v>75</v>
      </c>
      <c r="C32" s="41">
        <v>111074.15</v>
      </c>
      <c r="D32" s="111" t="s">
        <v>288</v>
      </c>
      <c r="E32" s="35">
        <v>1111.32</v>
      </c>
      <c r="F32" s="35">
        <f t="shared" si="1"/>
        <v>1203740.8800000001</v>
      </c>
      <c r="G32" s="55" t="s">
        <v>108</v>
      </c>
      <c r="H32" s="63" t="s">
        <v>109</v>
      </c>
      <c r="I32" s="38"/>
      <c r="J32" s="60">
        <v>42000</v>
      </c>
      <c r="K32" s="39" t="s">
        <v>289</v>
      </c>
    </row>
    <row r="33" spans="1:11" ht="12" customHeight="1">
      <c r="A33" s="22"/>
      <c r="B33" s="28" t="s">
        <v>78</v>
      </c>
      <c r="C33" s="41">
        <v>110703.71</v>
      </c>
      <c r="D33" s="61"/>
      <c r="E33" s="35"/>
      <c r="F33" s="35">
        <f t="shared" si="1"/>
        <v>1093037.1700000002</v>
      </c>
      <c r="G33" s="55" t="s">
        <v>111</v>
      </c>
      <c r="H33" s="49" t="s">
        <v>109</v>
      </c>
      <c r="I33" s="38"/>
      <c r="J33" s="62">
        <v>-1111.32</v>
      </c>
      <c r="K33" s="39" t="s">
        <v>289</v>
      </c>
    </row>
    <row r="34" spans="1:11" ht="12" customHeight="1">
      <c r="A34" s="22"/>
      <c r="B34" s="28" t="s">
        <v>79</v>
      </c>
      <c r="C34" s="41">
        <v>107188.27</v>
      </c>
      <c r="D34" s="61" t="s">
        <v>282</v>
      </c>
      <c r="E34" s="35">
        <v>-31639</v>
      </c>
      <c r="F34" s="35">
        <f t="shared" si="1"/>
        <v>954209.90000000014</v>
      </c>
      <c r="G34" s="55" t="s">
        <v>98</v>
      </c>
      <c r="H34" s="56"/>
      <c r="I34" s="38"/>
      <c r="J34" s="40">
        <v>-126002</v>
      </c>
      <c r="K34" s="39" t="s">
        <v>284</v>
      </c>
    </row>
    <row r="35" spans="1:11" ht="12" customHeight="1">
      <c r="A35" s="22"/>
      <c r="B35" s="28" t="s">
        <v>81</v>
      </c>
      <c r="C35" s="41">
        <v>107188.27</v>
      </c>
      <c r="D35" s="43"/>
      <c r="E35" s="35"/>
      <c r="F35" s="35">
        <f t="shared" si="1"/>
        <v>847021.63000000012</v>
      </c>
      <c r="G35" s="90" t="s">
        <v>290</v>
      </c>
      <c r="H35" s="56" t="s">
        <v>111</v>
      </c>
      <c r="I35" s="38"/>
      <c r="J35" s="40">
        <v>1111.32</v>
      </c>
      <c r="K35" s="39" t="s">
        <v>289</v>
      </c>
    </row>
    <row r="36" spans="1:11" ht="12" customHeight="1">
      <c r="A36" s="22"/>
      <c r="B36" s="28" t="s">
        <v>82</v>
      </c>
      <c r="C36" s="41">
        <v>107188.27</v>
      </c>
      <c r="D36" s="43"/>
      <c r="E36" s="35"/>
      <c r="F36" s="35">
        <f t="shared" si="1"/>
        <v>739833.3600000001</v>
      </c>
      <c r="G36" s="55" t="s">
        <v>77</v>
      </c>
      <c r="H36" s="38" t="s">
        <v>93</v>
      </c>
      <c r="I36" s="38"/>
      <c r="J36" s="40">
        <v>-31639</v>
      </c>
      <c r="K36" s="39" t="s">
        <v>284</v>
      </c>
    </row>
    <row r="37" spans="1:11" ht="12" customHeight="1">
      <c r="A37" s="22"/>
      <c r="B37" s="28" t="s">
        <v>83</v>
      </c>
      <c r="C37" s="41">
        <v>107188.27</v>
      </c>
      <c r="D37" s="43"/>
      <c r="E37" s="35"/>
      <c r="F37" s="35">
        <f t="shared" si="1"/>
        <v>632645.09000000008</v>
      </c>
      <c r="G37" s="55"/>
      <c r="H37" s="38"/>
      <c r="I37" s="38"/>
      <c r="J37" s="40"/>
      <c r="K37" s="39"/>
    </row>
    <row r="38" spans="1:11" ht="12" customHeight="1">
      <c r="A38" s="22"/>
      <c r="B38" s="28" t="s">
        <v>84</v>
      </c>
      <c r="C38" s="41">
        <v>107188.27</v>
      </c>
      <c r="D38" s="43"/>
      <c r="E38" s="35"/>
      <c r="F38" s="35">
        <f t="shared" si="1"/>
        <v>525456.82000000007</v>
      </c>
      <c r="G38" s="55"/>
      <c r="H38" s="38"/>
      <c r="I38" s="38"/>
      <c r="J38" s="40"/>
      <c r="K38" s="39"/>
    </row>
    <row r="39" spans="1:11" ht="12" customHeight="1">
      <c r="A39" s="22"/>
      <c r="B39" s="50" t="s">
        <v>85</v>
      </c>
      <c r="C39" s="64">
        <f>SUM(C27:C38)</f>
        <v>1292404.75</v>
      </c>
      <c r="D39" s="22"/>
      <c r="E39" s="64">
        <f>SUM(E27:E38)</f>
        <v>1398119.3</v>
      </c>
      <c r="F39" s="22"/>
      <c r="G39" s="55"/>
      <c r="H39" s="38"/>
      <c r="I39" s="38"/>
      <c r="J39" s="40"/>
      <c r="K39" s="39"/>
    </row>
    <row r="40" spans="1:11" ht="12" customHeight="1">
      <c r="A40" s="22"/>
      <c r="B40" s="22"/>
      <c r="C40" s="64"/>
      <c r="D40" s="22"/>
      <c r="E40" s="22"/>
      <c r="F40" s="22"/>
      <c r="G40" s="55"/>
      <c r="H40" s="38"/>
      <c r="I40" s="38"/>
      <c r="J40" s="40"/>
      <c r="K40" s="39"/>
    </row>
    <row r="41" spans="1:11" ht="12" customHeight="1">
      <c r="A41" s="22"/>
      <c r="B41" s="22"/>
      <c r="C41" s="64"/>
      <c r="D41" s="22"/>
      <c r="E41" s="22"/>
      <c r="F41" s="22"/>
      <c r="G41" s="55"/>
      <c r="H41" s="38"/>
      <c r="I41" s="38"/>
      <c r="J41" s="40"/>
      <c r="K41" s="39"/>
    </row>
    <row r="42" spans="1:11" ht="12" customHeight="1">
      <c r="A42" s="22"/>
      <c r="B42" s="22"/>
      <c r="C42" s="64"/>
      <c r="D42" s="22"/>
      <c r="E42" s="22"/>
      <c r="F42" s="22"/>
      <c r="G42" s="55"/>
      <c r="H42" s="38"/>
      <c r="I42" s="38"/>
      <c r="J42" s="40"/>
      <c r="K42" s="39"/>
    </row>
    <row r="43" spans="1:11" ht="12" customHeight="1">
      <c r="A43" s="22"/>
      <c r="B43" s="23" t="s">
        <v>113</v>
      </c>
      <c r="C43" s="22"/>
      <c r="D43" s="22"/>
      <c r="E43" s="22"/>
      <c r="F43" s="22" t="s">
        <v>43</v>
      </c>
      <c r="G43" s="65"/>
    </row>
    <row r="44" spans="1:11" ht="12" customHeight="1">
      <c r="A44" s="22"/>
      <c r="B44" s="23" t="s">
        <v>44</v>
      </c>
      <c r="C44" s="22"/>
      <c r="D44" s="22"/>
      <c r="E44" s="23" t="s">
        <v>45</v>
      </c>
      <c r="F44" s="22" t="s">
        <v>87</v>
      </c>
      <c r="G44" s="22"/>
    </row>
    <row r="45" spans="1:11" ht="12" customHeight="1">
      <c r="A45" s="22"/>
      <c r="B45" s="23" t="s">
        <v>47</v>
      </c>
      <c r="C45" s="22"/>
      <c r="D45" s="22"/>
      <c r="E45" s="26" t="s">
        <v>48</v>
      </c>
      <c r="F45" s="22" t="s">
        <v>88</v>
      </c>
      <c r="G45" s="22"/>
    </row>
    <row r="46" spans="1:11" ht="12" customHeight="1">
      <c r="A46" s="22"/>
      <c r="B46" s="23"/>
      <c r="C46" s="22"/>
      <c r="D46" s="22"/>
      <c r="E46" s="22"/>
      <c r="F46" s="22" t="s">
        <v>114</v>
      </c>
      <c r="G46" s="22"/>
    </row>
    <row r="47" spans="1:11" ht="12" customHeight="1">
      <c r="A47" s="22"/>
      <c r="B47" s="23" t="str">
        <f>B5</f>
        <v>BALANCE AT 12-31-14</v>
      </c>
      <c r="C47" s="22"/>
      <c r="D47" s="22"/>
      <c r="E47" s="27">
        <v>71222.52</v>
      </c>
      <c r="F47" s="22"/>
      <c r="G47" s="22" t="s">
        <v>51</v>
      </c>
    </row>
    <row r="48" spans="1:11" ht="12" customHeight="1">
      <c r="A48" s="22"/>
      <c r="B48" s="66" t="s">
        <v>52</v>
      </c>
      <c r="C48" s="67" t="s">
        <v>53</v>
      </c>
      <c r="D48" s="67" t="s">
        <v>54</v>
      </c>
      <c r="E48" s="67" t="s">
        <v>55</v>
      </c>
      <c r="F48" s="68" t="s">
        <v>56</v>
      </c>
      <c r="G48" s="30" t="s">
        <v>57</v>
      </c>
      <c r="H48" s="31" t="s">
        <v>58</v>
      </c>
      <c r="I48" s="32" t="s">
        <v>59</v>
      </c>
      <c r="J48" s="32" t="s">
        <v>60</v>
      </c>
      <c r="K48" s="32" t="s">
        <v>61</v>
      </c>
    </row>
    <row r="49" spans="1:11" ht="12" customHeight="1">
      <c r="A49" s="23"/>
      <c r="B49" s="28" t="s">
        <v>62</v>
      </c>
      <c r="C49" s="41">
        <v>17805.62</v>
      </c>
      <c r="D49" s="69"/>
      <c r="E49" s="35"/>
      <c r="F49" s="35">
        <f>E47-C49+E49</f>
        <v>53416.900000000009</v>
      </c>
      <c r="G49" s="55" t="s">
        <v>115</v>
      </c>
      <c r="H49" s="24" t="s">
        <v>116</v>
      </c>
      <c r="I49" s="38" t="s">
        <v>291</v>
      </c>
      <c r="J49" s="40">
        <v>263605</v>
      </c>
      <c r="K49" s="39" t="s">
        <v>284</v>
      </c>
    </row>
    <row r="50" spans="1:11" ht="12" customHeight="1">
      <c r="A50" s="22"/>
      <c r="B50" s="28" t="s">
        <v>68</v>
      </c>
      <c r="C50" s="41">
        <v>17805.62</v>
      </c>
      <c r="D50" s="43"/>
      <c r="E50" s="35"/>
      <c r="F50" s="36">
        <f t="shared" ref="F50:F60" si="2">F49-C50+E50</f>
        <v>35611.280000000013</v>
      </c>
      <c r="G50" s="37" t="s">
        <v>77</v>
      </c>
      <c r="H50" s="38" t="s">
        <v>116</v>
      </c>
      <c r="I50" s="38" t="s">
        <v>118</v>
      </c>
      <c r="J50" s="40">
        <v>-5705</v>
      </c>
      <c r="K50" s="39" t="s">
        <v>284</v>
      </c>
    </row>
    <row r="51" spans="1:11" ht="12" customHeight="1">
      <c r="A51" s="22"/>
      <c r="B51" s="28" t="s">
        <v>70</v>
      </c>
      <c r="C51" s="41">
        <v>17805.62</v>
      </c>
      <c r="D51" s="43"/>
      <c r="E51" s="35"/>
      <c r="F51" s="36">
        <f t="shared" si="2"/>
        <v>17805.660000000014</v>
      </c>
      <c r="G51" s="37"/>
      <c r="H51" s="38"/>
      <c r="I51" s="89"/>
      <c r="J51" s="40"/>
      <c r="K51" s="39"/>
    </row>
    <row r="52" spans="1:11" ht="12" customHeight="1">
      <c r="A52" s="22"/>
      <c r="B52" s="28" t="s">
        <v>72</v>
      </c>
      <c r="C52" s="41">
        <v>17805.66</v>
      </c>
      <c r="D52" s="43"/>
      <c r="E52" s="35"/>
      <c r="F52" s="35">
        <f t="shared" si="2"/>
        <v>1.4551915228366852E-11</v>
      </c>
      <c r="G52" s="38"/>
      <c r="H52" s="49"/>
      <c r="I52" s="38"/>
      <c r="J52" s="62"/>
      <c r="K52" s="39"/>
    </row>
    <row r="53" spans="1:11" ht="12" customHeight="1">
      <c r="A53" s="22"/>
      <c r="B53" s="28" t="s">
        <v>74</v>
      </c>
      <c r="C53" s="41">
        <v>20277.310000000001</v>
      </c>
      <c r="D53" s="70" t="s">
        <v>292</v>
      </c>
      <c r="E53" s="41">
        <v>263605</v>
      </c>
      <c r="F53" s="35">
        <f t="shared" si="2"/>
        <v>243327.69</v>
      </c>
      <c r="G53" s="55"/>
      <c r="H53" s="71"/>
      <c r="I53" s="39"/>
      <c r="J53" s="40"/>
      <c r="K53" s="39"/>
    </row>
    <row r="54" spans="1:11" ht="12" customHeight="1">
      <c r="A54" s="22"/>
      <c r="B54" s="28" t="s">
        <v>75</v>
      </c>
      <c r="C54" s="41">
        <v>20277.310000000001</v>
      </c>
      <c r="D54" s="70"/>
      <c r="E54" s="35"/>
      <c r="F54" s="35">
        <f t="shared" si="2"/>
        <v>223050.38</v>
      </c>
      <c r="G54" s="72"/>
      <c r="H54" s="73"/>
      <c r="I54" s="74"/>
      <c r="J54" s="75"/>
      <c r="K54" s="74"/>
    </row>
    <row r="55" spans="1:11" ht="12" customHeight="1">
      <c r="A55" s="22"/>
      <c r="B55" s="28" t="s">
        <v>78</v>
      </c>
      <c r="C55" s="41">
        <v>20277.310000000001</v>
      </c>
      <c r="D55" s="43"/>
      <c r="E55" s="35"/>
      <c r="F55" s="35">
        <f t="shared" si="2"/>
        <v>202773.07</v>
      </c>
      <c r="G55" s="72"/>
      <c r="H55" s="73"/>
      <c r="I55" s="74"/>
      <c r="J55" s="75"/>
      <c r="K55" s="74"/>
    </row>
    <row r="56" spans="1:11" ht="12" customHeight="1">
      <c r="A56" s="22"/>
      <c r="B56" s="28" t="s">
        <v>79</v>
      </c>
      <c r="C56" s="41">
        <v>19643.419999999998</v>
      </c>
      <c r="D56" s="22" t="s">
        <v>282</v>
      </c>
      <c r="E56" s="35">
        <v>-5705</v>
      </c>
      <c r="F56" s="35">
        <f t="shared" si="2"/>
        <v>177424.65000000002</v>
      </c>
      <c r="G56" s="72"/>
      <c r="H56" s="73"/>
      <c r="I56" s="74"/>
      <c r="J56" s="75"/>
      <c r="K56" s="74"/>
    </row>
    <row r="57" spans="1:11" ht="12" customHeight="1">
      <c r="A57" s="22"/>
      <c r="B57" s="28" t="s">
        <v>81</v>
      </c>
      <c r="C57" s="41">
        <v>19643.419999999998</v>
      </c>
      <c r="D57" s="43"/>
      <c r="E57" s="35"/>
      <c r="F57" s="35">
        <f t="shared" si="2"/>
        <v>157781.23000000004</v>
      </c>
      <c r="G57" s="72"/>
      <c r="I57" s="74"/>
      <c r="J57" s="75"/>
      <c r="K57" s="74"/>
    </row>
    <row r="58" spans="1:11" ht="12" customHeight="1">
      <c r="A58" s="22"/>
      <c r="B58" s="28" t="s">
        <v>82</v>
      </c>
      <c r="C58" s="41">
        <v>19643.419999999998</v>
      </c>
      <c r="D58" s="61"/>
      <c r="E58" s="35"/>
      <c r="F58" s="35">
        <f t="shared" si="2"/>
        <v>138137.81000000006</v>
      </c>
      <c r="G58" s="72"/>
      <c r="H58" s="73"/>
      <c r="I58" s="74"/>
      <c r="J58" s="75"/>
      <c r="K58" s="74"/>
    </row>
    <row r="59" spans="1:11" ht="12" customHeight="1">
      <c r="A59" s="22"/>
      <c r="B59" s="28" t="s">
        <v>83</v>
      </c>
      <c r="C59" s="41">
        <v>19643.419999999998</v>
      </c>
      <c r="D59" s="43"/>
      <c r="E59" s="41"/>
      <c r="F59" s="35">
        <f t="shared" si="2"/>
        <v>118494.39000000006</v>
      </c>
      <c r="G59" s="55"/>
      <c r="H59" s="38"/>
      <c r="I59" s="39"/>
      <c r="J59" s="40"/>
      <c r="K59" s="39"/>
    </row>
    <row r="60" spans="1:11" ht="12" customHeight="1">
      <c r="A60" s="22"/>
      <c r="B60" s="28" t="s">
        <v>84</v>
      </c>
      <c r="C60" s="41">
        <v>19643.419999999998</v>
      </c>
      <c r="D60" s="61"/>
      <c r="E60" s="41"/>
      <c r="F60" s="35">
        <f t="shared" si="2"/>
        <v>98850.970000000059</v>
      </c>
      <c r="G60" s="55"/>
      <c r="H60" s="38"/>
      <c r="I60" s="39"/>
      <c r="J60" s="40"/>
      <c r="K60" s="39"/>
    </row>
    <row r="61" spans="1:11" ht="12" customHeight="1">
      <c r="A61" s="22"/>
      <c r="B61" s="50" t="s">
        <v>85</v>
      </c>
      <c r="C61" s="64">
        <f>SUM(C49:C60)</f>
        <v>230271.54999999993</v>
      </c>
      <c r="D61" s="22"/>
      <c r="E61" s="64">
        <f>SUM(E49:E60)</f>
        <v>257900</v>
      </c>
      <c r="F61" s="22"/>
      <c r="G61" s="22"/>
    </row>
    <row r="62" spans="1:11" ht="12" customHeight="1">
      <c r="A62" s="22"/>
      <c r="B62" s="22"/>
      <c r="C62" s="22"/>
      <c r="D62" s="22"/>
      <c r="E62" s="22"/>
      <c r="F62" s="22"/>
      <c r="G62" s="22"/>
    </row>
    <row r="63" spans="1:11" ht="12" customHeight="1">
      <c r="A63" s="22"/>
      <c r="B63" s="23" t="s">
        <v>119</v>
      </c>
      <c r="C63" s="22"/>
      <c r="D63" s="22"/>
      <c r="E63" s="22"/>
      <c r="F63" s="22"/>
      <c r="G63" s="22"/>
    </row>
    <row r="64" spans="1:11" ht="12" customHeight="1">
      <c r="A64" s="22"/>
      <c r="B64" s="23" t="s">
        <v>44</v>
      </c>
      <c r="C64" s="22"/>
      <c r="D64" s="22" t="s">
        <v>120</v>
      </c>
      <c r="E64" s="26" t="s">
        <v>121</v>
      </c>
      <c r="F64" s="149">
        <v>4522.84</v>
      </c>
      <c r="G64" s="22"/>
    </row>
    <row r="65" spans="1:11" ht="12" customHeight="1">
      <c r="A65" s="22"/>
      <c r="B65" s="23" t="s">
        <v>44</v>
      </c>
      <c r="C65" s="22"/>
      <c r="D65" s="22" t="s">
        <v>122</v>
      </c>
      <c r="E65" s="26" t="s">
        <v>123</v>
      </c>
      <c r="F65" s="149">
        <v>7114.63</v>
      </c>
      <c r="G65" s="22"/>
    </row>
    <row r="66" spans="1:11" ht="12" customHeight="1">
      <c r="A66" s="22"/>
      <c r="B66" s="23" t="s">
        <v>44</v>
      </c>
      <c r="C66" s="22"/>
      <c r="D66" s="22"/>
      <c r="E66" s="26" t="s">
        <v>124</v>
      </c>
      <c r="F66" s="149">
        <v>2152.15</v>
      </c>
      <c r="G66" s="22"/>
    </row>
    <row r="67" spans="1:11" ht="12" customHeight="1">
      <c r="A67" s="22"/>
      <c r="B67" s="23" t="s">
        <v>47</v>
      </c>
      <c r="C67" s="22"/>
      <c r="D67" s="22"/>
      <c r="E67" s="26" t="s">
        <v>48</v>
      </c>
      <c r="F67" s="149">
        <f>SUM(F64:F66)</f>
        <v>13789.62</v>
      </c>
      <c r="G67" s="22"/>
    </row>
    <row r="68" spans="1:11" ht="12" customHeight="1">
      <c r="A68" s="22"/>
      <c r="B68" s="23" t="str">
        <f>B5</f>
        <v>BALANCE AT 12-31-14</v>
      </c>
      <c r="C68" s="22"/>
      <c r="D68" s="23"/>
      <c r="E68" s="77">
        <v>73968.09</v>
      </c>
      <c r="F68" s="22"/>
      <c r="G68" s="22" t="s">
        <v>51</v>
      </c>
    </row>
    <row r="69" spans="1:11" ht="12" customHeight="1">
      <c r="A69" s="22"/>
      <c r="B69" s="28" t="s">
        <v>52</v>
      </c>
      <c r="C69" s="29" t="s">
        <v>53</v>
      </c>
      <c r="D69" s="29" t="s">
        <v>54</v>
      </c>
      <c r="E69" s="29" t="s">
        <v>55</v>
      </c>
      <c r="F69" s="29" t="s">
        <v>56</v>
      </c>
      <c r="G69" s="30" t="s">
        <v>57</v>
      </c>
      <c r="H69" s="31" t="s">
        <v>58</v>
      </c>
      <c r="I69" s="32" t="s">
        <v>59</v>
      </c>
      <c r="J69" s="32" t="s">
        <v>60</v>
      </c>
      <c r="K69" s="32" t="s">
        <v>61</v>
      </c>
    </row>
    <row r="70" spans="1:11" ht="12" customHeight="1">
      <c r="A70" s="22"/>
      <c r="B70" s="28" t="s">
        <v>62</v>
      </c>
      <c r="C70" s="41">
        <v>14793.61</v>
      </c>
      <c r="D70" s="78"/>
      <c r="E70" s="35"/>
      <c r="F70" s="35">
        <f>E68-C70+E70</f>
        <v>59174.479999999996</v>
      </c>
      <c r="G70" s="55" t="s">
        <v>125</v>
      </c>
      <c r="H70" s="38" t="s">
        <v>126</v>
      </c>
      <c r="I70" s="39" t="s">
        <v>127</v>
      </c>
      <c r="J70" s="40">
        <v>165475.49</v>
      </c>
      <c r="K70" s="39" t="s">
        <v>293</v>
      </c>
    </row>
    <row r="71" spans="1:11" ht="12" customHeight="1">
      <c r="A71" s="22"/>
      <c r="B71" s="28" t="s">
        <v>68</v>
      </c>
      <c r="C71" s="41">
        <v>14793.61</v>
      </c>
      <c r="D71" s="61"/>
      <c r="E71" s="35"/>
      <c r="F71" s="35">
        <f t="shared" ref="F71:F81" si="3">F70-C71+E71</f>
        <v>44380.869999999995</v>
      </c>
      <c r="G71" s="55"/>
      <c r="H71" s="38"/>
      <c r="I71" s="58"/>
      <c r="J71" s="59"/>
      <c r="K71" s="39"/>
    </row>
    <row r="72" spans="1:11" ht="12" customHeight="1">
      <c r="A72" s="22"/>
      <c r="B72" s="28" t="s">
        <v>70</v>
      </c>
      <c r="C72" s="41">
        <v>14793.61</v>
      </c>
      <c r="D72" s="78"/>
      <c r="E72" s="35"/>
      <c r="F72" s="35">
        <f t="shared" si="3"/>
        <v>29587.259999999995</v>
      </c>
      <c r="G72" s="55"/>
      <c r="H72" s="38"/>
      <c r="I72" s="39"/>
      <c r="J72" s="40"/>
      <c r="K72" s="39"/>
    </row>
    <row r="73" spans="1:11" ht="12" customHeight="1">
      <c r="A73" s="22"/>
      <c r="B73" s="28" t="s">
        <v>72</v>
      </c>
      <c r="C73" s="41">
        <v>14793.61</v>
      </c>
      <c r="D73" s="78"/>
      <c r="E73" s="41"/>
      <c r="F73" s="35">
        <f t="shared" si="3"/>
        <v>14793.649999999994</v>
      </c>
      <c r="G73" s="79"/>
      <c r="H73" s="57"/>
      <c r="I73" s="58"/>
      <c r="J73" s="59"/>
      <c r="K73" s="39"/>
    </row>
    <row r="74" spans="1:11" ht="12" customHeight="1">
      <c r="A74" s="22"/>
      <c r="B74" s="28" t="s">
        <v>74</v>
      </c>
      <c r="C74" s="41">
        <v>14793.65</v>
      </c>
      <c r="D74" s="78"/>
      <c r="E74" s="35"/>
      <c r="F74" s="35">
        <f t="shared" si="3"/>
        <v>-5.4569682106375694E-12</v>
      </c>
      <c r="G74" s="79"/>
      <c r="H74" s="38"/>
      <c r="I74" s="39"/>
      <c r="J74" s="40"/>
      <c r="K74" s="39"/>
    </row>
    <row r="75" spans="1:11" ht="12" customHeight="1">
      <c r="A75" s="22"/>
      <c r="B75" s="28" t="s">
        <v>75</v>
      </c>
      <c r="C75" s="41">
        <v>13789.62</v>
      </c>
      <c r="D75" s="61" t="s">
        <v>294</v>
      </c>
      <c r="E75" s="35">
        <v>165475.49</v>
      </c>
      <c r="F75" s="35">
        <f>F74-C75+E75</f>
        <v>151685.87</v>
      </c>
      <c r="G75" s="80"/>
      <c r="H75" s="57"/>
      <c r="I75" s="58"/>
      <c r="J75" s="59"/>
      <c r="K75" s="39"/>
    </row>
    <row r="76" spans="1:11" ht="12" customHeight="1">
      <c r="A76" s="22"/>
      <c r="B76" s="28" t="s">
        <v>78</v>
      </c>
      <c r="C76" s="41">
        <v>13789.62</v>
      </c>
      <c r="D76" s="61"/>
      <c r="E76" s="81"/>
      <c r="F76" s="35">
        <f>F75-C76+E76</f>
        <v>137896.25</v>
      </c>
      <c r="G76" s="55"/>
      <c r="H76" s="38"/>
      <c r="I76" s="39"/>
      <c r="J76" s="40"/>
      <c r="K76" s="39"/>
    </row>
    <row r="77" spans="1:11" ht="12" customHeight="1">
      <c r="A77" s="22"/>
      <c r="B77" s="28" t="s">
        <v>79</v>
      </c>
      <c r="C77" s="41">
        <v>13789.62</v>
      </c>
      <c r="D77" s="78"/>
      <c r="E77" s="82"/>
      <c r="F77" s="35">
        <f t="shared" si="3"/>
        <v>124106.63</v>
      </c>
      <c r="G77" s="80"/>
      <c r="H77" s="57"/>
      <c r="I77" s="58"/>
      <c r="J77" s="59"/>
      <c r="K77" s="39"/>
    </row>
    <row r="78" spans="1:11" ht="12" customHeight="1">
      <c r="A78" s="22"/>
      <c r="B78" s="28" t="s">
        <v>81</v>
      </c>
      <c r="C78" s="41">
        <v>13789.62</v>
      </c>
      <c r="D78" s="78"/>
      <c r="E78" s="35"/>
      <c r="F78" s="35">
        <f t="shared" si="3"/>
        <v>110317.01000000001</v>
      </c>
      <c r="G78" s="79"/>
      <c r="H78" s="38"/>
      <c r="I78" s="39"/>
      <c r="J78" s="40"/>
      <c r="K78" s="39"/>
    </row>
    <row r="79" spans="1:11" ht="12" customHeight="1">
      <c r="A79" s="22"/>
      <c r="B79" s="28" t="s">
        <v>82</v>
      </c>
      <c r="C79" s="41">
        <v>13789.62</v>
      </c>
      <c r="D79" s="78"/>
      <c r="E79" s="35"/>
      <c r="F79" s="35">
        <f t="shared" si="3"/>
        <v>96527.390000000014</v>
      </c>
      <c r="G79" s="80"/>
      <c r="H79" s="57"/>
      <c r="I79" s="58"/>
      <c r="J79" s="59"/>
      <c r="K79" s="39"/>
    </row>
    <row r="80" spans="1:11" ht="12" customHeight="1">
      <c r="A80" s="22"/>
      <c r="B80" s="28" t="s">
        <v>83</v>
      </c>
      <c r="C80" s="41">
        <v>13789.62</v>
      </c>
      <c r="D80" s="78"/>
      <c r="E80" s="35"/>
      <c r="F80" s="35">
        <f t="shared" si="3"/>
        <v>82737.770000000019</v>
      </c>
      <c r="G80" s="79"/>
      <c r="H80" s="38"/>
      <c r="I80" s="39"/>
      <c r="J80" s="40"/>
      <c r="K80" s="39"/>
    </row>
    <row r="81" spans="1:11" ht="12" customHeight="1">
      <c r="A81" s="22"/>
      <c r="B81" s="28" t="s">
        <v>84</v>
      </c>
      <c r="C81" s="41">
        <v>13789.62</v>
      </c>
      <c r="D81" s="78"/>
      <c r="E81" s="35"/>
      <c r="F81" s="35">
        <f t="shared" si="3"/>
        <v>68948.150000000023</v>
      </c>
      <c r="G81" s="79"/>
      <c r="H81" s="38"/>
      <c r="I81" s="39"/>
      <c r="J81" s="40"/>
      <c r="K81" s="39"/>
    </row>
    <row r="82" spans="1:11" ht="12" customHeight="1">
      <c r="A82" s="22"/>
      <c r="B82" s="50" t="s">
        <v>85</v>
      </c>
      <c r="C82" s="64">
        <f>SUM(C70:C81)</f>
        <v>170495.42999999996</v>
      </c>
      <c r="D82" s="22"/>
      <c r="E82" s="64">
        <f>SUM(E70:E81)</f>
        <v>165475.49</v>
      </c>
      <c r="F82" s="22"/>
      <c r="G82" s="22"/>
    </row>
    <row r="83" spans="1:11" ht="12" customHeight="1">
      <c r="A83" s="22"/>
      <c r="B83" s="50"/>
      <c r="C83" s="64"/>
      <c r="D83" s="22"/>
      <c r="E83" s="64"/>
      <c r="F83" s="22"/>
      <c r="G83" s="22"/>
    </row>
    <row r="84" spans="1:11" ht="12" customHeight="1">
      <c r="A84" s="22"/>
      <c r="B84" s="23" t="s">
        <v>130</v>
      </c>
      <c r="C84" s="22"/>
      <c r="D84" s="22"/>
      <c r="E84" s="22"/>
      <c r="F84" s="22"/>
      <c r="G84" s="22"/>
    </row>
    <row r="85" spans="1:11" ht="12" customHeight="1">
      <c r="A85" s="22"/>
      <c r="B85" s="23" t="s">
        <v>44</v>
      </c>
      <c r="C85" s="22"/>
      <c r="D85" s="22"/>
      <c r="E85" s="26" t="s">
        <v>131</v>
      </c>
      <c r="F85" s="150">
        <v>16610.27</v>
      </c>
      <c r="G85" s="22"/>
    </row>
    <row r="86" spans="1:11" ht="12" customHeight="1">
      <c r="A86" s="22"/>
      <c r="B86" s="23" t="s">
        <v>44</v>
      </c>
      <c r="C86" s="22"/>
      <c r="D86" s="22"/>
      <c r="E86" s="26" t="s">
        <v>132</v>
      </c>
      <c r="F86" s="150">
        <v>736.78</v>
      </c>
      <c r="G86" s="22" t="s">
        <v>133</v>
      </c>
    </row>
    <row r="87" spans="1:11" ht="12" customHeight="1">
      <c r="A87" s="22"/>
      <c r="B87" s="23" t="s">
        <v>47</v>
      </c>
      <c r="C87" s="22"/>
      <c r="D87" s="22"/>
      <c r="E87" s="26" t="s">
        <v>134</v>
      </c>
      <c r="F87" s="150">
        <f>SUM(F85:F86)</f>
        <v>17347.05</v>
      </c>
      <c r="G87" s="22" t="s">
        <v>135</v>
      </c>
    </row>
    <row r="88" spans="1:11" ht="12" customHeight="1">
      <c r="A88" s="22"/>
      <c r="B88" s="23" t="str">
        <f>B5</f>
        <v>BALANCE AT 12-31-14</v>
      </c>
      <c r="C88" s="22"/>
      <c r="D88" s="23"/>
      <c r="E88" s="77">
        <v>71785.23</v>
      </c>
      <c r="F88" s="22"/>
      <c r="G88" s="22" t="s">
        <v>51</v>
      </c>
    </row>
    <row r="89" spans="1:11" ht="12" customHeight="1">
      <c r="A89" s="22"/>
      <c r="B89" s="28" t="s">
        <v>52</v>
      </c>
      <c r="C89" s="29" t="s">
        <v>53</v>
      </c>
      <c r="D89" s="29" t="s">
        <v>54</v>
      </c>
      <c r="E89" s="29" t="s">
        <v>55</v>
      </c>
      <c r="F89" s="29" t="s">
        <v>56</v>
      </c>
      <c r="G89" s="30" t="s">
        <v>57</v>
      </c>
      <c r="H89" s="31" t="s">
        <v>58</v>
      </c>
      <c r="I89" s="32" t="s">
        <v>59</v>
      </c>
      <c r="J89" s="32" t="s">
        <v>60</v>
      </c>
      <c r="K89" s="32" t="s">
        <v>61</v>
      </c>
    </row>
    <row r="90" spans="1:11" ht="12" customHeight="1">
      <c r="A90" s="22"/>
      <c r="B90" s="28" t="s">
        <v>62</v>
      </c>
      <c r="C90" s="41">
        <v>17494.509999999998</v>
      </c>
      <c r="D90" s="61"/>
      <c r="E90" s="35"/>
      <c r="F90" s="35">
        <f>E88-C90+E90</f>
        <v>54290.720000000001</v>
      </c>
      <c r="G90" s="55" t="s">
        <v>295</v>
      </c>
      <c r="H90" s="57" t="s">
        <v>296</v>
      </c>
      <c r="I90" s="84" t="s">
        <v>144</v>
      </c>
      <c r="J90" s="59">
        <f>1007.89+225.6</f>
        <v>1233.49</v>
      </c>
      <c r="K90" s="39" t="s">
        <v>297</v>
      </c>
    </row>
    <row r="91" spans="1:11" ht="12" customHeight="1">
      <c r="A91" s="22"/>
      <c r="B91" s="28" t="s">
        <v>68</v>
      </c>
      <c r="C91" s="41">
        <v>17575.990000000002</v>
      </c>
      <c r="D91" s="61" t="s">
        <v>298</v>
      </c>
      <c r="E91" s="35">
        <f>1007.89+225.6</f>
        <v>1233.49</v>
      </c>
      <c r="F91" s="35">
        <f t="shared" ref="F91:F101" si="4">F90-C91+E91</f>
        <v>37948.219999999994</v>
      </c>
      <c r="G91" s="86" t="s">
        <v>299</v>
      </c>
      <c r="H91" s="38"/>
      <c r="I91" s="46"/>
      <c r="J91" s="40">
        <v>17000</v>
      </c>
      <c r="K91" s="39"/>
    </row>
    <row r="92" spans="1:11" ht="12" customHeight="1">
      <c r="A92" s="22"/>
      <c r="B92" s="28" t="s">
        <v>70</v>
      </c>
      <c r="C92" s="41">
        <v>17519.509999999998</v>
      </c>
      <c r="D92" s="61"/>
      <c r="E92" s="35"/>
      <c r="F92" s="36">
        <f t="shared" si="4"/>
        <v>20428.709999999995</v>
      </c>
      <c r="G92" s="86" t="s">
        <v>300</v>
      </c>
      <c r="H92" s="38"/>
      <c r="I92" s="85"/>
      <c r="J92" s="40">
        <v>17000</v>
      </c>
      <c r="K92" s="39"/>
    </row>
    <row r="93" spans="1:11" ht="12" customHeight="1">
      <c r="A93" s="22"/>
      <c r="B93" s="28" t="s">
        <v>72</v>
      </c>
      <c r="C93" s="41">
        <v>16736.060000000001</v>
      </c>
      <c r="D93" s="61"/>
      <c r="E93" s="41"/>
      <c r="F93" s="36">
        <f t="shared" si="4"/>
        <v>3692.6499999999942</v>
      </c>
      <c r="G93" s="86" t="s">
        <v>301</v>
      </c>
      <c r="H93" s="38"/>
      <c r="I93" s="85"/>
      <c r="J93" s="87">
        <v>17000</v>
      </c>
      <c r="K93" s="39"/>
    </row>
    <row r="94" spans="1:11" ht="12" customHeight="1">
      <c r="A94" s="22"/>
      <c r="B94" s="28" t="s">
        <v>74</v>
      </c>
      <c r="C94" s="41">
        <v>17710.810000000001</v>
      </c>
      <c r="D94" s="61" t="s">
        <v>302</v>
      </c>
      <c r="E94" s="35">
        <v>17000</v>
      </c>
      <c r="F94" s="36">
        <f t="shared" si="4"/>
        <v>2981.8399999999929</v>
      </c>
      <c r="G94" s="55" t="s">
        <v>142</v>
      </c>
      <c r="H94" s="38" t="s">
        <v>143</v>
      </c>
      <c r="I94" s="85" t="s">
        <v>144</v>
      </c>
      <c r="J94" s="87">
        <v>203034.12</v>
      </c>
      <c r="K94" s="39" t="s">
        <v>303</v>
      </c>
    </row>
    <row r="95" spans="1:11" ht="12" customHeight="1">
      <c r="A95" s="22"/>
      <c r="B95" s="28" t="s">
        <v>75</v>
      </c>
      <c r="C95" s="41">
        <v>17710.810000000001</v>
      </c>
      <c r="D95" s="61" t="s">
        <v>302</v>
      </c>
      <c r="E95" s="35">
        <v>17000</v>
      </c>
      <c r="F95" s="36">
        <f t="shared" si="4"/>
        <v>2271.0299999999916</v>
      </c>
      <c r="G95" s="55" t="s">
        <v>142</v>
      </c>
      <c r="H95" s="88" t="s">
        <v>304</v>
      </c>
      <c r="I95" s="85" t="s">
        <v>144</v>
      </c>
      <c r="J95" s="60">
        <v>-1082.08</v>
      </c>
      <c r="K95" s="39" t="s">
        <v>303</v>
      </c>
    </row>
    <row r="96" spans="1:11" ht="12" customHeight="1">
      <c r="A96" s="22"/>
      <c r="B96" s="28" t="s">
        <v>78</v>
      </c>
      <c r="C96" s="41">
        <v>17710.810000000001</v>
      </c>
      <c r="D96" s="61" t="s">
        <v>302</v>
      </c>
      <c r="E96" s="81">
        <v>17000</v>
      </c>
      <c r="F96" s="35">
        <f t="shared" si="4"/>
        <v>1560.2199999999903</v>
      </c>
      <c r="G96" s="55" t="s">
        <v>99</v>
      </c>
      <c r="H96" s="89"/>
      <c r="I96" s="85"/>
      <c r="J96" s="60">
        <v>-51000</v>
      </c>
      <c r="K96" s="39"/>
    </row>
    <row r="97" spans="1:11" ht="12" customHeight="1">
      <c r="A97" s="22"/>
      <c r="B97" s="28" t="s">
        <v>79</v>
      </c>
      <c r="C97" s="41">
        <v>18986.93</v>
      </c>
      <c r="D97" s="61" t="s">
        <v>305</v>
      </c>
      <c r="E97" s="82">
        <f>203034.12-45123.37-1082.08</f>
        <v>156828.67000000001</v>
      </c>
      <c r="F97" s="35">
        <f t="shared" si="4"/>
        <v>139401.96</v>
      </c>
      <c r="G97" s="90" t="s">
        <v>147</v>
      </c>
      <c r="H97" s="89" t="s">
        <v>143</v>
      </c>
      <c r="I97" s="85" t="s">
        <v>144</v>
      </c>
      <c r="J97" s="60">
        <f>5876.63</f>
        <v>5876.63</v>
      </c>
      <c r="K97" s="39" t="s">
        <v>303</v>
      </c>
    </row>
    <row r="98" spans="1:11" ht="12" customHeight="1">
      <c r="A98" s="22"/>
      <c r="B98" s="28" t="s">
        <v>81</v>
      </c>
      <c r="C98" s="41">
        <v>17365.849999999999</v>
      </c>
      <c r="D98" s="61"/>
      <c r="E98" s="35"/>
      <c r="F98" s="35">
        <f t="shared" si="4"/>
        <v>122036.10999999999</v>
      </c>
      <c r="G98" s="90"/>
      <c r="H98" s="89"/>
      <c r="I98" s="85"/>
      <c r="J98" s="60"/>
      <c r="K98" s="39"/>
    </row>
    <row r="99" spans="1:11" ht="12" customHeight="1">
      <c r="A99" s="22"/>
      <c r="B99" s="28" t="s">
        <v>82</v>
      </c>
      <c r="C99" s="41">
        <v>17365.849999999999</v>
      </c>
      <c r="D99" s="61"/>
      <c r="E99" s="35"/>
      <c r="F99" s="35">
        <f t="shared" si="4"/>
        <v>104670.25999999998</v>
      </c>
      <c r="G99" s="55"/>
      <c r="H99" s="38"/>
      <c r="I99" s="85"/>
      <c r="J99" s="60"/>
      <c r="K99" s="39"/>
    </row>
    <row r="100" spans="1:11" ht="12" customHeight="1">
      <c r="A100" s="22"/>
      <c r="B100" s="28" t="s">
        <v>83</v>
      </c>
      <c r="C100" s="41">
        <v>17347.05</v>
      </c>
      <c r="D100" s="61"/>
      <c r="E100" s="35"/>
      <c r="F100" s="35">
        <f t="shared" si="4"/>
        <v>87323.209999999977</v>
      </c>
      <c r="G100" s="55"/>
      <c r="H100" s="38"/>
      <c r="I100" s="85"/>
      <c r="J100" s="40"/>
      <c r="K100" s="39"/>
    </row>
    <row r="101" spans="1:11" ht="12" customHeight="1">
      <c r="A101" s="22"/>
      <c r="B101" s="28" t="s">
        <v>84</v>
      </c>
      <c r="C101" s="41">
        <v>17347.05</v>
      </c>
      <c r="D101" s="61"/>
      <c r="E101" s="35"/>
      <c r="F101" s="35">
        <f t="shared" si="4"/>
        <v>69976.159999999974</v>
      </c>
      <c r="G101" s="90"/>
      <c r="H101" s="38"/>
      <c r="I101" s="85"/>
      <c r="J101" s="60"/>
      <c r="K101" s="39"/>
    </row>
    <row r="102" spans="1:11" ht="12" customHeight="1">
      <c r="A102" s="22"/>
      <c r="B102" s="50" t="s">
        <v>85</v>
      </c>
      <c r="C102" s="64">
        <f>SUM(C90:C101)</f>
        <v>210871.22999999998</v>
      </c>
      <c r="D102" s="22"/>
      <c r="E102" s="64">
        <f>SUM(E90:E101)</f>
        <v>209062.16000000003</v>
      </c>
      <c r="F102" s="22"/>
      <c r="G102" s="90"/>
      <c r="H102" s="38"/>
      <c r="I102" s="85"/>
      <c r="J102" s="60"/>
      <c r="K102" s="39"/>
    </row>
    <row r="103" spans="1:11" ht="12" customHeight="1">
      <c r="A103" s="22"/>
      <c r="B103" s="22"/>
      <c r="C103" s="22"/>
      <c r="D103" s="22"/>
      <c r="E103" s="22"/>
      <c r="F103" s="22"/>
      <c r="G103" s="90"/>
      <c r="H103" s="38"/>
      <c r="I103" s="91"/>
      <c r="J103" s="60"/>
      <c r="K103" s="39"/>
    </row>
    <row r="104" spans="1:11" ht="12" customHeight="1">
      <c r="A104" s="22"/>
      <c r="B104" s="23" t="s">
        <v>149</v>
      </c>
      <c r="C104" s="22"/>
      <c r="D104" s="22"/>
      <c r="E104" s="22"/>
      <c r="F104" s="22"/>
      <c r="G104" s="63" t="s">
        <v>150</v>
      </c>
      <c r="H104" s="38"/>
      <c r="I104" s="39"/>
      <c r="J104" s="40"/>
      <c r="K104" s="39"/>
    </row>
    <row r="105" spans="1:11" ht="12" customHeight="1">
      <c r="A105" s="22"/>
      <c r="B105" s="23" t="s">
        <v>44</v>
      </c>
      <c r="C105" s="22"/>
      <c r="D105" s="22"/>
      <c r="E105" s="26" t="s">
        <v>151</v>
      </c>
      <c r="F105" s="22"/>
      <c r="G105" s="22"/>
    </row>
    <row r="106" spans="1:11" ht="12" customHeight="1">
      <c r="A106" s="22"/>
      <c r="B106" s="23" t="s">
        <v>47</v>
      </c>
      <c r="C106" s="22"/>
      <c r="D106" s="22"/>
      <c r="E106" s="26" t="s">
        <v>48</v>
      </c>
      <c r="F106" s="22"/>
      <c r="G106" s="22"/>
    </row>
    <row r="107" spans="1:11" ht="12" customHeight="1">
      <c r="A107" s="22"/>
      <c r="B107" s="23" t="str">
        <f>B5</f>
        <v>BALANCE AT 12-31-14</v>
      </c>
      <c r="C107" s="22"/>
      <c r="D107" s="23"/>
      <c r="E107" s="27">
        <v>5918</v>
      </c>
      <c r="F107" s="22"/>
      <c r="G107" s="22" t="s">
        <v>51</v>
      </c>
    </row>
    <row r="108" spans="1:11" ht="12" customHeight="1">
      <c r="A108" s="22"/>
      <c r="B108" s="28" t="s">
        <v>52</v>
      </c>
      <c r="C108" s="29" t="s">
        <v>53</v>
      </c>
      <c r="D108" s="29" t="s">
        <v>54</v>
      </c>
      <c r="E108" s="29" t="s">
        <v>55</v>
      </c>
      <c r="F108" s="29" t="s">
        <v>56</v>
      </c>
      <c r="G108" s="30" t="s">
        <v>57</v>
      </c>
      <c r="H108" s="31" t="s">
        <v>58</v>
      </c>
      <c r="I108" s="32" t="s">
        <v>59</v>
      </c>
      <c r="J108" s="32" t="s">
        <v>60</v>
      </c>
      <c r="K108" s="32" t="s">
        <v>61</v>
      </c>
    </row>
    <row r="109" spans="1:11" ht="12" customHeight="1">
      <c r="A109" s="22"/>
      <c r="B109" s="28" t="s">
        <v>62</v>
      </c>
      <c r="C109" s="33">
        <v>1479.5</v>
      </c>
      <c r="D109" s="92"/>
      <c r="E109" s="33"/>
      <c r="F109" s="35">
        <f>E107-C109+E109</f>
        <v>4438.5</v>
      </c>
      <c r="G109" s="55" t="s">
        <v>152</v>
      </c>
      <c r="H109" s="38" t="s">
        <v>153</v>
      </c>
      <c r="I109" s="39" t="s">
        <v>154</v>
      </c>
      <c r="J109" s="40">
        <v>17754</v>
      </c>
      <c r="K109" s="58" t="s">
        <v>196</v>
      </c>
    </row>
    <row r="110" spans="1:11" ht="12" customHeight="1">
      <c r="A110" s="22"/>
      <c r="B110" s="28" t="s">
        <v>68</v>
      </c>
      <c r="C110" s="33">
        <v>1479.5</v>
      </c>
      <c r="D110" s="35"/>
      <c r="E110" s="35"/>
      <c r="F110" s="35">
        <f t="shared" ref="F110:F120" si="5">F109-C110+E110</f>
        <v>2959</v>
      </c>
      <c r="G110" s="55"/>
      <c r="H110" s="38"/>
      <c r="I110" s="39"/>
      <c r="J110" s="59"/>
      <c r="K110" s="39"/>
    </row>
    <row r="111" spans="1:11" ht="12" customHeight="1">
      <c r="A111" s="22"/>
      <c r="B111" s="28" t="s">
        <v>70</v>
      </c>
      <c r="C111" s="33">
        <v>1479.5</v>
      </c>
      <c r="D111" s="35"/>
      <c r="E111" s="35"/>
      <c r="F111" s="35">
        <f t="shared" si="5"/>
        <v>1479.5</v>
      </c>
      <c r="G111" s="55"/>
      <c r="H111" s="38"/>
      <c r="I111" s="39"/>
      <c r="J111" s="40"/>
      <c r="K111" s="58"/>
    </row>
    <row r="112" spans="1:11" ht="12" customHeight="1">
      <c r="A112" s="22"/>
      <c r="B112" s="28" t="s">
        <v>72</v>
      </c>
      <c r="C112" s="41">
        <v>1479.5</v>
      </c>
      <c r="D112" s="35"/>
      <c r="E112" s="35"/>
      <c r="F112" s="35">
        <f t="shared" si="5"/>
        <v>0</v>
      </c>
      <c r="G112" s="55"/>
      <c r="H112" s="38"/>
      <c r="I112" s="58"/>
      <c r="J112" s="59"/>
      <c r="K112" s="39"/>
    </row>
    <row r="113" spans="1:11" ht="12" customHeight="1">
      <c r="A113" s="22"/>
      <c r="B113" s="28" t="s">
        <v>74</v>
      </c>
      <c r="C113" s="41">
        <v>1479.5</v>
      </c>
      <c r="D113" s="70" t="s">
        <v>306</v>
      </c>
      <c r="E113" s="35">
        <v>17754</v>
      </c>
      <c r="F113" s="35">
        <f t="shared" si="5"/>
        <v>16274.5</v>
      </c>
      <c r="G113" s="55"/>
      <c r="H113" s="38"/>
      <c r="I113" s="39"/>
      <c r="J113" s="40"/>
      <c r="K113" s="39"/>
    </row>
    <row r="114" spans="1:11" ht="12" customHeight="1">
      <c r="A114" s="22"/>
      <c r="B114" s="28" t="s">
        <v>75</v>
      </c>
      <c r="C114" s="41">
        <v>1479.5</v>
      </c>
      <c r="D114" s="35"/>
      <c r="E114" s="35"/>
      <c r="F114" s="35">
        <f t="shared" si="5"/>
        <v>14795</v>
      </c>
      <c r="G114" s="79"/>
      <c r="H114" s="38"/>
      <c r="I114" s="39"/>
      <c r="J114" s="40"/>
      <c r="K114" s="39"/>
    </row>
    <row r="115" spans="1:11" ht="12" customHeight="1">
      <c r="A115" s="22"/>
      <c r="B115" s="28" t="s">
        <v>78</v>
      </c>
      <c r="C115" s="41">
        <v>1479.5</v>
      </c>
      <c r="D115" s="35"/>
      <c r="E115" s="35"/>
      <c r="F115" s="35">
        <f t="shared" si="5"/>
        <v>13315.5</v>
      </c>
      <c r="G115" s="79"/>
      <c r="H115" s="38"/>
      <c r="I115" s="39"/>
      <c r="J115" s="40"/>
      <c r="K115" s="39"/>
    </row>
    <row r="116" spans="1:11" ht="12" customHeight="1">
      <c r="A116" s="22"/>
      <c r="B116" s="28" t="s">
        <v>79</v>
      </c>
      <c r="C116" s="41">
        <v>1479.5</v>
      </c>
      <c r="D116" s="35"/>
      <c r="E116" s="35"/>
      <c r="F116" s="35">
        <f t="shared" si="5"/>
        <v>11836</v>
      </c>
      <c r="G116" s="79"/>
      <c r="H116" s="38"/>
      <c r="I116" s="39"/>
      <c r="J116" s="40"/>
      <c r="K116" s="39"/>
    </row>
    <row r="117" spans="1:11" ht="12" customHeight="1">
      <c r="A117" s="22"/>
      <c r="B117" s="28" t="s">
        <v>81</v>
      </c>
      <c r="C117" s="41">
        <v>1479.5</v>
      </c>
      <c r="D117" s="35"/>
      <c r="E117" s="35"/>
      <c r="F117" s="35">
        <f t="shared" si="5"/>
        <v>10356.5</v>
      </c>
      <c r="G117" s="79"/>
      <c r="H117" s="38"/>
      <c r="I117" s="39"/>
      <c r="J117" s="40"/>
      <c r="K117" s="39"/>
    </row>
    <row r="118" spans="1:11" ht="12" customHeight="1">
      <c r="A118" s="22"/>
      <c r="B118" s="28" t="s">
        <v>82</v>
      </c>
      <c r="C118" s="41">
        <v>1479.5</v>
      </c>
      <c r="D118" s="35"/>
      <c r="E118" s="35"/>
      <c r="F118" s="35">
        <f t="shared" si="5"/>
        <v>8877</v>
      </c>
      <c r="G118" s="79"/>
      <c r="H118" s="38"/>
      <c r="I118" s="39"/>
      <c r="J118" s="40"/>
      <c r="K118" s="39"/>
    </row>
    <row r="119" spans="1:11" ht="12" customHeight="1">
      <c r="A119" s="22"/>
      <c r="B119" s="28" t="s">
        <v>83</v>
      </c>
      <c r="C119" s="41">
        <v>1479.5</v>
      </c>
      <c r="D119" s="35"/>
      <c r="E119" s="35"/>
      <c r="F119" s="35">
        <f t="shared" si="5"/>
        <v>7397.5</v>
      </c>
      <c r="G119" s="79"/>
      <c r="H119" s="38"/>
      <c r="I119" s="39"/>
      <c r="J119" s="40"/>
      <c r="K119" s="39"/>
    </row>
    <row r="120" spans="1:11" ht="12" customHeight="1">
      <c r="A120" s="22"/>
      <c r="B120" s="28" t="s">
        <v>84</v>
      </c>
      <c r="C120" s="41">
        <v>1479.5</v>
      </c>
      <c r="D120" s="35"/>
      <c r="E120" s="35"/>
      <c r="F120" s="35">
        <f t="shared" si="5"/>
        <v>5918</v>
      </c>
      <c r="G120" s="79"/>
      <c r="H120" s="38"/>
      <c r="I120" s="39"/>
      <c r="J120" s="40"/>
      <c r="K120" s="39"/>
    </row>
    <row r="121" spans="1:11" ht="12" customHeight="1">
      <c r="A121" s="22"/>
      <c r="B121" s="50" t="s">
        <v>85</v>
      </c>
      <c r="C121" s="64">
        <f>SUM(C109:C120)</f>
        <v>17754</v>
      </c>
      <c r="D121" s="22"/>
      <c r="E121" s="64">
        <f>SUM(E109:E120)</f>
        <v>17754</v>
      </c>
      <c r="F121" s="22"/>
      <c r="G121" s="22"/>
    </row>
    <row r="122" spans="1:11" ht="12" customHeight="1">
      <c r="A122" s="22"/>
      <c r="B122" s="22"/>
      <c r="C122" s="22"/>
      <c r="D122" s="22"/>
      <c r="E122" s="22"/>
      <c r="F122" s="22"/>
      <c r="G122" s="22" t="s">
        <v>51</v>
      </c>
    </row>
    <row r="123" spans="1:11" ht="12" customHeight="1">
      <c r="A123" s="22"/>
      <c r="B123" s="23" t="s">
        <v>156</v>
      </c>
      <c r="C123" s="22"/>
      <c r="D123" s="22"/>
      <c r="E123" s="22"/>
      <c r="F123" s="22"/>
      <c r="G123" s="30" t="s">
        <v>57</v>
      </c>
      <c r="H123" s="31" t="s">
        <v>58</v>
      </c>
      <c r="I123" s="32" t="s">
        <v>59</v>
      </c>
      <c r="J123" s="32" t="s">
        <v>60</v>
      </c>
      <c r="K123" s="32" t="s">
        <v>61</v>
      </c>
    </row>
    <row r="124" spans="1:11" ht="12" customHeight="1">
      <c r="A124" s="22"/>
      <c r="B124" s="23" t="s">
        <v>44</v>
      </c>
      <c r="C124" s="22"/>
      <c r="D124" s="22"/>
      <c r="E124" s="26" t="s">
        <v>157</v>
      </c>
      <c r="F124" s="22"/>
      <c r="G124" s="86" t="s">
        <v>307</v>
      </c>
      <c r="H124" s="38" t="s">
        <v>308</v>
      </c>
      <c r="I124" s="39"/>
      <c r="J124" s="40">
        <f>-532*3</f>
        <v>-1596</v>
      </c>
      <c r="K124" s="39"/>
    </row>
    <row r="125" spans="1:11" ht="12" customHeight="1">
      <c r="A125" s="22"/>
      <c r="B125" s="23" t="s">
        <v>47</v>
      </c>
      <c r="C125" s="22"/>
      <c r="D125" s="22"/>
      <c r="E125" s="26" t="s">
        <v>48</v>
      </c>
      <c r="F125" s="22"/>
      <c r="G125" s="86" t="s">
        <v>309</v>
      </c>
      <c r="H125" s="38" t="s">
        <v>174</v>
      </c>
      <c r="I125" s="39"/>
      <c r="J125" s="59">
        <v>-3605</v>
      </c>
      <c r="K125" s="39"/>
    </row>
    <row r="126" spans="1:11" ht="12" customHeight="1">
      <c r="A126" s="22"/>
      <c r="B126" s="23" t="str">
        <f>B5</f>
        <v>BALANCE AT 12-31-14</v>
      </c>
      <c r="C126" s="22"/>
      <c r="D126" s="23"/>
      <c r="E126" s="27">
        <v>1769027.71</v>
      </c>
      <c r="F126" s="22"/>
      <c r="G126" s="110" t="s">
        <v>310</v>
      </c>
      <c r="H126" s="38" t="s">
        <v>174</v>
      </c>
      <c r="I126" s="39"/>
      <c r="J126" s="40">
        <v>-18540</v>
      </c>
      <c r="K126" s="39"/>
    </row>
    <row r="127" spans="1:11" ht="12" customHeight="1">
      <c r="A127" s="22"/>
      <c r="B127" s="28" t="s">
        <v>52</v>
      </c>
      <c r="C127" s="29" t="s">
        <v>53</v>
      </c>
      <c r="D127" s="29" t="s">
        <v>54</v>
      </c>
      <c r="E127" s="29" t="s">
        <v>55</v>
      </c>
      <c r="F127" s="29" t="s">
        <v>56</v>
      </c>
      <c r="G127" s="110" t="s">
        <v>311</v>
      </c>
      <c r="H127" s="38" t="s">
        <v>174</v>
      </c>
      <c r="I127" s="58"/>
      <c r="J127" s="59">
        <v>-8240</v>
      </c>
      <c r="K127" s="39"/>
    </row>
    <row r="128" spans="1:11" ht="12" customHeight="1">
      <c r="A128" s="22"/>
      <c r="B128" s="28" t="s">
        <v>62</v>
      </c>
      <c r="C128" s="41">
        <v>222147.83</v>
      </c>
      <c r="D128" s="35"/>
      <c r="E128" s="35"/>
      <c r="F128" s="35">
        <f>E126-C128+E128</f>
        <v>1546879.88</v>
      </c>
      <c r="G128" s="110" t="s">
        <v>312</v>
      </c>
      <c r="H128" s="38" t="s">
        <v>174</v>
      </c>
      <c r="I128" s="39"/>
      <c r="J128" s="40">
        <v>-8240</v>
      </c>
      <c r="K128" s="39"/>
    </row>
    <row r="129" spans="1:11" ht="12" customHeight="1">
      <c r="A129" s="22"/>
      <c r="B129" s="28" t="s">
        <v>68</v>
      </c>
      <c r="C129" s="41">
        <v>222147.83</v>
      </c>
      <c r="D129" s="22"/>
      <c r="E129" s="35"/>
      <c r="F129" s="35">
        <f>F128+E129-C129</f>
        <v>1324732.0499999998</v>
      </c>
      <c r="G129" s="110" t="s">
        <v>313</v>
      </c>
      <c r="H129" s="38" t="s">
        <v>174</v>
      </c>
      <c r="I129" s="99"/>
      <c r="J129" s="40">
        <v>-7725</v>
      </c>
      <c r="K129" s="39"/>
    </row>
    <row r="130" spans="1:11" ht="12" customHeight="1">
      <c r="A130" s="22"/>
      <c r="B130" s="28" t="s">
        <v>70</v>
      </c>
      <c r="C130" s="41">
        <v>213890.84</v>
      </c>
      <c r="D130" s="43" t="s">
        <v>285</v>
      </c>
      <c r="E130" s="35">
        <f>-1596-3605-18540-8240-8240-7725</f>
        <v>-47946</v>
      </c>
      <c r="F130" s="35">
        <f t="shared" ref="F130:F138" si="6">F129+E130-C130</f>
        <v>1062895.2099999997</v>
      </c>
      <c r="G130" s="110" t="s">
        <v>314</v>
      </c>
      <c r="H130" s="38" t="s">
        <v>174</v>
      </c>
      <c r="I130" s="39"/>
      <c r="J130" s="40">
        <v>-1545</v>
      </c>
      <c r="K130" s="39"/>
    </row>
    <row r="131" spans="1:11" ht="12" customHeight="1">
      <c r="A131" s="22"/>
      <c r="B131" s="28" t="s">
        <v>72</v>
      </c>
      <c r="C131" s="41">
        <v>213581.84</v>
      </c>
      <c r="D131" s="35" t="s">
        <v>315</v>
      </c>
      <c r="E131" s="35">
        <v>-1545</v>
      </c>
      <c r="F131" s="35">
        <f t="shared" si="6"/>
        <v>847768.36999999976</v>
      </c>
      <c r="G131" s="55" t="s">
        <v>316</v>
      </c>
      <c r="H131" s="38" t="s">
        <v>308</v>
      </c>
      <c r="I131" s="94" t="s">
        <v>168</v>
      </c>
      <c r="J131" s="40">
        <v>35173</v>
      </c>
      <c r="K131" s="39" t="s">
        <v>317</v>
      </c>
    </row>
    <row r="132" spans="1:11" ht="12" customHeight="1">
      <c r="A132" s="22"/>
      <c r="B132" s="28" t="s">
        <v>74</v>
      </c>
      <c r="C132" s="41">
        <v>213581.8</v>
      </c>
      <c r="D132" s="102" t="s">
        <v>318</v>
      </c>
      <c r="E132" s="35">
        <v>35173</v>
      </c>
      <c r="F132" s="35">
        <f t="shared" si="6"/>
        <v>669359.56999999983</v>
      </c>
      <c r="G132" s="55" t="s">
        <v>316</v>
      </c>
      <c r="H132" s="38" t="s">
        <v>308</v>
      </c>
      <c r="I132" s="94" t="s">
        <v>168</v>
      </c>
      <c r="J132" s="40">
        <v>3942</v>
      </c>
      <c r="K132" s="39" t="s">
        <v>319</v>
      </c>
    </row>
    <row r="133" spans="1:11" ht="12" customHeight="1">
      <c r="A133" s="22"/>
      <c r="B133" s="28" t="s">
        <v>75</v>
      </c>
      <c r="C133" s="41">
        <v>214418.5</v>
      </c>
      <c r="D133" s="102"/>
      <c r="E133" s="35"/>
      <c r="F133" s="35">
        <f t="shared" si="6"/>
        <v>454941.06999999983</v>
      </c>
      <c r="G133" s="55" t="s">
        <v>173</v>
      </c>
      <c r="H133" s="38" t="s">
        <v>174</v>
      </c>
      <c r="I133" s="39"/>
      <c r="J133" s="40">
        <v>-9938.7199999999993</v>
      </c>
      <c r="K133" s="39" t="s">
        <v>160</v>
      </c>
    </row>
    <row r="134" spans="1:11" ht="12" customHeight="1">
      <c r="A134" s="22"/>
      <c r="B134" s="28" t="s">
        <v>78</v>
      </c>
      <c r="C134" s="41">
        <v>214418.51</v>
      </c>
      <c r="D134" s="35" t="s">
        <v>320</v>
      </c>
      <c r="E134" s="35">
        <v>3942</v>
      </c>
      <c r="F134" s="35">
        <f t="shared" si="6"/>
        <v>244464.55999999982</v>
      </c>
      <c r="G134" s="55" t="s">
        <v>321</v>
      </c>
      <c r="H134" s="38" t="s">
        <v>174</v>
      </c>
      <c r="I134" s="94" t="s">
        <v>168</v>
      </c>
      <c r="J134" s="40">
        <v>123014.45</v>
      </c>
      <c r="K134" s="39" t="s">
        <v>322</v>
      </c>
    </row>
    <row r="135" spans="1:11" ht="12" customHeight="1">
      <c r="A135" s="22"/>
      <c r="B135" s="28" t="s">
        <v>79</v>
      </c>
      <c r="C135" s="41">
        <v>214471.3</v>
      </c>
      <c r="D135" s="102"/>
      <c r="E135" s="35"/>
      <c r="F135" s="35">
        <f t="shared" si="6"/>
        <v>29993.259999999835</v>
      </c>
      <c r="G135" s="55" t="s">
        <v>175</v>
      </c>
      <c r="H135" s="38" t="s">
        <v>174</v>
      </c>
      <c r="I135" s="39"/>
      <c r="J135" s="40">
        <v>132000</v>
      </c>
      <c r="K135" s="39" t="s">
        <v>160</v>
      </c>
    </row>
    <row r="136" spans="1:11" ht="12" customHeight="1">
      <c r="A136" s="22"/>
      <c r="B136" s="28" t="s">
        <v>81</v>
      </c>
      <c r="C136" s="33">
        <v>347961.98</v>
      </c>
      <c r="D136" s="151" t="s">
        <v>323</v>
      </c>
      <c r="E136" s="35">
        <f>-9938.72+7527+123014.45+132000+2704279-256408.85</f>
        <v>2700472.88</v>
      </c>
      <c r="F136" s="35">
        <f t="shared" si="6"/>
        <v>2382504.1599999997</v>
      </c>
      <c r="G136" s="108" t="s">
        <v>166</v>
      </c>
      <c r="H136" s="38" t="s">
        <v>174</v>
      </c>
      <c r="I136" s="94" t="s">
        <v>168</v>
      </c>
      <c r="J136" s="96">
        <v>2704279</v>
      </c>
      <c r="K136" s="97" t="s">
        <v>160</v>
      </c>
    </row>
    <row r="137" spans="1:11" ht="12" customHeight="1">
      <c r="A137" s="22"/>
      <c r="B137" s="28" t="s">
        <v>82</v>
      </c>
      <c r="C137" s="41">
        <v>223864.19</v>
      </c>
      <c r="D137" s="152" t="s">
        <v>324</v>
      </c>
      <c r="E137" s="35">
        <f>16500+25000+2167+1360-1875-2125</f>
        <v>41027</v>
      </c>
      <c r="F137" s="35">
        <f t="shared" si="6"/>
        <v>2199666.9699999997</v>
      </c>
      <c r="G137" s="108" t="s">
        <v>177</v>
      </c>
      <c r="H137" s="38" t="s">
        <v>174</v>
      </c>
      <c r="I137" s="109"/>
      <c r="J137" s="96">
        <v>-256408.85</v>
      </c>
      <c r="K137" s="97" t="s">
        <v>160</v>
      </c>
    </row>
    <row r="138" spans="1:11" ht="12" customHeight="1">
      <c r="A138" s="22"/>
      <c r="B138" s="28" t="s">
        <v>83</v>
      </c>
      <c r="C138" s="41">
        <v>224404.86</v>
      </c>
      <c r="D138" s="105" t="s">
        <v>325</v>
      </c>
      <c r="E138" s="35">
        <f>26000+1360-4334</f>
        <v>23026</v>
      </c>
      <c r="F138" s="35">
        <f t="shared" si="6"/>
        <v>1998288.1099999999</v>
      </c>
      <c r="G138" s="153" t="s">
        <v>178</v>
      </c>
      <c r="H138" s="38" t="s">
        <v>174</v>
      </c>
      <c r="I138" s="109"/>
      <c r="J138" s="96">
        <v>25000</v>
      </c>
      <c r="K138" s="97" t="s">
        <v>326</v>
      </c>
    </row>
    <row r="139" spans="1:11" ht="12" customHeight="1">
      <c r="A139" s="22"/>
      <c r="B139" s="28" t="s">
        <v>84</v>
      </c>
      <c r="C139" s="106">
        <v>213165.45</v>
      </c>
      <c r="D139" s="105" t="s">
        <v>327</v>
      </c>
      <c r="E139" s="81">
        <f>16655-4080-18360-3750-11945.25</f>
        <v>-21480.25</v>
      </c>
      <c r="F139" s="35">
        <f>F138+E139-C139</f>
        <v>1763642.41</v>
      </c>
      <c r="G139" s="108" t="s">
        <v>181</v>
      </c>
      <c r="H139" s="38" t="s">
        <v>174</v>
      </c>
      <c r="I139" s="109" t="s">
        <v>182</v>
      </c>
      <c r="J139" s="96">
        <v>16500</v>
      </c>
      <c r="K139" s="97" t="s">
        <v>160</v>
      </c>
    </row>
    <row r="140" spans="1:11" ht="12" customHeight="1">
      <c r="A140" s="22"/>
      <c r="B140" s="50" t="s">
        <v>85</v>
      </c>
      <c r="C140" s="64">
        <f>SUM(C128:C139)</f>
        <v>2738054.93</v>
      </c>
      <c r="D140" s="107"/>
      <c r="E140" s="64">
        <f>SUM(E128:E139)</f>
        <v>2732669.63</v>
      </c>
      <c r="F140" s="53"/>
      <c r="G140" s="153" t="s">
        <v>184</v>
      </c>
      <c r="H140" s="38" t="s">
        <v>174</v>
      </c>
      <c r="I140" s="94" t="s">
        <v>185</v>
      </c>
      <c r="J140" s="96">
        <v>26000</v>
      </c>
      <c r="K140" s="97" t="s">
        <v>160</v>
      </c>
    </row>
    <row r="141" spans="1:11" ht="12" customHeight="1">
      <c r="A141" s="22"/>
      <c r="B141" s="50"/>
      <c r="C141" s="64"/>
      <c r="D141" s="107"/>
      <c r="E141" s="64"/>
      <c r="F141" s="53"/>
      <c r="G141" s="108" t="s">
        <v>187</v>
      </c>
      <c r="H141" s="38" t="s">
        <v>174</v>
      </c>
      <c r="I141" s="109"/>
      <c r="J141" s="96">
        <v>16655</v>
      </c>
      <c r="K141" s="97" t="s">
        <v>160</v>
      </c>
    </row>
    <row r="142" spans="1:11" ht="12" customHeight="1">
      <c r="A142" s="22"/>
      <c r="B142" s="50"/>
      <c r="C142" s="64"/>
      <c r="D142" s="107"/>
      <c r="E142" s="64"/>
      <c r="F142" s="53"/>
      <c r="G142" s="86" t="s">
        <v>309</v>
      </c>
      <c r="H142" s="38" t="s">
        <v>174</v>
      </c>
      <c r="I142" s="109"/>
      <c r="J142" s="96">
        <v>-3750</v>
      </c>
      <c r="K142" s="97"/>
    </row>
    <row r="143" spans="1:11" ht="12" customHeight="1">
      <c r="A143" s="22"/>
      <c r="B143" s="50"/>
      <c r="C143" s="51"/>
      <c r="D143" s="107"/>
      <c r="E143" s="53"/>
      <c r="F143" s="53"/>
      <c r="G143" s="110" t="s">
        <v>310</v>
      </c>
      <c r="H143" s="38" t="s">
        <v>174</v>
      </c>
      <c r="I143" s="109"/>
      <c r="J143" s="96">
        <v>-18360</v>
      </c>
      <c r="K143" s="97"/>
    </row>
    <row r="144" spans="1:11" ht="12" customHeight="1">
      <c r="A144" s="22"/>
      <c r="B144" s="23" t="s">
        <v>191</v>
      </c>
      <c r="C144" s="22"/>
      <c r="D144" s="22"/>
      <c r="E144" s="22"/>
      <c r="F144" s="22"/>
      <c r="G144" s="110" t="s">
        <v>312</v>
      </c>
      <c r="H144" s="38" t="s">
        <v>174</v>
      </c>
      <c r="I144" s="109"/>
      <c r="J144" s="96">
        <v>-11945.25</v>
      </c>
      <c r="K144" s="97"/>
    </row>
    <row r="145" spans="1:11" ht="12" customHeight="1">
      <c r="A145" s="22"/>
      <c r="B145" s="23" t="s">
        <v>44</v>
      </c>
      <c r="C145" s="22"/>
      <c r="D145" s="22"/>
      <c r="E145" s="26" t="s">
        <v>192</v>
      </c>
      <c r="F145" s="22"/>
    </row>
    <row r="146" spans="1:11" ht="12" customHeight="1">
      <c r="A146" s="22"/>
      <c r="B146" s="23" t="s">
        <v>47</v>
      </c>
      <c r="C146" s="22"/>
      <c r="D146" s="22"/>
      <c r="E146" s="26" t="s">
        <v>48</v>
      </c>
      <c r="F146" s="22" t="s">
        <v>49</v>
      </c>
    </row>
    <row r="147" spans="1:11" ht="12" customHeight="1">
      <c r="A147" s="22"/>
      <c r="B147" s="23" t="str">
        <f>B5</f>
        <v>BALANCE AT 12-31-14</v>
      </c>
      <c r="C147" s="22"/>
      <c r="D147" s="23"/>
      <c r="E147" s="27">
        <v>99064.53</v>
      </c>
      <c r="F147" s="22"/>
      <c r="G147" s="22" t="s">
        <v>51</v>
      </c>
    </row>
    <row r="148" spans="1:11" ht="12" customHeight="1">
      <c r="A148" s="22"/>
      <c r="B148" s="28" t="s">
        <v>52</v>
      </c>
      <c r="C148" s="29" t="s">
        <v>53</v>
      </c>
      <c r="D148" s="29" t="s">
        <v>54</v>
      </c>
      <c r="E148" s="29" t="s">
        <v>55</v>
      </c>
      <c r="F148" s="29" t="s">
        <v>56</v>
      </c>
      <c r="G148" s="30" t="s">
        <v>57</v>
      </c>
      <c r="H148" s="31" t="s">
        <v>58</v>
      </c>
      <c r="I148" s="32" t="s">
        <v>59</v>
      </c>
      <c r="J148" s="32" t="s">
        <v>60</v>
      </c>
      <c r="K148" s="32" t="s">
        <v>61</v>
      </c>
    </row>
    <row r="149" spans="1:11" ht="12" customHeight="1">
      <c r="A149" s="22"/>
      <c r="B149" s="28" t="s">
        <v>62</v>
      </c>
      <c r="C149" s="41">
        <v>24766.14</v>
      </c>
      <c r="D149" s="78"/>
      <c r="E149" s="41"/>
      <c r="F149" s="35">
        <f>E147-C149+E149</f>
        <v>74298.39</v>
      </c>
      <c r="G149" s="55" t="s">
        <v>101</v>
      </c>
      <c r="H149" s="38" t="s">
        <v>199</v>
      </c>
      <c r="I149" s="39" t="s">
        <v>200</v>
      </c>
      <c r="J149" s="40">
        <v>145282</v>
      </c>
      <c r="K149" s="39" t="s">
        <v>196</v>
      </c>
    </row>
    <row r="150" spans="1:11" ht="12" customHeight="1">
      <c r="A150" s="22"/>
      <c r="B150" s="28" t="s">
        <v>68</v>
      </c>
      <c r="C150" s="41">
        <v>24766.14</v>
      </c>
      <c r="D150" s="78"/>
      <c r="E150" s="35"/>
      <c r="F150" s="35">
        <f t="shared" ref="F150:F160" si="7">F149-C150+E150</f>
        <v>49532.25</v>
      </c>
      <c r="G150" s="55" t="s">
        <v>101</v>
      </c>
      <c r="H150" s="38" t="s">
        <v>105</v>
      </c>
      <c r="I150" s="39" t="s">
        <v>200</v>
      </c>
      <c r="J150" s="59">
        <v>7264.1</v>
      </c>
      <c r="K150" s="39" t="s">
        <v>196</v>
      </c>
    </row>
    <row r="151" spans="1:11" ht="12" customHeight="1">
      <c r="A151" s="22"/>
      <c r="B151" s="28" t="s">
        <v>70</v>
      </c>
      <c r="C151" s="41">
        <v>24766.14</v>
      </c>
      <c r="D151" s="35"/>
      <c r="E151" s="35"/>
      <c r="F151" s="35">
        <f t="shared" si="7"/>
        <v>24766.11</v>
      </c>
      <c r="G151" s="55" t="s">
        <v>201</v>
      </c>
      <c r="H151" s="38" t="s">
        <v>199</v>
      </c>
      <c r="I151" s="39" t="s">
        <v>202</v>
      </c>
      <c r="J151" s="40">
        <v>81366</v>
      </c>
      <c r="K151" s="39" t="s">
        <v>196</v>
      </c>
    </row>
    <row r="152" spans="1:11" ht="12" customHeight="1">
      <c r="A152" s="22"/>
      <c r="B152" s="28" t="s">
        <v>72</v>
      </c>
      <c r="C152" s="41">
        <v>24766.11</v>
      </c>
      <c r="D152" s="61"/>
      <c r="E152" s="35"/>
      <c r="F152" s="35">
        <f t="shared" si="7"/>
        <v>0</v>
      </c>
      <c r="G152" s="55" t="s">
        <v>193</v>
      </c>
      <c r="H152" s="38" t="s">
        <v>194</v>
      </c>
      <c r="I152" s="84" t="s">
        <v>195</v>
      </c>
      <c r="J152" s="59">
        <v>52500</v>
      </c>
      <c r="K152" s="39" t="s">
        <v>196</v>
      </c>
    </row>
    <row r="153" spans="1:11" ht="12" customHeight="1">
      <c r="A153" s="22"/>
      <c r="B153" s="28" t="s">
        <v>74</v>
      </c>
      <c r="C153" s="41">
        <v>25242.67</v>
      </c>
      <c r="D153" s="70" t="s">
        <v>306</v>
      </c>
      <c r="E153" s="35">
        <v>302912.09999999998</v>
      </c>
      <c r="F153" s="35">
        <f t="shared" si="7"/>
        <v>277669.43</v>
      </c>
      <c r="G153" s="55" t="s">
        <v>197</v>
      </c>
      <c r="H153" s="57" t="s">
        <v>194</v>
      </c>
      <c r="I153" s="39" t="s">
        <v>198</v>
      </c>
      <c r="J153" s="40">
        <v>16500</v>
      </c>
      <c r="K153" s="39" t="s">
        <v>196</v>
      </c>
    </row>
    <row r="154" spans="1:11" ht="12" customHeight="1">
      <c r="A154" s="22"/>
      <c r="B154" s="28" t="s">
        <v>75</v>
      </c>
      <c r="C154" s="41">
        <v>24779.62</v>
      </c>
      <c r="D154" s="111" t="s">
        <v>288</v>
      </c>
      <c r="E154" s="35">
        <v>-1111.32</v>
      </c>
      <c r="F154" s="35">
        <f t="shared" si="7"/>
        <v>251778.49</v>
      </c>
      <c r="G154" s="55" t="s">
        <v>111</v>
      </c>
      <c r="H154" s="63" t="s">
        <v>328</v>
      </c>
      <c r="I154" s="39"/>
      <c r="J154" s="40">
        <v>-1111.32</v>
      </c>
      <c r="K154" s="39" t="s">
        <v>289</v>
      </c>
    </row>
    <row r="155" spans="1:11" ht="12" customHeight="1">
      <c r="A155" s="22"/>
      <c r="B155" s="28" t="s">
        <v>78</v>
      </c>
      <c r="C155" s="41">
        <v>25150.06</v>
      </c>
      <c r="D155" s="78"/>
      <c r="E155" s="35"/>
      <c r="F155" s="35">
        <f t="shared" si="7"/>
        <v>226628.43</v>
      </c>
      <c r="G155" s="55"/>
      <c r="H155" s="38"/>
      <c r="I155" s="39"/>
      <c r="J155" s="40"/>
      <c r="K155" s="39"/>
    </row>
    <row r="156" spans="1:11" ht="12" customHeight="1">
      <c r="A156" s="22"/>
      <c r="B156" s="28" t="s">
        <v>79</v>
      </c>
      <c r="C156" s="41">
        <v>25150.06</v>
      </c>
      <c r="D156" s="78"/>
      <c r="E156" s="35"/>
      <c r="F156" s="35">
        <f t="shared" si="7"/>
        <v>201478.37</v>
      </c>
      <c r="G156" s="55"/>
      <c r="H156" s="38"/>
      <c r="I156" s="39"/>
      <c r="J156" s="40"/>
      <c r="K156" s="39"/>
    </row>
    <row r="157" spans="1:11" ht="12" customHeight="1">
      <c r="A157" s="22"/>
      <c r="B157" s="28" t="s">
        <v>81</v>
      </c>
      <c r="C157" s="41">
        <v>25150.06</v>
      </c>
      <c r="D157" s="78"/>
      <c r="E157" s="35"/>
      <c r="F157" s="35">
        <f t="shared" si="7"/>
        <v>176328.31</v>
      </c>
      <c r="G157" s="55"/>
      <c r="H157" s="38"/>
      <c r="I157" s="39"/>
      <c r="J157" s="40"/>
      <c r="K157" s="39"/>
    </row>
    <row r="158" spans="1:11" ht="12" customHeight="1">
      <c r="A158" s="22"/>
      <c r="B158" s="28" t="s">
        <v>82</v>
      </c>
      <c r="C158" s="41">
        <v>25150.06</v>
      </c>
      <c r="D158" s="78"/>
      <c r="E158" s="35"/>
      <c r="F158" s="35">
        <f t="shared" si="7"/>
        <v>151178.25</v>
      </c>
      <c r="G158" s="55"/>
      <c r="H158" s="38"/>
      <c r="I158" s="39"/>
      <c r="J158" s="40"/>
      <c r="K158" s="39"/>
    </row>
    <row r="159" spans="1:11" ht="12" customHeight="1">
      <c r="A159" s="22"/>
      <c r="B159" s="28" t="s">
        <v>83</v>
      </c>
      <c r="C159" s="41">
        <v>25150.06</v>
      </c>
      <c r="D159" s="78"/>
      <c r="E159" s="35"/>
      <c r="F159" s="35">
        <f t="shared" si="7"/>
        <v>126028.19</v>
      </c>
      <c r="G159" s="55"/>
      <c r="H159" s="38"/>
      <c r="I159" s="39"/>
      <c r="J159" s="40"/>
      <c r="K159" s="39"/>
    </row>
    <row r="160" spans="1:11" ht="12" customHeight="1">
      <c r="A160" s="22"/>
      <c r="B160" s="28" t="s">
        <v>84</v>
      </c>
      <c r="C160" s="41">
        <v>25150.06</v>
      </c>
      <c r="D160" s="78"/>
      <c r="E160" s="35"/>
      <c r="F160" s="35">
        <f t="shared" si="7"/>
        <v>100878.13</v>
      </c>
      <c r="G160" s="55"/>
      <c r="H160" s="38"/>
      <c r="I160" s="39"/>
      <c r="J160" s="40"/>
      <c r="K160" s="39"/>
    </row>
    <row r="161" spans="1:11" ht="12" customHeight="1">
      <c r="A161" s="22"/>
      <c r="B161" s="50" t="s">
        <v>85</v>
      </c>
      <c r="C161" s="64">
        <f>SUM(C149:C160)</f>
        <v>299987.18</v>
      </c>
      <c r="D161" s="22"/>
      <c r="E161" s="64">
        <f>SUM(E149:E160)</f>
        <v>301800.77999999997</v>
      </c>
      <c r="F161" s="22"/>
      <c r="G161" s="22"/>
    </row>
    <row r="162" spans="1:11" ht="12" customHeight="1">
      <c r="A162" s="22"/>
      <c r="B162" s="22"/>
      <c r="C162" s="64"/>
      <c r="D162" s="22"/>
      <c r="E162" s="64"/>
      <c r="F162" s="22"/>
      <c r="G162" s="22"/>
    </row>
    <row r="163" spans="1:11" ht="12" customHeight="1">
      <c r="A163" s="22"/>
      <c r="B163" s="23" t="s">
        <v>204</v>
      </c>
      <c r="C163" s="22"/>
      <c r="D163" s="22"/>
      <c r="E163" s="22"/>
      <c r="F163" s="22"/>
      <c r="G163" s="22"/>
    </row>
    <row r="164" spans="1:11" ht="12" customHeight="1">
      <c r="A164" s="22"/>
      <c r="B164" s="23" t="s">
        <v>44</v>
      </c>
      <c r="C164" s="22"/>
      <c r="D164" s="22"/>
      <c r="E164" s="26" t="s">
        <v>205</v>
      </c>
      <c r="F164" s="22"/>
      <c r="G164" s="22"/>
    </row>
    <row r="165" spans="1:11" ht="12" customHeight="1">
      <c r="A165" s="22"/>
      <c r="B165" s="22" t="s">
        <v>47</v>
      </c>
      <c r="C165" s="22"/>
      <c r="D165" s="22"/>
      <c r="E165" s="26" t="s">
        <v>48</v>
      </c>
      <c r="F165" s="22" t="s">
        <v>49</v>
      </c>
      <c r="G165" s="22"/>
    </row>
    <row r="166" spans="1:11" ht="12" customHeight="1">
      <c r="A166" s="22"/>
      <c r="B166" s="23" t="str">
        <f>B5</f>
        <v>BALANCE AT 12-31-14</v>
      </c>
      <c r="C166" s="22"/>
      <c r="D166" s="23"/>
      <c r="E166" s="27">
        <v>21442.959999999999</v>
      </c>
      <c r="F166" s="22"/>
      <c r="G166" s="22" t="s">
        <v>51</v>
      </c>
    </row>
    <row r="167" spans="1:11" ht="12" customHeight="1">
      <c r="A167" s="22"/>
      <c r="B167" s="112" t="s">
        <v>52</v>
      </c>
      <c r="C167" s="113" t="s">
        <v>53</v>
      </c>
      <c r="D167" s="113" t="s">
        <v>54</v>
      </c>
      <c r="E167" s="113" t="s">
        <v>55</v>
      </c>
      <c r="F167" s="114" t="s">
        <v>56</v>
      </c>
      <c r="G167" s="30" t="s">
        <v>57</v>
      </c>
      <c r="H167" s="31" t="s">
        <v>58</v>
      </c>
      <c r="I167" s="32" t="s">
        <v>59</v>
      </c>
      <c r="J167" s="32" t="s">
        <v>60</v>
      </c>
      <c r="K167" s="32" t="s">
        <v>61</v>
      </c>
    </row>
    <row r="168" spans="1:11" ht="12" customHeight="1">
      <c r="A168" s="22"/>
      <c r="B168" s="115" t="s">
        <v>62</v>
      </c>
      <c r="C168" s="82">
        <v>3771.25</v>
      </c>
      <c r="D168" s="82" t="s">
        <v>329</v>
      </c>
      <c r="E168" s="82">
        <v>250</v>
      </c>
      <c r="F168" s="35">
        <f>E166-C168+E168</f>
        <v>17921.71</v>
      </c>
      <c r="G168" s="116" t="s">
        <v>227</v>
      </c>
      <c r="H168" s="38" t="s">
        <v>330</v>
      </c>
      <c r="I168" s="117" t="s">
        <v>331</v>
      </c>
      <c r="J168" s="40">
        <v>250</v>
      </c>
      <c r="K168" s="39" t="s">
        <v>332</v>
      </c>
    </row>
    <row r="169" spans="1:11" ht="12" customHeight="1">
      <c r="A169" s="22"/>
      <c r="B169" s="28" t="s">
        <v>68</v>
      </c>
      <c r="C169" s="41">
        <v>3771.29</v>
      </c>
      <c r="D169" s="118"/>
      <c r="E169" s="41"/>
      <c r="F169" s="35">
        <f t="shared" ref="F169:F179" si="8">F168-C169+E169</f>
        <v>14150.419999999998</v>
      </c>
      <c r="G169" s="116" t="s">
        <v>64</v>
      </c>
      <c r="H169" s="38" t="s">
        <v>333</v>
      </c>
      <c r="I169" s="117" t="s">
        <v>334</v>
      </c>
      <c r="J169" s="40">
        <v>200</v>
      </c>
      <c r="K169" s="39" t="s">
        <v>335</v>
      </c>
    </row>
    <row r="170" spans="1:11" ht="12" customHeight="1">
      <c r="A170" s="22"/>
      <c r="B170" s="28" t="s">
        <v>70</v>
      </c>
      <c r="C170" s="41">
        <v>4107.08</v>
      </c>
      <c r="D170" s="118" t="s">
        <v>336</v>
      </c>
      <c r="E170" s="35">
        <f>200+1500</f>
        <v>1700</v>
      </c>
      <c r="F170" s="35">
        <f t="shared" si="8"/>
        <v>11743.339999999998</v>
      </c>
      <c r="G170" s="116" t="s">
        <v>64</v>
      </c>
      <c r="H170" s="38" t="s">
        <v>223</v>
      </c>
      <c r="I170" s="117" t="s">
        <v>224</v>
      </c>
      <c r="J170" s="40">
        <v>1500</v>
      </c>
      <c r="K170" s="39" t="s">
        <v>278</v>
      </c>
    </row>
    <row r="171" spans="1:11" ht="12" customHeight="1">
      <c r="A171" s="22"/>
      <c r="B171" s="28" t="s">
        <v>72</v>
      </c>
      <c r="C171" s="41">
        <v>3857.09</v>
      </c>
      <c r="D171" s="118"/>
      <c r="E171" s="41"/>
      <c r="F171" s="35">
        <f t="shared" si="8"/>
        <v>7886.2499999999982</v>
      </c>
      <c r="G171" s="116" t="s">
        <v>64</v>
      </c>
      <c r="H171" s="38" t="s">
        <v>337</v>
      </c>
      <c r="I171" s="117" t="s">
        <v>338</v>
      </c>
      <c r="J171" s="40">
        <v>220</v>
      </c>
      <c r="K171" s="58" t="s">
        <v>339</v>
      </c>
    </row>
    <row r="172" spans="1:11" ht="12" customHeight="1">
      <c r="A172" s="22"/>
      <c r="B172" s="28" t="s">
        <v>74</v>
      </c>
      <c r="C172" s="35">
        <v>3912.08</v>
      </c>
      <c r="D172" s="118" t="s">
        <v>340</v>
      </c>
      <c r="E172" s="35">
        <f>220+11685+750</f>
        <v>12655</v>
      </c>
      <c r="F172" s="35">
        <f t="shared" si="8"/>
        <v>16629.169999999998</v>
      </c>
      <c r="G172" s="116" t="s">
        <v>64</v>
      </c>
      <c r="H172" s="38" t="s">
        <v>214</v>
      </c>
      <c r="I172" s="117" t="s">
        <v>215</v>
      </c>
      <c r="J172" s="40">
        <v>11685</v>
      </c>
      <c r="K172" s="39" t="s">
        <v>341</v>
      </c>
    </row>
    <row r="173" spans="1:11" ht="12" customHeight="1">
      <c r="A173" s="22"/>
      <c r="B173" s="28" t="s">
        <v>75</v>
      </c>
      <c r="C173" s="35">
        <v>3937.91</v>
      </c>
      <c r="D173" s="22" t="s">
        <v>342</v>
      </c>
      <c r="E173" s="35">
        <f>1500+29550</f>
        <v>31050</v>
      </c>
      <c r="F173" s="35">
        <f>F172-C173+E173</f>
        <v>43741.259999999995</v>
      </c>
      <c r="G173" s="116" t="s">
        <v>64</v>
      </c>
      <c r="H173" s="38" t="s">
        <v>343</v>
      </c>
      <c r="I173" s="117" t="s">
        <v>215</v>
      </c>
      <c r="J173" s="40">
        <v>750</v>
      </c>
      <c r="K173" s="39" t="s">
        <v>341</v>
      </c>
    </row>
    <row r="174" spans="1:11" ht="12" customHeight="1">
      <c r="A174" s="22"/>
      <c r="B174" s="28" t="s">
        <v>78</v>
      </c>
      <c r="C174" s="35">
        <v>3979.58</v>
      </c>
      <c r="D174" s="118" t="s">
        <v>344</v>
      </c>
      <c r="E174" s="35">
        <v>3000</v>
      </c>
      <c r="F174" s="35">
        <f>F173-C174+E174</f>
        <v>42761.679999999993</v>
      </c>
      <c r="G174" s="116" t="s">
        <v>64</v>
      </c>
      <c r="H174" s="73" t="s">
        <v>345</v>
      </c>
      <c r="I174" s="117" t="s">
        <v>346</v>
      </c>
      <c r="J174" s="75">
        <v>1500</v>
      </c>
      <c r="K174" s="74" t="s">
        <v>280</v>
      </c>
    </row>
    <row r="175" spans="1:11" ht="12" customHeight="1">
      <c r="A175" s="22"/>
      <c r="B175" s="28" t="s">
        <v>79</v>
      </c>
      <c r="C175" s="35">
        <v>3979.58</v>
      </c>
      <c r="D175" s="61"/>
      <c r="E175" s="35"/>
      <c r="F175" s="35">
        <f t="shared" si="8"/>
        <v>38782.099999999991</v>
      </c>
      <c r="G175" s="116" t="s">
        <v>64</v>
      </c>
      <c r="H175" s="119" t="s">
        <v>347</v>
      </c>
      <c r="I175" s="117" t="s">
        <v>218</v>
      </c>
      <c r="J175" s="75">
        <v>29550</v>
      </c>
      <c r="K175" s="74" t="s">
        <v>348</v>
      </c>
    </row>
    <row r="176" spans="1:11" ht="12" customHeight="1">
      <c r="A176" s="22"/>
      <c r="B176" s="28" t="s">
        <v>81</v>
      </c>
      <c r="C176" s="35">
        <v>3979.57</v>
      </c>
      <c r="D176" s="35" t="s">
        <v>349</v>
      </c>
      <c r="E176" s="35">
        <v>250</v>
      </c>
      <c r="F176" s="35">
        <f t="shared" si="8"/>
        <v>35052.529999999992</v>
      </c>
      <c r="G176" s="116" t="s">
        <v>64</v>
      </c>
      <c r="H176" s="73" t="s">
        <v>350</v>
      </c>
      <c r="I176" s="117" t="s">
        <v>221</v>
      </c>
      <c r="J176" s="75">
        <v>3000</v>
      </c>
      <c r="K176" s="120" t="s">
        <v>348</v>
      </c>
    </row>
    <row r="177" spans="1:11" ht="12" customHeight="1">
      <c r="A177" s="22"/>
      <c r="B177" s="28" t="s">
        <v>82</v>
      </c>
      <c r="C177" s="35">
        <v>3979.59</v>
      </c>
      <c r="D177" s="35"/>
      <c r="E177" s="35"/>
      <c r="F177" s="35">
        <f t="shared" si="8"/>
        <v>31072.939999999991</v>
      </c>
      <c r="G177" s="116" t="s">
        <v>227</v>
      </c>
      <c r="H177" s="89" t="s">
        <v>351</v>
      </c>
      <c r="I177" s="117" t="s">
        <v>352</v>
      </c>
      <c r="J177" s="40">
        <v>250</v>
      </c>
      <c r="K177" s="39" t="s">
        <v>353</v>
      </c>
    </row>
    <row r="178" spans="1:11" ht="12" customHeight="1">
      <c r="A178" s="22"/>
      <c r="B178" s="28" t="s">
        <v>83</v>
      </c>
      <c r="C178" s="35">
        <v>3979.58</v>
      </c>
      <c r="D178" s="35"/>
      <c r="E178" s="35"/>
      <c r="F178" s="35">
        <f t="shared" si="8"/>
        <v>27093.359999999993</v>
      </c>
      <c r="G178" s="116" t="s">
        <v>64</v>
      </c>
      <c r="H178" s="24" t="s">
        <v>223</v>
      </c>
      <c r="I178" s="117" t="s">
        <v>354</v>
      </c>
      <c r="J178" s="75">
        <v>1500</v>
      </c>
      <c r="K178" s="74" t="s">
        <v>67</v>
      </c>
    </row>
    <row r="179" spans="1:11" ht="12" customHeight="1">
      <c r="A179" s="22"/>
      <c r="B179" s="28" t="s">
        <v>84</v>
      </c>
      <c r="C179" s="35">
        <v>4000.4</v>
      </c>
      <c r="D179" s="35" t="s">
        <v>355</v>
      </c>
      <c r="E179" s="35">
        <f>1500+100</f>
        <v>1600</v>
      </c>
      <c r="F179" s="35">
        <f t="shared" si="8"/>
        <v>24692.959999999992</v>
      </c>
      <c r="G179" s="116" t="s">
        <v>227</v>
      </c>
      <c r="H179" s="73" t="s">
        <v>228</v>
      </c>
      <c r="I179" s="117" t="s">
        <v>229</v>
      </c>
      <c r="J179" s="75">
        <v>100</v>
      </c>
      <c r="K179" s="74" t="s">
        <v>356</v>
      </c>
    </row>
    <row r="180" spans="1:11" ht="12" customHeight="1">
      <c r="A180" s="22"/>
      <c r="B180" s="50" t="s">
        <v>85</v>
      </c>
      <c r="C180" s="64">
        <f>SUM(C168:C179)</f>
        <v>47255.000000000007</v>
      </c>
      <c r="E180" s="64">
        <f>SUM(E168:E179)</f>
        <v>50505</v>
      </c>
      <c r="G180" s="121"/>
      <c r="H180" s="121"/>
      <c r="I180" s="121"/>
      <c r="J180" s="121"/>
      <c r="K180" s="121"/>
    </row>
    <row r="181" spans="1:11" ht="12" customHeight="1">
      <c r="A181" s="22"/>
      <c r="B181" s="50"/>
      <c r="C181" s="64"/>
      <c r="E181" s="64"/>
      <c r="G181" s="121"/>
      <c r="H181" s="121"/>
      <c r="I181" s="121"/>
      <c r="J181" s="121"/>
      <c r="K181" s="121"/>
    </row>
    <row r="182" spans="1:11" ht="12" customHeight="1">
      <c r="A182" s="22"/>
      <c r="B182" s="23" t="s">
        <v>232</v>
      </c>
      <c r="C182" s="22"/>
      <c r="D182" s="22"/>
      <c r="E182" s="22"/>
      <c r="F182" s="22"/>
      <c r="G182" s="121"/>
      <c r="H182" s="121"/>
      <c r="I182" s="121"/>
      <c r="J182" s="121"/>
      <c r="K182" s="121"/>
    </row>
    <row r="183" spans="1:11" ht="12" customHeight="1">
      <c r="A183" s="22"/>
      <c r="B183" s="23" t="s">
        <v>233</v>
      </c>
      <c r="C183" s="22"/>
      <c r="D183" s="23"/>
      <c r="E183" s="26" t="s">
        <v>234</v>
      </c>
      <c r="F183" s="22"/>
      <c r="G183" s="22"/>
    </row>
    <row r="184" spans="1:11" ht="12" customHeight="1">
      <c r="A184" s="22"/>
      <c r="B184" s="23" t="s">
        <v>235</v>
      </c>
      <c r="C184" s="22"/>
      <c r="D184" s="23"/>
      <c r="E184" s="26" t="s">
        <v>48</v>
      </c>
      <c r="F184" s="22" t="s">
        <v>49</v>
      </c>
      <c r="G184" s="22"/>
    </row>
    <row r="185" spans="1:11" ht="12" customHeight="1">
      <c r="A185" s="22"/>
      <c r="B185" s="23" t="str">
        <f>B5</f>
        <v>BALANCE AT 12-31-14</v>
      </c>
      <c r="C185" s="22"/>
      <c r="D185" s="22"/>
      <c r="E185" s="27">
        <v>22854</v>
      </c>
      <c r="F185" s="22"/>
      <c r="G185" s="22" t="s">
        <v>51</v>
      </c>
    </row>
    <row r="186" spans="1:11" ht="12" customHeight="1">
      <c r="A186" s="22"/>
      <c r="B186" s="28" t="s">
        <v>52</v>
      </c>
      <c r="C186" s="29" t="s">
        <v>53</v>
      </c>
      <c r="D186" s="29" t="s">
        <v>54</v>
      </c>
      <c r="E186" s="29" t="s">
        <v>55</v>
      </c>
      <c r="F186" s="29" t="s">
        <v>56</v>
      </c>
      <c r="G186" s="30" t="s">
        <v>57</v>
      </c>
      <c r="H186" s="31" t="s">
        <v>58</v>
      </c>
      <c r="I186" s="32" t="s">
        <v>59</v>
      </c>
      <c r="J186" s="32" t="s">
        <v>60</v>
      </c>
      <c r="K186" s="32" t="s">
        <v>61</v>
      </c>
    </row>
    <row r="187" spans="1:11" ht="12" customHeight="1">
      <c r="A187" s="22"/>
      <c r="B187" s="28" t="s">
        <v>62</v>
      </c>
      <c r="C187" s="41">
        <v>5713.5</v>
      </c>
      <c r="D187" s="35"/>
      <c r="E187" s="35"/>
      <c r="F187" s="35">
        <f>E185-C187+E187</f>
        <v>17140.5</v>
      </c>
      <c r="G187" s="122" t="s">
        <v>152</v>
      </c>
      <c r="H187" s="38" t="s">
        <v>236</v>
      </c>
      <c r="I187" s="39" t="s">
        <v>237</v>
      </c>
      <c r="J187" s="40">
        <v>27272</v>
      </c>
      <c r="K187" s="58" t="s">
        <v>196</v>
      </c>
    </row>
    <row r="188" spans="1:11" ht="12" customHeight="1">
      <c r="A188" s="22"/>
      <c r="B188" s="28" t="s">
        <v>68</v>
      </c>
      <c r="C188" s="41">
        <v>5713.5</v>
      </c>
      <c r="D188" s="35"/>
      <c r="E188" s="35"/>
      <c r="F188" s="35">
        <f>F187+E188-C188</f>
        <v>11427</v>
      </c>
      <c r="G188" s="55" t="s">
        <v>238</v>
      </c>
      <c r="H188" s="57" t="s">
        <v>236</v>
      </c>
      <c r="I188" s="123" t="s">
        <v>357</v>
      </c>
      <c r="J188" s="59">
        <v>22335</v>
      </c>
      <c r="K188" s="39" t="s">
        <v>196</v>
      </c>
    </row>
    <row r="189" spans="1:11" ht="12" customHeight="1">
      <c r="A189" s="22"/>
      <c r="B189" s="28" t="s">
        <v>70</v>
      </c>
      <c r="C189" s="41">
        <v>5713.5</v>
      </c>
      <c r="D189" s="35"/>
      <c r="E189" s="35"/>
      <c r="F189" s="35">
        <f t="shared" ref="F189:F198" si="9">F188+E189-C189</f>
        <v>5713.5</v>
      </c>
      <c r="G189" s="55" t="s">
        <v>240</v>
      </c>
      <c r="H189" s="38" t="s">
        <v>236</v>
      </c>
      <c r="I189" s="85" t="s">
        <v>358</v>
      </c>
      <c r="J189" s="40">
        <v>18990</v>
      </c>
      <c r="K189" s="58" t="s">
        <v>196</v>
      </c>
    </row>
    <row r="190" spans="1:11" ht="12" customHeight="1">
      <c r="A190" s="22"/>
      <c r="B190" s="28" t="s">
        <v>72</v>
      </c>
      <c r="C190" s="41">
        <v>5713.5</v>
      </c>
      <c r="D190" s="118"/>
      <c r="E190" s="41"/>
      <c r="F190" s="35">
        <f t="shared" si="9"/>
        <v>0</v>
      </c>
      <c r="G190" s="80"/>
      <c r="H190" s="57"/>
      <c r="I190" s="58"/>
      <c r="J190" s="59"/>
      <c r="K190" s="39"/>
    </row>
    <row r="191" spans="1:11" ht="12" customHeight="1">
      <c r="A191" s="22"/>
      <c r="B191" s="28" t="s">
        <v>74</v>
      </c>
      <c r="C191" s="41">
        <v>5716.42</v>
      </c>
      <c r="D191" s="70" t="s">
        <v>306</v>
      </c>
      <c r="E191" s="35">
        <v>68597</v>
      </c>
      <c r="F191" s="35">
        <f t="shared" si="9"/>
        <v>62880.58</v>
      </c>
      <c r="G191" s="79"/>
      <c r="H191" s="38"/>
      <c r="I191" s="39"/>
      <c r="J191" s="40"/>
      <c r="K191" s="39"/>
    </row>
    <row r="192" spans="1:11" ht="12" customHeight="1">
      <c r="A192" s="22"/>
      <c r="B192" s="28" t="s">
        <v>75</v>
      </c>
      <c r="C192" s="41">
        <v>5716.42</v>
      </c>
      <c r="D192" s="118"/>
      <c r="E192" s="41"/>
      <c r="F192" s="35">
        <f t="shared" si="9"/>
        <v>57164.160000000003</v>
      </c>
      <c r="G192" s="79"/>
      <c r="H192" s="38"/>
      <c r="I192" s="39"/>
      <c r="J192" s="40"/>
      <c r="K192" s="39"/>
    </row>
    <row r="193" spans="1:11" ht="12" customHeight="1">
      <c r="A193" s="22"/>
      <c r="B193" s="28" t="s">
        <v>78</v>
      </c>
      <c r="C193" s="41">
        <v>5716.42</v>
      </c>
      <c r="D193" s="41"/>
      <c r="E193" s="35"/>
      <c r="F193" s="35">
        <f t="shared" si="9"/>
        <v>51447.740000000005</v>
      </c>
      <c r="G193" s="79"/>
      <c r="H193" s="38"/>
      <c r="I193" s="39"/>
      <c r="J193" s="40"/>
      <c r="K193" s="39"/>
    </row>
    <row r="194" spans="1:11" ht="12" customHeight="1">
      <c r="A194" s="22"/>
      <c r="B194" s="28" t="s">
        <v>79</v>
      </c>
      <c r="C194" s="41">
        <v>5716.42</v>
      </c>
      <c r="D194" s="118"/>
      <c r="E194" s="35"/>
      <c r="F194" s="35">
        <f t="shared" si="9"/>
        <v>45731.320000000007</v>
      </c>
      <c r="G194" s="79"/>
      <c r="H194" s="38"/>
      <c r="I194" s="39"/>
      <c r="J194" s="40"/>
      <c r="K194" s="39"/>
    </row>
    <row r="195" spans="1:11" ht="12" customHeight="1">
      <c r="A195" s="22"/>
      <c r="B195" s="28" t="s">
        <v>81</v>
      </c>
      <c r="C195" s="41">
        <v>5716.42</v>
      </c>
      <c r="D195" s="35"/>
      <c r="E195" s="35"/>
      <c r="F195" s="35">
        <f t="shared" si="9"/>
        <v>40014.900000000009</v>
      </c>
      <c r="G195" s="79"/>
      <c r="H195" s="38"/>
      <c r="I195" s="39"/>
      <c r="J195" s="40"/>
      <c r="K195" s="39"/>
    </row>
    <row r="196" spans="1:11" ht="12" customHeight="1">
      <c r="A196" s="22"/>
      <c r="B196" s="28" t="s">
        <v>82</v>
      </c>
      <c r="C196" s="41">
        <v>5716.42</v>
      </c>
      <c r="D196" s="35"/>
      <c r="E196" s="35"/>
      <c r="F196" s="35">
        <f t="shared" si="9"/>
        <v>34298.48000000001</v>
      </c>
      <c r="G196" s="79"/>
      <c r="H196" s="38"/>
      <c r="I196" s="39"/>
      <c r="J196" s="40"/>
      <c r="K196" s="39"/>
    </row>
    <row r="197" spans="1:11" ht="12" customHeight="1">
      <c r="A197" s="22"/>
      <c r="B197" s="28" t="s">
        <v>83</v>
      </c>
      <c r="C197" s="41">
        <v>5716.42</v>
      </c>
      <c r="D197" s="35"/>
      <c r="E197" s="35"/>
      <c r="F197" s="35">
        <f t="shared" si="9"/>
        <v>28582.060000000012</v>
      </c>
      <c r="G197" s="79"/>
      <c r="H197" s="38"/>
      <c r="I197" s="39"/>
      <c r="J197" s="40"/>
      <c r="K197" s="39"/>
    </row>
    <row r="198" spans="1:11" ht="12" customHeight="1">
      <c r="A198" s="22"/>
      <c r="B198" s="28" t="s">
        <v>84</v>
      </c>
      <c r="C198" s="41">
        <v>5716.42</v>
      </c>
      <c r="D198" s="35"/>
      <c r="E198" s="35"/>
      <c r="F198" s="35">
        <f t="shared" si="9"/>
        <v>22865.640000000014</v>
      </c>
      <c r="G198" s="79"/>
      <c r="H198" s="38"/>
      <c r="I198" s="39"/>
      <c r="J198" s="40"/>
      <c r="K198" s="39"/>
    </row>
    <row r="199" spans="1:11" ht="12" customHeight="1">
      <c r="A199" s="22"/>
      <c r="B199" s="50" t="s">
        <v>85</v>
      </c>
      <c r="C199" s="64">
        <f>SUM(C187:C198)</f>
        <v>68585.359999999986</v>
      </c>
      <c r="D199" s="22"/>
      <c r="E199" s="64">
        <f>SUM(E187:E198)</f>
        <v>68597</v>
      </c>
      <c r="F199" s="22"/>
      <c r="G199" s="22"/>
    </row>
    <row r="200" spans="1:11" ht="12" customHeight="1">
      <c r="A200" s="22"/>
      <c r="B200" s="22"/>
      <c r="C200" s="64"/>
      <c r="D200" s="22"/>
      <c r="E200" s="64"/>
      <c r="F200" s="22"/>
      <c r="G200" s="22"/>
    </row>
    <row r="201" spans="1:11" ht="12" customHeight="1">
      <c r="A201" s="22"/>
      <c r="B201" s="23" t="s">
        <v>242</v>
      </c>
      <c r="C201" s="22"/>
      <c r="D201" s="22"/>
      <c r="E201" s="22"/>
      <c r="F201" s="22"/>
      <c r="G201" s="121"/>
      <c r="H201" s="121"/>
      <c r="I201" s="121"/>
      <c r="J201" s="121"/>
      <c r="K201" s="121"/>
    </row>
    <row r="202" spans="1:11" ht="12" customHeight="1">
      <c r="A202" s="22"/>
      <c r="B202" s="23" t="s">
        <v>44</v>
      </c>
      <c r="C202" s="22"/>
      <c r="D202" s="22"/>
      <c r="E202" s="26" t="s">
        <v>243</v>
      </c>
      <c r="F202" s="22"/>
      <c r="G202" s="22"/>
    </row>
    <row r="203" spans="1:11" ht="12" customHeight="1">
      <c r="A203" s="22"/>
      <c r="B203" s="23" t="s">
        <v>47</v>
      </c>
      <c r="C203" s="22"/>
      <c r="D203" s="22"/>
      <c r="E203" s="26" t="s">
        <v>48</v>
      </c>
      <c r="F203" s="22" t="s">
        <v>49</v>
      </c>
      <c r="G203" s="22"/>
    </row>
    <row r="204" spans="1:11" ht="12" customHeight="1">
      <c r="A204" s="22"/>
      <c r="B204" s="23" t="str">
        <f>B5</f>
        <v>BALANCE AT 12-31-14</v>
      </c>
      <c r="C204" s="22"/>
      <c r="D204" s="22"/>
      <c r="E204" s="27">
        <v>2104.64</v>
      </c>
      <c r="F204" s="22"/>
      <c r="G204" s="22" t="s">
        <v>51</v>
      </c>
    </row>
    <row r="205" spans="1:11" ht="12" customHeight="1">
      <c r="A205" s="22"/>
      <c r="B205" s="112" t="s">
        <v>52</v>
      </c>
      <c r="C205" s="113" t="s">
        <v>53</v>
      </c>
      <c r="D205" s="113" t="s">
        <v>54</v>
      </c>
      <c r="E205" s="113" t="s">
        <v>55</v>
      </c>
      <c r="F205" s="124" t="s">
        <v>56</v>
      </c>
      <c r="G205" s="30" t="s">
        <v>57</v>
      </c>
      <c r="H205" s="31" t="s">
        <v>58</v>
      </c>
      <c r="I205" s="32" t="s">
        <v>59</v>
      </c>
      <c r="J205" s="32" t="s">
        <v>60</v>
      </c>
      <c r="K205" s="32" t="s">
        <v>61</v>
      </c>
    </row>
    <row r="206" spans="1:11" ht="12" customHeight="1">
      <c r="A206" s="22"/>
      <c r="B206" s="115" t="s">
        <v>62</v>
      </c>
      <c r="C206" s="82">
        <v>526.16999999999996</v>
      </c>
      <c r="D206" s="125"/>
      <c r="E206" s="82"/>
      <c r="F206" s="82">
        <f>E204-C206+E206</f>
        <v>1578.4699999999998</v>
      </c>
      <c r="G206" s="126" t="s">
        <v>64</v>
      </c>
      <c r="H206" s="38" t="s">
        <v>244</v>
      </c>
      <c r="I206" s="39" t="s">
        <v>359</v>
      </c>
      <c r="J206" s="40">
        <v>5904</v>
      </c>
      <c r="K206" s="58" t="s">
        <v>360</v>
      </c>
    </row>
    <row r="207" spans="1:11" ht="12" customHeight="1">
      <c r="A207" s="22"/>
      <c r="B207" s="28" t="s">
        <v>68</v>
      </c>
      <c r="C207" s="82">
        <v>526.16999999999996</v>
      </c>
      <c r="D207" s="78"/>
      <c r="E207" s="35"/>
      <c r="F207" s="82">
        <f>F206-C207+E207</f>
        <v>1052.2999999999997</v>
      </c>
      <c r="G207" s="126"/>
      <c r="H207" s="57"/>
      <c r="I207" s="58"/>
      <c r="J207" s="59"/>
      <c r="K207" s="39"/>
    </row>
    <row r="208" spans="1:11" ht="12" customHeight="1">
      <c r="A208" s="22"/>
      <c r="B208" s="28" t="s">
        <v>70</v>
      </c>
      <c r="C208" s="82">
        <v>526.16999999999996</v>
      </c>
      <c r="D208" s="43"/>
      <c r="E208" s="35"/>
      <c r="F208" s="82">
        <f t="shared" ref="F208:F217" si="10">F207-C208+E208</f>
        <v>526.12999999999977</v>
      </c>
      <c r="G208" s="126"/>
      <c r="H208" s="38"/>
      <c r="I208" s="39"/>
      <c r="J208" s="40"/>
      <c r="K208" s="58"/>
    </row>
    <row r="209" spans="1:11" ht="12" customHeight="1">
      <c r="A209" s="22"/>
      <c r="B209" s="28" t="s">
        <v>72</v>
      </c>
      <c r="C209" s="35">
        <v>526.13</v>
      </c>
      <c r="D209" s="43"/>
      <c r="E209" s="35"/>
      <c r="F209" s="82">
        <f t="shared" si="10"/>
        <v>-2.2737367544323206E-13</v>
      </c>
      <c r="G209" s="79"/>
      <c r="H209" s="38"/>
      <c r="I209" s="38"/>
      <c r="J209" s="59"/>
      <c r="K209" s="39"/>
    </row>
    <row r="210" spans="1:11" ht="12" customHeight="1">
      <c r="A210" s="22"/>
      <c r="B210" s="28" t="s">
        <v>74</v>
      </c>
      <c r="C210" s="35">
        <v>492</v>
      </c>
      <c r="D210" s="43" t="s">
        <v>361</v>
      </c>
      <c r="E210" s="35">
        <v>5904</v>
      </c>
      <c r="F210" s="82">
        <f t="shared" si="10"/>
        <v>5412</v>
      </c>
      <c r="G210" s="79"/>
      <c r="H210" s="38"/>
      <c r="I210" s="38"/>
      <c r="J210" s="40"/>
      <c r="K210" s="39"/>
    </row>
    <row r="211" spans="1:11" ht="12" customHeight="1">
      <c r="A211" s="22"/>
      <c r="B211" s="28" t="s">
        <v>75</v>
      </c>
      <c r="C211" s="35">
        <v>492</v>
      </c>
      <c r="D211" s="43"/>
      <c r="E211" s="35"/>
      <c r="F211" s="82">
        <f t="shared" si="10"/>
        <v>4920</v>
      </c>
      <c r="G211" s="79"/>
      <c r="H211" s="38"/>
      <c r="I211" s="39"/>
      <c r="J211" s="40"/>
      <c r="K211" s="39"/>
    </row>
    <row r="212" spans="1:11" ht="12" customHeight="1">
      <c r="A212" s="22"/>
      <c r="B212" s="28" t="s">
        <v>78</v>
      </c>
      <c r="C212" s="35">
        <v>492</v>
      </c>
      <c r="D212" s="43"/>
      <c r="E212" s="35"/>
      <c r="F212" s="82">
        <f t="shared" si="10"/>
        <v>4428</v>
      </c>
      <c r="G212" s="79"/>
      <c r="H212" s="38"/>
      <c r="I212" s="39"/>
      <c r="J212" s="40"/>
      <c r="K212" s="39"/>
    </row>
    <row r="213" spans="1:11" ht="12" customHeight="1">
      <c r="A213" s="22"/>
      <c r="B213" s="28" t="s">
        <v>79</v>
      </c>
      <c r="C213" s="35">
        <v>492</v>
      </c>
      <c r="D213" s="43"/>
      <c r="E213" s="35"/>
      <c r="F213" s="82">
        <f t="shared" si="10"/>
        <v>3936</v>
      </c>
      <c r="G213" s="79"/>
      <c r="H213" s="38"/>
      <c r="I213" s="39"/>
      <c r="J213" s="40"/>
      <c r="K213" s="39"/>
    </row>
    <row r="214" spans="1:11" ht="12" customHeight="1">
      <c r="A214" s="22"/>
      <c r="B214" s="28" t="s">
        <v>81</v>
      </c>
      <c r="C214" s="35">
        <v>492</v>
      </c>
      <c r="D214" s="43"/>
      <c r="E214" s="35"/>
      <c r="F214" s="82">
        <f t="shared" si="10"/>
        <v>3444</v>
      </c>
      <c r="G214" s="79"/>
      <c r="H214" s="38"/>
      <c r="I214" s="39"/>
      <c r="J214" s="40"/>
      <c r="K214" s="39"/>
    </row>
    <row r="215" spans="1:11" ht="12" customHeight="1">
      <c r="A215" s="22"/>
      <c r="B215" s="28" t="s">
        <v>82</v>
      </c>
      <c r="C215" s="35">
        <v>492</v>
      </c>
      <c r="D215" s="43"/>
      <c r="E215" s="35"/>
      <c r="F215" s="82">
        <f t="shared" si="10"/>
        <v>2952</v>
      </c>
      <c r="G215" s="79"/>
      <c r="H215" s="38"/>
      <c r="I215" s="39"/>
      <c r="J215" s="40"/>
      <c r="K215" s="39"/>
    </row>
    <row r="216" spans="1:11" ht="12" customHeight="1">
      <c r="A216" s="22"/>
      <c r="B216" s="28" t="s">
        <v>83</v>
      </c>
      <c r="C216" s="35">
        <v>492</v>
      </c>
      <c r="D216" s="43"/>
      <c r="E216" s="35"/>
      <c r="F216" s="82">
        <f t="shared" si="10"/>
        <v>2460</v>
      </c>
      <c r="G216" s="79"/>
      <c r="H216" s="38"/>
      <c r="I216" s="39"/>
      <c r="J216" s="40"/>
      <c r="K216" s="39"/>
    </row>
    <row r="217" spans="1:11" ht="12" customHeight="1">
      <c r="B217" s="28" t="s">
        <v>84</v>
      </c>
      <c r="C217" s="35">
        <v>492</v>
      </c>
      <c r="D217" s="43"/>
      <c r="E217" s="35"/>
      <c r="F217" s="82">
        <f t="shared" si="10"/>
        <v>1968</v>
      </c>
      <c r="G217" s="79"/>
      <c r="H217" s="38"/>
      <c r="I217" s="39"/>
      <c r="J217" s="40"/>
      <c r="K217" s="39"/>
    </row>
    <row r="218" spans="1:11" ht="12" customHeight="1">
      <c r="B218" s="50" t="s">
        <v>85</v>
      </c>
      <c r="C218" s="64">
        <f>SUM(C206:C217)</f>
        <v>6040.6399999999994</v>
      </c>
      <c r="E218" s="64">
        <f>SUM(E206:E217)</f>
        <v>5904</v>
      </c>
    </row>
    <row r="219" spans="1:11" ht="12" customHeight="1">
      <c r="B219" s="22"/>
      <c r="C219" s="22"/>
      <c r="D219" s="22"/>
      <c r="E219" s="22"/>
      <c r="F219" s="22"/>
      <c r="G219" s="22"/>
    </row>
    <row r="220" spans="1:11" ht="12" hidden="1" customHeight="1">
      <c r="B220" s="23" t="s">
        <v>248</v>
      </c>
      <c r="C220" s="22"/>
      <c r="D220" s="22"/>
      <c r="E220" s="22"/>
      <c r="F220" s="22"/>
      <c r="G220" s="22"/>
    </row>
    <row r="221" spans="1:11" ht="12" hidden="1" customHeight="1">
      <c r="B221" s="23" t="s">
        <v>44</v>
      </c>
      <c r="C221" s="22"/>
      <c r="D221" s="22"/>
      <c r="E221" s="26" t="s">
        <v>249</v>
      </c>
      <c r="F221" s="22"/>
      <c r="G221" s="22"/>
    </row>
    <row r="222" spans="1:11" ht="12" hidden="1" customHeight="1">
      <c r="B222" s="23" t="s">
        <v>47</v>
      </c>
      <c r="C222" s="22"/>
      <c r="D222" s="22"/>
      <c r="E222" s="26" t="s">
        <v>48</v>
      </c>
      <c r="F222" s="22" t="s">
        <v>49</v>
      </c>
      <c r="G222" s="22"/>
    </row>
    <row r="223" spans="1:11" ht="12" hidden="1" customHeight="1">
      <c r="B223" s="23" t="str">
        <f>B5</f>
        <v>BALANCE AT 12-31-14</v>
      </c>
      <c r="C223" s="22"/>
      <c r="D223" s="22"/>
      <c r="E223" s="27">
        <v>0</v>
      </c>
      <c r="F223" s="22"/>
      <c r="G223" s="22" t="s">
        <v>51</v>
      </c>
    </row>
    <row r="224" spans="1:11" ht="12" hidden="1" customHeight="1">
      <c r="B224" s="112" t="s">
        <v>52</v>
      </c>
      <c r="C224" s="113" t="s">
        <v>53</v>
      </c>
      <c r="D224" s="113" t="s">
        <v>54</v>
      </c>
      <c r="E224" s="113" t="s">
        <v>55</v>
      </c>
      <c r="F224" s="114" t="s">
        <v>56</v>
      </c>
      <c r="G224" s="30" t="s">
        <v>57</v>
      </c>
      <c r="H224" s="31" t="s">
        <v>58</v>
      </c>
      <c r="I224" s="32" t="s">
        <v>59</v>
      </c>
      <c r="J224" s="32" t="s">
        <v>60</v>
      </c>
      <c r="K224" s="32" t="s">
        <v>61</v>
      </c>
    </row>
    <row r="225" spans="1:11" ht="12" hidden="1" customHeight="1">
      <c r="B225" s="115" t="s">
        <v>62</v>
      </c>
      <c r="C225" s="35"/>
      <c r="D225" s="127"/>
      <c r="E225" s="128"/>
      <c r="F225" s="82">
        <f>E223-C225+E225</f>
        <v>0</v>
      </c>
      <c r="G225" s="126"/>
      <c r="H225" s="38"/>
      <c r="I225" s="39"/>
      <c r="J225" s="40"/>
      <c r="K225" s="58"/>
    </row>
    <row r="226" spans="1:11" ht="12" hidden="1" customHeight="1">
      <c r="A226" s="25" t="s">
        <v>40</v>
      </c>
      <c r="B226" s="28" t="s">
        <v>68</v>
      </c>
      <c r="C226" s="35"/>
      <c r="D226" s="129"/>
      <c r="E226" s="129"/>
      <c r="F226" s="82">
        <f>F225-C226+E226</f>
        <v>0</v>
      </c>
      <c r="G226" s="126"/>
      <c r="H226" s="57"/>
      <c r="I226" s="58"/>
      <c r="J226" s="59"/>
      <c r="K226" s="39"/>
    </row>
    <row r="227" spans="1:11" ht="12" hidden="1" customHeight="1">
      <c r="A227" s="25" t="s">
        <v>40</v>
      </c>
      <c r="B227" s="28" t="s">
        <v>70</v>
      </c>
      <c r="C227" s="35"/>
      <c r="D227" s="129"/>
      <c r="E227" s="129"/>
      <c r="F227" s="82">
        <f t="shared" ref="F227:F236" si="11">F226-C227+E227</f>
        <v>0</v>
      </c>
      <c r="G227" s="126"/>
      <c r="H227" s="38"/>
      <c r="I227" s="39"/>
      <c r="J227" s="40"/>
      <c r="K227" s="58"/>
    </row>
    <row r="228" spans="1:11" ht="12" hidden="1" customHeight="1">
      <c r="B228" s="115" t="s">
        <v>72</v>
      </c>
      <c r="C228" s="35"/>
      <c r="D228" s="35"/>
      <c r="E228" s="35"/>
      <c r="F228" s="82">
        <f t="shared" si="11"/>
        <v>0</v>
      </c>
      <c r="G228" s="122"/>
      <c r="H228" s="57"/>
      <c r="I228" s="58"/>
      <c r="J228" s="59"/>
      <c r="K228" s="39"/>
    </row>
    <row r="229" spans="1:11" ht="12" hidden="1" customHeight="1">
      <c r="B229" s="28" t="s">
        <v>74</v>
      </c>
      <c r="C229" s="35"/>
      <c r="D229" s="130"/>
      <c r="E229" s="35"/>
      <c r="F229" s="82">
        <f t="shared" si="11"/>
        <v>0</v>
      </c>
      <c r="G229" s="79"/>
      <c r="H229" s="38"/>
      <c r="I229" s="39"/>
      <c r="J229" s="40"/>
      <c r="K229" s="39"/>
    </row>
    <row r="230" spans="1:11" ht="12" hidden="1" customHeight="1">
      <c r="B230" s="28" t="s">
        <v>75</v>
      </c>
      <c r="C230" s="35"/>
      <c r="D230" s="35"/>
      <c r="E230" s="35"/>
      <c r="F230" s="82">
        <f t="shared" si="11"/>
        <v>0</v>
      </c>
      <c r="G230" s="79"/>
      <c r="H230" s="38"/>
      <c r="I230" s="39"/>
      <c r="J230" s="40"/>
      <c r="K230" s="39"/>
    </row>
    <row r="231" spans="1:11" ht="12" hidden="1" customHeight="1">
      <c r="B231" s="115" t="s">
        <v>78</v>
      </c>
      <c r="C231" s="35"/>
      <c r="D231" s="129"/>
      <c r="E231" s="35"/>
      <c r="F231" s="82">
        <f t="shared" si="11"/>
        <v>0</v>
      </c>
      <c r="G231" s="79"/>
      <c r="H231" s="38"/>
      <c r="I231" s="39"/>
      <c r="J231" s="40"/>
      <c r="K231" s="39"/>
    </row>
    <row r="232" spans="1:11" ht="12" hidden="1" customHeight="1">
      <c r="A232" s="25" t="s">
        <v>40</v>
      </c>
      <c r="B232" s="28" t="s">
        <v>79</v>
      </c>
      <c r="C232" s="35"/>
      <c r="D232" s="118"/>
      <c r="E232" s="129"/>
      <c r="F232" s="82">
        <f t="shared" si="11"/>
        <v>0</v>
      </c>
      <c r="G232" s="79"/>
      <c r="H232" s="38"/>
      <c r="I232" s="39"/>
      <c r="J232" s="40"/>
      <c r="K232" s="39"/>
    </row>
    <row r="233" spans="1:11" ht="12" hidden="1" customHeight="1">
      <c r="B233" s="28" t="s">
        <v>81</v>
      </c>
      <c r="C233" s="35"/>
      <c r="D233" s="129"/>
      <c r="E233" s="129"/>
      <c r="F233" s="82">
        <f t="shared" si="11"/>
        <v>0</v>
      </c>
      <c r="G233" s="79"/>
      <c r="H233" s="38"/>
      <c r="I233" s="39"/>
      <c r="J233" s="40"/>
      <c r="K233" s="39"/>
    </row>
    <row r="234" spans="1:11" ht="12" hidden="1" customHeight="1">
      <c r="B234" s="115" t="s">
        <v>82</v>
      </c>
      <c r="C234" s="35"/>
      <c r="D234" s="129"/>
      <c r="E234" s="129"/>
      <c r="F234" s="82">
        <f t="shared" si="11"/>
        <v>0</v>
      </c>
      <c r="G234" s="79"/>
      <c r="H234" s="38"/>
      <c r="I234" s="39"/>
      <c r="J234" s="40"/>
      <c r="K234" s="39"/>
    </row>
    <row r="235" spans="1:11" ht="12" hidden="1" customHeight="1">
      <c r="B235" s="28" t="s">
        <v>83</v>
      </c>
      <c r="C235" s="35"/>
      <c r="D235" s="129"/>
      <c r="E235" s="129"/>
      <c r="F235" s="82">
        <f t="shared" si="11"/>
        <v>0</v>
      </c>
      <c r="G235" s="79"/>
      <c r="H235" s="38"/>
      <c r="I235" s="39"/>
      <c r="J235" s="40"/>
      <c r="K235" s="39"/>
    </row>
    <row r="236" spans="1:11" ht="12" hidden="1" customHeight="1">
      <c r="B236" s="28" t="s">
        <v>62</v>
      </c>
      <c r="C236" s="35"/>
      <c r="D236" s="129"/>
      <c r="E236" s="129"/>
      <c r="F236" s="82">
        <f t="shared" si="11"/>
        <v>0</v>
      </c>
      <c r="G236" s="79"/>
      <c r="H236" s="38"/>
      <c r="I236" s="39"/>
      <c r="J236" s="40"/>
      <c r="K236" s="39"/>
    </row>
    <row r="237" spans="1:11" ht="12" hidden="1" customHeight="1">
      <c r="B237" s="50" t="s">
        <v>85</v>
      </c>
      <c r="C237" s="131">
        <f>SUM(C225:C236)</f>
        <v>0</v>
      </c>
      <c r="D237" s="121"/>
      <c r="E237" s="131">
        <f>SUM(E225:E236)</f>
        <v>0</v>
      </c>
      <c r="F237" s="121"/>
      <c r="G237" s="53"/>
    </row>
    <row r="238" spans="1:11" ht="12" hidden="1" customHeight="1">
      <c r="B238" s="121"/>
      <c r="C238" s="131"/>
      <c r="D238" s="121"/>
      <c r="E238" s="131"/>
      <c r="F238" s="121"/>
      <c r="G238" s="53"/>
    </row>
    <row r="239" spans="1:11" ht="12" customHeight="1">
      <c r="B239" s="23" t="s">
        <v>250</v>
      </c>
      <c r="C239" s="22"/>
      <c r="D239" s="22"/>
      <c r="E239" s="22"/>
      <c r="F239" s="22"/>
      <c r="G239" s="22"/>
    </row>
    <row r="240" spans="1:11" ht="12" customHeight="1">
      <c r="B240" s="23" t="s">
        <v>44</v>
      </c>
      <c r="C240" s="22"/>
      <c r="D240" s="22"/>
      <c r="E240" s="26" t="s">
        <v>251</v>
      </c>
      <c r="F240" s="22"/>
      <c r="G240" s="22"/>
    </row>
    <row r="241" spans="1:11" ht="12" customHeight="1">
      <c r="B241" s="23" t="s">
        <v>47</v>
      </c>
      <c r="C241" s="22"/>
      <c r="D241" s="22"/>
      <c r="E241" s="26" t="s">
        <v>48</v>
      </c>
      <c r="F241" s="22" t="s">
        <v>49</v>
      </c>
      <c r="G241" s="22"/>
    </row>
    <row r="242" spans="1:11" ht="12" customHeight="1">
      <c r="B242" s="23" t="str">
        <f>B5</f>
        <v>BALANCE AT 12-31-14</v>
      </c>
      <c r="C242" s="22"/>
      <c r="D242" s="22"/>
      <c r="E242" s="27">
        <v>20119.400000000001</v>
      </c>
      <c r="F242" s="22"/>
      <c r="G242" s="22" t="s">
        <v>51</v>
      </c>
    </row>
    <row r="243" spans="1:11" ht="12" customHeight="1">
      <c r="B243" s="112" t="s">
        <v>52</v>
      </c>
      <c r="C243" s="113" t="s">
        <v>53</v>
      </c>
      <c r="D243" s="113" t="s">
        <v>54</v>
      </c>
      <c r="E243" s="113" t="s">
        <v>55</v>
      </c>
      <c r="F243" s="114" t="s">
        <v>56</v>
      </c>
      <c r="G243" s="30" t="s">
        <v>57</v>
      </c>
      <c r="H243" s="31" t="s">
        <v>58</v>
      </c>
      <c r="I243" s="32" t="s">
        <v>59</v>
      </c>
      <c r="J243" s="32" t="s">
        <v>60</v>
      </c>
      <c r="K243" s="32" t="s">
        <v>61</v>
      </c>
    </row>
    <row r="244" spans="1:11" ht="12" customHeight="1">
      <c r="B244" s="115" t="s">
        <v>62</v>
      </c>
      <c r="C244" s="35">
        <v>5748.4</v>
      </c>
      <c r="D244" s="127"/>
      <c r="E244" s="128"/>
      <c r="F244" s="82">
        <f>E242-C244+E244</f>
        <v>14371.000000000002</v>
      </c>
      <c r="G244" s="126" t="s">
        <v>252</v>
      </c>
      <c r="H244" s="38" t="s">
        <v>253</v>
      </c>
      <c r="I244" s="39" t="s">
        <v>362</v>
      </c>
      <c r="J244" s="40">
        <v>69188</v>
      </c>
      <c r="K244" s="58" t="s">
        <v>196</v>
      </c>
    </row>
    <row r="245" spans="1:11" ht="12" customHeight="1">
      <c r="A245" s="25" t="s">
        <v>40</v>
      </c>
      <c r="B245" s="28" t="s">
        <v>68</v>
      </c>
      <c r="C245" s="35">
        <v>5748.4</v>
      </c>
      <c r="D245" s="129"/>
      <c r="E245" s="129"/>
      <c r="F245" s="82">
        <f>F244-C245+E245</f>
        <v>8622.6000000000022</v>
      </c>
      <c r="G245" s="126" t="s">
        <v>252</v>
      </c>
      <c r="H245" s="38" t="s">
        <v>105</v>
      </c>
      <c r="I245" s="39" t="s">
        <v>362</v>
      </c>
      <c r="J245" s="40">
        <v>3459.4</v>
      </c>
      <c r="K245" s="39" t="s">
        <v>196</v>
      </c>
    </row>
    <row r="246" spans="1:11" ht="12" customHeight="1">
      <c r="A246" s="25" t="s">
        <v>40</v>
      </c>
      <c r="B246" s="28" t="s">
        <v>70</v>
      </c>
      <c r="C246" s="35">
        <v>5748.4</v>
      </c>
      <c r="D246" s="129"/>
      <c r="E246" s="129"/>
      <c r="F246" s="132">
        <f t="shared" ref="F246:F255" si="12">F245-C246+E246</f>
        <v>2874.2000000000025</v>
      </c>
      <c r="G246" s="49"/>
      <c r="H246" s="49"/>
      <c r="I246" s="49"/>
      <c r="J246" s="49"/>
      <c r="K246" s="49"/>
    </row>
    <row r="247" spans="1:11" ht="12" customHeight="1">
      <c r="B247" s="115" t="s">
        <v>72</v>
      </c>
      <c r="C247" s="35">
        <v>2874.2</v>
      </c>
      <c r="D247" s="35"/>
      <c r="E247" s="35"/>
      <c r="F247" s="82">
        <f t="shared" si="12"/>
        <v>2.7284841053187847E-12</v>
      </c>
      <c r="G247" s="122"/>
      <c r="H247" s="57"/>
      <c r="I247" s="58"/>
      <c r="J247" s="59"/>
      <c r="K247" s="133"/>
    </row>
    <row r="248" spans="1:11" ht="12" customHeight="1">
      <c r="B248" s="28" t="s">
        <v>74</v>
      </c>
      <c r="C248" s="35">
        <v>6053.95</v>
      </c>
      <c r="D248" s="118" t="s">
        <v>306</v>
      </c>
      <c r="E248" s="35">
        <v>72647.399999999994</v>
      </c>
      <c r="F248" s="82">
        <f t="shared" si="12"/>
        <v>66593.45</v>
      </c>
      <c r="G248" s="79"/>
      <c r="H248" s="38"/>
      <c r="I248" s="39"/>
      <c r="J248" s="40"/>
      <c r="K248" s="39"/>
    </row>
    <row r="249" spans="1:11" ht="12" customHeight="1">
      <c r="B249" s="28" t="s">
        <v>75</v>
      </c>
      <c r="C249" s="35">
        <v>6053.95</v>
      </c>
      <c r="D249" s="35"/>
      <c r="E249" s="35"/>
      <c r="F249" s="82">
        <f t="shared" si="12"/>
        <v>60539.5</v>
      </c>
      <c r="G249" s="79"/>
      <c r="H249" s="38"/>
      <c r="I249" s="39"/>
      <c r="J249" s="40"/>
      <c r="K249" s="39"/>
    </row>
    <row r="250" spans="1:11" ht="12" customHeight="1">
      <c r="B250" s="115" t="s">
        <v>78</v>
      </c>
      <c r="C250" s="35">
        <v>6053.95</v>
      </c>
      <c r="D250" s="129"/>
      <c r="E250" s="35"/>
      <c r="F250" s="82">
        <f t="shared" si="12"/>
        <v>54485.55</v>
      </c>
      <c r="G250" s="79"/>
      <c r="H250" s="38"/>
      <c r="I250" s="39"/>
      <c r="J250" s="40"/>
      <c r="K250" s="39"/>
    </row>
    <row r="251" spans="1:11" ht="12" customHeight="1">
      <c r="A251" s="25" t="s">
        <v>40</v>
      </c>
      <c r="B251" s="28" t="s">
        <v>79</v>
      </c>
      <c r="C251" s="35">
        <v>6053.95</v>
      </c>
      <c r="D251" s="118"/>
      <c r="E251" s="129"/>
      <c r="F251" s="82">
        <f t="shared" si="12"/>
        <v>48431.600000000006</v>
      </c>
      <c r="G251" s="79"/>
      <c r="H251" s="38"/>
      <c r="I251" s="39"/>
      <c r="J251" s="40"/>
      <c r="K251" s="39"/>
    </row>
    <row r="252" spans="1:11" ht="12" customHeight="1">
      <c r="B252" s="28" t="s">
        <v>81</v>
      </c>
      <c r="C252" s="35">
        <v>6053.95</v>
      </c>
      <c r="D252" s="35"/>
      <c r="E252" s="35"/>
      <c r="F252" s="82">
        <f t="shared" si="12"/>
        <v>42377.650000000009</v>
      </c>
      <c r="G252" s="79"/>
      <c r="H252" s="38"/>
      <c r="I252" s="39"/>
      <c r="J252" s="40"/>
      <c r="K252" s="39"/>
    </row>
    <row r="253" spans="1:11" ht="12" customHeight="1">
      <c r="B253" s="115" t="s">
        <v>82</v>
      </c>
      <c r="C253" s="35">
        <v>6053.95</v>
      </c>
      <c r="D253" s="35"/>
      <c r="E253" s="35"/>
      <c r="F253" s="82">
        <f t="shared" si="12"/>
        <v>36323.700000000012</v>
      </c>
      <c r="G253" s="79"/>
      <c r="H253" s="38"/>
      <c r="I253" s="39"/>
      <c r="J253" s="40"/>
      <c r="K253" s="39"/>
    </row>
    <row r="254" spans="1:11" ht="12" customHeight="1">
      <c r="B254" s="28" t="s">
        <v>83</v>
      </c>
      <c r="C254" s="35">
        <v>6053.95</v>
      </c>
      <c r="D254" s="35"/>
      <c r="E254" s="35"/>
      <c r="F254" s="82">
        <f t="shared" si="12"/>
        <v>30269.750000000011</v>
      </c>
      <c r="G254" s="79"/>
      <c r="H254" s="38"/>
      <c r="I254" s="39"/>
      <c r="J254" s="40"/>
      <c r="K254" s="39"/>
    </row>
    <row r="255" spans="1:11" ht="12" customHeight="1">
      <c r="B255" s="28" t="s">
        <v>84</v>
      </c>
      <c r="C255" s="35">
        <v>6053.95</v>
      </c>
      <c r="D255" s="129"/>
      <c r="E255" s="129"/>
      <c r="F255" s="82">
        <f t="shared" si="12"/>
        <v>24215.80000000001</v>
      </c>
      <c r="G255" s="79"/>
      <c r="H255" s="38"/>
      <c r="I255" s="39"/>
      <c r="J255" s="40"/>
      <c r="K255" s="39"/>
    </row>
    <row r="256" spans="1:11" ht="12" customHeight="1">
      <c r="B256" s="50" t="s">
        <v>85</v>
      </c>
      <c r="C256" s="131">
        <f>SUM(C244:C255)</f>
        <v>68550.999999999985</v>
      </c>
      <c r="D256" s="121"/>
      <c r="E256" s="131">
        <f>SUM(E244:E255)</f>
        <v>72647.399999999994</v>
      </c>
      <c r="F256" s="134"/>
      <c r="G256" s="53"/>
    </row>
    <row r="257" spans="2:11" ht="12" customHeight="1">
      <c r="B257" s="22"/>
      <c r="E257" s="22"/>
      <c r="F257" s="22"/>
      <c r="G257" s="22"/>
    </row>
    <row r="258" spans="2:11" ht="12" customHeight="1">
      <c r="B258" s="24" t="s">
        <v>255</v>
      </c>
      <c r="C258" s="135">
        <f>SUMIF(B:B,"DECEMBER",C:C)</f>
        <v>432373.78</v>
      </c>
      <c r="D258" s="136" t="s">
        <v>256</v>
      </c>
      <c r="E258" s="135">
        <f>SUMIF(B:B,"DECEMBER",E:E)</f>
        <v>-19880.25</v>
      </c>
      <c r="F258" s="22"/>
      <c r="G258" s="22"/>
    </row>
    <row r="259" spans="2:11" ht="12" customHeight="1">
      <c r="B259" s="24" t="s">
        <v>257</v>
      </c>
      <c r="C259" s="64">
        <f>SUMIF(B:B,"Total",C:C)</f>
        <v>5371333.0700000003</v>
      </c>
      <c r="D259" s="136" t="s">
        <v>258</v>
      </c>
      <c r="E259" s="64">
        <f>SUMIF(B:B,"Total",E:E)</f>
        <v>5501496.7600000007</v>
      </c>
      <c r="F259" s="137">
        <f>SUMIF(B:B,"DECEMBER",F:F)</f>
        <v>2707413.0399999996</v>
      </c>
      <c r="G259" s="22" t="s">
        <v>259</v>
      </c>
    </row>
    <row r="260" spans="2:11" ht="12" customHeight="1">
      <c r="B260" s="24" t="s">
        <v>260</v>
      </c>
      <c r="C260" s="64"/>
      <c r="D260" s="136"/>
      <c r="E260" s="64"/>
      <c r="F260" s="138"/>
      <c r="G260" s="22"/>
    </row>
    <row r="261" spans="2:11" ht="12" customHeight="1">
      <c r="B261" s="24" t="s">
        <v>261</v>
      </c>
      <c r="C261" s="135">
        <f>SUMIF(B90:B101,"DECEMBER",C90:C101)</f>
        <v>17347.05</v>
      </c>
      <c r="E261" s="22"/>
      <c r="F261" s="64">
        <f>SUM(F259:F260)</f>
        <v>2707413.0399999996</v>
      </c>
      <c r="G261" s="22"/>
    </row>
    <row r="262" spans="2:11" ht="12" customHeight="1">
      <c r="B262" s="24" t="s">
        <v>262</v>
      </c>
      <c r="C262" s="135">
        <f>SUMIF(B70:B81,"DECEMBER",C70:C81)</f>
        <v>13789.62</v>
      </c>
      <c r="F262" s="64"/>
      <c r="G262" s="22"/>
    </row>
    <row r="263" spans="2:11" ht="12" customHeight="1">
      <c r="B263" s="24" t="s">
        <v>263</v>
      </c>
      <c r="C263" s="135">
        <f>SUMIF(B70:B256,"DECEMBER",C70:C256)-C261-C262</f>
        <v>256057.78000000003</v>
      </c>
      <c r="E263" s="24" t="s">
        <v>264</v>
      </c>
      <c r="F263" s="141">
        <f>F259+93839.37</f>
        <v>2801252.4099999997</v>
      </c>
      <c r="G263" s="22"/>
      <c r="I263" s="22"/>
      <c r="J263" s="22"/>
      <c r="K263" s="140"/>
    </row>
    <row r="264" spans="2:11" ht="12" customHeight="1">
      <c r="B264" s="24" t="s">
        <v>265</v>
      </c>
      <c r="C264" s="141">
        <f>SUM(C261:C263)</f>
        <v>287194.45</v>
      </c>
      <c r="E264" s="24" t="s">
        <v>266</v>
      </c>
      <c r="F264" s="154">
        <v>2801252.41</v>
      </c>
      <c r="G264" s="22"/>
      <c r="I264" s="22"/>
      <c r="J264" s="22"/>
      <c r="K264" s="140"/>
    </row>
    <row r="265" spans="2:11" ht="12" customHeight="1" thickBot="1">
      <c r="C265" s="137">
        <f>SUMIF(B70:B256,"DECEMBER",C70:C256)</f>
        <v>287194.45</v>
      </c>
      <c r="E265" s="24" t="s">
        <v>267</v>
      </c>
      <c r="F265" s="143">
        <f>F263-F264</f>
        <v>0</v>
      </c>
      <c r="G265" s="22"/>
      <c r="I265" s="22"/>
      <c r="J265" s="22"/>
      <c r="K265" s="140"/>
    </row>
    <row r="266" spans="2:11" ht="12" customHeight="1" thickTop="1">
      <c r="F266" s="22"/>
      <c r="G266" s="22"/>
    </row>
    <row r="272" spans="2:11" ht="12" customHeight="1">
      <c r="B272" s="144" t="s">
        <v>268</v>
      </c>
    </row>
    <row r="274" spans="2:5" ht="12" customHeight="1">
      <c r="B274" s="24" t="s">
        <v>269</v>
      </c>
    </row>
    <row r="275" spans="2:5" ht="12" customHeight="1">
      <c r="B275" s="24" t="s">
        <v>270</v>
      </c>
      <c r="D275" s="145">
        <f>SUMIF(B:B,"BALANCE AT 12-31-14",E:E)</f>
        <v>2577249.3499999996</v>
      </c>
    </row>
    <row r="276" spans="2:5" ht="12" customHeight="1">
      <c r="B276" s="24" t="s">
        <v>271</v>
      </c>
      <c r="D276" s="146">
        <f>-C259</f>
        <v>-5371333.0700000003</v>
      </c>
    </row>
    <row r="277" spans="2:5" ht="12" customHeight="1">
      <c r="B277" s="24" t="s">
        <v>272</v>
      </c>
      <c r="D277" s="146">
        <f>E259</f>
        <v>5501496.7600000007</v>
      </c>
    </row>
    <row r="278" spans="2:5" ht="12" customHeight="1" thickBot="1">
      <c r="B278" s="24" t="s">
        <v>273</v>
      </c>
      <c r="D278" s="147">
        <f>SUM(D275:D277)</f>
        <v>2707413.04</v>
      </c>
      <c r="E278" s="24" t="s">
        <v>274</v>
      </c>
    </row>
    <row r="279" spans="2:5" ht="12" customHeight="1" thickTop="1"/>
  </sheetData>
  <pageMargins left="0.15" right="0.16" top="0.7" bottom="0.47" header="0.42" footer="0.25"/>
  <pageSetup scale="72" orientation="landscape" blackAndWhite="1" horizontalDpi="1200" verticalDpi="144" r:id="rId1"/>
  <headerFooter alignWithMargins="0">
    <oddHeader>&amp;C&amp;10Empire District Electric</oddHeader>
    <oddFooter xml:space="preserve">&amp;L&amp;8Prepared by 
Melody Wright&amp;C&amp;"Arial,Regular"&amp;8&amp;Z&amp;F&amp;R&amp;"Arial,Regular"&amp;8Page &amp;P of &amp;N
&amp;D&amp;"Helv,Regular"&amp;12
</oddFooter>
  </headerFooter>
  <rowBreaks count="3" manualBreakCount="3">
    <brk id="62" max="16383" man="1"/>
    <brk id="121" max="16383" man="1"/>
    <brk id="18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9" transitionEvaluation="1" transitionEntry="1" codeName="Sheet4"/>
  <dimension ref="A1:U49"/>
  <sheetViews>
    <sheetView showGridLines="0" showZeros="0" zoomScaleNormal="100" workbookViewId="0">
      <pane ySplit="8" topLeftCell="A9" activePane="bottomLeft" state="frozen"/>
      <selection pane="bottomLeft" activeCell="A9" sqref="A9"/>
    </sheetView>
  </sheetViews>
  <sheetFormatPr defaultColWidth="12.5703125" defaultRowHeight="12.75"/>
  <cols>
    <col min="1" max="1" width="9.42578125" style="176" customWidth="1"/>
    <col min="2" max="2" width="12.5703125" style="177"/>
    <col min="3" max="3" width="9" style="177" customWidth="1"/>
    <col min="4" max="4" width="9.85546875" style="177" customWidth="1"/>
    <col min="5" max="5" width="9.42578125" style="177" customWidth="1"/>
    <col min="6" max="6" width="11.140625" style="177" bestFit="1" customWidth="1"/>
    <col min="7" max="7" width="14.28515625" style="177" hidden="1" customWidth="1"/>
    <col min="8" max="8" width="11.42578125" style="177" hidden="1" customWidth="1"/>
    <col min="9" max="9" width="14.140625" style="177" hidden="1" customWidth="1"/>
    <col min="10" max="10" width="7" style="177" hidden="1" customWidth="1"/>
    <col min="11" max="11" width="12.140625" style="177" hidden="1" customWidth="1"/>
    <col min="12" max="12" width="15.5703125" style="177" hidden="1" customWidth="1"/>
    <col min="13" max="13" width="11.140625" style="177" hidden="1" customWidth="1"/>
    <col min="14" max="14" width="15.140625" style="177" hidden="1" customWidth="1"/>
    <col min="15" max="16" width="9.140625" style="177" hidden="1" customWidth="1"/>
    <col min="17" max="17" width="15.42578125" style="177" hidden="1" customWidth="1"/>
    <col min="18" max="18" width="11.28515625" style="177" hidden="1" customWidth="1"/>
    <col min="19" max="19" width="15.5703125" style="177" hidden="1" customWidth="1"/>
    <col min="20" max="20" width="7.28515625" style="178" hidden="1" customWidth="1"/>
    <col min="21" max="21" width="13.28515625" style="177" customWidth="1"/>
    <col min="22" max="256" width="12.5703125" style="177"/>
    <col min="257" max="257" width="9.42578125" style="177" customWidth="1"/>
    <col min="258" max="258" width="12.5703125" style="177"/>
    <col min="259" max="259" width="9" style="177" customWidth="1"/>
    <col min="260" max="260" width="9.85546875" style="177" customWidth="1"/>
    <col min="261" max="261" width="9.42578125" style="177" customWidth="1"/>
    <col min="262" max="262" width="11.140625" style="177" bestFit="1" customWidth="1"/>
    <col min="263" max="263" width="14.28515625" style="177" bestFit="1" customWidth="1"/>
    <col min="264" max="264" width="11.42578125" style="177" customWidth="1"/>
    <col min="265" max="265" width="14.140625" style="177" customWidth="1"/>
    <col min="266" max="266" width="7" style="177" customWidth="1"/>
    <col min="267" max="267" width="12.140625" style="177" customWidth="1"/>
    <col min="268" max="268" width="15.5703125" style="177" customWidth="1"/>
    <col min="269" max="269" width="11.140625" style="177" customWidth="1"/>
    <col min="270" max="270" width="15.140625" style="177" customWidth="1"/>
    <col min="271" max="271" width="9.140625" style="177" bestFit="1" customWidth="1"/>
    <col min="272" max="272" width="9.140625" style="177" customWidth="1"/>
    <col min="273" max="273" width="15.42578125" style="177" customWidth="1"/>
    <col min="274" max="274" width="11.28515625" style="177" customWidth="1"/>
    <col min="275" max="275" width="15.5703125" style="177" customWidth="1"/>
    <col min="276" max="276" width="7.28515625" style="177" customWidth="1"/>
    <col min="277" max="277" width="13.28515625" style="177" customWidth="1"/>
    <col min="278" max="512" width="12.5703125" style="177"/>
    <col min="513" max="513" width="9.42578125" style="177" customWidth="1"/>
    <col min="514" max="514" width="12.5703125" style="177"/>
    <col min="515" max="515" width="9" style="177" customWidth="1"/>
    <col min="516" max="516" width="9.85546875" style="177" customWidth="1"/>
    <col min="517" max="517" width="9.42578125" style="177" customWidth="1"/>
    <col min="518" max="518" width="11.140625" style="177" bestFit="1" customWidth="1"/>
    <col min="519" max="519" width="14.28515625" style="177" bestFit="1" customWidth="1"/>
    <col min="520" max="520" width="11.42578125" style="177" customWidth="1"/>
    <col min="521" max="521" width="14.140625" style="177" customWidth="1"/>
    <col min="522" max="522" width="7" style="177" customWidth="1"/>
    <col min="523" max="523" width="12.140625" style="177" customWidth="1"/>
    <col min="524" max="524" width="15.5703125" style="177" customWidth="1"/>
    <col min="525" max="525" width="11.140625" style="177" customWidth="1"/>
    <col min="526" max="526" width="15.140625" style="177" customWidth="1"/>
    <col min="527" max="527" width="9.140625" style="177" bestFit="1" customWidth="1"/>
    <col min="528" max="528" width="9.140625" style="177" customWidth="1"/>
    <col min="529" max="529" width="15.42578125" style="177" customWidth="1"/>
    <col min="530" max="530" width="11.28515625" style="177" customWidth="1"/>
    <col min="531" max="531" width="15.5703125" style="177" customWidth="1"/>
    <col min="532" max="532" width="7.28515625" style="177" customWidth="1"/>
    <col min="533" max="533" width="13.28515625" style="177" customWidth="1"/>
    <col min="534" max="768" width="12.5703125" style="177"/>
    <col min="769" max="769" width="9.42578125" style="177" customWidth="1"/>
    <col min="770" max="770" width="12.5703125" style="177"/>
    <col min="771" max="771" width="9" style="177" customWidth="1"/>
    <col min="772" max="772" width="9.85546875" style="177" customWidth="1"/>
    <col min="773" max="773" width="9.42578125" style="177" customWidth="1"/>
    <col min="774" max="774" width="11.140625" style="177" bestFit="1" customWidth="1"/>
    <col min="775" max="775" width="14.28515625" style="177" bestFit="1" customWidth="1"/>
    <col min="776" max="776" width="11.42578125" style="177" customWidth="1"/>
    <col min="777" max="777" width="14.140625" style="177" customWidth="1"/>
    <col min="778" max="778" width="7" style="177" customWidth="1"/>
    <col min="779" max="779" width="12.140625" style="177" customWidth="1"/>
    <col min="780" max="780" width="15.5703125" style="177" customWidth="1"/>
    <col min="781" max="781" width="11.140625" style="177" customWidth="1"/>
    <col min="782" max="782" width="15.140625" style="177" customWidth="1"/>
    <col min="783" max="783" width="9.140625" style="177" bestFit="1" customWidth="1"/>
    <col min="784" max="784" width="9.140625" style="177" customWidth="1"/>
    <col min="785" max="785" width="15.42578125" style="177" customWidth="1"/>
    <col min="786" max="786" width="11.28515625" style="177" customWidth="1"/>
    <col min="787" max="787" width="15.5703125" style="177" customWidth="1"/>
    <col min="788" max="788" width="7.28515625" style="177" customWidth="1"/>
    <col min="789" max="789" width="13.28515625" style="177" customWidth="1"/>
    <col min="790" max="1024" width="12.5703125" style="177"/>
    <col min="1025" max="1025" width="9.42578125" style="177" customWidth="1"/>
    <col min="1026" max="1026" width="12.5703125" style="177"/>
    <col min="1027" max="1027" width="9" style="177" customWidth="1"/>
    <col min="1028" max="1028" width="9.85546875" style="177" customWidth="1"/>
    <col min="1029" max="1029" width="9.42578125" style="177" customWidth="1"/>
    <col min="1030" max="1030" width="11.140625" style="177" bestFit="1" customWidth="1"/>
    <col min="1031" max="1031" width="14.28515625" style="177" bestFit="1" customWidth="1"/>
    <col min="1032" max="1032" width="11.42578125" style="177" customWidth="1"/>
    <col min="1033" max="1033" width="14.140625" style="177" customWidth="1"/>
    <col min="1034" max="1034" width="7" style="177" customWidth="1"/>
    <col min="1035" max="1035" width="12.140625" style="177" customWidth="1"/>
    <col min="1036" max="1036" width="15.5703125" style="177" customWidth="1"/>
    <col min="1037" max="1037" width="11.140625" style="177" customWidth="1"/>
    <col min="1038" max="1038" width="15.140625" style="177" customWidth="1"/>
    <col min="1039" max="1039" width="9.140625" style="177" bestFit="1" customWidth="1"/>
    <col min="1040" max="1040" width="9.140625" style="177" customWidth="1"/>
    <col min="1041" max="1041" width="15.42578125" style="177" customWidth="1"/>
    <col min="1042" max="1042" width="11.28515625" style="177" customWidth="1"/>
    <col min="1043" max="1043" width="15.5703125" style="177" customWidth="1"/>
    <col min="1044" max="1044" width="7.28515625" style="177" customWidth="1"/>
    <col min="1045" max="1045" width="13.28515625" style="177" customWidth="1"/>
    <col min="1046" max="1280" width="12.5703125" style="177"/>
    <col min="1281" max="1281" width="9.42578125" style="177" customWidth="1"/>
    <col min="1282" max="1282" width="12.5703125" style="177"/>
    <col min="1283" max="1283" width="9" style="177" customWidth="1"/>
    <col min="1284" max="1284" width="9.85546875" style="177" customWidth="1"/>
    <col min="1285" max="1285" width="9.42578125" style="177" customWidth="1"/>
    <col min="1286" max="1286" width="11.140625" style="177" bestFit="1" customWidth="1"/>
    <col min="1287" max="1287" width="14.28515625" style="177" bestFit="1" customWidth="1"/>
    <col min="1288" max="1288" width="11.42578125" style="177" customWidth="1"/>
    <col min="1289" max="1289" width="14.140625" style="177" customWidth="1"/>
    <col min="1290" max="1290" width="7" style="177" customWidth="1"/>
    <col min="1291" max="1291" width="12.140625" style="177" customWidth="1"/>
    <col min="1292" max="1292" width="15.5703125" style="177" customWidth="1"/>
    <col min="1293" max="1293" width="11.140625" style="177" customWidth="1"/>
    <col min="1294" max="1294" width="15.140625" style="177" customWidth="1"/>
    <col min="1295" max="1295" width="9.140625" style="177" bestFit="1" customWidth="1"/>
    <col min="1296" max="1296" width="9.140625" style="177" customWidth="1"/>
    <col min="1297" max="1297" width="15.42578125" style="177" customWidth="1"/>
    <col min="1298" max="1298" width="11.28515625" style="177" customWidth="1"/>
    <col min="1299" max="1299" width="15.5703125" style="177" customWidth="1"/>
    <col min="1300" max="1300" width="7.28515625" style="177" customWidth="1"/>
    <col min="1301" max="1301" width="13.28515625" style="177" customWidth="1"/>
    <col min="1302" max="1536" width="12.5703125" style="177"/>
    <col min="1537" max="1537" width="9.42578125" style="177" customWidth="1"/>
    <col min="1538" max="1538" width="12.5703125" style="177"/>
    <col min="1539" max="1539" width="9" style="177" customWidth="1"/>
    <col min="1540" max="1540" width="9.85546875" style="177" customWidth="1"/>
    <col min="1541" max="1541" width="9.42578125" style="177" customWidth="1"/>
    <col min="1542" max="1542" width="11.140625" style="177" bestFit="1" customWidth="1"/>
    <col min="1543" max="1543" width="14.28515625" style="177" bestFit="1" customWidth="1"/>
    <col min="1544" max="1544" width="11.42578125" style="177" customWidth="1"/>
    <col min="1545" max="1545" width="14.140625" style="177" customWidth="1"/>
    <col min="1546" max="1546" width="7" style="177" customWidth="1"/>
    <col min="1547" max="1547" width="12.140625" style="177" customWidth="1"/>
    <col min="1548" max="1548" width="15.5703125" style="177" customWidth="1"/>
    <col min="1549" max="1549" width="11.140625" style="177" customWidth="1"/>
    <col min="1550" max="1550" width="15.140625" style="177" customWidth="1"/>
    <col min="1551" max="1551" width="9.140625" style="177" bestFit="1" customWidth="1"/>
    <col min="1552" max="1552" width="9.140625" style="177" customWidth="1"/>
    <col min="1553" max="1553" width="15.42578125" style="177" customWidth="1"/>
    <col min="1554" max="1554" width="11.28515625" style="177" customWidth="1"/>
    <col min="1555" max="1555" width="15.5703125" style="177" customWidth="1"/>
    <col min="1556" max="1556" width="7.28515625" style="177" customWidth="1"/>
    <col min="1557" max="1557" width="13.28515625" style="177" customWidth="1"/>
    <col min="1558" max="1792" width="12.5703125" style="177"/>
    <col min="1793" max="1793" width="9.42578125" style="177" customWidth="1"/>
    <col min="1794" max="1794" width="12.5703125" style="177"/>
    <col min="1795" max="1795" width="9" style="177" customWidth="1"/>
    <col min="1796" max="1796" width="9.85546875" style="177" customWidth="1"/>
    <col min="1797" max="1797" width="9.42578125" style="177" customWidth="1"/>
    <col min="1798" max="1798" width="11.140625" style="177" bestFit="1" customWidth="1"/>
    <col min="1799" max="1799" width="14.28515625" style="177" bestFit="1" customWidth="1"/>
    <col min="1800" max="1800" width="11.42578125" style="177" customWidth="1"/>
    <col min="1801" max="1801" width="14.140625" style="177" customWidth="1"/>
    <col min="1802" max="1802" width="7" style="177" customWidth="1"/>
    <col min="1803" max="1803" width="12.140625" style="177" customWidth="1"/>
    <col min="1804" max="1804" width="15.5703125" style="177" customWidth="1"/>
    <col min="1805" max="1805" width="11.140625" style="177" customWidth="1"/>
    <col min="1806" max="1806" width="15.140625" style="177" customWidth="1"/>
    <col min="1807" max="1807" width="9.140625" style="177" bestFit="1" customWidth="1"/>
    <col min="1808" max="1808" width="9.140625" style="177" customWidth="1"/>
    <col min="1809" max="1809" width="15.42578125" style="177" customWidth="1"/>
    <col min="1810" max="1810" width="11.28515625" style="177" customWidth="1"/>
    <col min="1811" max="1811" width="15.5703125" style="177" customWidth="1"/>
    <col min="1812" max="1812" width="7.28515625" style="177" customWidth="1"/>
    <col min="1813" max="1813" width="13.28515625" style="177" customWidth="1"/>
    <col min="1814" max="2048" width="12.5703125" style="177"/>
    <col min="2049" max="2049" width="9.42578125" style="177" customWidth="1"/>
    <col min="2050" max="2050" width="12.5703125" style="177"/>
    <col min="2051" max="2051" width="9" style="177" customWidth="1"/>
    <col min="2052" max="2052" width="9.85546875" style="177" customWidth="1"/>
    <col min="2053" max="2053" width="9.42578125" style="177" customWidth="1"/>
    <col min="2054" max="2054" width="11.140625" style="177" bestFit="1" customWidth="1"/>
    <col min="2055" max="2055" width="14.28515625" style="177" bestFit="1" customWidth="1"/>
    <col min="2056" max="2056" width="11.42578125" style="177" customWidth="1"/>
    <col min="2057" max="2057" width="14.140625" style="177" customWidth="1"/>
    <col min="2058" max="2058" width="7" style="177" customWidth="1"/>
    <col min="2059" max="2059" width="12.140625" style="177" customWidth="1"/>
    <col min="2060" max="2060" width="15.5703125" style="177" customWidth="1"/>
    <col min="2061" max="2061" width="11.140625" style="177" customWidth="1"/>
    <col min="2062" max="2062" width="15.140625" style="177" customWidth="1"/>
    <col min="2063" max="2063" width="9.140625" style="177" bestFit="1" customWidth="1"/>
    <col min="2064" max="2064" width="9.140625" style="177" customWidth="1"/>
    <col min="2065" max="2065" width="15.42578125" style="177" customWidth="1"/>
    <col min="2066" max="2066" width="11.28515625" style="177" customWidth="1"/>
    <col min="2067" max="2067" width="15.5703125" style="177" customWidth="1"/>
    <col min="2068" max="2068" width="7.28515625" style="177" customWidth="1"/>
    <col min="2069" max="2069" width="13.28515625" style="177" customWidth="1"/>
    <col min="2070" max="2304" width="12.5703125" style="177"/>
    <col min="2305" max="2305" width="9.42578125" style="177" customWidth="1"/>
    <col min="2306" max="2306" width="12.5703125" style="177"/>
    <col min="2307" max="2307" width="9" style="177" customWidth="1"/>
    <col min="2308" max="2308" width="9.85546875" style="177" customWidth="1"/>
    <col min="2309" max="2309" width="9.42578125" style="177" customWidth="1"/>
    <col min="2310" max="2310" width="11.140625" style="177" bestFit="1" customWidth="1"/>
    <col min="2311" max="2311" width="14.28515625" style="177" bestFit="1" customWidth="1"/>
    <col min="2312" max="2312" width="11.42578125" style="177" customWidth="1"/>
    <col min="2313" max="2313" width="14.140625" style="177" customWidth="1"/>
    <col min="2314" max="2314" width="7" style="177" customWidth="1"/>
    <col min="2315" max="2315" width="12.140625" style="177" customWidth="1"/>
    <col min="2316" max="2316" width="15.5703125" style="177" customWidth="1"/>
    <col min="2317" max="2317" width="11.140625" style="177" customWidth="1"/>
    <col min="2318" max="2318" width="15.140625" style="177" customWidth="1"/>
    <col min="2319" max="2319" width="9.140625" style="177" bestFit="1" customWidth="1"/>
    <col min="2320" max="2320" width="9.140625" style="177" customWidth="1"/>
    <col min="2321" max="2321" width="15.42578125" style="177" customWidth="1"/>
    <col min="2322" max="2322" width="11.28515625" style="177" customWidth="1"/>
    <col min="2323" max="2323" width="15.5703125" style="177" customWidth="1"/>
    <col min="2324" max="2324" width="7.28515625" style="177" customWidth="1"/>
    <col min="2325" max="2325" width="13.28515625" style="177" customWidth="1"/>
    <col min="2326" max="2560" width="12.5703125" style="177"/>
    <col min="2561" max="2561" width="9.42578125" style="177" customWidth="1"/>
    <col min="2562" max="2562" width="12.5703125" style="177"/>
    <col min="2563" max="2563" width="9" style="177" customWidth="1"/>
    <col min="2564" max="2564" width="9.85546875" style="177" customWidth="1"/>
    <col min="2565" max="2565" width="9.42578125" style="177" customWidth="1"/>
    <col min="2566" max="2566" width="11.140625" style="177" bestFit="1" customWidth="1"/>
    <col min="2567" max="2567" width="14.28515625" style="177" bestFit="1" customWidth="1"/>
    <col min="2568" max="2568" width="11.42578125" style="177" customWidth="1"/>
    <col min="2569" max="2569" width="14.140625" style="177" customWidth="1"/>
    <col min="2570" max="2570" width="7" style="177" customWidth="1"/>
    <col min="2571" max="2571" width="12.140625" style="177" customWidth="1"/>
    <col min="2572" max="2572" width="15.5703125" style="177" customWidth="1"/>
    <col min="2573" max="2573" width="11.140625" style="177" customWidth="1"/>
    <col min="2574" max="2574" width="15.140625" style="177" customWidth="1"/>
    <col min="2575" max="2575" width="9.140625" style="177" bestFit="1" customWidth="1"/>
    <col min="2576" max="2576" width="9.140625" style="177" customWidth="1"/>
    <col min="2577" max="2577" width="15.42578125" style="177" customWidth="1"/>
    <col min="2578" max="2578" width="11.28515625" style="177" customWidth="1"/>
    <col min="2579" max="2579" width="15.5703125" style="177" customWidth="1"/>
    <col min="2580" max="2580" width="7.28515625" style="177" customWidth="1"/>
    <col min="2581" max="2581" width="13.28515625" style="177" customWidth="1"/>
    <col min="2582" max="2816" width="12.5703125" style="177"/>
    <col min="2817" max="2817" width="9.42578125" style="177" customWidth="1"/>
    <col min="2818" max="2818" width="12.5703125" style="177"/>
    <col min="2819" max="2819" width="9" style="177" customWidth="1"/>
    <col min="2820" max="2820" width="9.85546875" style="177" customWidth="1"/>
    <col min="2821" max="2821" width="9.42578125" style="177" customWidth="1"/>
    <col min="2822" max="2822" width="11.140625" style="177" bestFit="1" customWidth="1"/>
    <col min="2823" max="2823" width="14.28515625" style="177" bestFit="1" customWidth="1"/>
    <col min="2824" max="2824" width="11.42578125" style="177" customWidth="1"/>
    <col min="2825" max="2825" width="14.140625" style="177" customWidth="1"/>
    <col min="2826" max="2826" width="7" style="177" customWidth="1"/>
    <col min="2827" max="2827" width="12.140625" style="177" customWidth="1"/>
    <col min="2828" max="2828" width="15.5703125" style="177" customWidth="1"/>
    <col min="2829" max="2829" width="11.140625" style="177" customWidth="1"/>
    <col min="2830" max="2830" width="15.140625" style="177" customWidth="1"/>
    <col min="2831" max="2831" width="9.140625" style="177" bestFit="1" customWidth="1"/>
    <col min="2832" max="2832" width="9.140625" style="177" customWidth="1"/>
    <col min="2833" max="2833" width="15.42578125" style="177" customWidth="1"/>
    <col min="2834" max="2834" width="11.28515625" style="177" customWidth="1"/>
    <col min="2835" max="2835" width="15.5703125" style="177" customWidth="1"/>
    <col min="2836" max="2836" width="7.28515625" style="177" customWidth="1"/>
    <col min="2837" max="2837" width="13.28515625" style="177" customWidth="1"/>
    <col min="2838" max="3072" width="12.5703125" style="177"/>
    <col min="3073" max="3073" width="9.42578125" style="177" customWidth="1"/>
    <col min="3074" max="3074" width="12.5703125" style="177"/>
    <col min="3075" max="3075" width="9" style="177" customWidth="1"/>
    <col min="3076" max="3076" width="9.85546875" style="177" customWidth="1"/>
    <col min="3077" max="3077" width="9.42578125" style="177" customWidth="1"/>
    <col min="3078" max="3078" width="11.140625" style="177" bestFit="1" customWidth="1"/>
    <col min="3079" max="3079" width="14.28515625" style="177" bestFit="1" customWidth="1"/>
    <col min="3080" max="3080" width="11.42578125" style="177" customWidth="1"/>
    <col min="3081" max="3081" width="14.140625" style="177" customWidth="1"/>
    <col min="3082" max="3082" width="7" style="177" customWidth="1"/>
    <col min="3083" max="3083" width="12.140625" style="177" customWidth="1"/>
    <col min="3084" max="3084" width="15.5703125" style="177" customWidth="1"/>
    <col min="3085" max="3085" width="11.140625" style="177" customWidth="1"/>
    <col min="3086" max="3086" width="15.140625" style="177" customWidth="1"/>
    <col min="3087" max="3087" width="9.140625" style="177" bestFit="1" customWidth="1"/>
    <col min="3088" max="3088" width="9.140625" style="177" customWidth="1"/>
    <col min="3089" max="3089" width="15.42578125" style="177" customWidth="1"/>
    <col min="3090" max="3090" width="11.28515625" style="177" customWidth="1"/>
    <col min="3091" max="3091" width="15.5703125" style="177" customWidth="1"/>
    <col min="3092" max="3092" width="7.28515625" style="177" customWidth="1"/>
    <col min="3093" max="3093" width="13.28515625" style="177" customWidth="1"/>
    <col min="3094" max="3328" width="12.5703125" style="177"/>
    <col min="3329" max="3329" width="9.42578125" style="177" customWidth="1"/>
    <col min="3330" max="3330" width="12.5703125" style="177"/>
    <col min="3331" max="3331" width="9" style="177" customWidth="1"/>
    <col min="3332" max="3332" width="9.85546875" style="177" customWidth="1"/>
    <col min="3333" max="3333" width="9.42578125" style="177" customWidth="1"/>
    <col min="3334" max="3334" width="11.140625" style="177" bestFit="1" customWidth="1"/>
    <col min="3335" max="3335" width="14.28515625" style="177" bestFit="1" customWidth="1"/>
    <col min="3336" max="3336" width="11.42578125" style="177" customWidth="1"/>
    <col min="3337" max="3337" width="14.140625" style="177" customWidth="1"/>
    <col min="3338" max="3338" width="7" style="177" customWidth="1"/>
    <col min="3339" max="3339" width="12.140625" style="177" customWidth="1"/>
    <col min="3340" max="3340" width="15.5703125" style="177" customWidth="1"/>
    <col min="3341" max="3341" width="11.140625" style="177" customWidth="1"/>
    <col min="3342" max="3342" width="15.140625" style="177" customWidth="1"/>
    <col min="3343" max="3343" width="9.140625" style="177" bestFit="1" customWidth="1"/>
    <col min="3344" max="3344" width="9.140625" style="177" customWidth="1"/>
    <col min="3345" max="3345" width="15.42578125" style="177" customWidth="1"/>
    <col min="3346" max="3346" width="11.28515625" style="177" customWidth="1"/>
    <col min="3347" max="3347" width="15.5703125" style="177" customWidth="1"/>
    <col min="3348" max="3348" width="7.28515625" style="177" customWidth="1"/>
    <col min="3349" max="3349" width="13.28515625" style="177" customWidth="1"/>
    <col min="3350" max="3584" width="12.5703125" style="177"/>
    <col min="3585" max="3585" width="9.42578125" style="177" customWidth="1"/>
    <col min="3586" max="3586" width="12.5703125" style="177"/>
    <col min="3587" max="3587" width="9" style="177" customWidth="1"/>
    <col min="3588" max="3588" width="9.85546875" style="177" customWidth="1"/>
    <col min="3589" max="3589" width="9.42578125" style="177" customWidth="1"/>
    <col min="3590" max="3590" width="11.140625" style="177" bestFit="1" customWidth="1"/>
    <col min="3591" max="3591" width="14.28515625" style="177" bestFit="1" customWidth="1"/>
    <col min="3592" max="3592" width="11.42578125" style="177" customWidth="1"/>
    <col min="3593" max="3593" width="14.140625" style="177" customWidth="1"/>
    <col min="3594" max="3594" width="7" style="177" customWidth="1"/>
    <col min="3595" max="3595" width="12.140625" style="177" customWidth="1"/>
    <col min="3596" max="3596" width="15.5703125" style="177" customWidth="1"/>
    <col min="3597" max="3597" width="11.140625" style="177" customWidth="1"/>
    <col min="3598" max="3598" width="15.140625" style="177" customWidth="1"/>
    <col min="3599" max="3599" width="9.140625" style="177" bestFit="1" customWidth="1"/>
    <col min="3600" max="3600" width="9.140625" style="177" customWidth="1"/>
    <col min="3601" max="3601" width="15.42578125" style="177" customWidth="1"/>
    <col min="3602" max="3602" width="11.28515625" style="177" customWidth="1"/>
    <col min="3603" max="3603" width="15.5703125" style="177" customWidth="1"/>
    <col min="3604" max="3604" width="7.28515625" style="177" customWidth="1"/>
    <col min="3605" max="3605" width="13.28515625" style="177" customWidth="1"/>
    <col min="3606" max="3840" width="12.5703125" style="177"/>
    <col min="3841" max="3841" width="9.42578125" style="177" customWidth="1"/>
    <col min="3842" max="3842" width="12.5703125" style="177"/>
    <col min="3843" max="3843" width="9" style="177" customWidth="1"/>
    <col min="3844" max="3844" width="9.85546875" style="177" customWidth="1"/>
    <col min="3845" max="3845" width="9.42578125" style="177" customWidth="1"/>
    <col min="3846" max="3846" width="11.140625" style="177" bestFit="1" customWidth="1"/>
    <col min="3847" max="3847" width="14.28515625" style="177" bestFit="1" customWidth="1"/>
    <col min="3848" max="3848" width="11.42578125" style="177" customWidth="1"/>
    <col min="3849" max="3849" width="14.140625" style="177" customWidth="1"/>
    <col min="3850" max="3850" width="7" style="177" customWidth="1"/>
    <col min="3851" max="3851" width="12.140625" style="177" customWidth="1"/>
    <col min="3852" max="3852" width="15.5703125" style="177" customWidth="1"/>
    <col min="3853" max="3853" width="11.140625" style="177" customWidth="1"/>
    <col min="3854" max="3854" width="15.140625" style="177" customWidth="1"/>
    <col min="3855" max="3855" width="9.140625" style="177" bestFit="1" customWidth="1"/>
    <col min="3856" max="3856" width="9.140625" style="177" customWidth="1"/>
    <col min="3857" max="3857" width="15.42578125" style="177" customWidth="1"/>
    <col min="3858" max="3858" width="11.28515625" style="177" customWidth="1"/>
    <col min="3859" max="3859" width="15.5703125" style="177" customWidth="1"/>
    <col min="3860" max="3860" width="7.28515625" style="177" customWidth="1"/>
    <col min="3861" max="3861" width="13.28515625" style="177" customWidth="1"/>
    <col min="3862" max="4096" width="12.5703125" style="177"/>
    <col min="4097" max="4097" width="9.42578125" style="177" customWidth="1"/>
    <col min="4098" max="4098" width="12.5703125" style="177"/>
    <col min="4099" max="4099" width="9" style="177" customWidth="1"/>
    <col min="4100" max="4100" width="9.85546875" style="177" customWidth="1"/>
    <col min="4101" max="4101" width="9.42578125" style="177" customWidth="1"/>
    <col min="4102" max="4102" width="11.140625" style="177" bestFit="1" customWidth="1"/>
    <col min="4103" max="4103" width="14.28515625" style="177" bestFit="1" customWidth="1"/>
    <col min="4104" max="4104" width="11.42578125" style="177" customWidth="1"/>
    <col min="4105" max="4105" width="14.140625" style="177" customWidth="1"/>
    <col min="4106" max="4106" width="7" style="177" customWidth="1"/>
    <col min="4107" max="4107" width="12.140625" style="177" customWidth="1"/>
    <col min="4108" max="4108" width="15.5703125" style="177" customWidth="1"/>
    <col min="4109" max="4109" width="11.140625" style="177" customWidth="1"/>
    <col min="4110" max="4110" width="15.140625" style="177" customWidth="1"/>
    <col min="4111" max="4111" width="9.140625" style="177" bestFit="1" customWidth="1"/>
    <col min="4112" max="4112" width="9.140625" style="177" customWidth="1"/>
    <col min="4113" max="4113" width="15.42578125" style="177" customWidth="1"/>
    <col min="4114" max="4114" width="11.28515625" style="177" customWidth="1"/>
    <col min="4115" max="4115" width="15.5703125" style="177" customWidth="1"/>
    <col min="4116" max="4116" width="7.28515625" style="177" customWidth="1"/>
    <col min="4117" max="4117" width="13.28515625" style="177" customWidth="1"/>
    <col min="4118" max="4352" width="12.5703125" style="177"/>
    <col min="4353" max="4353" width="9.42578125" style="177" customWidth="1"/>
    <col min="4354" max="4354" width="12.5703125" style="177"/>
    <col min="4355" max="4355" width="9" style="177" customWidth="1"/>
    <col min="4356" max="4356" width="9.85546875" style="177" customWidth="1"/>
    <col min="4357" max="4357" width="9.42578125" style="177" customWidth="1"/>
    <col min="4358" max="4358" width="11.140625" style="177" bestFit="1" customWidth="1"/>
    <col min="4359" max="4359" width="14.28515625" style="177" bestFit="1" customWidth="1"/>
    <col min="4360" max="4360" width="11.42578125" style="177" customWidth="1"/>
    <col min="4361" max="4361" width="14.140625" style="177" customWidth="1"/>
    <col min="4362" max="4362" width="7" style="177" customWidth="1"/>
    <col min="4363" max="4363" width="12.140625" style="177" customWidth="1"/>
    <col min="4364" max="4364" width="15.5703125" style="177" customWidth="1"/>
    <col min="4365" max="4365" width="11.140625" style="177" customWidth="1"/>
    <col min="4366" max="4366" width="15.140625" style="177" customWidth="1"/>
    <col min="4367" max="4367" width="9.140625" style="177" bestFit="1" customWidth="1"/>
    <col min="4368" max="4368" width="9.140625" style="177" customWidth="1"/>
    <col min="4369" max="4369" width="15.42578125" style="177" customWidth="1"/>
    <col min="4370" max="4370" width="11.28515625" style="177" customWidth="1"/>
    <col min="4371" max="4371" width="15.5703125" style="177" customWidth="1"/>
    <col min="4372" max="4372" width="7.28515625" style="177" customWidth="1"/>
    <col min="4373" max="4373" width="13.28515625" style="177" customWidth="1"/>
    <col min="4374" max="4608" width="12.5703125" style="177"/>
    <col min="4609" max="4609" width="9.42578125" style="177" customWidth="1"/>
    <col min="4610" max="4610" width="12.5703125" style="177"/>
    <col min="4611" max="4611" width="9" style="177" customWidth="1"/>
    <col min="4612" max="4612" width="9.85546875" style="177" customWidth="1"/>
    <col min="4613" max="4613" width="9.42578125" style="177" customWidth="1"/>
    <col min="4614" max="4614" width="11.140625" style="177" bestFit="1" customWidth="1"/>
    <col min="4615" max="4615" width="14.28515625" style="177" bestFit="1" customWidth="1"/>
    <col min="4616" max="4616" width="11.42578125" style="177" customWidth="1"/>
    <col min="4617" max="4617" width="14.140625" style="177" customWidth="1"/>
    <col min="4618" max="4618" width="7" style="177" customWidth="1"/>
    <col min="4619" max="4619" width="12.140625" style="177" customWidth="1"/>
    <col min="4620" max="4620" width="15.5703125" style="177" customWidth="1"/>
    <col min="4621" max="4621" width="11.140625" style="177" customWidth="1"/>
    <col min="4622" max="4622" width="15.140625" style="177" customWidth="1"/>
    <col min="4623" max="4623" width="9.140625" style="177" bestFit="1" customWidth="1"/>
    <col min="4624" max="4624" width="9.140625" style="177" customWidth="1"/>
    <col min="4625" max="4625" width="15.42578125" style="177" customWidth="1"/>
    <col min="4626" max="4626" width="11.28515625" style="177" customWidth="1"/>
    <col min="4627" max="4627" width="15.5703125" style="177" customWidth="1"/>
    <col min="4628" max="4628" width="7.28515625" style="177" customWidth="1"/>
    <col min="4629" max="4629" width="13.28515625" style="177" customWidth="1"/>
    <col min="4630" max="4864" width="12.5703125" style="177"/>
    <col min="4865" max="4865" width="9.42578125" style="177" customWidth="1"/>
    <col min="4866" max="4866" width="12.5703125" style="177"/>
    <col min="4867" max="4867" width="9" style="177" customWidth="1"/>
    <col min="4868" max="4868" width="9.85546875" style="177" customWidth="1"/>
    <col min="4869" max="4869" width="9.42578125" style="177" customWidth="1"/>
    <col min="4870" max="4870" width="11.140625" style="177" bestFit="1" customWidth="1"/>
    <col min="4871" max="4871" width="14.28515625" style="177" bestFit="1" customWidth="1"/>
    <col min="4872" max="4872" width="11.42578125" style="177" customWidth="1"/>
    <col min="4873" max="4873" width="14.140625" style="177" customWidth="1"/>
    <col min="4874" max="4874" width="7" style="177" customWidth="1"/>
    <col min="4875" max="4875" width="12.140625" style="177" customWidth="1"/>
    <col min="4876" max="4876" width="15.5703125" style="177" customWidth="1"/>
    <col min="4877" max="4877" width="11.140625" style="177" customWidth="1"/>
    <col min="4878" max="4878" width="15.140625" style="177" customWidth="1"/>
    <col min="4879" max="4879" width="9.140625" style="177" bestFit="1" customWidth="1"/>
    <col min="4880" max="4880" width="9.140625" style="177" customWidth="1"/>
    <col min="4881" max="4881" width="15.42578125" style="177" customWidth="1"/>
    <col min="4882" max="4882" width="11.28515625" style="177" customWidth="1"/>
    <col min="4883" max="4883" width="15.5703125" style="177" customWidth="1"/>
    <col min="4884" max="4884" width="7.28515625" style="177" customWidth="1"/>
    <col min="4885" max="4885" width="13.28515625" style="177" customWidth="1"/>
    <col min="4886" max="5120" width="12.5703125" style="177"/>
    <col min="5121" max="5121" width="9.42578125" style="177" customWidth="1"/>
    <col min="5122" max="5122" width="12.5703125" style="177"/>
    <col min="5123" max="5123" width="9" style="177" customWidth="1"/>
    <col min="5124" max="5124" width="9.85546875" style="177" customWidth="1"/>
    <col min="5125" max="5125" width="9.42578125" style="177" customWidth="1"/>
    <col min="5126" max="5126" width="11.140625" style="177" bestFit="1" customWidth="1"/>
    <col min="5127" max="5127" width="14.28515625" style="177" bestFit="1" customWidth="1"/>
    <col min="5128" max="5128" width="11.42578125" style="177" customWidth="1"/>
    <col min="5129" max="5129" width="14.140625" style="177" customWidth="1"/>
    <col min="5130" max="5130" width="7" style="177" customWidth="1"/>
    <col min="5131" max="5131" width="12.140625" style="177" customWidth="1"/>
    <col min="5132" max="5132" width="15.5703125" style="177" customWidth="1"/>
    <col min="5133" max="5133" width="11.140625" style="177" customWidth="1"/>
    <col min="5134" max="5134" width="15.140625" style="177" customWidth="1"/>
    <col min="5135" max="5135" width="9.140625" style="177" bestFit="1" customWidth="1"/>
    <col min="5136" max="5136" width="9.140625" style="177" customWidth="1"/>
    <col min="5137" max="5137" width="15.42578125" style="177" customWidth="1"/>
    <col min="5138" max="5138" width="11.28515625" style="177" customWidth="1"/>
    <col min="5139" max="5139" width="15.5703125" style="177" customWidth="1"/>
    <col min="5140" max="5140" width="7.28515625" style="177" customWidth="1"/>
    <col min="5141" max="5141" width="13.28515625" style="177" customWidth="1"/>
    <col min="5142" max="5376" width="12.5703125" style="177"/>
    <col min="5377" max="5377" width="9.42578125" style="177" customWidth="1"/>
    <col min="5378" max="5378" width="12.5703125" style="177"/>
    <col min="5379" max="5379" width="9" style="177" customWidth="1"/>
    <col min="5380" max="5380" width="9.85546875" style="177" customWidth="1"/>
    <col min="5381" max="5381" width="9.42578125" style="177" customWidth="1"/>
    <col min="5382" max="5382" width="11.140625" style="177" bestFit="1" customWidth="1"/>
    <col min="5383" max="5383" width="14.28515625" style="177" bestFit="1" customWidth="1"/>
    <col min="5384" max="5384" width="11.42578125" style="177" customWidth="1"/>
    <col min="5385" max="5385" width="14.140625" style="177" customWidth="1"/>
    <col min="5386" max="5386" width="7" style="177" customWidth="1"/>
    <col min="5387" max="5387" width="12.140625" style="177" customWidth="1"/>
    <col min="5388" max="5388" width="15.5703125" style="177" customWidth="1"/>
    <col min="5389" max="5389" width="11.140625" style="177" customWidth="1"/>
    <col min="5390" max="5390" width="15.140625" style="177" customWidth="1"/>
    <col min="5391" max="5391" width="9.140625" style="177" bestFit="1" customWidth="1"/>
    <col min="5392" max="5392" width="9.140625" style="177" customWidth="1"/>
    <col min="5393" max="5393" width="15.42578125" style="177" customWidth="1"/>
    <col min="5394" max="5394" width="11.28515625" style="177" customWidth="1"/>
    <col min="5395" max="5395" width="15.5703125" style="177" customWidth="1"/>
    <col min="5396" max="5396" width="7.28515625" style="177" customWidth="1"/>
    <col min="5397" max="5397" width="13.28515625" style="177" customWidth="1"/>
    <col min="5398" max="5632" width="12.5703125" style="177"/>
    <col min="5633" max="5633" width="9.42578125" style="177" customWidth="1"/>
    <col min="5634" max="5634" width="12.5703125" style="177"/>
    <col min="5635" max="5635" width="9" style="177" customWidth="1"/>
    <col min="5636" max="5636" width="9.85546875" style="177" customWidth="1"/>
    <col min="5637" max="5637" width="9.42578125" style="177" customWidth="1"/>
    <col min="5638" max="5638" width="11.140625" style="177" bestFit="1" customWidth="1"/>
    <col min="5639" max="5639" width="14.28515625" style="177" bestFit="1" customWidth="1"/>
    <col min="5640" max="5640" width="11.42578125" style="177" customWidth="1"/>
    <col min="5641" max="5641" width="14.140625" style="177" customWidth="1"/>
    <col min="5642" max="5642" width="7" style="177" customWidth="1"/>
    <col min="5643" max="5643" width="12.140625" style="177" customWidth="1"/>
    <col min="5644" max="5644" width="15.5703125" style="177" customWidth="1"/>
    <col min="5645" max="5645" width="11.140625" style="177" customWidth="1"/>
    <col min="5646" max="5646" width="15.140625" style="177" customWidth="1"/>
    <col min="5647" max="5647" width="9.140625" style="177" bestFit="1" customWidth="1"/>
    <col min="5648" max="5648" width="9.140625" style="177" customWidth="1"/>
    <col min="5649" max="5649" width="15.42578125" style="177" customWidth="1"/>
    <col min="5650" max="5650" width="11.28515625" style="177" customWidth="1"/>
    <col min="5651" max="5651" width="15.5703125" style="177" customWidth="1"/>
    <col min="5652" max="5652" width="7.28515625" style="177" customWidth="1"/>
    <col min="5653" max="5653" width="13.28515625" style="177" customWidth="1"/>
    <col min="5654" max="5888" width="12.5703125" style="177"/>
    <col min="5889" max="5889" width="9.42578125" style="177" customWidth="1"/>
    <col min="5890" max="5890" width="12.5703125" style="177"/>
    <col min="5891" max="5891" width="9" style="177" customWidth="1"/>
    <col min="5892" max="5892" width="9.85546875" style="177" customWidth="1"/>
    <col min="5893" max="5893" width="9.42578125" style="177" customWidth="1"/>
    <col min="5894" max="5894" width="11.140625" style="177" bestFit="1" customWidth="1"/>
    <col min="5895" max="5895" width="14.28515625" style="177" bestFit="1" customWidth="1"/>
    <col min="5896" max="5896" width="11.42578125" style="177" customWidth="1"/>
    <col min="5897" max="5897" width="14.140625" style="177" customWidth="1"/>
    <col min="5898" max="5898" width="7" style="177" customWidth="1"/>
    <col min="5899" max="5899" width="12.140625" style="177" customWidth="1"/>
    <col min="5900" max="5900" width="15.5703125" style="177" customWidth="1"/>
    <col min="5901" max="5901" width="11.140625" style="177" customWidth="1"/>
    <col min="5902" max="5902" width="15.140625" style="177" customWidth="1"/>
    <col min="5903" max="5903" width="9.140625" style="177" bestFit="1" customWidth="1"/>
    <col min="5904" max="5904" width="9.140625" style="177" customWidth="1"/>
    <col min="5905" max="5905" width="15.42578125" style="177" customWidth="1"/>
    <col min="5906" max="5906" width="11.28515625" style="177" customWidth="1"/>
    <col min="5907" max="5907" width="15.5703125" style="177" customWidth="1"/>
    <col min="5908" max="5908" width="7.28515625" style="177" customWidth="1"/>
    <col min="5909" max="5909" width="13.28515625" style="177" customWidth="1"/>
    <col min="5910" max="6144" width="12.5703125" style="177"/>
    <col min="6145" max="6145" width="9.42578125" style="177" customWidth="1"/>
    <col min="6146" max="6146" width="12.5703125" style="177"/>
    <col min="6147" max="6147" width="9" style="177" customWidth="1"/>
    <col min="6148" max="6148" width="9.85546875" style="177" customWidth="1"/>
    <col min="6149" max="6149" width="9.42578125" style="177" customWidth="1"/>
    <col min="6150" max="6150" width="11.140625" style="177" bestFit="1" customWidth="1"/>
    <col min="6151" max="6151" width="14.28515625" style="177" bestFit="1" customWidth="1"/>
    <col min="6152" max="6152" width="11.42578125" style="177" customWidth="1"/>
    <col min="6153" max="6153" width="14.140625" style="177" customWidth="1"/>
    <col min="6154" max="6154" width="7" style="177" customWidth="1"/>
    <col min="6155" max="6155" width="12.140625" style="177" customWidth="1"/>
    <col min="6156" max="6156" width="15.5703125" style="177" customWidth="1"/>
    <col min="6157" max="6157" width="11.140625" style="177" customWidth="1"/>
    <col min="6158" max="6158" width="15.140625" style="177" customWidth="1"/>
    <col min="6159" max="6159" width="9.140625" style="177" bestFit="1" customWidth="1"/>
    <col min="6160" max="6160" width="9.140625" style="177" customWidth="1"/>
    <col min="6161" max="6161" width="15.42578125" style="177" customWidth="1"/>
    <col min="6162" max="6162" width="11.28515625" style="177" customWidth="1"/>
    <col min="6163" max="6163" width="15.5703125" style="177" customWidth="1"/>
    <col min="6164" max="6164" width="7.28515625" style="177" customWidth="1"/>
    <col min="6165" max="6165" width="13.28515625" style="177" customWidth="1"/>
    <col min="6166" max="6400" width="12.5703125" style="177"/>
    <col min="6401" max="6401" width="9.42578125" style="177" customWidth="1"/>
    <col min="6402" max="6402" width="12.5703125" style="177"/>
    <col min="6403" max="6403" width="9" style="177" customWidth="1"/>
    <col min="6404" max="6404" width="9.85546875" style="177" customWidth="1"/>
    <col min="6405" max="6405" width="9.42578125" style="177" customWidth="1"/>
    <col min="6406" max="6406" width="11.140625" style="177" bestFit="1" customWidth="1"/>
    <col min="6407" max="6407" width="14.28515625" style="177" bestFit="1" customWidth="1"/>
    <col min="6408" max="6408" width="11.42578125" style="177" customWidth="1"/>
    <col min="6409" max="6409" width="14.140625" style="177" customWidth="1"/>
    <col min="6410" max="6410" width="7" style="177" customWidth="1"/>
    <col min="6411" max="6411" width="12.140625" style="177" customWidth="1"/>
    <col min="6412" max="6412" width="15.5703125" style="177" customWidth="1"/>
    <col min="6413" max="6413" width="11.140625" style="177" customWidth="1"/>
    <col min="6414" max="6414" width="15.140625" style="177" customWidth="1"/>
    <col min="6415" max="6415" width="9.140625" style="177" bestFit="1" customWidth="1"/>
    <col min="6416" max="6416" width="9.140625" style="177" customWidth="1"/>
    <col min="6417" max="6417" width="15.42578125" style="177" customWidth="1"/>
    <col min="6418" max="6418" width="11.28515625" style="177" customWidth="1"/>
    <col min="6419" max="6419" width="15.5703125" style="177" customWidth="1"/>
    <col min="6420" max="6420" width="7.28515625" style="177" customWidth="1"/>
    <col min="6421" max="6421" width="13.28515625" style="177" customWidth="1"/>
    <col min="6422" max="6656" width="12.5703125" style="177"/>
    <col min="6657" max="6657" width="9.42578125" style="177" customWidth="1"/>
    <col min="6658" max="6658" width="12.5703125" style="177"/>
    <col min="6659" max="6659" width="9" style="177" customWidth="1"/>
    <col min="6660" max="6660" width="9.85546875" style="177" customWidth="1"/>
    <col min="6661" max="6661" width="9.42578125" style="177" customWidth="1"/>
    <col min="6662" max="6662" width="11.140625" style="177" bestFit="1" customWidth="1"/>
    <col min="6663" max="6663" width="14.28515625" style="177" bestFit="1" customWidth="1"/>
    <col min="6664" max="6664" width="11.42578125" style="177" customWidth="1"/>
    <col min="6665" max="6665" width="14.140625" style="177" customWidth="1"/>
    <col min="6666" max="6666" width="7" style="177" customWidth="1"/>
    <col min="6667" max="6667" width="12.140625" style="177" customWidth="1"/>
    <col min="6668" max="6668" width="15.5703125" style="177" customWidth="1"/>
    <col min="6669" max="6669" width="11.140625" style="177" customWidth="1"/>
    <col min="6670" max="6670" width="15.140625" style="177" customWidth="1"/>
    <col min="6671" max="6671" width="9.140625" style="177" bestFit="1" customWidth="1"/>
    <col min="6672" max="6672" width="9.140625" style="177" customWidth="1"/>
    <col min="6673" max="6673" width="15.42578125" style="177" customWidth="1"/>
    <col min="6674" max="6674" width="11.28515625" style="177" customWidth="1"/>
    <col min="6675" max="6675" width="15.5703125" style="177" customWidth="1"/>
    <col min="6676" max="6676" width="7.28515625" style="177" customWidth="1"/>
    <col min="6677" max="6677" width="13.28515625" style="177" customWidth="1"/>
    <col min="6678" max="6912" width="12.5703125" style="177"/>
    <col min="6913" max="6913" width="9.42578125" style="177" customWidth="1"/>
    <col min="6914" max="6914" width="12.5703125" style="177"/>
    <col min="6915" max="6915" width="9" style="177" customWidth="1"/>
    <col min="6916" max="6916" width="9.85546875" style="177" customWidth="1"/>
    <col min="6917" max="6917" width="9.42578125" style="177" customWidth="1"/>
    <col min="6918" max="6918" width="11.140625" style="177" bestFit="1" customWidth="1"/>
    <col min="6919" max="6919" width="14.28515625" style="177" bestFit="1" customWidth="1"/>
    <col min="6920" max="6920" width="11.42578125" style="177" customWidth="1"/>
    <col min="6921" max="6921" width="14.140625" style="177" customWidth="1"/>
    <col min="6922" max="6922" width="7" style="177" customWidth="1"/>
    <col min="6923" max="6923" width="12.140625" style="177" customWidth="1"/>
    <col min="6924" max="6924" width="15.5703125" style="177" customWidth="1"/>
    <col min="6925" max="6925" width="11.140625" style="177" customWidth="1"/>
    <col min="6926" max="6926" width="15.140625" style="177" customWidth="1"/>
    <col min="6927" max="6927" width="9.140625" style="177" bestFit="1" customWidth="1"/>
    <col min="6928" max="6928" width="9.140625" style="177" customWidth="1"/>
    <col min="6929" max="6929" width="15.42578125" style="177" customWidth="1"/>
    <col min="6930" max="6930" width="11.28515625" style="177" customWidth="1"/>
    <col min="6931" max="6931" width="15.5703125" style="177" customWidth="1"/>
    <col min="6932" max="6932" width="7.28515625" style="177" customWidth="1"/>
    <col min="6933" max="6933" width="13.28515625" style="177" customWidth="1"/>
    <col min="6934" max="7168" width="12.5703125" style="177"/>
    <col min="7169" max="7169" width="9.42578125" style="177" customWidth="1"/>
    <col min="7170" max="7170" width="12.5703125" style="177"/>
    <col min="7171" max="7171" width="9" style="177" customWidth="1"/>
    <col min="7172" max="7172" width="9.85546875" style="177" customWidth="1"/>
    <col min="7173" max="7173" width="9.42578125" style="177" customWidth="1"/>
    <col min="7174" max="7174" width="11.140625" style="177" bestFit="1" customWidth="1"/>
    <col min="7175" max="7175" width="14.28515625" style="177" bestFit="1" customWidth="1"/>
    <col min="7176" max="7176" width="11.42578125" style="177" customWidth="1"/>
    <col min="7177" max="7177" width="14.140625" style="177" customWidth="1"/>
    <col min="7178" max="7178" width="7" style="177" customWidth="1"/>
    <col min="7179" max="7179" width="12.140625" style="177" customWidth="1"/>
    <col min="7180" max="7180" width="15.5703125" style="177" customWidth="1"/>
    <col min="7181" max="7181" width="11.140625" style="177" customWidth="1"/>
    <col min="7182" max="7182" width="15.140625" style="177" customWidth="1"/>
    <col min="7183" max="7183" width="9.140625" style="177" bestFit="1" customWidth="1"/>
    <col min="7184" max="7184" width="9.140625" style="177" customWidth="1"/>
    <col min="7185" max="7185" width="15.42578125" style="177" customWidth="1"/>
    <col min="7186" max="7186" width="11.28515625" style="177" customWidth="1"/>
    <col min="7187" max="7187" width="15.5703125" style="177" customWidth="1"/>
    <col min="7188" max="7188" width="7.28515625" style="177" customWidth="1"/>
    <col min="7189" max="7189" width="13.28515625" style="177" customWidth="1"/>
    <col min="7190" max="7424" width="12.5703125" style="177"/>
    <col min="7425" max="7425" width="9.42578125" style="177" customWidth="1"/>
    <col min="7426" max="7426" width="12.5703125" style="177"/>
    <col min="7427" max="7427" width="9" style="177" customWidth="1"/>
    <col min="7428" max="7428" width="9.85546875" style="177" customWidth="1"/>
    <col min="7429" max="7429" width="9.42578125" style="177" customWidth="1"/>
    <col min="7430" max="7430" width="11.140625" style="177" bestFit="1" customWidth="1"/>
    <col min="7431" max="7431" width="14.28515625" style="177" bestFit="1" customWidth="1"/>
    <col min="7432" max="7432" width="11.42578125" style="177" customWidth="1"/>
    <col min="7433" max="7433" width="14.140625" style="177" customWidth="1"/>
    <col min="7434" max="7434" width="7" style="177" customWidth="1"/>
    <col min="7435" max="7435" width="12.140625" style="177" customWidth="1"/>
    <col min="7436" max="7436" width="15.5703125" style="177" customWidth="1"/>
    <col min="7437" max="7437" width="11.140625" style="177" customWidth="1"/>
    <col min="7438" max="7438" width="15.140625" style="177" customWidth="1"/>
    <col min="7439" max="7439" width="9.140625" style="177" bestFit="1" customWidth="1"/>
    <col min="7440" max="7440" width="9.140625" style="177" customWidth="1"/>
    <col min="7441" max="7441" width="15.42578125" style="177" customWidth="1"/>
    <col min="7442" max="7442" width="11.28515625" style="177" customWidth="1"/>
    <col min="7443" max="7443" width="15.5703125" style="177" customWidth="1"/>
    <col min="7444" max="7444" width="7.28515625" style="177" customWidth="1"/>
    <col min="7445" max="7445" width="13.28515625" style="177" customWidth="1"/>
    <col min="7446" max="7680" width="12.5703125" style="177"/>
    <col min="7681" max="7681" width="9.42578125" style="177" customWidth="1"/>
    <col min="7682" max="7682" width="12.5703125" style="177"/>
    <col min="7683" max="7683" width="9" style="177" customWidth="1"/>
    <col min="7684" max="7684" width="9.85546875" style="177" customWidth="1"/>
    <col min="7685" max="7685" width="9.42578125" style="177" customWidth="1"/>
    <col min="7686" max="7686" width="11.140625" style="177" bestFit="1" customWidth="1"/>
    <col min="7687" max="7687" width="14.28515625" style="177" bestFit="1" customWidth="1"/>
    <col min="7688" max="7688" width="11.42578125" style="177" customWidth="1"/>
    <col min="7689" max="7689" width="14.140625" style="177" customWidth="1"/>
    <col min="7690" max="7690" width="7" style="177" customWidth="1"/>
    <col min="7691" max="7691" width="12.140625" style="177" customWidth="1"/>
    <col min="7692" max="7692" width="15.5703125" style="177" customWidth="1"/>
    <col min="7693" max="7693" width="11.140625" style="177" customWidth="1"/>
    <col min="7694" max="7694" width="15.140625" style="177" customWidth="1"/>
    <col min="7695" max="7695" width="9.140625" style="177" bestFit="1" customWidth="1"/>
    <col min="7696" max="7696" width="9.140625" style="177" customWidth="1"/>
    <col min="7697" max="7697" width="15.42578125" style="177" customWidth="1"/>
    <col min="7698" max="7698" width="11.28515625" style="177" customWidth="1"/>
    <col min="7699" max="7699" width="15.5703125" style="177" customWidth="1"/>
    <col min="7700" max="7700" width="7.28515625" style="177" customWidth="1"/>
    <col min="7701" max="7701" width="13.28515625" style="177" customWidth="1"/>
    <col min="7702" max="7936" width="12.5703125" style="177"/>
    <col min="7937" max="7937" width="9.42578125" style="177" customWidth="1"/>
    <col min="7938" max="7938" width="12.5703125" style="177"/>
    <col min="7939" max="7939" width="9" style="177" customWidth="1"/>
    <col min="7940" max="7940" width="9.85546875" style="177" customWidth="1"/>
    <col min="7941" max="7941" width="9.42578125" style="177" customWidth="1"/>
    <col min="7942" max="7942" width="11.140625" style="177" bestFit="1" customWidth="1"/>
    <col min="7943" max="7943" width="14.28515625" style="177" bestFit="1" customWidth="1"/>
    <col min="7944" max="7944" width="11.42578125" style="177" customWidth="1"/>
    <col min="7945" max="7945" width="14.140625" style="177" customWidth="1"/>
    <col min="7946" max="7946" width="7" style="177" customWidth="1"/>
    <col min="7947" max="7947" width="12.140625" style="177" customWidth="1"/>
    <col min="7948" max="7948" width="15.5703125" style="177" customWidth="1"/>
    <col min="7949" max="7949" width="11.140625" style="177" customWidth="1"/>
    <col min="7950" max="7950" width="15.140625" style="177" customWidth="1"/>
    <col min="7951" max="7951" width="9.140625" style="177" bestFit="1" customWidth="1"/>
    <col min="7952" max="7952" width="9.140625" style="177" customWidth="1"/>
    <col min="7953" max="7953" width="15.42578125" style="177" customWidth="1"/>
    <col min="7954" max="7954" width="11.28515625" style="177" customWidth="1"/>
    <col min="7955" max="7955" width="15.5703125" style="177" customWidth="1"/>
    <col min="7956" max="7956" width="7.28515625" style="177" customWidth="1"/>
    <col min="7957" max="7957" width="13.28515625" style="177" customWidth="1"/>
    <col min="7958" max="8192" width="12.5703125" style="177"/>
    <col min="8193" max="8193" width="9.42578125" style="177" customWidth="1"/>
    <col min="8194" max="8194" width="12.5703125" style="177"/>
    <col min="8195" max="8195" width="9" style="177" customWidth="1"/>
    <col min="8196" max="8196" width="9.85546875" style="177" customWidth="1"/>
    <col min="8197" max="8197" width="9.42578125" style="177" customWidth="1"/>
    <col min="8198" max="8198" width="11.140625" style="177" bestFit="1" customWidth="1"/>
    <col min="8199" max="8199" width="14.28515625" style="177" bestFit="1" customWidth="1"/>
    <col min="8200" max="8200" width="11.42578125" style="177" customWidth="1"/>
    <col min="8201" max="8201" width="14.140625" style="177" customWidth="1"/>
    <col min="8202" max="8202" width="7" style="177" customWidth="1"/>
    <col min="8203" max="8203" width="12.140625" style="177" customWidth="1"/>
    <col min="8204" max="8204" width="15.5703125" style="177" customWidth="1"/>
    <col min="8205" max="8205" width="11.140625" style="177" customWidth="1"/>
    <col min="8206" max="8206" width="15.140625" style="177" customWidth="1"/>
    <col min="8207" max="8207" width="9.140625" style="177" bestFit="1" customWidth="1"/>
    <col min="8208" max="8208" width="9.140625" style="177" customWidth="1"/>
    <col min="8209" max="8209" width="15.42578125" style="177" customWidth="1"/>
    <col min="8210" max="8210" width="11.28515625" style="177" customWidth="1"/>
    <col min="8211" max="8211" width="15.5703125" style="177" customWidth="1"/>
    <col min="8212" max="8212" width="7.28515625" style="177" customWidth="1"/>
    <col min="8213" max="8213" width="13.28515625" style="177" customWidth="1"/>
    <col min="8214" max="8448" width="12.5703125" style="177"/>
    <col min="8449" max="8449" width="9.42578125" style="177" customWidth="1"/>
    <col min="8450" max="8450" width="12.5703125" style="177"/>
    <col min="8451" max="8451" width="9" style="177" customWidth="1"/>
    <col min="8452" max="8452" width="9.85546875" style="177" customWidth="1"/>
    <col min="8453" max="8453" width="9.42578125" style="177" customWidth="1"/>
    <col min="8454" max="8454" width="11.140625" style="177" bestFit="1" customWidth="1"/>
    <col min="8455" max="8455" width="14.28515625" style="177" bestFit="1" customWidth="1"/>
    <col min="8456" max="8456" width="11.42578125" style="177" customWidth="1"/>
    <col min="8457" max="8457" width="14.140625" style="177" customWidth="1"/>
    <col min="8458" max="8458" width="7" style="177" customWidth="1"/>
    <col min="8459" max="8459" width="12.140625" style="177" customWidth="1"/>
    <col min="8460" max="8460" width="15.5703125" style="177" customWidth="1"/>
    <col min="8461" max="8461" width="11.140625" style="177" customWidth="1"/>
    <col min="8462" max="8462" width="15.140625" style="177" customWidth="1"/>
    <col min="8463" max="8463" width="9.140625" style="177" bestFit="1" customWidth="1"/>
    <col min="8464" max="8464" width="9.140625" style="177" customWidth="1"/>
    <col min="8465" max="8465" width="15.42578125" style="177" customWidth="1"/>
    <col min="8466" max="8466" width="11.28515625" style="177" customWidth="1"/>
    <col min="8467" max="8467" width="15.5703125" style="177" customWidth="1"/>
    <col min="8468" max="8468" width="7.28515625" style="177" customWidth="1"/>
    <col min="8469" max="8469" width="13.28515625" style="177" customWidth="1"/>
    <col min="8470" max="8704" width="12.5703125" style="177"/>
    <col min="8705" max="8705" width="9.42578125" style="177" customWidth="1"/>
    <col min="8706" max="8706" width="12.5703125" style="177"/>
    <col min="8707" max="8707" width="9" style="177" customWidth="1"/>
    <col min="8708" max="8708" width="9.85546875" style="177" customWidth="1"/>
    <col min="8709" max="8709" width="9.42578125" style="177" customWidth="1"/>
    <col min="8710" max="8710" width="11.140625" style="177" bestFit="1" customWidth="1"/>
    <col min="8711" max="8711" width="14.28515625" style="177" bestFit="1" customWidth="1"/>
    <col min="8712" max="8712" width="11.42578125" style="177" customWidth="1"/>
    <col min="8713" max="8713" width="14.140625" style="177" customWidth="1"/>
    <col min="8714" max="8714" width="7" style="177" customWidth="1"/>
    <col min="8715" max="8715" width="12.140625" style="177" customWidth="1"/>
    <col min="8716" max="8716" width="15.5703125" style="177" customWidth="1"/>
    <col min="8717" max="8717" width="11.140625" style="177" customWidth="1"/>
    <col min="8718" max="8718" width="15.140625" style="177" customWidth="1"/>
    <col min="8719" max="8719" width="9.140625" style="177" bestFit="1" customWidth="1"/>
    <col min="8720" max="8720" width="9.140625" style="177" customWidth="1"/>
    <col min="8721" max="8721" width="15.42578125" style="177" customWidth="1"/>
    <col min="8722" max="8722" width="11.28515625" style="177" customWidth="1"/>
    <col min="8723" max="8723" width="15.5703125" style="177" customWidth="1"/>
    <col min="8724" max="8724" width="7.28515625" style="177" customWidth="1"/>
    <col min="8725" max="8725" width="13.28515625" style="177" customWidth="1"/>
    <col min="8726" max="8960" width="12.5703125" style="177"/>
    <col min="8961" max="8961" width="9.42578125" style="177" customWidth="1"/>
    <col min="8962" max="8962" width="12.5703125" style="177"/>
    <col min="8963" max="8963" width="9" style="177" customWidth="1"/>
    <col min="8964" max="8964" width="9.85546875" style="177" customWidth="1"/>
    <col min="8965" max="8965" width="9.42578125" style="177" customWidth="1"/>
    <col min="8966" max="8966" width="11.140625" style="177" bestFit="1" customWidth="1"/>
    <col min="8967" max="8967" width="14.28515625" style="177" bestFit="1" customWidth="1"/>
    <col min="8968" max="8968" width="11.42578125" style="177" customWidth="1"/>
    <col min="8969" max="8969" width="14.140625" style="177" customWidth="1"/>
    <col min="8970" max="8970" width="7" style="177" customWidth="1"/>
    <col min="8971" max="8971" width="12.140625" style="177" customWidth="1"/>
    <col min="8972" max="8972" width="15.5703125" style="177" customWidth="1"/>
    <col min="8973" max="8973" width="11.140625" style="177" customWidth="1"/>
    <col min="8974" max="8974" width="15.140625" style="177" customWidth="1"/>
    <col min="8975" max="8975" width="9.140625" style="177" bestFit="1" customWidth="1"/>
    <col min="8976" max="8976" width="9.140625" style="177" customWidth="1"/>
    <col min="8977" max="8977" width="15.42578125" style="177" customWidth="1"/>
    <col min="8978" max="8978" width="11.28515625" style="177" customWidth="1"/>
    <col min="8979" max="8979" width="15.5703125" style="177" customWidth="1"/>
    <col min="8980" max="8980" width="7.28515625" style="177" customWidth="1"/>
    <col min="8981" max="8981" width="13.28515625" style="177" customWidth="1"/>
    <col min="8982" max="9216" width="12.5703125" style="177"/>
    <col min="9217" max="9217" width="9.42578125" style="177" customWidth="1"/>
    <col min="9218" max="9218" width="12.5703125" style="177"/>
    <col min="9219" max="9219" width="9" style="177" customWidth="1"/>
    <col min="9220" max="9220" width="9.85546875" style="177" customWidth="1"/>
    <col min="9221" max="9221" width="9.42578125" style="177" customWidth="1"/>
    <col min="9222" max="9222" width="11.140625" style="177" bestFit="1" customWidth="1"/>
    <col min="9223" max="9223" width="14.28515625" style="177" bestFit="1" customWidth="1"/>
    <col min="9224" max="9224" width="11.42578125" style="177" customWidth="1"/>
    <col min="9225" max="9225" width="14.140625" style="177" customWidth="1"/>
    <col min="9226" max="9226" width="7" style="177" customWidth="1"/>
    <col min="9227" max="9227" width="12.140625" style="177" customWidth="1"/>
    <col min="9228" max="9228" width="15.5703125" style="177" customWidth="1"/>
    <col min="9229" max="9229" width="11.140625" style="177" customWidth="1"/>
    <col min="9230" max="9230" width="15.140625" style="177" customWidth="1"/>
    <col min="9231" max="9231" width="9.140625" style="177" bestFit="1" customWidth="1"/>
    <col min="9232" max="9232" width="9.140625" style="177" customWidth="1"/>
    <col min="9233" max="9233" width="15.42578125" style="177" customWidth="1"/>
    <col min="9234" max="9234" width="11.28515625" style="177" customWidth="1"/>
    <col min="9235" max="9235" width="15.5703125" style="177" customWidth="1"/>
    <col min="9236" max="9236" width="7.28515625" style="177" customWidth="1"/>
    <col min="9237" max="9237" width="13.28515625" style="177" customWidth="1"/>
    <col min="9238" max="9472" width="12.5703125" style="177"/>
    <col min="9473" max="9473" width="9.42578125" style="177" customWidth="1"/>
    <col min="9474" max="9474" width="12.5703125" style="177"/>
    <col min="9475" max="9475" width="9" style="177" customWidth="1"/>
    <col min="9476" max="9476" width="9.85546875" style="177" customWidth="1"/>
    <col min="9477" max="9477" width="9.42578125" style="177" customWidth="1"/>
    <col min="9478" max="9478" width="11.140625" style="177" bestFit="1" customWidth="1"/>
    <col min="9479" max="9479" width="14.28515625" style="177" bestFit="1" customWidth="1"/>
    <col min="9480" max="9480" width="11.42578125" style="177" customWidth="1"/>
    <col min="9481" max="9481" width="14.140625" style="177" customWidth="1"/>
    <col min="9482" max="9482" width="7" style="177" customWidth="1"/>
    <col min="9483" max="9483" width="12.140625" style="177" customWidth="1"/>
    <col min="9484" max="9484" width="15.5703125" style="177" customWidth="1"/>
    <col min="9485" max="9485" width="11.140625" style="177" customWidth="1"/>
    <col min="9486" max="9486" width="15.140625" style="177" customWidth="1"/>
    <col min="9487" max="9487" width="9.140625" style="177" bestFit="1" customWidth="1"/>
    <col min="9488" max="9488" width="9.140625" style="177" customWidth="1"/>
    <col min="9489" max="9489" width="15.42578125" style="177" customWidth="1"/>
    <col min="9490" max="9490" width="11.28515625" style="177" customWidth="1"/>
    <col min="9491" max="9491" width="15.5703125" style="177" customWidth="1"/>
    <col min="9492" max="9492" width="7.28515625" style="177" customWidth="1"/>
    <col min="9493" max="9493" width="13.28515625" style="177" customWidth="1"/>
    <col min="9494" max="9728" width="12.5703125" style="177"/>
    <col min="9729" max="9729" width="9.42578125" style="177" customWidth="1"/>
    <col min="9730" max="9730" width="12.5703125" style="177"/>
    <col min="9731" max="9731" width="9" style="177" customWidth="1"/>
    <col min="9732" max="9732" width="9.85546875" style="177" customWidth="1"/>
    <col min="9733" max="9733" width="9.42578125" style="177" customWidth="1"/>
    <col min="9734" max="9734" width="11.140625" style="177" bestFit="1" customWidth="1"/>
    <col min="9735" max="9735" width="14.28515625" style="177" bestFit="1" customWidth="1"/>
    <col min="9736" max="9736" width="11.42578125" style="177" customWidth="1"/>
    <col min="9737" max="9737" width="14.140625" style="177" customWidth="1"/>
    <col min="9738" max="9738" width="7" style="177" customWidth="1"/>
    <col min="9739" max="9739" width="12.140625" style="177" customWidth="1"/>
    <col min="9740" max="9740" width="15.5703125" style="177" customWidth="1"/>
    <col min="9741" max="9741" width="11.140625" style="177" customWidth="1"/>
    <col min="9742" max="9742" width="15.140625" style="177" customWidth="1"/>
    <col min="9743" max="9743" width="9.140625" style="177" bestFit="1" customWidth="1"/>
    <col min="9744" max="9744" width="9.140625" style="177" customWidth="1"/>
    <col min="9745" max="9745" width="15.42578125" style="177" customWidth="1"/>
    <col min="9746" max="9746" width="11.28515625" style="177" customWidth="1"/>
    <col min="9747" max="9747" width="15.5703125" style="177" customWidth="1"/>
    <col min="9748" max="9748" width="7.28515625" style="177" customWidth="1"/>
    <col min="9749" max="9749" width="13.28515625" style="177" customWidth="1"/>
    <col min="9750" max="9984" width="12.5703125" style="177"/>
    <col min="9985" max="9985" width="9.42578125" style="177" customWidth="1"/>
    <col min="9986" max="9986" width="12.5703125" style="177"/>
    <col min="9987" max="9987" width="9" style="177" customWidth="1"/>
    <col min="9988" max="9988" width="9.85546875" style="177" customWidth="1"/>
    <col min="9989" max="9989" width="9.42578125" style="177" customWidth="1"/>
    <col min="9990" max="9990" width="11.140625" style="177" bestFit="1" customWidth="1"/>
    <col min="9991" max="9991" width="14.28515625" style="177" bestFit="1" customWidth="1"/>
    <col min="9992" max="9992" width="11.42578125" style="177" customWidth="1"/>
    <col min="9993" max="9993" width="14.140625" style="177" customWidth="1"/>
    <col min="9994" max="9994" width="7" style="177" customWidth="1"/>
    <col min="9995" max="9995" width="12.140625" style="177" customWidth="1"/>
    <col min="9996" max="9996" width="15.5703125" style="177" customWidth="1"/>
    <col min="9997" max="9997" width="11.140625" style="177" customWidth="1"/>
    <col min="9998" max="9998" width="15.140625" style="177" customWidth="1"/>
    <col min="9999" max="9999" width="9.140625" style="177" bestFit="1" customWidth="1"/>
    <col min="10000" max="10000" width="9.140625" style="177" customWidth="1"/>
    <col min="10001" max="10001" width="15.42578125" style="177" customWidth="1"/>
    <col min="10002" max="10002" width="11.28515625" style="177" customWidth="1"/>
    <col min="10003" max="10003" width="15.5703125" style="177" customWidth="1"/>
    <col min="10004" max="10004" width="7.28515625" style="177" customWidth="1"/>
    <col min="10005" max="10005" width="13.28515625" style="177" customWidth="1"/>
    <col min="10006" max="10240" width="12.5703125" style="177"/>
    <col min="10241" max="10241" width="9.42578125" style="177" customWidth="1"/>
    <col min="10242" max="10242" width="12.5703125" style="177"/>
    <col min="10243" max="10243" width="9" style="177" customWidth="1"/>
    <col min="10244" max="10244" width="9.85546875" style="177" customWidth="1"/>
    <col min="10245" max="10245" width="9.42578125" style="177" customWidth="1"/>
    <col min="10246" max="10246" width="11.140625" style="177" bestFit="1" customWidth="1"/>
    <col min="10247" max="10247" width="14.28515625" style="177" bestFit="1" customWidth="1"/>
    <col min="10248" max="10248" width="11.42578125" style="177" customWidth="1"/>
    <col min="10249" max="10249" width="14.140625" style="177" customWidth="1"/>
    <col min="10250" max="10250" width="7" style="177" customWidth="1"/>
    <col min="10251" max="10251" width="12.140625" style="177" customWidth="1"/>
    <col min="10252" max="10252" width="15.5703125" style="177" customWidth="1"/>
    <col min="10253" max="10253" width="11.140625" style="177" customWidth="1"/>
    <col min="10254" max="10254" width="15.140625" style="177" customWidth="1"/>
    <col min="10255" max="10255" width="9.140625" style="177" bestFit="1" customWidth="1"/>
    <col min="10256" max="10256" width="9.140625" style="177" customWidth="1"/>
    <col min="10257" max="10257" width="15.42578125" style="177" customWidth="1"/>
    <col min="10258" max="10258" width="11.28515625" style="177" customWidth="1"/>
    <col min="10259" max="10259" width="15.5703125" style="177" customWidth="1"/>
    <col min="10260" max="10260" width="7.28515625" style="177" customWidth="1"/>
    <col min="10261" max="10261" width="13.28515625" style="177" customWidth="1"/>
    <col min="10262" max="10496" width="12.5703125" style="177"/>
    <col min="10497" max="10497" width="9.42578125" style="177" customWidth="1"/>
    <col min="10498" max="10498" width="12.5703125" style="177"/>
    <col min="10499" max="10499" width="9" style="177" customWidth="1"/>
    <col min="10500" max="10500" width="9.85546875" style="177" customWidth="1"/>
    <col min="10501" max="10501" width="9.42578125" style="177" customWidth="1"/>
    <col min="10502" max="10502" width="11.140625" style="177" bestFit="1" customWidth="1"/>
    <col min="10503" max="10503" width="14.28515625" style="177" bestFit="1" customWidth="1"/>
    <col min="10504" max="10504" width="11.42578125" style="177" customWidth="1"/>
    <col min="10505" max="10505" width="14.140625" style="177" customWidth="1"/>
    <col min="10506" max="10506" width="7" style="177" customWidth="1"/>
    <col min="10507" max="10507" width="12.140625" style="177" customWidth="1"/>
    <col min="10508" max="10508" width="15.5703125" style="177" customWidth="1"/>
    <col min="10509" max="10509" width="11.140625" style="177" customWidth="1"/>
    <col min="10510" max="10510" width="15.140625" style="177" customWidth="1"/>
    <col min="10511" max="10511" width="9.140625" style="177" bestFit="1" customWidth="1"/>
    <col min="10512" max="10512" width="9.140625" style="177" customWidth="1"/>
    <col min="10513" max="10513" width="15.42578125" style="177" customWidth="1"/>
    <col min="10514" max="10514" width="11.28515625" style="177" customWidth="1"/>
    <col min="10515" max="10515" width="15.5703125" style="177" customWidth="1"/>
    <col min="10516" max="10516" width="7.28515625" style="177" customWidth="1"/>
    <col min="10517" max="10517" width="13.28515625" style="177" customWidth="1"/>
    <col min="10518" max="10752" width="12.5703125" style="177"/>
    <col min="10753" max="10753" width="9.42578125" style="177" customWidth="1"/>
    <col min="10754" max="10754" width="12.5703125" style="177"/>
    <col min="10755" max="10755" width="9" style="177" customWidth="1"/>
    <col min="10756" max="10756" width="9.85546875" style="177" customWidth="1"/>
    <col min="10757" max="10757" width="9.42578125" style="177" customWidth="1"/>
    <col min="10758" max="10758" width="11.140625" style="177" bestFit="1" customWidth="1"/>
    <col min="10759" max="10759" width="14.28515625" style="177" bestFit="1" customWidth="1"/>
    <col min="10760" max="10760" width="11.42578125" style="177" customWidth="1"/>
    <col min="10761" max="10761" width="14.140625" style="177" customWidth="1"/>
    <col min="10762" max="10762" width="7" style="177" customWidth="1"/>
    <col min="10763" max="10763" width="12.140625" style="177" customWidth="1"/>
    <col min="10764" max="10764" width="15.5703125" style="177" customWidth="1"/>
    <col min="10765" max="10765" width="11.140625" style="177" customWidth="1"/>
    <col min="10766" max="10766" width="15.140625" style="177" customWidth="1"/>
    <col min="10767" max="10767" width="9.140625" style="177" bestFit="1" customWidth="1"/>
    <col min="10768" max="10768" width="9.140625" style="177" customWidth="1"/>
    <col min="10769" max="10769" width="15.42578125" style="177" customWidth="1"/>
    <col min="10770" max="10770" width="11.28515625" style="177" customWidth="1"/>
    <col min="10771" max="10771" width="15.5703125" style="177" customWidth="1"/>
    <col min="10772" max="10772" width="7.28515625" style="177" customWidth="1"/>
    <col min="10773" max="10773" width="13.28515625" style="177" customWidth="1"/>
    <col min="10774" max="11008" width="12.5703125" style="177"/>
    <col min="11009" max="11009" width="9.42578125" style="177" customWidth="1"/>
    <col min="11010" max="11010" width="12.5703125" style="177"/>
    <col min="11011" max="11011" width="9" style="177" customWidth="1"/>
    <col min="11012" max="11012" width="9.85546875" style="177" customWidth="1"/>
    <col min="11013" max="11013" width="9.42578125" style="177" customWidth="1"/>
    <col min="11014" max="11014" width="11.140625" style="177" bestFit="1" customWidth="1"/>
    <col min="11015" max="11015" width="14.28515625" style="177" bestFit="1" customWidth="1"/>
    <col min="11016" max="11016" width="11.42578125" style="177" customWidth="1"/>
    <col min="11017" max="11017" width="14.140625" style="177" customWidth="1"/>
    <col min="11018" max="11018" width="7" style="177" customWidth="1"/>
    <col min="11019" max="11019" width="12.140625" style="177" customWidth="1"/>
    <col min="11020" max="11020" width="15.5703125" style="177" customWidth="1"/>
    <col min="11021" max="11021" width="11.140625" style="177" customWidth="1"/>
    <col min="11022" max="11022" width="15.140625" style="177" customWidth="1"/>
    <col min="11023" max="11023" width="9.140625" style="177" bestFit="1" customWidth="1"/>
    <col min="11024" max="11024" width="9.140625" style="177" customWidth="1"/>
    <col min="11025" max="11025" width="15.42578125" style="177" customWidth="1"/>
    <col min="11026" max="11026" width="11.28515625" style="177" customWidth="1"/>
    <col min="11027" max="11027" width="15.5703125" style="177" customWidth="1"/>
    <col min="11028" max="11028" width="7.28515625" style="177" customWidth="1"/>
    <col min="11029" max="11029" width="13.28515625" style="177" customWidth="1"/>
    <col min="11030" max="11264" width="12.5703125" style="177"/>
    <col min="11265" max="11265" width="9.42578125" style="177" customWidth="1"/>
    <col min="11266" max="11266" width="12.5703125" style="177"/>
    <col min="11267" max="11267" width="9" style="177" customWidth="1"/>
    <col min="11268" max="11268" width="9.85546875" style="177" customWidth="1"/>
    <col min="11269" max="11269" width="9.42578125" style="177" customWidth="1"/>
    <col min="11270" max="11270" width="11.140625" style="177" bestFit="1" customWidth="1"/>
    <col min="11271" max="11271" width="14.28515625" style="177" bestFit="1" customWidth="1"/>
    <col min="11272" max="11272" width="11.42578125" style="177" customWidth="1"/>
    <col min="11273" max="11273" width="14.140625" style="177" customWidth="1"/>
    <col min="11274" max="11274" width="7" style="177" customWidth="1"/>
    <col min="11275" max="11275" width="12.140625" style="177" customWidth="1"/>
    <col min="11276" max="11276" width="15.5703125" style="177" customWidth="1"/>
    <col min="11277" max="11277" width="11.140625" style="177" customWidth="1"/>
    <col min="11278" max="11278" width="15.140625" style="177" customWidth="1"/>
    <col min="11279" max="11279" width="9.140625" style="177" bestFit="1" customWidth="1"/>
    <col min="11280" max="11280" width="9.140625" style="177" customWidth="1"/>
    <col min="11281" max="11281" width="15.42578125" style="177" customWidth="1"/>
    <col min="11282" max="11282" width="11.28515625" style="177" customWidth="1"/>
    <col min="11283" max="11283" width="15.5703125" style="177" customWidth="1"/>
    <col min="11284" max="11284" width="7.28515625" style="177" customWidth="1"/>
    <col min="11285" max="11285" width="13.28515625" style="177" customWidth="1"/>
    <col min="11286" max="11520" width="12.5703125" style="177"/>
    <col min="11521" max="11521" width="9.42578125" style="177" customWidth="1"/>
    <col min="11522" max="11522" width="12.5703125" style="177"/>
    <col min="11523" max="11523" width="9" style="177" customWidth="1"/>
    <col min="11524" max="11524" width="9.85546875" style="177" customWidth="1"/>
    <col min="11525" max="11525" width="9.42578125" style="177" customWidth="1"/>
    <col min="11526" max="11526" width="11.140625" style="177" bestFit="1" customWidth="1"/>
    <col min="11527" max="11527" width="14.28515625" style="177" bestFit="1" customWidth="1"/>
    <col min="11528" max="11528" width="11.42578125" style="177" customWidth="1"/>
    <col min="11529" max="11529" width="14.140625" style="177" customWidth="1"/>
    <col min="11530" max="11530" width="7" style="177" customWidth="1"/>
    <col min="11531" max="11531" width="12.140625" style="177" customWidth="1"/>
    <col min="11532" max="11532" width="15.5703125" style="177" customWidth="1"/>
    <col min="11533" max="11533" width="11.140625" style="177" customWidth="1"/>
    <col min="11534" max="11534" width="15.140625" style="177" customWidth="1"/>
    <col min="11535" max="11535" width="9.140625" style="177" bestFit="1" customWidth="1"/>
    <col min="11536" max="11536" width="9.140625" style="177" customWidth="1"/>
    <col min="11537" max="11537" width="15.42578125" style="177" customWidth="1"/>
    <col min="11538" max="11538" width="11.28515625" style="177" customWidth="1"/>
    <col min="11539" max="11539" width="15.5703125" style="177" customWidth="1"/>
    <col min="11540" max="11540" width="7.28515625" style="177" customWidth="1"/>
    <col min="11541" max="11541" width="13.28515625" style="177" customWidth="1"/>
    <col min="11542" max="11776" width="12.5703125" style="177"/>
    <col min="11777" max="11777" width="9.42578125" style="177" customWidth="1"/>
    <col min="11778" max="11778" width="12.5703125" style="177"/>
    <col min="11779" max="11779" width="9" style="177" customWidth="1"/>
    <col min="11780" max="11780" width="9.85546875" style="177" customWidth="1"/>
    <col min="11781" max="11781" width="9.42578125" style="177" customWidth="1"/>
    <col min="11782" max="11782" width="11.140625" style="177" bestFit="1" customWidth="1"/>
    <col min="11783" max="11783" width="14.28515625" style="177" bestFit="1" customWidth="1"/>
    <col min="11784" max="11784" width="11.42578125" style="177" customWidth="1"/>
    <col min="11785" max="11785" width="14.140625" style="177" customWidth="1"/>
    <col min="11786" max="11786" width="7" style="177" customWidth="1"/>
    <col min="11787" max="11787" width="12.140625" style="177" customWidth="1"/>
    <col min="11788" max="11788" width="15.5703125" style="177" customWidth="1"/>
    <col min="11789" max="11789" width="11.140625" style="177" customWidth="1"/>
    <col min="11790" max="11790" width="15.140625" style="177" customWidth="1"/>
    <col min="11791" max="11791" width="9.140625" style="177" bestFit="1" customWidth="1"/>
    <col min="11792" max="11792" width="9.140625" style="177" customWidth="1"/>
    <col min="11793" max="11793" width="15.42578125" style="177" customWidth="1"/>
    <col min="11794" max="11794" width="11.28515625" style="177" customWidth="1"/>
    <col min="11795" max="11795" width="15.5703125" style="177" customWidth="1"/>
    <col min="11796" max="11796" width="7.28515625" style="177" customWidth="1"/>
    <col min="11797" max="11797" width="13.28515625" style="177" customWidth="1"/>
    <col min="11798" max="12032" width="12.5703125" style="177"/>
    <col min="12033" max="12033" width="9.42578125" style="177" customWidth="1"/>
    <col min="12034" max="12034" width="12.5703125" style="177"/>
    <col min="12035" max="12035" width="9" style="177" customWidth="1"/>
    <col min="12036" max="12036" width="9.85546875" style="177" customWidth="1"/>
    <col min="12037" max="12037" width="9.42578125" style="177" customWidth="1"/>
    <col min="12038" max="12038" width="11.140625" style="177" bestFit="1" customWidth="1"/>
    <col min="12039" max="12039" width="14.28515625" style="177" bestFit="1" customWidth="1"/>
    <col min="12040" max="12040" width="11.42578125" style="177" customWidth="1"/>
    <col min="12041" max="12041" width="14.140625" style="177" customWidth="1"/>
    <col min="12042" max="12042" width="7" style="177" customWidth="1"/>
    <col min="12043" max="12043" width="12.140625" style="177" customWidth="1"/>
    <col min="12044" max="12044" width="15.5703125" style="177" customWidth="1"/>
    <col min="12045" max="12045" width="11.140625" style="177" customWidth="1"/>
    <col min="12046" max="12046" width="15.140625" style="177" customWidth="1"/>
    <col min="12047" max="12047" width="9.140625" style="177" bestFit="1" customWidth="1"/>
    <col min="12048" max="12048" width="9.140625" style="177" customWidth="1"/>
    <col min="12049" max="12049" width="15.42578125" style="177" customWidth="1"/>
    <col min="12050" max="12050" width="11.28515625" style="177" customWidth="1"/>
    <col min="12051" max="12051" width="15.5703125" style="177" customWidth="1"/>
    <col min="12052" max="12052" width="7.28515625" style="177" customWidth="1"/>
    <col min="12053" max="12053" width="13.28515625" style="177" customWidth="1"/>
    <col min="12054" max="12288" width="12.5703125" style="177"/>
    <col min="12289" max="12289" width="9.42578125" style="177" customWidth="1"/>
    <col min="12290" max="12290" width="12.5703125" style="177"/>
    <col min="12291" max="12291" width="9" style="177" customWidth="1"/>
    <col min="12292" max="12292" width="9.85546875" style="177" customWidth="1"/>
    <col min="12293" max="12293" width="9.42578125" style="177" customWidth="1"/>
    <col min="12294" max="12294" width="11.140625" style="177" bestFit="1" customWidth="1"/>
    <col min="12295" max="12295" width="14.28515625" style="177" bestFit="1" customWidth="1"/>
    <col min="12296" max="12296" width="11.42578125" style="177" customWidth="1"/>
    <col min="12297" max="12297" width="14.140625" style="177" customWidth="1"/>
    <col min="12298" max="12298" width="7" style="177" customWidth="1"/>
    <col min="12299" max="12299" width="12.140625" style="177" customWidth="1"/>
    <col min="12300" max="12300" width="15.5703125" style="177" customWidth="1"/>
    <col min="12301" max="12301" width="11.140625" style="177" customWidth="1"/>
    <col min="12302" max="12302" width="15.140625" style="177" customWidth="1"/>
    <col min="12303" max="12303" width="9.140625" style="177" bestFit="1" customWidth="1"/>
    <col min="12304" max="12304" width="9.140625" style="177" customWidth="1"/>
    <col min="12305" max="12305" width="15.42578125" style="177" customWidth="1"/>
    <col min="12306" max="12306" width="11.28515625" style="177" customWidth="1"/>
    <col min="12307" max="12307" width="15.5703125" style="177" customWidth="1"/>
    <col min="12308" max="12308" width="7.28515625" style="177" customWidth="1"/>
    <col min="12309" max="12309" width="13.28515625" style="177" customWidth="1"/>
    <col min="12310" max="12544" width="12.5703125" style="177"/>
    <col min="12545" max="12545" width="9.42578125" style="177" customWidth="1"/>
    <col min="12546" max="12546" width="12.5703125" style="177"/>
    <col min="12547" max="12547" width="9" style="177" customWidth="1"/>
    <col min="12548" max="12548" width="9.85546875" style="177" customWidth="1"/>
    <col min="12549" max="12549" width="9.42578125" style="177" customWidth="1"/>
    <col min="12550" max="12550" width="11.140625" style="177" bestFit="1" customWidth="1"/>
    <col min="12551" max="12551" width="14.28515625" style="177" bestFit="1" customWidth="1"/>
    <col min="12552" max="12552" width="11.42578125" style="177" customWidth="1"/>
    <col min="12553" max="12553" width="14.140625" style="177" customWidth="1"/>
    <col min="12554" max="12554" width="7" style="177" customWidth="1"/>
    <col min="12555" max="12555" width="12.140625" style="177" customWidth="1"/>
    <col min="12556" max="12556" width="15.5703125" style="177" customWidth="1"/>
    <col min="12557" max="12557" width="11.140625" style="177" customWidth="1"/>
    <col min="12558" max="12558" width="15.140625" style="177" customWidth="1"/>
    <col min="12559" max="12559" width="9.140625" style="177" bestFit="1" customWidth="1"/>
    <col min="12560" max="12560" width="9.140625" style="177" customWidth="1"/>
    <col min="12561" max="12561" width="15.42578125" style="177" customWidth="1"/>
    <col min="12562" max="12562" width="11.28515625" style="177" customWidth="1"/>
    <col min="12563" max="12563" width="15.5703125" style="177" customWidth="1"/>
    <col min="12564" max="12564" width="7.28515625" style="177" customWidth="1"/>
    <col min="12565" max="12565" width="13.28515625" style="177" customWidth="1"/>
    <col min="12566" max="12800" width="12.5703125" style="177"/>
    <col min="12801" max="12801" width="9.42578125" style="177" customWidth="1"/>
    <col min="12802" max="12802" width="12.5703125" style="177"/>
    <col min="12803" max="12803" width="9" style="177" customWidth="1"/>
    <col min="12804" max="12804" width="9.85546875" style="177" customWidth="1"/>
    <col min="12805" max="12805" width="9.42578125" style="177" customWidth="1"/>
    <col min="12806" max="12806" width="11.140625" style="177" bestFit="1" customWidth="1"/>
    <col min="12807" max="12807" width="14.28515625" style="177" bestFit="1" customWidth="1"/>
    <col min="12808" max="12808" width="11.42578125" style="177" customWidth="1"/>
    <col min="12809" max="12809" width="14.140625" style="177" customWidth="1"/>
    <col min="12810" max="12810" width="7" style="177" customWidth="1"/>
    <col min="12811" max="12811" width="12.140625" style="177" customWidth="1"/>
    <col min="12812" max="12812" width="15.5703125" style="177" customWidth="1"/>
    <col min="12813" max="12813" width="11.140625" style="177" customWidth="1"/>
    <col min="12814" max="12814" width="15.140625" style="177" customWidth="1"/>
    <col min="12815" max="12815" width="9.140625" style="177" bestFit="1" customWidth="1"/>
    <col min="12816" max="12816" width="9.140625" style="177" customWidth="1"/>
    <col min="12817" max="12817" width="15.42578125" style="177" customWidth="1"/>
    <col min="12818" max="12818" width="11.28515625" style="177" customWidth="1"/>
    <col min="12819" max="12819" width="15.5703125" style="177" customWidth="1"/>
    <col min="12820" max="12820" width="7.28515625" style="177" customWidth="1"/>
    <col min="12821" max="12821" width="13.28515625" style="177" customWidth="1"/>
    <col min="12822" max="13056" width="12.5703125" style="177"/>
    <col min="13057" max="13057" width="9.42578125" style="177" customWidth="1"/>
    <col min="13058" max="13058" width="12.5703125" style="177"/>
    <col min="13059" max="13059" width="9" style="177" customWidth="1"/>
    <col min="13060" max="13060" width="9.85546875" style="177" customWidth="1"/>
    <col min="13061" max="13061" width="9.42578125" style="177" customWidth="1"/>
    <col min="13062" max="13062" width="11.140625" style="177" bestFit="1" customWidth="1"/>
    <col min="13063" max="13063" width="14.28515625" style="177" bestFit="1" customWidth="1"/>
    <col min="13064" max="13064" width="11.42578125" style="177" customWidth="1"/>
    <col min="13065" max="13065" width="14.140625" style="177" customWidth="1"/>
    <col min="13066" max="13066" width="7" style="177" customWidth="1"/>
    <col min="13067" max="13067" width="12.140625" style="177" customWidth="1"/>
    <col min="13068" max="13068" width="15.5703125" style="177" customWidth="1"/>
    <col min="13069" max="13069" width="11.140625" style="177" customWidth="1"/>
    <col min="13070" max="13070" width="15.140625" style="177" customWidth="1"/>
    <col min="13071" max="13071" width="9.140625" style="177" bestFit="1" customWidth="1"/>
    <col min="13072" max="13072" width="9.140625" style="177" customWidth="1"/>
    <col min="13073" max="13073" width="15.42578125" style="177" customWidth="1"/>
    <col min="13074" max="13074" width="11.28515625" style="177" customWidth="1"/>
    <col min="13075" max="13075" width="15.5703125" style="177" customWidth="1"/>
    <col min="13076" max="13076" width="7.28515625" style="177" customWidth="1"/>
    <col min="13077" max="13077" width="13.28515625" style="177" customWidth="1"/>
    <col min="13078" max="13312" width="12.5703125" style="177"/>
    <col min="13313" max="13313" width="9.42578125" style="177" customWidth="1"/>
    <col min="13314" max="13314" width="12.5703125" style="177"/>
    <col min="13315" max="13315" width="9" style="177" customWidth="1"/>
    <col min="13316" max="13316" width="9.85546875" style="177" customWidth="1"/>
    <col min="13317" max="13317" width="9.42578125" style="177" customWidth="1"/>
    <col min="13318" max="13318" width="11.140625" style="177" bestFit="1" customWidth="1"/>
    <col min="13319" max="13319" width="14.28515625" style="177" bestFit="1" customWidth="1"/>
    <col min="13320" max="13320" width="11.42578125" style="177" customWidth="1"/>
    <col min="13321" max="13321" width="14.140625" style="177" customWidth="1"/>
    <col min="13322" max="13322" width="7" style="177" customWidth="1"/>
    <col min="13323" max="13323" width="12.140625" style="177" customWidth="1"/>
    <col min="13324" max="13324" width="15.5703125" style="177" customWidth="1"/>
    <col min="13325" max="13325" width="11.140625" style="177" customWidth="1"/>
    <col min="13326" max="13326" width="15.140625" style="177" customWidth="1"/>
    <col min="13327" max="13327" width="9.140625" style="177" bestFit="1" customWidth="1"/>
    <col min="13328" max="13328" width="9.140625" style="177" customWidth="1"/>
    <col min="13329" max="13329" width="15.42578125" style="177" customWidth="1"/>
    <col min="13330" max="13330" width="11.28515625" style="177" customWidth="1"/>
    <col min="13331" max="13331" width="15.5703125" style="177" customWidth="1"/>
    <col min="13332" max="13332" width="7.28515625" style="177" customWidth="1"/>
    <col min="13333" max="13333" width="13.28515625" style="177" customWidth="1"/>
    <col min="13334" max="13568" width="12.5703125" style="177"/>
    <col min="13569" max="13569" width="9.42578125" style="177" customWidth="1"/>
    <col min="13570" max="13570" width="12.5703125" style="177"/>
    <col min="13571" max="13571" width="9" style="177" customWidth="1"/>
    <col min="13572" max="13572" width="9.85546875" style="177" customWidth="1"/>
    <col min="13573" max="13573" width="9.42578125" style="177" customWidth="1"/>
    <col min="13574" max="13574" width="11.140625" style="177" bestFit="1" customWidth="1"/>
    <col min="13575" max="13575" width="14.28515625" style="177" bestFit="1" customWidth="1"/>
    <col min="13576" max="13576" width="11.42578125" style="177" customWidth="1"/>
    <col min="13577" max="13577" width="14.140625" style="177" customWidth="1"/>
    <col min="13578" max="13578" width="7" style="177" customWidth="1"/>
    <col min="13579" max="13579" width="12.140625" style="177" customWidth="1"/>
    <col min="13580" max="13580" width="15.5703125" style="177" customWidth="1"/>
    <col min="13581" max="13581" width="11.140625" style="177" customWidth="1"/>
    <col min="13582" max="13582" width="15.140625" style="177" customWidth="1"/>
    <col min="13583" max="13583" width="9.140625" style="177" bestFit="1" customWidth="1"/>
    <col min="13584" max="13584" width="9.140625" style="177" customWidth="1"/>
    <col min="13585" max="13585" width="15.42578125" style="177" customWidth="1"/>
    <col min="13586" max="13586" width="11.28515625" style="177" customWidth="1"/>
    <col min="13587" max="13587" width="15.5703125" style="177" customWidth="1"/>
    <col min="13588" max="13588" width="7.28515625" style="177" customWidth="1"/>
    <col min="13589" max="13589" width="13.28515625" style="177" customWidth="1"/>
    <col min="13590" max="13824" width="12.5703125" style="177"/>
    <col min="13825" max="13825" width="9.42578125" style="177" customWidth="1"/>
    <col min="13826" max="13826" width="12.5703125" style="177"/>
    <col min="13827" max="13827" width="9" style="177" customWidth="1"/>
    <col min="13828" max="13828" width="9.85546875" style="177" customWidth="1"/>
    <col min="13829" max="13829" width="9.42578125" style="177" customWidth="1"/>
    <col min="13830" max="13830" width="11.140625" style="177" bestFit="1" customWidth="1"/>
    <col min="13831" max="13831" width="14.28515625" style="177" bestFit="1" customWidth="1"/>
    <col min="13832" max="13832" width="11.42578125" style="177" customWidth="1"/>
    <col min="13833" max="13833" width="14.140625" style="177" customWidth="1"/>
    <col min="13834" max="13834" width="7" style="177" customWidth="1"/>
    <col min="13835" max="13835" width="12.140625" style="177" customWidth="1"/>
    <col min="13836" max="13836" width="15.5703125" style="177" customWidth="1"/>
    <col min="13837" max="13837" width="11.140625" style="177" customWidth="1"/>
    <col min="13838" max="13838" width="15.140625" style="177" customWidth="1"/>
    <col min="13839" max="13839" width="9.140625" style="177" bestFit="1" customWidth="1"/>
    <col min="13840" max="13840" width="9.140625" style="177" customWidth="1"/>
    <col min="13841" max="13841" width="15.42578125" style="177" customWidth="1"/>
    <col min="13842" max="13842" width="11.28515625" style="177" customWidth="1"/>
    <col min="13843" max="13843" width="15.5703125" style="177" customWidth="1"/>
    <col min="13844" max="13844" width="7.28515625" style="177" customWidth="1"/>
    <col min="13845" max="13845" width="13.28515625" style="177" customWidth="1"/>
    <col min="13846" max="14080" width="12.5703125" style="177"/>
    <col min="14081" max="14081" width="9.42578125" style="177" customWidth="1"/>
    <col min="14082" max="14082" width="12.5703125" style="177"/>
    <col min="14083" max="14083" width="9" style="177" customWidth="1"/>
    <col min="14084" max="14084" width="9.85546875" style="177" customWidth="1"/>
    <col min="14085" max="14085" width="9.42578125" style="177" customWidth="1"/>
    <col min="14086" max="14086" width="11.140625" style="177" bestFit="1" customWidth="1"/>
    <col min="14087" max="14087" width="14.28515625" style="177" bestFit="1" customWidth="1"/>
    <col min="14088" max="14088" width="11.42578125" style="177" customWidth="1"/>
    <col min="14089" max="14089" width="14.140625" style="177" customWidth="1"/>
    <col min="14090" max="14090" width="7" style="177" customWidth="1"/>
    <col min="14091" max="14091" width="12.140625" style="177" customWidth="1"/>
    <col min="14092" max="14092" width="15.5703125" style="177" customWidth="1"/>
    <col min="14093" max="14093" width="11.140625" style="177" customWidth="1"/>
    <col min="14094" max="14094" width="15.140625" style="177" customWidth="1"/>
    <col min="14095" max="14095" width="9.140625" style="177" bestFit="1" customWidth="1"/>
    <col min="14096" max="14096" width="9.140625" style="177" customWidth="1"/>
    <col min="14097" max="14097" width="15.42578125" style="177" customWidth="1"/>
    <col min="14098" max="14098" width="11.28515625" style="177" customWidth="1"/>
    <col min="14099" max="14099" width="15.5703125" style="177" customWidth="1"/>
    <col min="14100" max="14100" width="7.28515625" style="177" customWidth="1"/>
    <col min="14101" max="14101" width="13.28515625" style="177" customWidth="1"/>
    <col min="14102" max="14336" width="12.5703125" style="177"/>
    <col min="14337" max="14337" width="9.42578125" style="177" customWidth="1"/>
    <col min="14338" max="14338" width="12.5703125" style="177"/>
    <col min="14339" max="14339" width="9" style="177" customWidth="1"/>
    <col min="14340" max="14340" width="9.85546875" style="177" customWidth="1"/>
    <col min="14341" max="14341" width="9.42578125" style="177" customWidth="1"/>
    <col min="14342" max="14342" width="11.140625" style="177" bestFit="1" customWidth="1"/>
    <col min="14343" max="14343" width="14.28515625" style="177" bestFit="1" customWidth="1"/>
    <col min="14344" max="14344" width="11.42578125" style="177" customWidth="1"/>
    <col min="14345" max="14345" width="14.140625" style="177" customWidth="1"/>
    <col min="14346" max="14346" width="7" style="177" customWidth="1"/>
    <col min="14347" max="14347" width="12.140625" style="177" customWidth="1"/>
    <col min="14348" max="14348" width="15.5703125" style="177" customWidth="1"/>
    <col min="14349" max="14349" width="11.140625" style="177" customWidth="1"/>
    <col min="14350" max="14350" width="15.140625" style="177" customWidth="1"/>
    <col min="14351" max="14351" width="9.140625" style="177" bestFit="1" customWidth="1"/>
    <col min="14352" max="14352" width="9.140625" style="177" customWidth="1"/>
    <col min="14353" max="14353" width="15.42578125" style="177" customWidth="1"/>
    <col min="14354" max="14354" width="11.28515625" style="177" customWidth="1"/>
    <col min="14355" max="14355" width="15.5703125" style="177" customWidth="1"/>
    <col min="14356" max="14356" width="7.28515625" style="177" customWidth="1"/>
    <col min="14357" max="14357" width="13.28515625" style="177" customWidth="1"/>
    <col min="14358" max="14592" width="12.5703125" style="177"/>
    <col min="14593" max="14593" width="9.42578125" style="177" customWidth="1"/>
    <col min="14594" max="14594" width="12.5703125" style="177"/>
    <col min="14595" max="14595" width="9" style="177" customWidth="1"/>
    <col min="14596" max="14596" width="9.85546875" style="177" customWidth="1"/>
    <col min="14597" max="14597" width="9.42578125" style="177" customWidth="1"/>
    <col min="14598" max="14598" width="11.140625" style="177" bestFit="1" customWidth="1"/>
    <col min="14599" max="14599" width="14.28515625" style="177" bestFit="1" customWidth="1"/>
    <col min="14600" max="14600" width="11.42578125" style="177" customWidth="1"/>
    <col min="14601" max="14601" width="14.140625" style="177" customWidth="1"/>
    <col min="14602" max="14602" width="7" style="177" customWidth="1"/>
    <col min="14603" max="14603" width="12.140625" style="177" customWidth="1"/>
    <col min="14604" max="14604" width="15.5703125" style="177" customWidth="1"/>
    <col min="14605" max="14605" width="11.140625" style="177" customWidth="1"/>
    <col min="14606" max="14606" width="15.140625" style="177" customWidth="1"/>
    <col min="14607" max="14607" width="9.140625" style="177" bestFit="1" customWidth="1"/>
    <col min="14608" max="14608" width="9.140625" style="177" customWidth="1"/>
    <col min="14609" max="14609" width="15.42578125" style="177" customWidth="1"/>
    <col min="14610" max="14610" width="11.28515625" style="177" customWidth="1"/>
    <col min="14611" max="14611" width="15.5703125" style="177" customWidth="1"/>
    <col min="14612" max="14612" width="7.28515625" style="177" customWidth="1"/>
    <col min="14613" max="14613" width="13.28515625" style="177" customWidth="1"/>
    <col min="14614" max="14848" width="12.5703125" style="177"/>
    <col min="14849" max="14849" width="9.42578125" style="177" customWidth="1"/>
    <col min="14850" max="14850" width="12.5703125" style="177"/>
    <col min="14851" max="14851" width="9" style="177" customWidth="1"/>
    <col min="14852" max="14852" width="9.85546875" style="177" customWidth="1"/>
    <col min="14853" max="14853" width="9.42578125" style="177" customWidth="1"/>
    <col min="14854" max="14854" width="11.140625" style="177" bestFit="1" customWidth="1"/>
    <col min="14855" max="14855" width="14.28515625" style="177" bestFit="1" customWidth="1"/>
    <col min="14856" max="14856" width="11.42578125" style="177" customWidth="1"/>
    <col min="14857" max="14857" width="14.140625" style="177" customWidth="1"/>
    <col min="14858" max="14858" width="7" style="177" customWidth="1"/>
    <col min="14859" max="14859" width="12.140625" style="177" customWidth="1"/>
    <col min="14860" max="14860" width="15.5703125" style="177" customWidth="1"/>
    <col min="14861" max="14861" width="11.140625" style="177" customWidth="1"/>
    <col min="14862" max="14862" width="15.140625" style="177" customWidth="1"/>
    <col min="14863" max="14863" width="9.140625" style="177" bestFit="1" customWidth="1"/>
    <col min="14864" max="14864" width="9.140625" style="177" customWidth="1"/>
    <col min="14865" max="14865" width="15.42578125" style="177" customWidth="1"/>
    <col min="14866" max="14866" width="11.28515625" style="177" customWidth="1"/>
    <col min="14867" max="14867" width="15.5703125" style="177" customWidth="1"/>
    <col min="14868" max="14868" width="7.28515625" style="177" customWidth="1"/>
    <col min="14869" max="14869" width="13.28515625" style="177" customWidth="1"/>
    <col min="14870" max="15104" width="12.5703125" style="177"/>
    <col min="15105" max="15105" width="9.42578125" style="177" customWidth="1"/>
    <col min="15106" max="15106" width="12.5703125" style="177"/>
    <col min="15107" max="15107" width="9" style="177" customWidth="1"/>
    <col min="15108" max="15108" width="9.85546875" style="177" customWidth="1"/>
    <col min="15109" max="15109" width="9.42578125" style="177" customWidth="1"/>
    <col min="15110" max="15110" width="11.140625" style="177" bestFit="1" customWidth="1"/>
    <col min="15111" max="15111" width="14.28515625" style="177" bestFit="1" customWidth="1"/>
    <col min="15112" max="15112" width="11.42578125" style="177" customWidth="1"/>
    <col min="15113" max="15113" width="14.140625" style="177" customWidth="1"/>
    <col min="15114" max="15114" width="7" style="177" customWidth="1"/>
    <col min="15115" max="15115" width="12.140625" style="177" customWidth="1"/>
    <col min="15116" max="15116" width="15.5703125" style="177" customWidth="1"/>
    <col min="15117" max="15117" width="11.140625" style="177" customWidth="1"/>
    <col min="15118" max="15118" width="15.140625" style="177" customWidth="1"/>
    <col min="15119" max="15119" width="9.140625" style="177" bestFit="1" customWidth="1"/>
    <col min="15120" max="15120" width="9.140625" style="177" customWidth="1"/>
    <col min="15121" max="15121" width="15.42578125" style="177" customWidth="1"/>
    <col min="15122" max="15122" width="11.28515625" style="177" customWidth="1"/>
    <col min="15123" max="15123" width="15.5703125" style="177" customWidth="1"/>
    <col min="15124" max="15124" width="7.28515625" style="177" customWidth="1"/>
    <col min="15125" max="15125" width="13.28515625" style="177" customWidth="1"/>
    <col min="15126" max="15360" width="12.5703125" style="177"/>
    <col min="15361" max="15361" width="9.42578125" style="177" customWidth="1"/>
    <col min="15362" max="15362" width="12.5703125" style="177"/>
    <col min="15363" max="15363" width="9" style="177" customWidth="1"/>
    <col min="15364" max="15364" width="9.85546875" style="177" customWidth="1"/>
    <col min="15365" max="15365" width="9.42578125" style="177" customWidth="1"/>
    <col min="15366" max="15366" width="11.140625" style="177" bestFit="1" customWidth="1"/>
    <col min="15367" max="15367" width="14.28515625" style="177" bestFit="1" customWidth="1"/>
    <col min="15368" max="15368" width="11.42578125" style="177" customWidth="1"/>
    <col min="15369" max="15369" width="14.140625" style="177" customWidth="1"/>
    <col min="15370" max="15370" width="7" style="177" customWidth="1"/>
    <col min="15371" max="15371" width="12.140625" style="177" customWidth="1"/>
    <col min="15372" max="15372" width="15.5703125" style="177" customWidth="1"/>
    <col min="15373" max="15373" width="11.140625" style="177" customWidth="1"/>
    <col min="15374" max="15374" width="15.140625" style="177" customWidth="1"/>
    <col min="15375" max="15375" width="9.140625" style="177" bestFit="1" customWidth="1"/>
    <col min="15376" max="15376" width="9.140625" style="177" customWidth="1"/>
    <col min="15377" max="15377" width="15.42578125" style="177" customWidth="1"/>
    <col min="15378" max="15378" width="11.28515625" style="177" customWidth="1"/>
    <col min="15379" max="15379" width="15.5703125" style="177" customWidth="1"/>
    <col min="15380" max="15380" width="7.28515625" style="177" customWidth="1"/>
    <col min="15381" max="15381" width="13.28515625" style="177" customWidth="1"/>
    <col min="15382" max="15616" width="12.5703125" style="177"/>
    <col min="15617" max="15617" width="9.42578125" style="177" customWidth="1"/>
    <col min="15618" max="15618" width="12.5703125" style="177"/>
    <col min="15619" max="15619" width="9" style="177" customWidth="1"/>
    <col min="15620" max="15620" width="9.85546875" style="177" customWidth="1"/>
    <col min="15621" max="15621" width="9.42578125" style="177" customWidth="1"/>
    <col min="15622" max="15622" width="11.140625" style="177" bestFit="1" customWidth="1"/>
    <col min="15623" max="15623" width="14.28515625" style="177" bestFit="1" customWidth="1"/>
    <col min="15624" max="15624" width="11.42578125" style="177" customWidth="1"/>
    <col min="15625" max="15625" width="14.140625" style="177" customWidth="1"/>
    <col min="15626" max="15626" width="7" style="177" customWidth="1"/>
    <col min="15627" max="15627" width="12.140625" style="177" customWidth="1"/>
    <col min="15628" max="15628" width="15.5703125" style="177" customWidth="1"/>
    <col min="15629" max="15629" width="11.140625" style="177" customWidth="1"/>
    <col min="15630" max="15630" width="15.140625" style="177" customWidth="1"/>
    <col min="15631" max="15631" width="9.140625" style="177" bestFit="1" customWidth="1"/>
    <col min="15632" max="15632" width="9.140625" style="177" customWidth="1"/>
    <col min="15633" max="15633" width="15.42578125" style="177" customWidth="1"/>
    <col min="15634" max="15634" width="11.28515625" style="177" customWidth="1"/>
    <col min="15635" max="15635" width="15.5703125" style="177" customWidth="1"/>
    <col min="15636" max="15636" width="7.28515625" style="177" customWidth="1"/>
    <col min="15637" max="15637" width="13.28515625" style="177" customWidth="1"/>
    <col min="15638" max="15872" width="12.5703125" style="177"/>
    <col min="15873" max="15873" width="9.42578125" style="177" customWidth="1"/>
    <col min="15874" max="15874" width="12.5703125" style="177"/>
    <col min="15875" max="15875" width="9" style="177" customWidth="1"/>
    <col min="15876" max="15876" width="9.85546875" style="177" customWidth="1"/>
    <col min="15877" max="15877" width="9.42578125" style="177" customWidth="1"/>
    <col min="15878" max="15878" width="11.140625" style="177" bestFit="1" customWidth="1"/>
    <col min="15879" max="15879" width="14.28515625" style="177" bestFit="1" customWidth="1"/>
    <col min="15880" max="15880" width="11.42578125" style="177" customWidth="1"/>
    <col min="15881" max="15881" width="14.140625" style="177" customWidth="1"/>
    <col min="15882" max="15882" width="7" style="177" customWidth="1"/>
    <col min="15883" max="15883" width="12.140625" style="177" customWidth="1"/>
    <col min="15884" max="15884" width="15.5703125" style="177" customWidth="1"/>
    <col min="15885" max="15885" width="11.140625" style="177" customWidth="1"/>
    <col min="15886" max="15886" width="15.140625" style="177" customWidth="1"/>
    <col min="15887" max="15887" width="9.140625" style="177" bestFit="1" customWidth="1"/>
    <col min="15888" max="15888" width="9.140625" style="177" customWidth="1"/>
    <col min="15889" max="15889" width="15.42578125" style="177" customWidth="1"/>
    <col min="15890" max="15890" width="11.28515625" style="177" customWidth="1"/>
    <col min="15891" max="15891" width="15.5703125" style="177" customWidth="1"/>
    <col min="15892" max="15892" width="7.28515625" style="177" customWidth="1"/>
    <col min="15893" max="15893" width="13.28515625" style="177" customWidth="1"/>
    <col min="15894" max="16128" width="12.5703125" style="177"/>
    <col min="16129" max="16129" width="9.42578125" style="177" customWidth="1"/>
    <col min="16130" max="16130" width="12.5703125" style="177"/>
    <col min="16131" max="16131" width="9" style="177" customWidth="1"/>
    <col min="16132" max="16132" width="9.85546875" style="177" customWidth="1"/>
    <col min="16133" max="16133" width="9.42578125" style="177" customWidth="1"/>
    <col min="16134" max="16134" width="11.140625" style="177" bestFit="1" customWidth="1"/>
    <col min="16135" max="16135" width="14.28515625" style="177" bestFit="1" customWidth="1"/>
    <col min="16136" max="16136" width="11.42578125" style="177" customWidth="1"/>
    <col min="16137" max="16137" width="14.140625" style="177" customWidth="1"/>
    <col min="16138" max="16138" width="7" style="177" customWidth="1"/>
    <col min="16139" max="16139" width="12.140625" style="177" customWidth="1"/>
    <col min="16140" max="16140" width="15.5703125" style="177" customWidth="1"/>
    <col min="16141" max="16141" width="11.140625" style="177" customWidth="1"/>
    <col min="16142" max="16142" width="15.140625" style="177" customWidth="1"/>
    <col min="16143" max="16143" width="9.140625" style="177" bestFit="1" customWidth="1"/>
    <col min="16144" max="16144" width="9.140625" style="177" customWidth="1"/>
    <col min="16145" max="16145" width="15.42578125" style="177" customWidth="1"/>
    <col min="16146" max="16146" width="11.28515625" style="177" customWidth="1"/>
    <col min="16147" max="16147" width="15.5703125" style="177" customWidth="1"/>
    <col min="16148" max="16148" width="7.28515625" style="177" customWidth="1"/>
    <col min="16149" max="16149" width="13.28515625" style="177" customWidth="1"/>
    <col min="16150" max="16384" width="12.5703125" style="177"/>
  </cols>
  <sheetData>
    <row r="1" spans="1:21" s="156" customFormat="1">
      <c r="A1" s="155" t="s">
        <v>363</v>
      </c>
      <c r="D1" s="157">
        <f>DATE(16,11,30)</f>
        <v>6179</v>
      </c>
      <c r="T1" s="158"/>
    </row>
    <row r="2" spans="1:21" s="156" customFormat="1">
      <c r="A2" s="155" t="s">
        <v>364</v>
      </c>
      <c r="D2" s="157">
        <f>DATE(16,12,31)</f>
        <v>6210</v>
      </c>
      <c r="T2" s="158"/>
    </row>
    <row r="3" spans="1:21" s="156" customFormat="1">
      <c r="A3" s="159"/>
      <c r="D3" s="160"/>
      <c r="T3" s="158"/>
    </row>
    <row r="4" spans="1:21" s="156" customFormat="1">
      <c r="A4" s="161" t="s">
        <v>410</v>
      </c>
      <c r="B4" s="162"/>
      <c r="C4" s="162"/>
      <c r="D4" s="162"/>
      <c r="E4" s="162"/>
      <c r="L4" s="163" t="s">
        <v>366</v>
      </c>
      <c r="M4" s="162"/>
      <c r="N4" s="162"/>
      <c r="Q4" s="163" t="s">
        <v>367</v>
      </c>
      <c r="R4" s="162"/>
      <c r="S4" s="162"/>
      <c r="T4" s="164"/>
    </row>
    <row r="5" spans="1:21" s="156" customFormat="1">
      <c r="A5" s="159"/>
      <c r="T5" s="158"/>
    </row>
    <row r="6" spans="1:21" s="156" customFormat="1">
      <c r="A6" s="165"/>
      <c r="B6" s="166"/>
      <c r="C6" s="166"/>
      <c r="D6" s="166"/>
      <c r="E6" s="167" t="s">
        <v>368</v>
      </c>
      <c r="F6" s="166"/>
      <c r="G6" s="166"/>
      <c r="H6" s="166"/>
      <c r="I6" s="166"/>
      <c r="J6" s="167" t="s">
        <v>369</v>
      </c>
      <c r="K6" s="167" t="s">
        <v>370</v>
      </c>
      <c r="L6" s="166"/>
      <c r="M6" s="166"/>
      <c r="N6" s="166"/>
      <c r="O6" s="166"/>
      <c r="P6" s="166"/>
      <c r="Q6" s="166"/>
      <c r="R6" s="166"/>
      <c r="S6" s="166"/>
      <c r="T6" s="168" t="s">
        <v>369</v>
      </c>
      <c r="U6" s="166"/>
    </row>
    <row r="7" spans="1:21" s="156" customFormat="1">
      <c r="A7" s="169" t="s">
        <v>371</v>
      </c>
      <c r="D7" s="170" t="s">
        <v>372</v>
      </c>
      <c r="E7" s="170" t="s">
        <v>373</v>
      </c>
      <c r="F7" s="170" t="s">
        <v>374</v>
      </c>
      <c r="G7" s="170" t="s">
        <v>375</v>
      </c>
      <c r="I7" s="170" t="s">
        <v>376</v>
      </c>
      <c r="J7" s="170" t="s">
        <v>373</v>
      </c>
      <c r="K7" s="170" t="s">
        <v>374</v>
      </c>
      <c r="L7" s="170" t="s">
        <v>376</v>
      </c>
      <c r="M7" s="170" t="s">
        <v>374</v>
      </c>
      <c r="N7" s="170" t="s">
        <v>377</v>
      </c>
      <c r="O7" s="170" t="s">
        <v>378</v>
      </c>
      <c r="P7" s="170" t="s">
        <v>379</v>
      </c>
      <c r="Q7" s="170" t="s">
        <v>380</v>
      </c>
      <c r="S7" s="170" t="s">
        <v>376</v>
      </c>
      <c r="T7" s="171" t="s">
        <v>373</v>
      </c>
      <c r="U7" s="170" t="s">
        <v>381</v>
      </c>
    </row>
    <row r="8" spans="1:21" s="156" customFormat="1" ht="13.5" customHeight="1">
      <c r="A8" s="172" t="s">
        <v>369</v>
      </c>
      <c r="B8" s="173" t="s">
        <v>382</v>
      </c>
      <c r="C8" s="174"/>
      <c r="D8" s="173" t="s">
        <v>368</v>
      </c>
      <c r="E8" s="173" t="s">
        <v>383</v>
      </c>
      <c r="F8" s="173" t="s">
        <v>384</v>
      </c>
      <c r="G8" s="173" t="s">
        <v>385</v>
      </c>
      <c r="H8" s="173" t="s">
        <v>386</v>
      </c>
      <c r="I8" s="173" t="s">
        <v>387</v>
      </c>
      <c r="J8" s="173" t="s">
        <v>388</v>
      </c>
      <c r="K8" s="173" t="s">
        <v>389</v>
      </c>
      <c r="L8" s="173" t="s">
        <v>387</v>
      </c>
      <c r="M8" s="173" t="s">
        <v>390</v>
      </c>
      <c r="N8" s="173" t="s">
        <v>390</v>
      </c>
      <c r="O8" s="173" t="s">
        <v>368</v>
      </c>
      <c r="P8" s="173" t="s">
        <v>368</v>
      </c>
      <c r="Q8" s="173" t="s">
        <v>385</v>
      </c>
      <c r="R8" s="173" t="s">
        <v>386</v>
      </c>
      <c r="S8" s="173" t="s">
        <v>387</v>
      </c>
      <c r="T8" s="175" t="s">
        <v>388</v>
      </c>
      <c r="U8" s="173" t="s">
        <v>374</v>
      </c>
    </row>
    <row r="9" spans="1:21" ht="13.5" customHeight="1"/>
    <row r="10" spans="1:21">
      <c r="A10" s="176" t="s">
        <v>411</v>
      </c>
      <c r="B10" s="179" t="s">
        <v>391</v>
      </c>
      <c r="D10" s="157">
        <v>6180</v>
      </c>
      <c r="E10" s="157">
        <v>6185</v>
      </c>
      <c r="F10" s="180">
        <v>7.6E-3</v>
      </c>
      <c r="G10" s="177">
        <v>2750000</v>
      </c>
      <c r="H10" s="177">
        <v>290.27999999999997</v>
      </c>
      <c r="I10" s="181">
        <v>2749709.72</v>
      </c>
      <c r="J10" s="182">
        <v>5</v>
      </c>
      <c r="K10" s="181">
        <v>290.27999999999997</v>
      </c>
      <c r="L10" s="181">
        <v>2749709.72</v>
      </c>
      <c r="M10" s="181">
        <v>290.27999999999997</v>
      </c>
      <c r="N10" s="181">
        <v>2750000</v>
      </c>
      <c r="O10" s="157">
        <v>6180</v>
      </c>
      <c r="P10" s="157">
        <v>6185</v>
      </c>
      <c r="Q10" s="183">
        <v>2750000</v>
      </c>
      <c r="R10" s="183">
        <v>290.27999999999997</v>
      </c>
      <c r="S10" s="183">
        <v>2749709.72</v>
      </c>
      <c r="T10" s="182">
        <v>5</v>
      </c>
      <c r="U10" s="181">
        <v>0</v>
      </c>
    </row>
    <row r="11" spans="1:21">
      <c r="A11" s="176" t="s">
        <v>412</v>
      </c>
      <c r="B11" s="179" t="s">
        <v>391</v>
      </c>
      <c r="D11" s="157">
        <f>DATE(16,12,1)</f>
        <v>6180</v>
      </c>
      <c r="E11" s="157">
        <f>DATE(16,12,9)</f>
        <v>6188</v>
      </c>
      <c r="F11" s="180">
        <v>7.7999999999999996E-3</v>
      </c>
      <c r="G11" s="177">
        <v>5000000</v>
      </c>
      <c r="H11" s="177">
        <f t="shared" ref="H11:H25" si="0">ROUND(G11*F11/360*J11,2)</f>
        <v>866.67</v>
      </c>
      <c r="I11" s="181">
        <f t="shared" ref="I11:I25" si="1">(G11-H11)</f>
        <v>4999133.33</v>
      </c>
      <c r="J11" s="182">
        <f t="shared" ref="J11:J25" si="2">E11-D11</f>
        <v>8</v>
      </c>
      <c r="K11" s="181">
        <f t="shared" ref="K11:K25" si="3">IF(O11&lt;P11,ROUND(H11*(P11-O11)/J11,2),0)</f>
        <v>866.67</v>
      </c>
      <c r="L11" s="181">
        <f t="shared" ref="L11:L25" si="4">N11-M11</f>
        <v>4999133.33</v>
      </c>
      <c r="M11" s="181">
        <f t="shared" ref="M11:M25" si="5">IF(AND($E11&lt;=$D$2,$E11&gt;$D$1),H11,0)</f>
        <v>866.67</v>
      </c>
      <c r="N11" s="181">
        <f t="shared" ref="N11:N25" si="6">IF(AND($E11&lt;=$D$2,$E11&gt;$D$1),G11,0)</f>
        <v>5000000</v>
      </c>
      <c r="O11" s="157">
        <f t="shared" ref="O11:O25" si="7">IF(D11&lt;=$D$1,$D$1+1,D11)</f>
        <v>6180</v>
      </c>
      <c r="P11" s="157">
        <f t="shared" ref="P11:P25" si="8">IF(E11&gt;$D$2,$D$2+1,E11)</f>
        <v>6188</v>
      </c>
      <c r="Q11" s="183">
        <f t="shared" ref="Q11:Q25" si="9">IF(AND(D11&gt;$D$1,D11&lt;=$D$2),G11,"")</f>
        <v>5000000</v>
      </c>
      <c r="R11" s="183">
        <f t="shared" ref="R11:R25" si="10">IF($Q11&lt;&gt;0,H11,0)</f>
        <v>866.67</v>
      </c>
      <c r="S11" s="183">
        <f t="shared" ref="S11:S25" si="11">Q11-R11</f>
        <v>4999133.33</v>
      </c>
      <c r="T11" s="182">
        <f t="shared" ref="T11:T25" si="12">IF($Q11&lt;&gt;0,J11,0)</f>
        <v>8</v>
      </c>
      <c r="U11" s="181">
        <f t="shared" ref="U11:U25" si="13">IF(E11&gt;$D$2,(E11-P11)*H11/J11,0)</f>
        <v>0</v>
      </c>
    </row>
    <row r="12" spans="1:21">
      <c r="A12" s="176" t="s">
        <v>413</v>
      </c>
      <c r="B12" s="179" t="s">
        <v>391</v>
      </c>
      <c r="D12" s="157">
        <f>DATE(16,12,2)</f>
        <v>6181</v>
      </c>
      <c r="E12" s="157">
        <f t="shared" ref="E12" si="14">DATE(16,12,6)</f>
        <v>6185</v>
      </c>
      <c r="F12" s="180">
        <v>7.4999999999999997E-3</v>
      </c>
      <c r="G12" s="177">
        <v>1250000</v>
      </c>
      <c r="H12" s="177">
        <f t="shared" si="0"/>
        <v>104.17</v>
      </c>
      <c r="I12" s="181">
        <f t="shared" si="1"/>
        <v>1249895.83</v>
      </c>
      <c r="J12" s="182">
        <f t="shared" si="2"/>
        <v>4</v>
      </c>
      <c r="K12" s="181">
        <f t="shared" si="3"/>
        <v>104.17</v>
      </c>
      <c r="L12" s="181">
        <f t="shared" si="4"/>
        <v>1249895.83</v>
      </c>
      <c r="M12" s="181">
        <f t="shared" si="5"/>
        <v>104.17</v>
      </c>
      <c r="N12" s="181">
        <f t="shared" si="6"/>
        <v>1250000</v>
      </c>
      <c r="O12" s="157">
        <f t="shared" si="7"/>
        <v>6181</v>
      </c>
      <c r="P12" s="157">
        <f t="shared" si="8"/>
        <v>6185</v>
      </c>
      <c r="Q12" s="183">
        <f t="shared" si="9"/>
        <v>1250000</v>
      </c>
      <c r="R12" s="183">
        <f t="shared" si="10"/>
        <v>104.17</v>
      </c>
      <c r="S12" s="183">
        <f t="shared" si="11"/>
        <v>1249895.83</v>
      </c>
      <c r="T12" s="182">
        <f t="shared" si="12"/>
        <v>4</v>
      </c>
      <c r="U12" s="181">
        <f t="shared" si="13"/>
        <v>0</v>
      </c>
    </row>
    <row r="13" spans="1:21">
      <c r="A13" s="176" t="s">
        <v>414</v>
      </c>
      <c r="B13" s="179" t="s">
        <v>391</v>
      </c>
      <c r="D13" s="157">
        <f>DATE(16,12,9)</f>
        <v>6188</v>
      </c>
      <c r="E13" s="157">
        <f>DATE(16,12,13)</f>
        <v>6192</v>
      </c>
      <c r="F13" s="180">
        <v>7.4999999999999997E-3</v>
      </c>
      <c r="G13" s="177">
        <v>750000</v>
      </c>
      <c r="H13" s="177">
        <f t="shared" si="0"/>
        <v>62.5</v>
      </c>
      <c r="I13" s="181">
        <f t="shared" si="1"/>
        <v>749937.5</v>
      </c>
      <c r="J13" s="182">
        <f t="shared" si="2"/>
        <v>4</v>
      </c>
      <c r="K13" s="181">
        <f t="shared" si="3"/>
        <v>62.5</v>
      </c>
      <c r="L13" s="181">
        <f t="shared" si="4"/>
        <v>749937.5</v>
      </c>
      <c r="M13" s="181">
        <f t="shared" si="5"/>
        <v>62.5</v>
      </c>
      <c r="N13" s="181">
        <f t="shared" si="6"/>
        <v>750000</v>
      </c>
      <c r="O13" s="157">
        <f t="shared" si="7"/>
        <v>6188</v>
      </c>
      <c r="P13" s="157">
        <f t="shared" si="8"/>
        <v>6192</v>
      </c>
      <c r="Q13" s="183">
        <f t="shared" si="9"/>
        <v>750000</v>
      </c>
      <c r="R13" s="183">
        <f t="shared" si="10"/>
        <v>62.5</v>
      </c>
      <c r="S13" s="183">
        <f t="shared" si="11"/>
        <v>749937.5</v>
      </c>
      <c r="T13" s="182">
        <f t="shared" si="12"/>
        <v>4</v>
      </c>
      <c r="U13" s="181">
        <f t="shared" si="13"/>
        <v>0</v>
      </c>
    </row>
    <row r="14" spans="1:21">
      <c r="A14" s="176" t="s">
        <v>415</v>
      </c>
      <c r="B14" s="179" t="s">
        <v>391</v>
      </c>
      <c r="D14" s="157">
        <f>DATE(16,12,15)</f>
        <v>6194</v>
      </c>
      <c r="E14" s="157">
        <f>DATE(16,12,16)</f>
        <v>6195</v>
      </c>
      <c r="F14" s="180">
        <v>9.4999999999999998E-3</v>
      </c>
      <c r="G14" s="177">
        <v>3500000</v>
      </c>
      <c r="H14" s="177">
        <f t="shared" si="0"/>
        <v>92.36</v>
      </c>
      <c r="I14" s="181">
        <f t="shared" si="1"/>
        <v>3499907.64</v>
      </c>
      <c r="J14" s="182">
        <f t="shared" si="2"/>
        <v>1</v>
      </c>
      <c r="K14" s="181">
        <f t="shared" si="3"/>
        <v>92.36</v>
      </c>
      <c r="L14" s="181">
        <f t="shared" si="4"/>
        <v>3499907.64</v>
      </c>
      <c r="M14" s="181">
        <f t="shared" si="5"/>
        <v>92.36</v>
      </c>
      <c r="N14" s="181">
        <f t="shared" si="6"/>
        <v>3500000</v>
      </c>
      <c r="O14" s="157">
        <f t="shared" si="7"/>
        <v>6194</v>
      </c>
      <c r="P14" s="157">
        <f t="shared" si="8"/>
        <v>6195</v>
      </c>
      <c r="Q14" s="183">
        <f t="shared" si="9"/>
        <v>3500000</v>
      </c>
      <c r="R14" s="183">
        <f t="shared" si="10"/>
        <v>92.36</v>
      </c>
      <c r="S14" s="183">
        <f t="shared" si="11"/>
        <v>3499907.64</v>
      </c>
      <c r="T14" s="182">
        <f t="shared" si="12"/>
        <v>1</v>
      </c>
      <c r="U14" s="181">
        <f t="shared" si="13"/>
        <v>0</v>
      </c>
    </row>
    <row r="15" spans="1:21">
      <c r="A15" s="176" t="s">
        <v>416</v>
      </c>
      <c r="B15" s="179" t="s">
        <v>391</v>
      </c>
      <c r="D15" s="157">
        <f>DATE(16,12,16)</f>
        <v>6195</v>
      </c>
      <c r="E15" s="157">
        <f>DATE(16,12,20)</f>
        <v>6199</v>
      </c>
      <c r="F15" s="180">
        <v>9.7000000000000003E-3</v>
      </c>
      <c r="G15" s="177">
        <v>2250000</v>
      </c>
      <c r="H15" s="177">
        <f t="shared" si="0"/>
        <v>242.5</v>
      </c>
      <c r="I15" s="181">
        <f t="shared" si="1"/>
        <v>2249757.5</v>
      </c>
      <c r="J15" s="182">
        <f t="shared" si="2"/>
        <v>4</v>
      </c>
      <c r="K15" s="181">
        <f t="shared" si="3"/>
        <v>242.5</v>
      </c>
      <c r="L15" s="181">
        <f t="shared" si="4"/>
        <v>2249757.5</v>
      </c>
      <c r="M15" s="181">
        <f t="shared" si="5"/>
        <v>242.5</v>
      </c>
      <c r="N15" s="181">
        <f t="shared" si="6"/>
        <v>2250000</v>
      </c>
      <c r="O15" s="157">
        <f t="shared" si="7"/>
        <v>6195</v>
      </c>
      <c r="P15" s="157">
        <f t="shared" si="8"/>
        <v>6199</v>
      </c>
      <c r="Q15" s="183">
        <f t="shared" si="9"/>
        <v>2250000</v>
      </c>
      <c r="R15" s="183">
        <f t="shared" si="10"/>
        <v>242.5</v>
      </c>
      <c r="S15" s="183">
        <f t="shared" si="11"/>
        <v>2249757.5</v>
      </c>
      <c r="T15" s="182">
        <f t="shared" si="12"/>
        <v>4</v>
      </c>
      <c r="U15" s="181">
        <f t="shared" si="13"/>
        <v>0</v>
      </c>
    </row>
    <row r="16" spans="1:21">
      <c r="A16" s="176" t="s">
        <v>417</v>
      </c>
      <c r="B16" s="179" t="s">
        <v>391</v>
      </c>
      <c r="D16" s="157">
        <f>DATE(16,12,16)</f>
        <v>6195</v>
      </c>
      <c r="E16" s="157">
        <f>DATE(16,12,22)</f>
        <v>6201</v>
      </c>
      <c r="F16" s="180">
        <v>9.9000000000000008E-3</v>
      </c>
      <c r="G16" s="177">
        <v>5000000</v>
      </c>
      <c r="H16" s="177">
        <f t="shared" si="0"/>
        <v>825</v>
      </c>
      <c r="I16" s="181">
        <f t="shared" si="1"/>
        <v>4999175</v>
      </c>
      <c r="J16" s="182">
        <f t="shared" si="2"/>
        <v>6</v>
      </c>
      <c r="K16" s="181">
        <f t="shared" si="3"/>
        <v>825</v>
      </c>
      <c r="L16" s="181">
        <f t="shared" si="4"/>
        <v>4999175</v>
      </c>
      <c r="M16" s="181">
        <f t="shared" si="5"/>
        <v>825</v>
      </c>
      <c r="N16" s="181">
        <f t="shared" si="6"/>
        <v>5000000</v>
      </c>
      <c r="O16" s="157">
        <f t="shared" si="7"/>
        <v>6195</v>
      </c>
      <c r="P16" s="157">
        <f t="shared" si="8"/>
        <v>6201</v>
      </c>
      <c r="Q16" s="183">
        <f t="shared" si="9"/>
        <v>5000000</v>
      </c>
      <c r="R16" s="183">
        <f t="shared" si="10"/>
        <v>825</v>
      </c>
      <c r="S16" s="183">
        <f t="shared" si="11"/>
        <v>4999175</v>
      </c>
      <c r="T16" s="182">
        <f t="shared" si="12"/>
        <v>6</v>
      </c>
      <c r="U16" s="181">
        <f t="shared" si="13"/>
        <v>0</v>
      </c>
    </row>
    <row r="17" spans="1:21">
      <c r="A17" s="176" t="s">
        <v>418</v>
      </c>
      <c r="B17" s="179" t="s">
        <v>391</v>
      </c>
      <c r="D17" s="157">
        <f>DATE(16,12,21)</f>
        <v>6200</v>
      </c>
      <c r="E17" s="157">
        <f>DATE(16,12,29)</f>
        <v>6208</v>
      </c>
      <c r="F17" s="180">
        <v>0.01</v>
      </c>
      <c r="G17" s="177">
        <v>2250000</v>
      </c>
      <c r="H17" s="177">
        <f t="shared" si="0"/>
        <v>500</v>
      </c>
      <c r="I17" s="181">
        <f t="shared" si="1"/>
        <v>2249500</v>
      </c>
      <c r="J17" s="182">
        <f t="shared" si="2"/>
        <v>8</v>
      </c>
      <c r="K17" s="181">
        <f t="shared" si="3"/>
        <v>500</v>
      </c>
      <c r="L17" s="181">
        <f t="shared" si="4"/>
        <v>2249500</v>
      </c>
      <c r="M17" s="181">
        <f t="shared" si="5"/>
        <v>500</v>
      </c>
      <c r="N17" s="181">
        <f t="shared" si="6"/>
        <v>2250000</v>
      </c>
      <c r="O17" s="157">
        <f t="shared" si="7"/>
        <v>6200</v>
      </c>
      <c r="P17" s="157">
        <f t="shared" si="8"/>
        <v>6208</v>
      </c>
      <c r="Q17" s="183">
        <f t="shared" si="9"/>
        <v>2250000</v>
      </c>
      <c r="R17" s="183">
        <f t="shared" si="10"/>
        <v>500</v>
      </c>
      <c r="S17" s="183">
        <f t="shared" si="11"/>
        <v>2249500</v>
      </c>
      <c r="T17" s="182">
        <f t="shared" si="12"/>
        <v>8</v>
      </c>
      <c r="U17" s="181">
        <f t="shared" si="13"/>
        <v>0</v>
      </c>
    </row>
    <row r="18" spans="1:21">
      <c r="A18" s="176" t="s">
        <v>419</v>
      </c>
      <c r="B18" s="179" t="s">
        <v>391</v>
      </c>
      <c r="D18" s="157">
        <f>DATE(16,12,22)</f>
        <v>6201</v>
      </c>
      <c r="E18" s="157">
        <f>DATE(16,12,27)</f>
        <v>6206</v>
      </c>
      <c r="F18" s="180">
        <v>1.0200000000000001E-2</v>
      </c>
      <c r="G18" s="177">
        <v>1250000</v>
      </c>
      <c r="H18" s="177">
        <f t="shared" si="0"/>
        <v>177.08</v>
      </c>
      <c r="I18" s="181">
        <f t="shared" si="1"/>
        <v>1249822.92</v>
      </c>
      <c r="J18" s="182">
        <f t="shared" si="2"/>
        <v>5</v>
      </c>
      <c r="K18" s="181">
        <f t="shared" si="3"/>
        <v>177.08</v>
      </c>
      <c r="L18" s="181">
        <f t="shared" si="4"/>
        <v>1249822.92</v>
      </c>
      <c r="M18" s="181">
        <f t="shared" si="5"/>
        <v>177.08</v>
      </c>
      <c r="N18" s="181">
        <f t="shared" si="6"/>
        <v>1250000</v>
      </c>
      <c r="O18" s="157">
        <f t="shared" si="7"/>
        <v>6201</v>
      </c>
      <c r="P18" s="157">
        <f t="shared" si="8"/>
        <v>6206</v>
      </c>
      <c r="Q18" s="183">
        <f t="shared" si="9"/>
        <v>1250000</v>
      </c>
      <c r="R18" s="183">
        <f t="shared" si="10"/>
        <v>177.08</v>
      </c>
      <c r="S18" s="183">
        <f t="shared" si="11"/>
        <v>1249822.92</v>
      </c>
      <c r="T18" s="182">
        <f t="shared" si="12"/>
        <v>5</v>
      </c>
      <c r="U18" s="181">
        <f t="shared" si="13"/>
        <v>0</v>
      </c>
    </row>
    <row r="19" spans="1:21">
      <c r="A19" s="176" t="s">
        <v>420</v>
      </c>
      <c r="B19" s="179" t="s">
        <v>391</v>
      </c>
      <c r="D19" s="157">
        <f>DATE(16,12,22)</f>
        <v>6201</v>
      </c>
      <c r="E19" s="157">
        <f>DATE(16,12,29)</f>
        <v>6208</v>
      </c>
      <c r="F19" s="180">
        <v>1.0200000000000001E-2</v>
      </c>
      <c r="G19" s="177">
        <v>11000000</v>
      </c>
      <c r="H19" s="177">
        <f t="shared" si="0"/>
        <v>2181.67</v>
      </c>
      <c r="I19" s="181">
        <f t="shared" si="1"/>
        <v>10997818.33</v>
      </c>
      <c r="J19" s="182">
        <f t="shared" si="2"/>
        <v>7</v>
      </c>
      <c r="K19" s="181">
        <f t="shared" si="3"/>
        <v>2181.67</v>
      </c>
      <c r="L19" s="181">
        <f t="shared" si="4"/>
        <v>10997818.33</v>
      </c>
      <c r="M19" s="181">
        <f t="shared" si="5"/>
        <v>2181.67</v>
      </c>
      <c r="N19" s="181">
        <f t="shared" si="6"/>
        <v>11000000</v>
      </c>
      <c r="O19" s="157">
        <f t="shared" si="7"/>
        <v>6201</v>
      </c>
      <c r="P19" s="157">
        <f t="shared" si="8"/>
        <v>6208</v>
      </c>
      <c r="Q19" s="183">
        <f t="shared" si="9"/>
        <v>11000000</v>
      </c>
      <c r="R19" s="183">
        <f t="shared" si="10"/>
        <v>2181.67</v>
      </c>
      <c r="S19" s="183">
        <f t="shared" si="11"/>
        <v>10997818.33</v>
      </c>
      <c r="T19" s="182">
        <f t="shared" si="12"/>
        <v>7</v>
      </c>
      <c r="U19" s="181">
        <f t="shared" si="13"/>
        <v>0</v>
      </c>
    </row>
    <row r="20" spans="1:21">
      <c r="A20" s="176" t="s">
        <v>421</v>
      </c>
      <c r="B20" s="179" t="s">
        <v>391</v>
      </c>
      <c r="D20" s="157">
        <f>DATE(16,12,23)</f>
        <v>6202</v>
      </c>
      <c r="E20" s="157">
        <f>DATE(16,12,29)</f>
        <v>6208</v>
      </c>
      <c r="F20" s="180">
        <v>9.9000000000000008E-3</v>
      </c>
      <c r="G20" s="177">
        <v>2250000</v>
      </c>
      <c r="H20" s="177">
        <f t="shared" si="0"/>
        <v>371.25</v>
      </c>
      <c r="I20" s="181">
        <f t="shared" si="1"/>
        <v>2249628.75</v>
      </c>
      <c r="J20" s="182">
        <f t="shared" si="2"/>
        <v>6</v>
      </c>
      <c r="K20" s="181">
        <f t="shared" si="3"/>
        <v>371.25</v>
      </c>
      <c r="L20" s="181">
        <f t="shared" si="4"/>
        <v>2249628.75</v>
      </c>
      <c r="M20" s="181">
        <f t="shared" si="5"/>
        <v>371.25</v>
      </c>
      <c r="N20" s="181">
        <f t="shared" si="6"/>
        <v>2250000</v>
      </c>
      <c r="O20" s="157">
        <f t="shared" si="7"/>
        <v>6202</v>
      </c>
      <c r="P20" s="157">
        <f t="shared" si="8"/>
        <v>6208</v>
      </c>
      <c r="Q20" s="183">
        <f t="shared" si="9"/>
        <v>2250000</v>
      </c>
      <c r="R20" s="183">
        <f t="shared" si="10"/>
        <v>371.25</v>
      </c>
      <c r="S20" s="183">
        <f t="shared" si="11"/>
        <v>2249628.75</v>
      </c>
      <c r="T20" s="182">
        <f t="shared" si="12"/>
        <v>6</v>
      </c>
      <c r="U20" s="181">
        <f t="shared" si="13"/>
        <v>0</v>
      </c>
    </row>
    <row r="21" spans="1:21">
      <c r="A21" s="176" t="s">
        <v>422</v>
      </c>
      <c r="B21" s="179" t="s">
        <v>391</v>
      </c>
      <c r="D21" s="157">
        <f>DATE(16,12,27)</f>
        <v>6206</v>
      </c>
      <c r="E21" s="157">
        <f>DATE(17,1,3)</f>
        <v>6213</v>
      </c>
      <c r="F21" s="180">
        <v>0.01</v>
      </c>
      <c r="G21" s="177">
        <v>1500000</v>
      </c>
      <c r="H21" s="177">
        <f t="shared" si="0"/>
        <v>291.67</v>
      </c>
      <c r="I21" s="181">
        <f t="shared" si="1"/>
        <v>1499708.33</v>
      </c>
      <c r="J21" s="182">
        <f t="shared" si="2"/>
        <v>7</v>
      </c>
      <c r="K21" s="181">
        <f t="shared" si="3"/>
        <v>208.34</v>
      </c>
      <c r="L21" s="181">
        <f t="shared" si="4"/>
        <v>0</v>
      </c>
      <c r="M21" s="181">
        <f t="shared" si="5"/>
        <v>0</v>
      </c>
      <c r="N21" s="181">
        <f t="shared" si="6"/>
        <v>0</v>
      </c>
      <c r="O21" s="157">
        <f t="shared" si="7"/>
        <v>6206</v>
      </c>
      <c r="P21" s="157">
        <f t="shared" si="8"/>
        <v>6211</v>
      </c>
      <c r="Q21" s="183">
        <f t="shared" si="9"/>
        <v>1500000</v>
      </c>
      <c r="R21" s="183">
        <f t="shared" si="10"/>
        <v>291.67</v>
      </c>
      <c r="S21" s="183">
        <f t="shared" si="11"/>
        <v>1499708.33</v>
      </c>
      <c r="T21" s="182">
        <f t="shared" si="12"/>
        <v>7</v>
      </c>
      <c r="U21" s="181">
        <f t="shared" si="13"/>
        <v>83.334285714285713</v>
      </c>
    </row>
    <row r="22" spans="1:21">
      <c r="A22" s="176" t="s">
        <v>423</v>
      </c>
      <c r="B22" s="179" t="s">
        <v>391</v>
      </c>
      <c r="D22" s="157">
        <f>DATE(16,12,29)</f>
        <v>6208</v>
      </c>
      <c r="E22" s="157">
        <f>DATE(17,1,3)</f>
        <v>6213</v>
      </c>
      <c r="F22" s="180">
        <v>9.7999999999999997E-3</v>
      </c>
      <c r="G22" s="177">
        <v>2000000</v>
      </c>
      <c r="H22" s="177">
        <f t="shared" si="0"/>
        <v>272.22000000000003</v>
      </c>
      <c r="I22" s="181">
        <f t="shared" si="1"/>
        <v>1999727.78</v>
      </c>
      <c r="J22" s="182">
        <f t="shared" si="2"/>
        <v>5</v>
      </c>
      <c r="K22" s="181">
        <f t="shared" si="3"/>
        <v>163.33000000000001</v>
      </c>
      <c r="L22" s="181">
        <f t="shared" si="4"/>
        <v>0</v>
      </c>
      <c r="M22" s="181">
        <f t="shared" si="5"/>
        <v>0</v>
      </c>
      <c r="N22" s="181">
        <f t="shared" si="6"/>
        <v>0</v>
      </c>
      <c r="O22" s="157">
        <f t="shared" si="7"/>
        <v>6208</v>
      </c>
      <c r="P22" s="157">
        <f t="shared" si="8"/>
        <v>6211</v>
      </c>
      <c r="Q22" s="183">
        <f t="shared" si="9"/>
        <v>2000000</v>
      </c>
      <c r="R22" s="183">
        <f t="shared" si="10"/>
        <v>272.22000000000003</v>
      </c>
      <c r="S22" s="183">
        <f t="shared" si="11"/>
        <v>1999727.78</v>
      </c>
      <c r="T22" s="182">
        <f t="shared" si="12"/>
        <v>5</v>
      </c>
      <c r="U22" s="181">
        <f t="shared" si="13"/>
        <v>108.88800000000001</v>
      </c>
    </row>
    <row r="23" spans="1:21">
      <c r="A23" s="176" t="s">
        <v>424</v>
      </c>
      <c r="B23" s="179" t="s">
        <v>391</v>
      </c>
      <c r="D23" s="157">
        <f>DATE(16,12,29)</f>
        <v>6208</v>
      </c>
      <c r="E23" s="157">
        <f>DATE(17,1,6)</f>
        <v>6216</v>
      </c>
      <c r="F23" s="180">
        <v>0.01</v>
      </c>
      <c r="G23" s="177">
        <v>8000000</v>
      </c>
      <c r="H23" s="177">
        <f t="shared" si="0"/>
        <v>1777.78</v>
      </c>
      <c r="I23" s="181">
        <f t="shared" si="1"/>
        <v>7998222.2199999997</v>
      </c>
      <c r="J23" s="182">
        <f t="shared" si="2"/>
        <v>8</v>
      </c>
      <c r="K23" s="181">
        <f t="shared" si="3"/>
        <v>666.67</v>
      </c>
      <c r="L23" s="181">
        <f t="shared" si="4"/>
        <v>0</v>
      </c>
      <c r="M23" s="181">
        <f t="shared" si="5"/>
        <v>0</v>
      </c>
      <c r="N23" s="181">
        <f t="shared" si="6"/>
        <v>0</v>
      </c>
      <c r="O23" s="157">
        <f t="shared" si="7"/>
        <v>6208</v>
      </c>
      <c r="P23" s="157">
        <f t="shared" si="8"/>
        <v>6211</v>
      </c>
      <c r="Q23" s="183">
        <f t="shared" si="9"/>
        <v>8000000</v>
      </c>
      <c r="R23" s="183">
        <f t="shared" si="10"/>
        <v>1777.78</v>
      </c>
      <c r="S23" s="183">
        <f t="shared" si="11"/>
        <v>7998222.2199999997</v>
      </c>
      <c r="T23" s="182">
        <f t="shared" si="12"/>
        <v>8</v>
      </c>
      <c r="U23" s="181">
        <f t="shared" si="13"/>
        <v>1111.1125</v>
      </c>
    </row>
    <row r="24" spans="1:21">
      <c r="A24" s="176" t="s">
        <v>425</v>
      </c>
      <c r="B24" s="179" t="s">
        <v>391</v>
      </c>
      <c r="D24" s="157">
        <f>DATE(16,12,29)</f>
        <v>6208</v>
      </c>
      <c r="E24" s="157">
        <f>DATE(17,1,13)</f>
        <v>6223</v>
      </c>
      <c r="F24" s="180">
        <v>1.0500000000000001E-2</v>
      </c>
      <c r="G24" s="177">
        <v>9500000</v>
      </c>
      <c r="H24" s="177">
        <f t="shared" si="0"/>
        <v>4156.25</v>
      </c>
      <c r="I24" s="181">
        <f t="shared" si="1"/>
        <v>9495843.75</v>
      </c>
      <c r="J24" s="182">
        <f t="shared" si="2"/>
        <v>15</v>
      </c>
      <c r="K24" s="181">
        <f t="shared" si="3"/>
        <v>831.25</v>
      </c>
      <c r="L24" s="181">
        <f t="shared" si="4"/>
        <v>0</v>
      </c>
      <c r="M24" s="181">
        <f t="shared" si="5"/>
        <v>0</v>
      </c>
      <c r="N24" s="181">
        <f t="shared" si="6"/>
        <v>0</v>
      </c>
      <c r="O24" s="157">
        <f t="shared" si="7"/>
        <v>6208</v>
      </c>
      <c r="P24" s="157">
        <f t="shared" si="8"/>
        <v>6211</v>
      </c>
      <c r="Q24" s="183">
        <f t="shared" si="9"/>
        <v>9500000</v>
      </c>
      <c r="R24" s="183">
        <f t="shared" si="10"/>
        <v>4156.25</v>
      </c>
      <c r="S24" s="183">
        <f t="shared" si="11"/>
        <v>9495843.75</v>
      </c>
      <c r="T24" s="182">
        <f t="shared" si="12"/>
        <v>15</v>
      </c>
      <c r="U24" s="181">
        <f t="shared" si="13"/>
        <v>3325</v>
      </c>
    </row>
    <row r="25" spans="1:21">
      <c r="A25" s="176" t="s">
        <v>426</v>
      </c>
      <c r="B25" s="179" t="s">
        <v>391</v>
      </c>
      <c r="D25" s="157">
        <f>DATE(16,12,30)</f>
        <v>6209</v>
      </c>
      <c r="E25" s="157">
        <f>DATE(17,1,6)</f>
        <v>6216</v>
      </c>
      <c r="F25" s="180">
        <v>0.01</v>
      </c>
      <c r="G25" s="177">
        <v>3750000</v>
      </c>
      <c r="H25" s="177">
        <f t="shared" si="0"/>
        <v>729.17</v>
      </c>
      <c r="I25" s="181">
        <f t="shared" si="1"/>
        <v>3749270.83</v>
      </c>
      <c r="J25" s="182">
        <f t="shared" si="2"/>
        <v>7</v>
      </c>
      <c r="K25" s="181">
        <f t="shared" si="3"/>
        <v>208.33</v>
      </c>
      <c r="L25" s="181">
        <f t="shared" si="4"/>
        <v>0</v>
      </c>
      <c r="M25" s="181">
        <f t="shared" si="5"/>
        <v>0</v>
      </c>
      <c r="N25" s="181">
        <f t="shared" si="6"/>
        <v>0</v>
      </c>
      <c r="O25" s="157">
        <f t="shared" si="7"/>
        <v>6209</v>
      </c>
      <c r="P25" s="157">
        <f t="shared" si="8"/>
        <v>6211</v>
      </c>
      <c r="Q25" s="183">
        <f t="shared" si="9"/>
        <v>3750000</v>
      </c>
      <c r="R25" s="183">
        <f t="shared" si="10"/>
        <v>729.17</v>
      </c>
      <c r="S25" s="183">
        <f t="shared" si="11"/>
        <v>3749270.83</v>
      </c>
      <c r="T25" s="182">
        <f t="shared" si="12"/>
        <v>7</v>
      </c>
      <c r="U25" s="181">
        <f t="shared" si="13"/>
        <v>520.83571428571429</v>
      </c>
    </row>
    <row r="26" spans="1:21">
      <c r="A26" s="184"/>
      <c r="B26" s="185"/>
      <c r="C26" s="185"/>
      <c r="D26" s="186"/>
      <c r="E26" s="186"/>
      <c r="F26" s="187"/>
      <c r="G26" s="185"/>
      <c r="H26" s="188"/>
      <c r="I26" s="181">
        <f>(G26-H26)</f>
        <v>0</v>
      </c>
      <c r="J26" s="182">
        <f>E26-D26</f>
        <v>0</v>
      </c>
      <c r="K26" s="181">
        <f>IF(O26&lt;P26,ROUND(H26*(P26-O26)/J26,2),0)</f>
        <v>0</v>
      </c>
      <c r="L26" s="181">
        <f>N26-M26</f>
        <v>0</v>
      </c>
      <c r="M26" s="181">
        <f>IF(AND($E26&lt;=$D$2,$E26&gt;$D$1),H26,0)</f>
        <v>0</v>
      </c>
      <c r="N26" s="181">
        <f>IF(AND($E26&lt;=$D$2,$E26&gt;$D$1),G26,0)</f>
        <v>0</v>
      </c>
      <c r="O26" s="157"/>
      <c r="P26" s="157"/>
      <c r="Q26" s="183" t="str">
        <f>IF(AND(D26&gt;$D$1,D26&lt;=$D$2),G26,"")</f>
        <v/>
      </c>
      <c r="R26" s="183"/>
      <c r="S26" s="183">
        <f>Q26-R26</f>
        <v>0</v>
      </c>
      <c r="T26" s="182"/>
      <c r="U26" s="183"/>
    </row>
    <row r="27" spans="1:21" ht="13.5" thickBot="1">
      <c r="A27" s="189"/>
      <c r="B27" s="190"/>
      <c r="C27" s="190"/>
      <c r="D27" s="191"/>
      <c r="E27" s="191"/>
      <c r="F27" s="191"/>
      <c r="G27" s="192"/>
      <c r="H27" s="193"/>
      <c r="I27" s="193"/>
      <c r="J27" s="190"/>
      <c r="K27" s="194">
        <f>SUM(K8:K26)</f>
        <v>7791.4</v>
      </c>
      <c r="L27" s="194">
        <f>SUM(L8:L26)</f>
        <v>37244286.520000003</v>
      </c>
      <c r="M27" s="194">
        <f>SUM(M8:M26)</f>
        <v>5713.48</v>
      </c>
      <c r="N27" s="194">
        <f>SUM(N8:N26)</f>
        <v>37250000</v>
      </c>
      <c r="O27" s="190"/>
      <c r="P27" s="190"/>
      <c r="Q27" s="194">
        <f>SUM(Q8:Q26)</f>
        <v>62000000</v>
      </c>
      <c r="R27" s="194">
        <f>SUM(R8:R26)</f>
        <v>12940.57</v>
      </c>
      <c r="S27" s="194">
        <f>SUM(S8:S26)</f>
        <v>61987059.43</v>
      </c>
      <c r="T27" s="195"/>
      <c r="U27" s="194">
        <f>SUM(U8:U26)</f>
        <v>5149.1704999999993</v>
      </c>
    </row>
    <row r="28" spans="1:21" ht="13.5" thickTop="1">
      <c r="F28" s="180"/>
    </row>
    <row r="29" spans="1:21">
      <c r="F29" s="180"/>
    </row>
    <row r="30" spans="1:21">
      <c r="F30" s="180"/>
    </row>
    <row r="31" spans="1:21">
      <c r="F31" s="180"/>
    </row>
    <row r="32" spans="1:21">
      <c r="F32" s="180"/>
    </row>
    <row r="33" spans="6:11">
      <c r="F33" s="180"/>
    </row>
    <row r="34" spans="6:11">
      <c r="F34" s="180"/>
    </row>
    <row r="35" spans="6:11">
      <c r="F35" s="180"/>
    </row>
    <row r="36" spans="6:11">
      <c r="F36" s="180"/>
    </row>
    <row r="37" spans="6:11">
      <c r="F37" s="180"/>
      <c r="H37" s="196"/>
      <c r="K37" s="197"/>
    </row>
    <row r="38" spans="6:11">
      <c r="H38" s="196"/>
      <c r="K38" s="197"/>
    </row>
    <row r="39" spans="6:11">
      <c r="H39" s="196"/>
      <c r="K39" s="197"/>
    </row>
    <row r="40" spans="6:11">
      <c r="H40" s="196"/>
      <c r="K40" s="197"/>
    </row>
    <row r="41" spans="6:11">
      <c r="H41" s="196"/>
      <c r="K41" s="197"/>
    </row>
    <row r="42" spans="6:11">
      <c r="H42" s="196"/>
      <c r="K42" s="197"/>
    </row>
    <row r="43" spans="6:11">
      <c r="H43" s="196"/>
      <c r="K43" s="197"/>
    </row>
    <row r="44" spans="6:11">
      <c r="H44" s="197"/>
      <c r="K44" s="197"/>
    </row>
    <row r="45" spans="6:11">
      <c r="H45" s="196"/>
      <c r="K45" s="197"/>
    </row>
    <row r="46" spans="6:11">
      <c r="H46" s="198"/>
      <c r="K46" s="197"/>
    </row>
    <row r="47" spans="6:11">
      <c r="H47" s="198"/>
    </row>
    <row r="48" spans="6:11">
      <c r="H48" s="198"/>
    </row>
    <row r="49" spans="8:8">
      <c r="H49" s="198"/>
    </row>
  </sheetData>
  <pageMargins left="0.28999999999999998" right="0.25" top="0.21" bottom="0.22" header="0.25" footer="0.22"/>
  <pageSetup scale="90" orientation="portrait" blackAndWhite="1" horizontalDpi="300" verticalDpi="300" r:id="rId1"/>
  <headerFooter alignWithMargins="0">
    <oddFooter>&amp;C&amp;"Times New Roman,Regular"&amp;10&amp;Z&amp;F
Prepared by Christy Roets &amp;D&amp;R&amp;"Times New Roman,Regular"&amp;10Page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2]!printall.printall">
                <anchor moveWithCells="1" sizeWithCells="1">
                  <from>
                    <xdr:col>6</xdr:col>
                    <xdr:colOff>495300</xdr:colOff>
                    <xdr:row>0</xdr:row>
                    <xdr:rowOff>133350</xdr:rowOff>
                  </from>
                  <to>
                    <xdr:col>7</xdr:col>
                    <xdr:colOff>733425</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9" transitionEvaluation="1" transitionEntry="1" codeName="Sheet3"/>
  <dimension ref="A1:U46"/>
  <sheetViews>
    <sheetView showGridLines="0" showZeros="0" zoomScale="120" zoomScaleNormal="120" workbookViewId="0">
      <pane ySplit="8" topLeftCell="A9" activePane="bottomLeft" state="frozen"/>
      <selection pane="bottomLeft" activeCell="A9" sqref="A9"/>
    </sheetView>
  </sheetViews>
  <sheetFormatPr defaultColWidth="12.5703125" defaultRowHeight="12.75"/>
  <cols>
    <col min="1" max="1" width="9.42578125" style="176" customWidth="1"/>
    <col min="2" max="2" width="12.5703125" style="177"/>
    <col min="3" max="3" width="9" style="177" customWidth="1"/>
    <col min="4" max="4" width="9.85546875" style="177" customWidth="1"/>
    <col min="5" max="5" width="9.42578125" style="177" customWidth="1"/>
    <col min="6" max="6" width="11.140625" style="177" bestFit="1" customWidth="1"/>
    <col min="7" max="7" width="14.28515625" style="177" hidden="1" customWidth="1"/>
    <col min="8" max="8" width="11.42578125" style="177" hidden="1" customWidth="1"/>
    <col min="9" max="9" width="14.140625" style="177" hidden="1" customWidth="1"/>
    <col min="10" max="10" width="7" style="177" hidden="1" customWidth="1"/>
    <col min="11" max="11" width="12.140625" style="177" hidden="1" customWidth="1"/>
    <col min="12" max="12" width="15.5703125" style="177" hidden="1" customWidth="1"/>
    <col min="13" max="13" width="11.140625" style="177" hidden="1" customWidth="1"/>
    <col min="14" max="14" width="15.140625" style="177" hidden="1" customWidth="1"/>
    <col min="15" max="16" width="9.140625" style="177" hidden="1" customWidth="1"/>
    <col min="17" max="17" width="15.42578125" style="177" hidden="1" customWidth="1"/>
    <col min="18" max="18" width="11.28515625" style="177" hidden="1" customWidth="1"/>
    <col min="19" max="19" width="15.5703125" style="177" hidden="1" customWidth="1"/>
    <col min="20" max="20" width="7.28515625" style="178" hidden="1" customWidth="1"/>
    <col min="21" max="21" width="13.28515625" style="177" customWidth="1"/>
    <col min="22" max="256" width="12.5703125" style="177"/>
    <col min="257" max="257" width="9.42578125" style="177" customWidth="1"/>
    <col min="258" max="258" width="12.5703125" style="177"/>
    <col min="259" max="259" width="9" style="177" customWidth="1"/>
    <col min="260" max="260" width="9.85546875" style="177" customWidth="1"/>
    <col min="261" max="261" width="9.42578125" style="177" customWidth="1"/>
    <col min="262" max="262" width="11.140625" style="177" bestFit="1" customWidth="1"/>
    <col min="263" max="263" width="14.28515625" style="177" bestFit="1" customWidth="1"/>
    <col min="264" max="264" width="11.42578125" style="177" customWidth="1"/>
    <col min="265" max="265" width="14.140625" style="177" customWidth="1"/>
    <col min="266" max="266" width="7" style="177" customWidth="1"/>
    <col min="267" max="267" width="12.140625" style="177" customWidth="1"/>
    <col min="268" max="268" width="15.5703125" style="177" customWidth="1"/>
    <col min="269" max="269" width="11.140625" style="177" customWidth="1"/>
    <col min="270" max="270" width="15.140625" style="177" customWidth="1"/>
    <col min="271" max="271" width="9.140625" style="177" bestFit="1" customWidth="1"/>
    <col min="272" max="272" width="9.140625" style="177" customWidth="1"/>
    <col min="273" max="273" width="15.42578125" style="177" customWidth="1"/>
    <col min="274" max="274" width="11.28515625" style="177" customWidth="1"/>
    <col min="275" max="275" width="15.5703125" style="177" customWidth="1"/>
    <col min="276" max="276" width="7.28515625" style="177" customWidth="1"/>
    <col min="277" max="277" width="13.28515625" style="177" customWidth="1"/>
    <col min="278" max="512" width="12.5703125" style="177"/>
    <col min="513" max="513" width="9.42578125" style="177" customWidth="1"/>
    <col min="514" max="514" width="12.5703125" style="177"/>
    <col min="515" max="515" width="9" style="177" customWidth="1"/>
    <col min="516" max="516" width="9.85546875" style="177" customWidth="1"/>
    <col min="517" max="517" width="9.42578125" style="177" customWidth="1"/>
    <col min="518" max="518" width="11.140625" style="177" bestFit="1" customWidth="1"/>
    <col min="519" max="519" width="14.28515625" style="177" bestFit="1" customWidth="1"/>
    <col min="520" max="520" width="11.42578125" style="177" customWidth="1"/>
    <col min="521" max="521" width="14.140625" style="177" customWidth="1"/>
    <col min="522" max="522" width="7" style="177" customWidth="1"/>
    <col min="523" max="523" width="12.140625" style="177" customWidth="1"/>
    <col min="524" max="524" width="15.5703125" style="177" customWidth="1"/>
    <col min="525" max="525" width="11.140625" style="177" customWidth="1"/>
    <col min="526" max="526" width="15.140625" style="177" customWidth="1"/>
    <col min="527" max="527" width="9.140625" style="177" bestFit="1" customWidth="1"/>
    <col min="528" max="528" width="9.140625" style="177" customWidth="1"/>
    <col min="529" max="529" width="15.42578125" style="177" customWidth="1"/>
    <col min="530" max="530" width="11.28515625" style="177" customWidth="1"/>
    <col min="531" max="531" width="15.5703125" style="177" customWidth="1"/>
    <col min="532" max="532" width="7.28515625" style="177" customWidth="1"/>
    <col min="533" max="533" width="13.28515625" style="177" customWidth="1"/>
    <col min="534" max="768" width="12.5703125" style="177"/>
    <col min="769" max="769" width="9.42578125" style="177" customWidth="1"/>
    <col min="770" max="770" width="12.5703125" style="177"/>
    <col min="771" max="771" width="9" style="177" customWidth="1"/>
    <col min="772" max="772" width="9.85546875" style="177" customWidth="1"/>
    <col min="773" max="773" width="9.42578125" style="177" customWidth="1"/>
    <col min="774" max="774" width="11.140625" style="177" bestFit="1" customWidth="1"/>
    <col min="775" max="775" width="14.28515625" style="177" bestFit="1" customWidth="1"/>
    <col min="776" max="776" width="11.42578125" style="177" customWidth="1"/>
    <col min="777" max="777" width="14.140625" style="177" customWidth="1"/>
    <col min="778" max="778" width="7" style="177" customWidth="1"/>
    <col min="779" max="779" width="12.140625" style="177" customWidth="1"/>
    <col min="780" max="780" width="15.5703125" style="177" customWidth="1"/>
    <col min="781" max="781" width="11.140625" style="177" customWidth="1"/>
    <col min="782" max="782" width="15.140625" style="177" customWidth="1"/>
    <col min="783" max="783" width="9.140625" style="177" bestFit="1" customWidth="1"/>
    <col min="784" max="784" width="9.140625" style="177" customWidth="1"/>
    <col min="785" max="785" width="15.42578125" style="177" customWidth="1"/>
    <col min="786" max="786" width="11.28515625" style="177" customWidth="1"/>
    <col min="787" max="787" width="15.5703125" style="177" customWidth="1"/>
    <col min="788" max="788" width="7.28515625" style="177" customWidth="1"/>
    <col min="789" max="789" width="13.28515625" style="177" customWidth="1"/>
    <col min="790" max="1024" width="12.5703125" style="177"/>
    <col min="1025" max="1025" width="9.42578125" style="177" customWidth="1"/>
    <col min="1026" max="1026" width="12.5703125" style="177"/>
    <col min="1027" max="1027" width="9" style="177" customWidth="1"/>
    <col min="1028" max="1028" width="9.85546875" style="177" customWidth="1"/>
    <col min="1029" max="1029" width="9.42578125" style="177" customWidth="1"/>
    <col min="1030" max="1030" width="11.140625" style="177" bestFit="1" customWidth="1"/>
    <col min="1031" max="1031" width="14.28515625" style="177" bestFit="1" customWidth="1"/>
    <col min="1032" max="1032" width="11.42578125" style="177" customWidth="1"/>
    <col min="1033" max="1033" width="14.140625" style="177" customWidth="1"/>
    <col min="1034" max="1034" width="7" style="177" customWidth="1"/>
    <col min="1035" max="1035" width="12.140625" style="177" customWidth="1"/>
    <col min="1036" max="1036" width="15.5703125" style="177" customWidth="1"/>
    <col min="1037" max="1037" width="11.140625" style="177" customWidth="1"/>
    <col min="1038" max="1038" width="15.140625" style="177" customWidth="1"/>
    <col min="1039" max="1039" width="9.140625" style="177" bestFit="1" customWidth="1"/>
    <col min="1040" max="1040" width="9.140625" style="177" customWidth="1"/>
    <col min="1041" max="1041" width="15.42578125" style="177" customWidth="1"/>
    <col min="1042" max="1042" width="11.28515625" style="177" customWidth="1"/>
    <col min="1043" max="1043" width="15.5703125" style="177" customWidth="1"/>
    <col min="1044" max="1044" width="7.28515625" style="177" customWidth="1"/>
    <col min="1045" max="1045" width="13.28515625" style="177" customWidth="1"/>
    <col min="1046" max="1280" width="12.5703125" style="177"/>
    <col min="1281" max="1281" width="9.42578125" style="177" customWidth="1"/>
    <col min="1282" max="1282" width="12.5703125" style="177"/>
    <col min="1283" max="1283" width="9" style="177" customWidth="1"/>
    <col min="1284" max="1284" width="9.85546875" style="177" customWidth="1"/>
    <col min="1285" max="1285" width="9.42578125" style="177" customWidth="1"/>
    <col min="1286" max="1286" width="11.140625" style="177" bestFit="1" customWidth="1"/>
    <col min="1287" max="1287" width="14.28515625" style="177" bestFit="1" customWidth="1"/>
    <col min="1288" max="1288" width="11.42578125" style="177" customWidth="1"/>
    <col min="1289" max="1289" width="14.140625" style="177" customWidth="1"/>
    <col min="1290" max="1290" width="7" style="177" customWidth="1"/>
    <col min="1291" max="1291" width="12.140625" style="177" customWidth="1"/>
    <col min="1292" max="1292" width="15.5703125" style="177" customWidth="1"/>
    <col min="1293" max="1293" width="11.140625" style="177" customWidth="1"/>
    <col min="1294" max="1294" width="15.140625" style="177" customWidth="1"/>
    <col min="1295" max="1295" width="9.140625" style="177" bestFit="1" customWidth="1"/>
    <col min="1296" max="1296" width="9.140625" style="177" customWidth="1"/>
    <col min="1297" max="1297" width="15.42578125" style="177" customWidth="1"/>
    <col min="1298" max="1298" width="11.28515625" style="177" customWidth="1"/>
    <col min="1299" max="1299" width="15.5703125" style="177" customWidth="1"/>
    <col min="1300" max="1300" width="7.28515625" style="177" customWidth="1"/>
    <col min="1301" max="1301" width="13.28515625" style="177" customWidth="1"/>
    <col min="1302" max="1536" width="12.5703125" style="177"/>
    <col min="1537" max="1537" width="9.42578125" style="177" customWidth="1"/>
    <col min="1538" max="1538" width="12.5703125" style="177"/>
    <col min="1539" max="1539" width="9" style="177" customWidth="1"/>
    <col min="1540" max="1540" width="9.85546875" style="177" customWidth="1"/>
    <col min="1541" max="1541" width="9.42578125" style="177" customWidth="1"/>
    <col min="1542" max="1542" width="11.140625" style="177" bestFit="1" customWidth="1"/>
    <col min="1543" max="1543" width="14.28515625" style="177" bestFit="1" customWidth="1"/>
    <col min="1544" max="1544" width="11.42578125" style="177" customWidth="1"/>
    <col min="1545" max="1545" width="14.140625" style="177" customWidth="1"/>
    <col min="1546" max="1546" width="7" style="177" customWidth="1"/>
    <col min="1547" max="1547" width="12.140625" style="177" customWidth="1"/>
    <col min="1548" max="1548" width="15.5703125" style="177" customWidth="1"/>
    <col min="1549" max="1549" width="11.140625" style="177" customWidth="1"/>
    <col min="1550" max="1550" width="15.140625" style="177" customWidth="1"/>
    <col min="1551" max="1551" width="9.140625" style="177" bestFit="1" customWidth="1"/>
    <col min="1552" max="1552" width="9.140625" style="177" customWidth="1"/>
    <col min="1553" max="1553" width="15.42578125" style="177" customWidth="1"/>
    <col min="1554" max="1554" width="11.28515625" style="177" customWidth="1"/>
    <col min="1555" max="1555" width="15.5703125" style="177" customWidth="1"/>
    <col min="1556" max="1556" width="7.28515625" style="177" customWidth="1"/>
    <col min="1557" max="1557" width="13.28515625" style="177" customWidth="1"/>
    <col min="1558" max="1792" width="12.5703125" style="177"/>
    <col min="1793" max="1793" width="9.42578125" style="177" customWidth="1"/>
    <col min="1794" max="1794" width="12.5703125" style="177"/>
    <col min="1795" max="1795" width="9" style="177" customWidth="1"/>
    <col min="1796" max="1796" width="9.85546875" style="177" customWidth="1"/>
    <col min="1797" max="1797" width="9.42578125" style="177" customWidth="1"/>
    <col min="1798" max="1798" width="11.140625" style="177" bestFit="1" customWidth="1"/>
    <col min="1799" max="1799" width="14.28515625" style="177" bestFit="1" customWidth="1"/>
    <col min="1800" max="1800" width="11.42578125" style="177" customWidth="1"/>
    <col min="1801" max="1801" width="14.140625" style="177" customWidth="1"/>
    <col min="1802" max="1802" width="7" style="177" customWidth="1"/>
    <col min="1803" max="1803" width="12.140625" style="177" customWidth="1"/>
    <col min="1804" max="1804" width="15.5703125" style="177" customWidth="1"/>
    <col min="1805" max="1805" width="11.140625" style="177" customWidth="1"/>
    <col min="1806" max="1806" width="15.140625" style="177" customWidth="1"/>
    <col min="1807" max="1807" width="9.140625" style="177" bestFit="1" customWidth="1"/>
    <col min="1808" max="1808" width="9.140625" style="177" customWidth="1"/>
    <col min="1809" max="1809" width="15.42578125" style="177" customWidth="1"/>
    <col min="1810" max="1810" width="11.28515625" style="177" customWidth="1"/>
    <col min="1811" max="1811" width="15.5703125" style="177" customWidth="1"/>
    <col min="1812" max="1812" width="7.28515625" style="177" customWidth="1"/>
    <col min="1813" max="1813" width="13.28515625" style="177" customWidth="1"/>
    <col min="1814" max="2048" width="12.5703125" style="177"/>
    <col min="2049" max="2049" width="9.42578125" style="177" customWidth="1"/>
    <col min="2050" max="2050" width="12.5703125" style="177"/>
    <col min="2051" max="2051" width="9" style="177" customWidth="1"/>
    <col min="2052" max="2052" width="9.85546875" style="177" customWidth="1"/>
    <col min="2053" max="2053" width="9.42578125" style="177" customWidth="1"/>
    <col min="2054" max="2054" width="11.140625" style="177" bestFit="1" customWidth="1"/>
    <col min="2055" max="2055" width="14.28515625" style="177" bestFit="1" customWidth="1"/>
    <col min="2056" max="2056" width="11.42578125" style="177" customWidth="1"/>
    <col min="2057" max="2057" width="14.140625" style="177" customWidth="1"/>
    <col min="2058" max="2058" width="7" style="177" customWidth="1"/>
    <col min="2059" max="2059" width="12.140625" style="177" customWidth="1"/>
    <col min="2060" max="2060" width="15.5703125" style="177" customWidth="1"/>
    <col min="2061" max="2061" width="11.140625" style="177" customWidth="1"/>
    <col min="2062" max="2062" width="15.140625" style="177" customWidth="1"/>
    <col min="2063" max="2063" width="9.140625" style="177" bestFit="1" customWidth="1"/>
    <col min="2064" max="2064" width="9.140625" style="177" customWidth="1"/>
    <col min="2065" max="2065" width="15.42578125" style="177" customWidth="1"/>
    <col min="2066" max="2066" width="11.28515625" style="177" customWidth="1"/>
    <col min="2067" max="2067" width="15.5703125" style="177" customWidth="1"/>
    <col min="2068" max="2068" width="7.28515625" style="177" customWidth="1"/>
    <col min="2069" max="2069" width="13.28515625" style="177" customWidth="1"/>
    <col min="2070" max="2304" width="12.5703125" style="177"/>
    <col min="2305" max="2305" width="9.42578125" style="177" customWidth="1"/>
    <col min="2306" max="2306" width="12.5703125" style="177"/>
    <col min="2307" max="2307" width="9" style="177" customWidth="1"/>
    <col min="2308" max="2308" width="9.85546875" style="177" customWidth="1"/>
    <col min="2309" max="2309" width="9.42578125" style="177" customWidth="1"/>
    <col min="2310" max="2310" width="11.140625" style="177" bestFit="1" customWidth="1"/>
    <col min="2311" max="2311" width="14.28515625" style="177" bestFit="1" customWidth="1"/>
    <col min="2312" max="2312" width="11.42578125" style="177" customWidth="1"/>
    <col min="2313" max="2313" width="14.140625" style="177" customWidth="1"/>
    <col min="2314" max="2314" width="7" style="177" customWidth="1"/>
    <col min="2315" max="2315" width="12.140625" style="177" customWidth="1"/>
    <col min="2316" max="2316" width="15.5703125" style="177" customWidth="1"/>
    <col min="2317" max="2317" width="11.140625" style="177" customWidth="1"/>
    <col min="2318" max="2318" width="15.140625" style="177" customWidth="1"/>
    <col min="2319" max="2319" width="9.140625" style="177" bestFit="1" customWidth="1"/>
    <col min="2320" max="2320" width="9.140625" style="177" customWidth="1"/>
    <col min="2321" max="2321" width="15.42578125" style="177" customWidth="1"/>
    <col min="2322" max="2322" width="11.28515625" style="177" customWidth="1"/>
    <col min="2323" max="2323" width="15.5703125" style="177" customWidth="1"/>
    <col min="2324" max="2324" width="7.28515625" style="177" customWidth="1"/>
    <col min="2325" max="2325" width="13.28515625" style="177" customWidth="1"/>
    <col min="2326" max="2560" width="12.5703125" style="177"/>
    <col min="2561" max="2561" width="9.42578125" style="177" customWidth="1"/>
    <col min="2562" max="2562" width="12.5703125" style="177"/>
    <col min="2563" max="2563" width="9" style="177" customWidth="1"/>
    <col min="2564" max="2564" width="9.85546875" style="177" customWidth="1"/>
    <col min="2565" max="2565" width="9.42578125" style="177" customWidth="1"/>
    <col min="2566" max="2566" width="11.140625" style="177" bestFit="1" customWidth="1"/>
    <col min="2567" max="2567" width="14.28515625" style="177" bestFit="1" customWidth="1"/>
    <col min="2568" max="2568" width="11.42578125" style="177" customWidth="1"/>
    <col min="2569" max="2569" width="14.140625" style="177" customWidth="1"/>
    <col min="2570" max="2570" width="7" style="177" customWidth="1"/>
    <col min="2571" max="2571" width="12.140625" style="177" customWidth="1"/>
    <col min="2572" max="2572" width="15.5703125" style="177" customWidth="1"/>
    <col min="2573" max="2573" width="11.140625" style="177" customWidth="1"/>
    <col min="2574" max="2574" width="15.140625" style="177" customWidth="1"/>
    <col min="2575" max="2575" width="9.140625" style="177" bestFit="1" customWidth="1"/>
    <col min="2576" max="2576" width="9.140625" style="177" customWidth="1"/>
    <col min="2577" max="2577" width="15.42578125" style="177" customWidth="1"/>
    <col min="2578" max="2578" width="11.28515625" style="177" customWidth="1"/>
    <col min="2579" max="2579" width="15.5703125" style="177" customWidth="1"/>
    <col min="2580" max="2580" width="7.28515625" style="177" customWidth="1"/>
    <col min="2581" max="2581" width="13.28515625" style="177" customWidth="1"/>
    <col min="2582" max="2816" width="12.5703125" style="177"/>
    <col min="2817" max="2817" width="9.42578125" style="177" customWidth="1"/>
    <col min="2818" max="2818" width="12.5703125" style="177"/>
    <col min="2819" max="2819" width="9" style="177" customWidth="1"/>
    <col min="2820" max="2820" width="9.85546875" style="177" customWidth="1"/>
    <col min="2821" max="2821" width="9.42578125" style="177" customWidth="1"/>
    <col min="2822" max="2822" width="11.140625" style="177" bestFit="1" customWidth="1"/>
    <col min="2823" max="2823" width="14.28515625" style="177" bestFit="1" customWidth="1"/>
    <col min="2824" max="2824" width="11.42578125" style="177" customWidth="1"/>
    <col min="2825" max="2825" width="14.140625" style="177" customWidth="1"/>
    <col min="2826" max="2826" width="7" style="177" customWidth="1"/>
    <col min="2827" max="2827" width="12.140625" style="177" customWidth="1"/>
    <col min="2828" max="2828" width="15.5703125" style="177" customWidth="1"/>
    <col min="2829" max="2829" width="11.140625" style="177" customWidth="1"/>
    <col min="2830" max="2830" width="15.140625" style="177" customWidth="1"/>
    <col min="2831" max="2831" width="9.140625" style="177" bestFit="1" customWidth="1"/>
    <col min="2832" max="2832" width="9.140625" style="177" customWidth="1"/>
    <col min="2833" max="2833" width="15.42578125" style="177" customWidth="1"/>
    <col min="2834" max="2834" width="11.28515625" style="177" customWidth="1"/>
    <col min="2835" max="2835" width="15.5703125" style="177" customWidth="1"/>
    <col min="2836" max="2836" width="7.28515625" style="177" customWidth="1"/>
    <col min="2837" max="2837" width="13.28515625" style="177" customWidth="1"/>
    <col min="2838" max="3072" width="12.5703125" style="177"/>
    <col min="3073" max="3073" width="9.42578125" style="177" customWidth="1"/>
    <col min="3074" max="3074" width="12.5703125" style="177"/>
    <col min="3075" max="3075" width="9" style="177" customWidth="1"/>
    <col min="3076" max="3076" width="9.85546875" style="177" customWidth="1"/>
    <col min="3077" max="3077" width="9.42578125" style="177" customWidth="1"/>
    <col min="3078" max="3078" width="11.140625" style="177" bestFit="1" customWidth="1"/>
    <col min="3079" max="3079" width="14.28515625" style="177" bestFit="1" customWidth="1"/>
    <col min="3080" max="3080" width="11.42578125" style="177" customWidth="1"/>
    <col min="3081" max="3081" width="14.140625" style="177" customWidth="1"/>
    <col min="3082" max="3082" width="7" style="177" customWidth="1"/>
    <col min="3083" max="3083" width="12.140625" style="177" customWidth="1"/>
    <col min="3084" max="3084" width="15.5703125" style="177" customWidth="1"/>
    <col min="3085" max="3085" width="11.140625" style="177" customWidth="1"/>
    <col min="3086" max="3086" width="15.140625" style="177" customWidth="1"/>
    <col min="3087" max="3087" width="9.140625" style="177" bestFit="1" customWidth="1"/>
    <col min="3088" max="3088" width="9.140625" style="177" customWidth="1"/>
    <col min="3089" max="3089" width="15.42578125" style="177" customWidth="1"/>
    <col min="3090" max="3090" width="11.28515625" style="177" customWidth="1"/>
    <col min="3091" max="3091" width="15.5703125" style="177" customWidth="1"/>
    <col min="3092" max="3092" width="7.28515625" style="177" customWidth="1"/>
    <col min="3093" max="3093" width="13.28515625" style="177" customWidth="1"/>
    <col min="3094" max="3328" width="12.5703125" style="177"/>
    <col min="3329" max="3329" width="9.42578125" style="177" customWidth="1"/>
    <col min="3330" max="3330" width="12.5703125" style="177"/>
    <col min="3331" max="3331" width="9" style="177" customWidth="1"/>
    <col min="3332" max="3332" width="9.85546875" style="177" customWidth="1"/>
    <col min="3333" max="3333" width="9.42578125" style="177" customWidth="1"/>
    <col min="3334" max="3334" width="11.140625" style="177" bestFit="1" customWidth="1"/>
    <col min="3335" max="3335" width="14.28515625" style="177" bestFit="1" customWidth="1"/>
    <col min="3336" max="3336" width="11.42578125" style="177" customWidth="1"/>
    <col min="3337" max="3337" width="14.140625" style="177" customWidth="1"/>
    <col min="3338" max="3338" width="7" style="177" customWidth="1"/>
    <col min="3339" max="3339" width="12.140625" style="177" customWidth="1"/>
    <col min="3340" max="3340" width="15.5703125" style="177" customWidth="1"/>
    <col min="3341" max="3341" width="11.140625" style="177" customWidth="1"/>
    <col min="3342" max="3342" width="15.140625" style="177" customWidth="1"/>
    <col min="3343" max="3343" width="9.140625" style="177" bestFit="1" customWidth="1"/>
    <col min="3344" max="3344" width="9.140625" style="177" customWidth="1"/>
    <col min="3345" max="3345" width="15.42578125" style="177" customWidth="1"/>
    <col min="3346" max="3346" width="11.28515625" style="177" customWidth="1"/>
    <col min="3347" max="3347" width="15.5703125" style="177" customWidth="1"/>
    <col min="3348" max="3348" width="7.28515625" style="177" customWidth="1"/>
    <col min="3349" max="3349" width="13.28515625" style="177" customWidth="1"/>
    <col min="3350" max="3584" width="12.5703125" style="177"/>
    <col min="3585" max="3585" width="9.42578125" style="177" customWidth="1"/>
    <col min="3586" max="3586" width="12.5703125" style="177"/>
    <col min="3587" max="3587" width="9" style="177" customWidth="1"/>
    <col min="3588" max="3588" width="9.85546875" style="177" customWidth="1"/>
    <col min="3589" max="3589" width="9.42578125" style="177" customWidth="1"/>
    <col min="3590" max="3590" width="11.140625" style="177" bestFit="1" customWidth="1"/>
    <col min="3591" max="3591" width="14.28515625" style="177" bestFit="1" customWidth="1"/>
    <col min="3592" max="3592" width="11.42578125" style="177" customWidth="1"/>
    <col min="3593" max="3593" width="14.140625" style="177" customWidth="1"/>
    <col min="3594" max="3594" width="7" style="177" customWidth="1"/>
    <col min="3595" max="3595" width="12.140625" style="177" customWidth="1"/>
    <col min="3596" max="3596" width="15.5703125" style="177" customWidth="1"/>
    <col min="3597" max="3597" width="11.140625" style="177" customWidth="1"/>
    <col min="3598" max="3598" width="15.140625" style="177" customWidth="1"/>
    <col min="3599" max="3599" width="9.140625" style="177" bestFit="1" customWidth="1"/>
    <col min="3600" max="3600" width="9.140625" style="177" customWidth="1"/>
    <col min="3601" max="3601" width="15.42578125" style="177" customWidth="1"/>
    <col min="3602" max="3602" width="11.28515625" style="177" customWidth="1"/>
    <col min="3603" max="3603" width="15.5703125" style="177" customWidth="1"/>
    <col min="3604" max="3604" width="7.28515625" style="177" customWidth="1"/>
    <col min="3605" max="3605" width="13.28515625" style="177" customWidth="1"/>
    <col min="3606" max="3840" width="12.5703125" style="177"/>
    <col min="3841" max="3841" width="9.42578125" style="177" customWidth="1"/>
    <col min="3842" max="3842" width="12.5703125" style="177"/>
    <col min="3843" max="3843" width="9" style="177" customWidth="1"/>
    <col min="3844" max="3844" width="9.85546875" style="177" customWidth="1"/>
    <col min="3845" max="3845" width="9.42578125" style="177" customWidth="1"/>
    <col min="3846" max="3846" width="11.140625" style="177" bestFit="1" customWidth="1"/>
    <col min="3847" max="3847" width="14.28515625" style="177" bestFit="1" customWidth="1"/>
    <col min="3848" max="3848" width="11.42578125" style="177" customWidth="1"/>
    <col min="3849" max="3849" width="14.140625" style="177" customWidth="1"/>
    <col min="3850" max="3850" width="7" style="177" customWidth="1"/>
    <col min="3851" max="3851" width="12.140625" style="177" customWidth="1"/>
    <col min="3852" max="3852" width="15.5703125" style="177" customWidth="1"/>
    <col min="3853" max="3853" width="11.140625" style="177" customWidth="1"/>
    <col min="3854" max="3854" width="15.140625" style="177" customWidth="1"/>
    <col min="3855" max="3855" width="9.140625" style="177" bestFit="1" customWidth="1"/>
    <col min="3856" max="3856" width="9.140625" style="177" customWidth="1"/>
    <col min="3857" max="3857" width="15.42578125" style="177" customWidth="1"/>
    <col min="3858" max="3858" width="11.28515625" style="177" customWidth="1"/>
    <col min="3859" max="3859" width="15.5703125" style="177" customWidth="1"/>
    <col min="3860" max="3860" width="7.28515625" style="177" customWidth="1"/>
    <col min="3861" max="3861" width="13.28515625" style="177" customWidth="1"/>
    <col min="3862" max="4096" width="12.5703125" style="177"/>
    <col min="4097" max="4097" width="9.42578125" style="177" customWidth="1"/>
    <col min="4098" max="4098" width="12.5703125" style="177"/>
    <col min="4099" max="4099" width="9" style="177" customWidth="1"/>
    <col min="4100" max="4100" width="9.85546875" style="177" customWidth="1"/>
    <col min="4101" max="4101" width="9.42578125" style="177" customWidth="1"/>
    <col min="4102" max="4102" width="11.140625" style="177" bestFit="1" customWidth="1"/>
    <col min="4103" max="4103" width="14.28515625" style="177" bestFit="1" customWidth="1"/>
    <col min="4104" max="4104" width="11.42578125" style="177" customWidth="1"/>
    <col min="4105" max="4105" width="14.140625" style="177" customWidth="1"/>
    <col min="4106" max="4106" width="7" style="177" customWidth="1"/>
    <col min="4107" max="4107" width="12.140625" style="177" customWidth="1"/>
    <col min="4108" max="4108" width="15.5703125" style="177" customWidth="1"/>
    <col min="4109" max="4109" width="11.140625" style="177" customWidth="1"/>
    <col min="4110" max="4110" width="15.140625" style="177" customWidth="1"/>
    <col min="4111" max="4111" width="9.140625" style="177" bestFit="1" customWidth="1"/>
    <col min="4112" max="4112" width="9.140625" style="177" customWidth="1"/>
    <col min="4113" max="4113" width="15.42578125" style="177" customWidth="1"/>
    <col min="4114" max="4114" width="11.28515625" style="177" customWidth="1"/>
    <col min="4115" max="4115" width="15.5703125" style="177" customWidth="1"/>
    <col min="4116" max="4116" width="7.28515625" style="177" customWidth="1"/>
    <col min="4117" max="4117" width="13.28515625" style="177" customWidth="1"/>
    <col min="4118" max="4352" width="12.5703125" style="177"/>
    <col min="4353" max="4353" width="9.42578125" style="177" customWidth="1"/>
    <col min="4354" max="4354" width="12.5703125" style="177"/>
    <col min="4355" max="4355" width="9" style="177" customWidth="1"/>
    <col min="4356" max="4356" width="9.85546875" style="177" customWidth="1"/>
    <col min="4357" max="4357" width="9.42578125" style="177" customWidth="1"/>
    <col min="4358" max="4358" width="11.140625" style="177" bestFit="1" customWidth="1"/>
    <col min="4359" max="4359" width="14.28515625" style="177" bestFit="1" customWidth="1"/>
    <col min="4360" max="4360" width="11.42578125" style="177" customWidth="1"/>
    <col min="4361" max="4361" width="14.140625" style="177" customWidth="1"/>
    <col min="4362" max="4362" width="7" style="177" customWidth="1"/>
    <col min="4363" max="4363" width="12.140625" style="177" customWidth="1"/>
    <col min="4364" max="4364" width="15.5703125" style="177" customWidth="1"/>
    <col min="4365" max="4365" width="11.140625" style="177" customWidth="1"/>
    <col min="4366" max="4366" width="15.140625" style="177" customWidth="1"/>
    <col min="4367" max="4367" width="9.140625" style="177" bestFit="1" customWidth="1"/>
    <col min="4368" max="4368" width="9.140625" style="177" customWidth="1"/>
    <col min="4369" max="4369" width="15.42578125" style="177" customWidth="1"/>
    <col min="4370" max="4370" width="11.28515625" style="177" customWidth="1"/>
    <col min="4371" max="4371" width="15.5703125" style="177" customWidth="1"/>
    <col min="4372" max="4372" width="7.28515625" style="177" customWidth="1"/>
    <col min="4373" max="4373" width="13.28515625" style="177" customWidth="1"/>
    <col min="4374" max="4608" width="12.5703125" style="177"/>
    <col min="4609" max="4609" width="9.42578125" style="177" customWidth="1"/>
    <col min="4610" max="4610" width="12.5703125" style="177"/>
    <col min="4611" max="4611" width="9" style="177" customWidth="1"/>
    <col min="4612" max="4612" width="9.85546875" style="177" customWidth="1"/>
    <col min="4613" max="4613" width="9.42578125" style="177" customWidth="1"/>
    <col min="4614" max="4614" width="11.140625" style="177" bestFit="1" customWidth="1"/>
    <col min="4615" max="4615" width="14.28515625" style="177" bestFit="1" customWidth="1"/>
    <col min="4616" max="4616" width="11.42578125" style="177" customWidth="1"/>
    <col min="4617" max="4617" width="14.140625" style="177" customWidth="1"/>
    <col min="4618" max="4618" width="7" style="177" customWidth="1"/>
    <col min="4619" max="4619" width="12.140625" style="177" customWidth="1"/>
    <col min="4620" max="4620" width="15.5703125" style="177" customWidth="1"/>
    <col min="4621" max="4621" width="11.140625" style="177" customWidth="1"/>
    <col min="4622" max="4622" width="15.140625" style="177" customWidth="1"/>
    <col min="4623" max="4623" width="9.140625" style="177" bestFit="1" customWidth="1"/>
    <col min="4624" max="4624" width="9.140625" style="177" customWidth="1"/>
    <col min="4625" max="4625" width="15.42578125" style="177" customWidth="1"/>
    <col min="4626" max="4626" width="11.28515625" style="177" customWidth="1"/>
    <col min="4627" max="4627" width="15.5703125" style="177" customWidth="1"/>
    <col min="4628" max="4628" width="7.28515625" style="177" customWidth="1"/>
    <col min="4629" max="4629" width="13.28515625" style="177" customWidth="1"/>
    <col min="4630" max="4864" width="12.5703125" style="177"/>
    <col min="4865" max="4865" width="9.42578125" style="177" customWidth="1"/>
    <col min="4866" max="4866" width="12.5703125" style="177"/>
    <col min="4867" max="4867" width="9" style="177" customWidth="1"/>
    <col min="4868" max="4868" width="9.85546875" style="177" customWidth="1"/>
    <col min="4869" max="4869" width="9.42578125" style="177" customWidth="1"/>
    <col min="4870" max="4870" width="11.140625" style="177" bestFit="1" customWidth="1"/>
    <col min="4871" max="4871" width="14.28515625" style="177" bestFit="1" customWidth="1"/>
    <col min="4872" max="4872" width="11.42578125" style="177" customWidth="1"/>
    <col min="4873" max="4873" width="14.140625" style="177" customWidth="1"/>
    <col min="4874" max="4874" width="7" style="177" customWidth="1"/>
    <col min="4875" max="4875" width="12.140625" style="177" customWidth="1"/>
    <col min="4876" max="4876" width="15.5703125" style="177" customWidth="1"/>
    <col min="4877" max="4877" width="11.140625" style="177" customWidth="1"/>
    <col min="4878" max="4878" width="15.140625" style="177" customWidth="1"/>
    <col min="4879" max="4879" width="9.140625" style="177" bestFit="1" customWidth="1"/>
    <col min="4880" max="4880" width="9.140625" style="177" customWidth="1"/>
    <col min="4881" max="4881" width="15.42578125" style="177" customWidth="1"/>
    <col min="4882" max="4882" width="11.28515625" style="177" customWidth="1"/>
    <col min="4883" max="4883" width="15.5703125" style="177" customWidth="1"/>
    <col min="4884" max="4884" width="7.28515625" style="177" customWidth="1"/>
    <col min="4885" max="4885" width="13.28515625" style="177" customWidth="1"/>
    <col min="4886" max="5120" width="12.5703125" style="177"/>
    <col min="5121" max="5121" width="9.42578125" style="177" customWidth="1"/>
    <col min="5122" max="5122" width="12.5703125" style="177"/>
    <col min="5123" max="5123" width="9" style="177" customWidth="1"/>
    <col min="5124" max="5124" width="9.85546875" style="177" customWidth="1"/>
    <col min="5125" max="5125" width="9.42578125" style="177" customWidth="1"/>
    <col min="5126" max="5126" width="11.140625" style="177" bestFit="1" customWidth="1"/>
    <col min="5127" max="5127" width="14.28515625" style="177" bestFit="1" customWidth="1"/>
    <col min="5128" max="5128" width="11.42578125" style="177" customWidth="1"/>
    <col min="5129" max="5129" width="14.140625" style="177" customWidth="1"/>
    <col min="5130" max="5130" width="7" style="177" customWidth="1"/>
    <col min="5131" max="5131" width="12.140625" style="177" customWidth="1"/>
    <col min="5132" max="5132" width="15.5703125" style="177" customWidth="1"/>
    <col min="5133" max="5133" width="11.140625" style="177" customWidth="1"/>
    <col min="5134" max="5134" width="15.140625" style="177" customWidth="1"/>
    <col min="5135" max="5135" width="9.140625" style="177" bestFit="1" customWidth="1"/>
    <col min="5136" max="5136" width="9.140625" style="177" customWidth="1"/>
    <col min="5137" max="5137" width="15.42578125" style="177" customWidth="1"/>
    <col min="5138" max="5138" width="11.28515625" style="177" customWidth="1"/>
    <col min="5139" max="5139" width="15.5703125" style="177" customWidth="1"/>
    <col min="5140" max="5140" width="7.28515625" style="177" customWidth="1"/>
    <col min="5141" max="5141" width="13.28515625" style="177" customWidth="1"/>
    <col min="5142" max="5376" width="12.5703125" style="177"/>
    <col min="5377" max="5377" width="9.42578125" style="177" customWidth="1"/>
    <col min="5378" max="5378" width="12.5703125" style="177"/>
    <col min="5379" max="5379" width="9" style="177" customWidth="1"/>
    <col min="5380" max="5380" width="9.85546875" style="177" customWidth="1"/>
    <col min="5381" max="5381" width="9.42578125" style="177" customWidth="1"/>
    <col min="5382" max="5382" width="11.140625" style="177" bestFit="1" customWidth="1"/>
    <col min="5383" max="5383" width="14.28515625" style="177" bestFit="1" customWidth="1"/>
    <col min="5384" max="5384" width="11.42578125" style="177" customWidth="1"/>
    <col min="5385" max="5385" width="14.140625" style="177" customWidth="1"/>
    <col min="5386" max="5386" width="7" style="177" customWidth="1"/>
    <col min="5387" max="5387" width="12.140625" style="177" customWidth="1"/>
    <col min="5388" max="5388" width="15.5703125" style="177" customWidth="1"/>
    <col min="5389" max="5389" width="11.140625" style="177" customWidth="1"/>
    <col min="5390" max="5390" width="15.140625" style="177" customWidth="1"/>
    <col min="5391" max="5391" width="9.140625" style="177" bestFit="1" customWidth="1"/>
    <col min="5392" max="5392" width="9.140625" style="177" customWidth="1"/>
    <col min="5393" max="5393" width="15.42578125" style="177" customWidth="1"/>
    <col min="5394" max="5394" width="11.28515625" style="177" customWidth="1"/>
    <col min="5395" max="5395" width="15.5703125" style="177" customWidth="1"/>
    <col min="5396" max="5396" width="7.28515625" style="177" customWidth="1"/>
    <col min="5397" max="5397" width="13.28515625" style="177" customWidth="1"/>
    <col min="5398" max="5632" width="12.5703125" style="177"/>
    <col min="5633" max="5633" width="9.42578125" style="177" customWidth="1"/>
    <col min="5634" max="5634" width="12.5703125" style="177"/>
    <col min="5635" max="5635" width="9" style="177" customWidth="1"/>
    <col min="5636" max="5636" width="9.85546875" style="177" customWidth="1"/>
    <col min="5637" max="5637" width="9.42578125" style="177" customWidth="1"/>
    <col min="5638" max="5638" width="11.140625" style="177" bestFit="1" customWidth="1"/>
    <col min="5639" max="5639" width="14.28515625" style="177" bestFit="1" customWidth="1"/>
    <col min="5640" max="5640" width="11.42578125" style="177" customWidth="1"/>
    <col min="5641" max="5641" width="14.140625" style="177" customWidth="1"/>
    <col min="5642" max="5642" width="7" style="177" customWidth="1"/>
    <col min="5643" max="5643" width="12.140625" style="177" customWidth="1"/>
    <col min="5644" max="5644" width="15.5703125" style="177" customWidth="1"/>
    <col min="5645" max="5645" width="11.140625" style="177" customWidth="1"/>
    <col min="5646" max="5646" width="15.140625" style="177" customWidth="1"/>
    <col min="5647" max="5647" width="9.140625" style="177" bestFit="1" customWidth="1"/>
    <col min="5648" max="5648" width="9.140625" style="177" customWidth="1"/>
    <col min="5649" max="5649" width="15.42578125" style="177" customWidth="1"/>
    <col min="5650" max="5650" width="11.28515625" style="177" customWidth="1"/>
    <col min="5651" max="5651" width="15.5703125" style="177" customWidth="1"/>
    <col min="5652" max="5652" width="7.28515625" style="177" customWidth="1"/>
    <col min="5653" max="5653" width="13.28515625" style="177" customWidth="1"/>
    <col min="5654" max="5888" width="12.5703125" style="177"/>
    <col min="5889" max="5889" width="9.42578125" style="177" customWidth="1"/>
    <col min="5890" max="5890" width="12.5703125" style="177"/>
    <col min="5891" max="5891" width="9" style="177" customWidth="1"/>
    <col min="5892" max="5892" width="9.85546875" style="177" customWidth="1"/>
    <col min="5893" max="5893" width="9.42578125" style="177" customWidth="1"/>
    <col min="5894" max="5894" width="11.140625" style="177" bestFit="1" customWidth="1"/>
    <col min="5895" max="5895" width="14.28515625" style="177" bestFit="1" customWidth="1"/>
    <col min="5896" max="5896" width="11.42578125" style="177" customWidth="1"/>
    <col min="5897" max="5897" width="14.140625" style="177" customWidth="1"/>
    <col min="5898" max="5898" width="7" style="177" customWidth="1"/>
    <col min="5899" max="5899" width="12.140625" style="177" customWidth="1"/>
    <col min="5900" max="5900" width="15.5703125" style="177" customWidth="1"/>
    <col min="5901" max="5901" width="11.140625" style="177" customWidth="1"/>
    <col min="5902" max="5902" width="15.140625" style="177" customWidth="1"/>
    <col min="5903" max="5903" width="9.140625" style="177" bestFit="1" customWidth="1"/>
    <col min="5904" max="5904" width="9.140625" style="177" customWidth="1"/>
    <col min="5905" max="5905" width="15.42578125" style="177" customWidth="1"/>
    <col min="5906" max="5906" width="11.28515625" style="177" customWidth="1"/>
    <col min="5907" max="5907" width="15.5703125" style="177" customWidth="1"/>
    <col min="5908" max="5908" width="7.28515625" style="177" customWidth="1"/>
    <col min="5909" max="5909" width="13.28515625" style="177" customWidth="1"/>
    <col min="5910" max="6144" width="12.5703125" style="177"/>
    <col min="6145" max="6145" width="9.42578125" style="177" customWidth="1"/>
    <col min="6146" max="6146" width="12.5703125" style="177"/>
    <col min="6147" max="6147" width="9" style="177" customWidth="1"/>
    <col min="6148" max="6148" width="9.85546875" style="177" customWidth="1"/>
    <col min="6149" max="6149" width="9.42578125" style="177" customWidth="1"/>
    <col min="6150" max="6150" width="11.140625" style="177" bestFit="1" customWidth="1"/>
    <col min="6151" max="6151" width="14.28515625" style="177" bestFit="1" customWidth="1"/>
    <col min="6152" max="6152" width="11.42578125" style="177" customWidth="1"/>
    <col min="6153" max="6153" width="14.140625" style="177" customWidth="1"/>
    <col min="6154" max="6154" width="7" style="177" customWidth="1"/>
    <col min="6155" max="6155" width="12.140625" style="177" customWidth="1"/>
    <col min="6156" max="6156" width="15.5703125" style="177" customWidth="1"/>
    <col min="6157" max="6157" width="11.140625" style="177" customWidth="1"/>
    <col min="6158" max="6158" width="15.140625" style="177" customWidth="1"/>
    <col min="6159" max="6159" width="9.140625" style="177" bestFit="1" customWidth="1"/>
    <col min="6160" max="6160" width="9.140625" style="177" customWidth="1"/>
    <col min="6161" max="6161" width="15.42578125" style="177" customWidth="1"/>
    <col min="6162" max="6162" width="11.28515625" style="177" customWidth="1"/>
    <col min="6163" max="6163" width="15.5703125" style="177" customWidth="1"/>
    <col min="6164" max="6164" width="7.28515625" style="177" customWidth="1"/>
    <col min="6165" max="6165" width="13.28515625" style="177" customWidth="1"/>
    <col min="6166" max="6400" width="12.5703125" style="177"/>
    <col min="6401" max="6401" width="9.42578125" style="177" customWidth="1"/>
    <col min="6402" max="6402" width="12.5703125" style="177"/>
    <col min="6403" max="6403" width="9" style="177" customWidth="1"/>
    <col min="6404" max="6404" width="9.85546875" style="177" customWidth="1"/>
    <col min="6405" max="6405" width="9.42578125" style="177" customWidth="1"/>
    <col min="6406" max="6406" width="11.140625" style="177" bestFit="1" customWidth="1"/>
    <col min="6407" max="6407" width="14.28515625" style="177" bestFit="1" customWidth="1"/>
    <col min="6408" max="6408" width="11.42578125" style="177" customWidth="1"/>
    <col min="6409" max="6409" width="14.140625" style="177" customWidth="1"/>
    <col min="6410" max="6410" width="7" style="177" customWidth="1"/>
    <col min="6411" max="6411" width="12.140625" style="177" customWidth="1"/>
    <col min="6412" max="6412" width="15.5703125" style="177" customWidth="1"/>
    <col min="6413" max="6413" width="11.140625" style="177" customWidth="1"/>
    <col min="6414" max="6414" width="15.140625" style="177" customWidth="1"/>
    <col min="6415" max="6415" width="9.140625" style="177" bestFit="1" customWidth="1"/>
    <col min="6416" max="6416" width="9.140625" style="177" customWidth="1"/>
    <col min="6417" max="6417" width="15.42578125" style="177" customWidth="1"/>
    <col min="6418" max="6418" width="11.28515625" style="177" customWidth="1"/>
    <col min="6419" max="6419" width="15.5703125" style="177" customWidth="1"/>
    <col min="6420" max="6420" width="7.28515625" style="177" customWidth="1"/>
    <col min="6421" max="6421" width="13.28515625" style="177" customWidth="1"/>
    <col min="6422" max="6656" width="12.5703125" style="177"/>
    <col min="6657" max="6657" width="9.42578125" style="177" customWidth="1"/>
    <col min="6658" max="6658" width="12.5703125" style="177"/>
    <col min="6659" max="6659" width="9" style="177" customWidth="1"/>
    <col min="6660" max="6660" width="9.85546875" style="177" customWidth="1"/>
    <col min="6661" max="6661" width="9.42578125" style="177" customWidth="1"/>
    <col min="6662" max="6662" width="11.140625" style="177" bestFit="1" customWidth="1"/>
    <col min="6663" max="6663" width="14.28515625" style="177" bestFit="1" customWidth="1"/>
    <col min="6664" max="6664" width="11.42578125" style="177" customWidth="1"/>
    <col min="6665" max="6665" width="14.140625" style="177" customWidth="1"/>
    <col min="6666" max="6666" width="7" style="177" customWidth="1"/>
    <col min="6667" max="6667" width="12.140625" style="177" customWidth="1"/>
    <col min="6668" max="6668" width="15.5703125" style="177" customWidth="1"/>
    <col min="6669" max="6669" width="11.140625" style="177" customWidth="1"/>
    <col min="6670" max="6670" width="15.140625" style="177" customWidth="1"/>
    <col min="6671" max="6671" width="9.140625" style="177" bestFit="1" customWidth="1"/>
    <col min="6672" max="6672" width="9.140625" style="177" customWidth="1"/>
    <col min="6673" max="6673" width="15.42578125" style="177" customWidth="1"/>
    <col min="6674" max="6674" width="11.28515625" style="177" customWidth="1"/>
    <col min="6675" max="6675" width="15.5703125" style="177" customWidth="1"/>
    <col min="6676" max="6676" width="7.28515625" style="177" customWidth="1"/>
    <col min="6677" max="6677" width="13.28515625" style="177" customWidth="1"/>
    <col min="6678" max="6912" width="12.5703125" style="177"/>
    <col min="6913" max="6913" width="9.42578125" style="177" customWidth="1"/>
    <col min="6914" max="6914" width="12.5703125" style="177"/>
    <col min="6915" max="6915" width="9" style="177" customWidth="1"/>
    <col min="6916" max="6916" width="9.85546875" style="177" customWidth="1"/>
    <col min="6917" max="6917" width="9.42578125" style="177" customWidth="1"/>
    <col min="6918" max="6918" width="11.140625" style="177" bestFit="1" customWidth="1"/>
    <col min="6919" max="6919" width="14.28515625" style="177" bestFit="1" customWidth="1"/>
    <col min="6920" max="6920" width="11.42578125" style="177" customWidth="1"/>
    <col min="6921" max="6921" width="14.140625" style="177" customWidth="1"/>
    <col min="6922" max="6922" width="7" style="177" customWidth="1"/>
    <col min="6923" max="6923" width="12.140625" style="177" customWidth="1"/>
    <col min="6924" max="6924" width="15.5703125" style="177" customWidth="1"/>
    <col min="6925" max="6925" width="11.140625" style="177" customWidth="1"/>
    <col min="6926" max="6926" width="15.140625" style="177" customWidth="1"/>
    <col min="6927" max="6927" width="9.140625" style="177" bestFit="1" customWidth="1"/>
    <col min="6928" max="6928" width="9.140625" style="177" customWidth="1"/>
    <col min="6929" max="6929" width="15.42578125" style="177" customWidth="1"/>
    <col min="6930" max="6930" width="11.28515625" style="177" customWidth="1"/>
    <col min="6931" max="6931" width="15.5703125" style="177" customWidth="1"/>
    <col min="6932" max="6932" width="7.28515625" style="177" customWidth="1"/>
    <col min="6933" max="6933" width="13.28515625" style="177" customWidth="1"/>
    <col min="6934" max="7168" width="12.5703125" style="177"/>
    <col min="7169" max="7169" width="9.42578125" style="177" customWidth="1"/>
    <col min="7170" max="7170" width="12.5703125" style="177"/>
    <col min="7171" max="7171" width="9" style="177" customWidth="1"/>
    <col min="7172" max="7172" width="9.85546875" style="177" customWidth="1"/>
    <col min="7173" max="7173" width="9.42578125" style="177" customWidth="1"/>
    <col min="7174" max="7174" width="11.140625" style="177" bestFit="1" customWidth="1"/>
    <col min="7175" max="7175" width="14.28515625" style="177" bestFit="1" customWidth="1"/>
    <col min="7176" max="7176" width="11.42578125" style="177" customWidth="1"/>
    <col min="7177" max="7177" width="14.140625" style="177" customWidth="1"/>
    <col min="7178" max="7178" width="7" style="177" customWidth="1"/>
    <col min="7179" max="7179" width="12.140625" style="177" customWidth="1"/>
    <col min="7180" max="7180" width="15.5703125" style="177" customWidth="1"/>
    <col min="7181" max="7181" width="11.140625" style="177" customWidth="1"/>
    <col min="7182" max="7182" width="15.140625" style="177" customWidth="1"/>
    <col min="7183" max="7183" width="9.140625" style="177" bestFit="1" customWidth="1"/>
    <col min="7184" max="7184" width="9.140625" style="177" customWidth="1"/>
    <col min="7185" max="7185" width="15.42578125" style="177" customWidth="1"/>
    <col min="7186" max="7186" width="11.28515625" style="177" customWidth="1"/>
    <col min="7187" max="7187" width="15.5703125" style="177" customWidth="1"/>
    <col min="7188" max="7188" width="7.28515625" style="177" customWidth="1"/>
    <col min="7189" max="7189" width="13.28515625" style="177" customWidth="1"/>
    <col min="7190" max="7424" width="12.5703125" style="177"/>
    <col min="7425" max="7425" width="9.42578125" style="177" customWidth="1"/>
    <col min="7426" max="7426" width="12.5703125" style="177"/>
    <col min="7427" max="7427" width="9" style="177" customWidth="1"/>
    <col min="7428" max="7428" width="9.85546875" style="177" customWidth="1"/>
    <col min="7429" max="7429" width="9.42578125" style="177" customWidth="1"/>
    <col min="7430" max="7430" width="11.140625" style="177" bestFit="1" customWidth="1"/>
    <col min="7431" max="7431" width="14.28515625" style="177" bestFit="1" customWidth="1"/>
    <col min="7432" max="7432" width="11.42578125" style="177" customWidth="1"/>
    <col min="7433" max="7433" width="14.140625" style="177" customWidth="1"/>
    <col min="7434" max="7434" width="7" style="177" customWidth="1"/>
    <col min="7435" max="7435" width="12.140625" style="177" customWidth="1"/>
    <col min="7436" max="7436" width="15.5703125" style="177" customWidth="1"/>
    <col min="7437" max="7437" width="11.140625" style="177" customWidth="1"/>
    <col min="7438" max="7438" width="15.140625" style="177" customWidth="1"/>
    <col min="7439" max="7439" width="9.140625" style="177" bestFit="1" customWidth="1"/>
    <col min="7440" max="7440" width="9.140625" style="177" customWidth="1"/>
    <col min="7441" max="7441" width="15.42578125" style="177" customWidth="1"/>
    <col min="7442" max="7442" width="11.28515625" style="177" customWidth="1"/>
    <col min="7443" max="7443" width="15.5703125" style="177" customWidth="1"/>
    <col min="7444" max="7444" width="7.28515625" style="177" customWidth="1"/>
    <col min="7445" max="7445" width="13.28515625" style="177" customWidth="1"/>
    <col min="7446" max="7680" width="12.5703125" style="177"/>
    <col min="7681" max="7681" width="9.42578125" style="177" customWidth="1"/>
    <col min="7682" max="7682" width="12.5703125" style="177"/>
    <col min="7683" max="7683" width="9" style="177" customWidth="1"/>
    <col min="7684" max="7684" width="9.85546875" style="177" customWidth="1"/>
    <col min="7685" max="7685" width="9.42578125" style="177" customWidth="1"/>
    <col min="7686" max="7686" width="11.140625" style="177" bestFit="1" customWidth="1"/>
    <col min="7687" max="7687" width="14.28515625" style="177" bestFit="1" customWidth="1"/>
    <col min="7688" max="7688" width="11.42578125" style="177" customWidth="1"/>
    <col min="7689" max="7689" width="14.140625" style="177" customWidth="1"/>
    <col min="7690" max="7690" width="7" style="177" customWidth="1"/>
    <col min="7691" max="7691" width="12.140625" style="177" customWidth="1"/>
    <col min="7692" max="7692" width="15.5703125" style="177" customWidth="1"/>
    <col min="7693" max="7693" width="11.140625" style="177" customWidth="1"/>
    <col min="7694" max="7694" width="15.140625" style="177" customWidth="1"/>
    <col min="7695" max="7695" width="9.140625" style="177" bestFit="1" customWidth="1"/>
    <col min="7696" max="7696" width="9.140625" style="177" customWidth="1"/>
    <col min="7697" max="7697" width="15.42578125" style="177" customWidth="1"/>
    <col min="7698" max="7698" width="11.28515625" style="177" customWidth="1"/>
    <col min="7699" max="7699" width="15.5703125" style="177" customWidth="1"/>
    <col min="7700" max="7700" width="7.28515625" style="177" customWidth="1"/>
    <col min="7701" max="7701" width="13.28515625" style="177" customWidth="1"/>
    <col min="7702" max="7936" width="12.5703125" style="177"/>
    <col min="7937" max="7937" width="9.42578125" style="177" customWidth="1"/>
    <col min="7938" max="7938" width="12.5703125" style="177"/>
    <col min="7939" max="7939" width="9" style="177" customWidth="1"/>
    <col min="7940" max="7940" width="9.85546875" style="177" customWidth="1"/>
    <col min="7941" max="7941" width="9.42578125" style="177" customWidth="1"/>
    <col min="7942" max="7942" width="11.140625" style="177" bestFit="1" customWidth="1"/>
    <col min="7943" max="7943" width="14.28515625" style="177" bestFit="1" customWidth="1"/>
    <col min="7944" max="7944" width="11.42578125" style="177" customWidth="1"/>
    <col min="7945" max="7945" width="14.140625" style="177" customWidth="1"/>
    <col min="7946" max="7946" width="7" style="177" customWidth="1"/>
    <col min="7947" max="7947" width="12.140625" style="177" customWidth="1"/>
    <col min="7948" max="7948" width="15.5703125" style="177" customWidth="1"/>
    <col min="7949" max="7949" width="11.140625" style="177" customWidth="1"/>
    <col min="7950" max="7950" width="15.140625" style="177" customWidth="1"/>
    <col min="7951" max="7951" width="9.140625" style="177" bestFit="1" customWidth="1"/>
    <col min="7952" max="7952" width="9.140625" style="177" customWidth="1"/>
    <col min="7953" max="7953" width="15.42578125" style="177" customWidth="1"/>
    <col min="7954" max="7954" width="11.28515625" style="177" customWidth="1"/>
    <col min="7955" max="7955" width="15.5703125" style="177" customWidth="1"/>
    <col min="7956" max="7956" width="7.28515625" style="177" customWidth="1"/>
    <col min="7957" max="7957" width="13.28515625" style="177" customWidth="1"/>
    <col min="7958" max="8192" width="12.5703125" style="177"/>
    <col min="8193" max="8193" width="9.42578125" style="177" customWidth="1"/>
    <col min="8194" max="8194" width="12.5703125" style="177"/>
    <col min="8195" max="8195" width="9" style="177" customWidth="1"/>
    <col min="8196" max="8196" width="9.85546875" style="177" customWidth="1"/>
    <col min="8197" max="8197" width="9.42578125" style="177" customWidth="1"/>
    <col min="8198" max="8198" width="11.140625" style="177" bestFit="1" customWidth="1"/>
    <col min="8199" max="8199" width="14.28515625" style="177" bestFit="1" customWidth="1"/>
    <col min="8200" max="8200" width="11.42578125" style="177" customWidth="1"/>
    <col min="8201" max="8201" width="14.140625" style="177" customWidth="1"/>
    <col min="8202" max="8202" width="7" style="177" customWidth="1"/>
    <col min="8203" max="8203" width="12.140625" style="177" customWidth="1"/>
    <col min="8204" max="8204" width="15.5703125" style="177" customWidth="1"/>
    <col min="8205" max="8205" width="11.140625" style="177" customWidth="1"/>
    <col min="8206" max="8206" width="15.140625" style="177" customWidth="1"/>
    <col min="8207" max="8207" width="9.140625" style="177" bestFit="1" customWidth="1"/>
    <col min="8208" max="8208" width="9.140625" style="177" customWidth="1"/>
    <col min="8209" max="8209" width="15.42578125" style="177" customWidth="1"/>
    <col min="8210" max="8210" width="11.28515625" style="177" customWidth="1"/>
    <col min="8211" max="8211" width="15.5703125" style="177" customWidth="1"/>
    <col min="8212" max="8212" width="7.28515625" style="177" customWidth="1"/>
    <col min="8213" max="8213" width="13.28515625" style="177" customWidth="1"/>
    <col min="8214" max="8448" width="12.5703125" style="177"/>
    <col min="8449" max="8449" width="9.42578125" style="177" customWidth="1"/>
    <col min="8450" max="8450" width="12.5703125" style="177"/>
    <col min="8451" max="8451" width="9" style="177" customWidth="1"/>
    <col min="8452" max="8452" width="9.85546875" style="177" customWidth="1"/>
    <col min="8453" max="8453" width="9.42578125" style="177" customWidth="1"/>
    <col min="8454" max="8454" width="11.140625" style="177" bestFit="1" customWidth="1"/>
    <col min="8455" max="8455" width="14.28515625" style="177" bestFit="1" customWidth="1"/>
    <col min="8456" max="8456" width="11.42578125" style="177" customWidth="1"/>
    <col min="8457" max="8457" width="14.140625" style="177" customWidth="1"/>
    <col min="8458" max="8458" width="7" style="177" customWidth="1"/>
    <col min="8459" max="8459" width="12.140625" style="177" customWidth="1"/>
    <col min="8460" max="8460" width="15.5703125" style="177" customWidth="1"/>
    <col min="8461" max="8461" width="11.140625" style="177" customWidth="1"/>
    <col min="8462" max="8462" width="15.140625" style="177" customWidth="1"/>
    <col min="8463" max="8463" width="9.140625" style="177" bestFit="1" customWidth="1"/>
    <col min="8464" max="8464" width="9.140625" style="177" customWidth="1"/>
    <col min="8465" max="8465" width="15.42578125" style="177" customWidth="1"/>
    <col min="8466" max="8466" width="11.28515625" style="177" customWidth="1"/>
    <col min="8467" max="8467" width="15.5703125" style="177" customWidth="1"/>
    <col min="8468" max="8468" width="7.28515625" style="177" customWidth="1"/>
    <col min="8469" max="8469" width="13.28515625" style="177" customWidth="1"/>
    <col min="8470" max="8704" width="12.5703125" style="177"/>
    <col min="8705" max="8705" width="9.42578125" style="177" customWidth="1"/>
    <col min="8706" max="8706" width="12.5703125" style="177"/>
    <col min="8707" max="8707" width="9" style="177" customWidth="1"/>
    <col min="8708" max="8708" width="9.85546875" style="177" customWidth="1"/>
    <col min="8709" max="8709" width="9.42578125" style="177" customWidth="1"/>
    <col min="8710" max="8710" width="11.140625" style="177" bestFit="1" customWidth="1"/>
    <col min="8711" max="8711" width="14.28515625" style="177" bestFit="1" customWidth="1"/>
    <col min="8712" max="8712" width="11.42578125" style="177" customWidth="1"/>
    <col min="8713" max="8713" width="14.140625" style="177" customWidth="1"/>
    <col min="8714" max="8714" width="7" style="177" customWidth="1"/>
    <col min="8715" max="8715" width="12.140625" style="177" customWidth="1"/>
    <col min="8716" max="8716" width="15.5703125" style="177" customWidth="1"/>
    <col min="8717" max="8717" width="11.140625" style="177" customWidth="1"/>
    <col min="8718" max="8718" width="15.140625" style="177" customWidth="1"/>
    <col min="8719" max="8719" width="9.140625" style="177" bestFit="1" customWidth="1"/>
    <col min="8720" max="8720" width="9.140625" style="177" customWidth="1"/>
    <col min="8721" max="8721" width="15.42578125" style="177" customWidth="1"/>
    <col min="8722" max="8722" width="11.28515625" style="177" customWidth="1"/>
    <col min="8723" max="8723" width="15.5703125" style="177" customWidth="1"/>
    <col min="8724" max="8724" width="7.28515625" style="177" customWidth="1"/>
    <col min="8725" max="8725" width="13.28515625" style="177" customWidth="1"/>
    <col min="8726" max="8960" width="12.5703125" style="177"/>
    <col min="8961" max="8961" width="9.42578125" style="177" customWidth="1"/>
    <col min="8962" max="8962" width="12.5703125" style="177"/>
    <col min="8963" max="8963" width="9" style="177" customWidth="1"/>
    <col min="8964" max="8964" width="9.85546875" style="177" customWidth="1"/>
    <col min="8965" max="8965" width="9.42578125" style="177" customWidth="1"/>
    <col min="8966" max="8966" width="11.140625" style="177" bestFit="1" customWidth="1"/>
    <col min="8967" max="8967" width="14.28515625" style="177" bestFit="1" customWidth="1"/>
    <col min="8968" max="8968" width="11.42578125" style="177" customWidth="1"/>
    <col min="8969" max="8969" width="14.140625" style="177" customWidth="1"/>
    <col min="8970" max="8970" width="7" style="177" customWidth="1"/>
    <col min="8971" max="8971" width="12.140625" style="177" customWidth="1"/>
    <col min="8972" max="8972" width="15.5703125" style="177" customWidth="1"/>
    <col min="8973" max="8973" width="11.140625" style="177" customWidth="1"/>
    <col min="8974" max="8974" width="15.140625" style="177" customWidth="1"/>
    <col min="8975" max="8975" width="9.140625" style="177" bestFit="1" customWidth="1"/>
    <col min="8976" max="8976" width="9.140625" style="177" customWidth="1"/>
    <col min="8977" max="8977" width="15.42578125" style="177" customWidth="1"/>
    <col min="8978" max="8978" width="11.28515625" style="177" customWidth="1"/>
    <col min="8979" max="8979" width="15.5703125" style="177" customWidth="1"/>
    <col min="8980" max="8980" width="7.28515625" style="177" customWidth="1"/>
    <col min="8981" max="8981" width="13.28515625" style="177" customWidth="1"/>
    <col min="8982" max="9216" width="12.5703125" style="177"/>
    <col min="9217" max="9217" width="9.42578125" style="177" customWidth="1"/>
    <col min="9218" max="9218" width="12.5703125" style="177"/>
    <col min="9219" max="9219" width="9" style="177" customWidth="1"/>
    <col min="9220" max="9220" width="9.85546875" style="177" customWidth="1"/>
    <col min="9221" max="9221" width="9.42578125" style="177" customWidth="1"/>
    <col min="9222" max="9222" width="11.140625" style="177" bestFit="1" customWidth="1"/>
    <col min="9223" max="9223" width="14.28515625" style="177" bestFit="1" customWidth="1"/>
    <col min="9224" max="9224" width="11.42578125" style="177" customWidth="1"/>
    <col min="9225" max="9225" width="14.140625" style="177" customWidth="1"/>
    <col min="9226" max="9226" width="7" style="177" customWidth="1"/>
    <col min="9227" max="9227" width="12.140625" style="177" customWidth="1"/>
    <col min="9228" max="9228" width="15.5703125" style="177" customWidth="1"/>
    <col min="9229" max="9229" width="11.140625" style="177" customWidth="1"/>
    <col min="9230" max="9230" width="15.140625" style="177" customWidth="1"/>
    <col min="9231" max="9231" width="9.140625" style="177" bestFit="1" customWidth="1"/>
    <col min="9232" max="9232" width="9.140625" style="177" customWidth="1"/>
    <col min="9233" max="9233" width="15.42578125" style="177" customWidth="1"/>
    <col min="9234" max="9234" width="11.28515625" style="177" customWidth="1"/>
    <col min="9235" max="9235" width="15.5703125" style="177" customWidth="1"/>
    <col min="9236" max="9236" width="7.28515625" style="177" customWidth="1"/>
    <col min="9237" max="9237" width="13.28515625" style="177" customWidth="1"/>
    <col min="9238" max="9472" width="12.5703125" style="177"/>
    <col min="9473" max="9473" width="9.42578125" style="177" customWidth="1"/>
    <col min="9474" max="9474" width="12.5703125" style="177"/>
    <col min="9475" max="9475" width="9" style="177" customWidth="1"/>
    <col min="9476" max="9476" width="9.85546875" style="177" customWidth="1"/>
    <col min="9477" max="9477" width="9.42578125" style="177" customWidth="1"/>
    <col min="9478" max="9478" width="11.140625" style="177" bestFit="1" customWidth="1"/>
    <col min="9479" max="9479" width="14.28515625" style="177" bestFit="1" customWidth="1"/>
    <col min="9480" max="9480" width="11.42578125" style="177" customWidth="1"/>
    <col min="9481" max="9481" width="14.140625" style="177" customWidth="1"/>
    <col min="9482" max="9482" width="7" style="177" customWidth="1"/>
    <col min="9483" max="9483" width="12.140625" style="177" customWidth="1"/>
    <col min="9484" max="9484" width="15.5703125" style="177" customWidth="1"/>
    <col min="9485" max="9485" width="11.140625" style="177" customWidth="1"/>
    <col min="9486" max="9486" width="15.140625" style="177" customWidth="1"/>
    <col min="9487" max="9487" width="9.140625" style="177" bestFit="1" customWidth="1"/>
    <col min="9488" max="9488" width="9.140625" style="177" customWidth="1"/>
    <col min="9489" max="9489" width="15.42578125" style="177" customWidth="1"/>
    <col min="9490" max="9490" width="11.28515625" style="177" customWidth="1"/>
    <col min="9491" max="9491" width="15.5703125" style="177" customWidth="1"/>
    <col min="9492" max="9492" width="7.28515625" style="177" customWidth="1"/>
    <col min="9493" max="9493" width="13.28515625" style="177" customWidth="1"/>
    <col min="9494" max="9728" width="12.5703125" style="177"/>
    <col min="9729" max="9729" width="9.42578125" style="177" customWidth="1"/>
    <col min="9730" max="9730" width="12.5703125" style="177"/>
    <col min="9731" max="9731" width="9" style="177" customWidth="1"/>
    <col min="9732" max="9732" width="9.85546875" style="177" customWidth="1"/>
    <col min="9733" max="9733" width="9.42578125" style="177" customWidth="1"/>
    <col min="9734" max="9734" width="11.140625" style="177" bestFit="1" customWidth="1"/>
    <col min="9735" max="9735" width="14.28515625" style="177" bestFit="1" customWidth="1"/>
    <col min="9736" max="9736" width="11.42578125" style="177" customWidth="1"/>
    <col min="9737" max="9737" width="14.140625" style="177" customWidth="1"/>
    <col min="9738" max="9738" width="7" style="177" customWidth="1"/>
    <col min="9739" max="9739" width="12.140625" style="177" customWidth="1"/>
    <col min="9740" max="9740" width="15.5703125" style="177" customWidth="1"/>
    <col min="9741" max="9741" width="11.140625" style="177" customWidth="1"/>
    <col min="9742" max="9742" width="15.140625" style="177" customWidth="1"/>
    <col min="9743" max="9743" width="9.140625" style="177" bestFit="1" customWidth="1"/>
    <col min="9744" max="9744" width="9.140625" style="177" customWidth="1"/>
    <col min="9745" max="9745" width="15.42578125" style="177" customWidth="1"/>
    <col min="9746" max="9746" width="11.28515625" style="177" customWidth="1"/>
    <col min="9747" max="9747" width="15.5703125" style="177" customWidth="1"/>
    <col min="9748" max="9748" width="7.28515625" style="177" customWidth="1"/>
    <col min="9749" max="9749" width="13.28515625" style="177" customWidth="1"/>
    <col min="9750" max="9984" width="12.5703125" style="177"/>
    <col min="9985" max="9985" width="9.42578125" style="177" customWidth="1"/>
    <col min="9986" max="9986" width="12.5703125" style="177"/>
    <col min="9987" max="9987" width="9" style="177" customWidth="1"/>
    <col min="9988" max="9988" width="9.85546875" style="177" customWidth="1"/>
    <col min="9989" max="9989" width="9.42578125" style="177" customWidth="1"/>
    <col min="9990" max="9990" width="11.140625" style="177" bestFit="1" customWidth="1"/>
    <col min="9991" max="9991" width="14.28515625" style="177" bestFit="1" customWidth="1"/>
    <col min="9992" max="9992" width="11.42578125" style="177" customWidth="1"/>
    <col min="9993" max="9993" width="14.140625" style="177" customWidth="1"/>
    <col min="9994" max="9994" width="7" style="177" customWidth="1"/>
    <col min="9995" max="9995" width="12.140625" style="177" customWidth="1"/>
    <col min="9996" max="9996" width="15.5703125" style="177" customWidth="1"/>
    <col min="9997" max="9997" width="11.140625" style="177" customWidth="1"/>
    <col min="9998" max="9998" width="15.140625" style="177" customWidth="1"/>
    <col min="9999" max="9999" width="9.140625" style="177" bestFit="1" customWidth="1"/>
    <col min="10000" max="10000" width="9.140625" style="177" customWidth="1"/>
    <col min="10001" max="10001" width="15.42578125" style="177" customWidth="1"/>
    <col min="10002" max="10002" width="11.28515625" style="177" customWidth="1"/>
    <col min="10003" max="10003" width="15.5703125" style="177" customWidth="1"/>
    <col min="10004" max="10004" width="7.28515625" style="177" customWidth="1"/>
    <col min="10005" max="10005" width="13.28515625" style="177" customWidth="1"/>
    <col min="10006" max="10240" width="12.5703125" style="177"/>
    <col min="10241" max="10241" width="9.42578125" style="177" customWidth="1"/>
    <col min="10242" max="10242" width="12.5703125" style="177"/>
    <col min="10243" max="10243" width="9" style="177" customWidth="1"/>
    <col min="10244" max="10244" width="9.85546875" style="177" customWidth="1"/>
    <col min="10245" max="10245" width="9.42578125" style="177" customWidth="1"/>
    <col min="10246" max="10246" width="11.140625" style="177" bestFit="1" customWidth="1"/>
    <col min="10247" max="10247" width="14.28515625" style="177" bestFit="1" customWidth="1"/>
    <col min="10248" max="10248" width="11.42578125" style="177" customWidth="1"/>
    <col min="10249" max="10249" width="14.140625" style="177" customWidth="1"/>
    <col min="10250" max="10250" width="7" style="177" customWidth="1"/>
    <col min="10251" max="10251" width="12.140625" style="177" customWidth="1"/>
    <col min="10252" max="10252" width="15.5703125" style="177" customWidth="1"/>
    <col min="10253" max="10253" width="11.140625" style="177" customWidth="1"/>
    <col min="10254" max="10254" width="15.140625" style="177" customWidth="1"/>
    <col min="10255" max="10255" width="9.140625" style="177" bestFit="1" customWidth="1"/>
    <col min="10256" max="10256" width="9.140625" style="177" customWidth="1"/>
    <col min="10257" max="10257" width="15.42578125" style="177" customWidth="1"/>
    <col min="10258" max="10258" width="11.28515625" style="177" customWidth="1"/>
    <col min="10259" max="10259" width="15.5703125" style="177" customWidth="1"/>
    <col min="10260" max="10260" width="7.28515625" style="177" customWidth="1"/>
    <col min="10261" max="10261" width="13.28515625" style="177" customWidth="1"/>
    <col min="10262" max="10496" width="12.5703125" style="177"/>
    <col min="10497" max="10497" width="9.42578125" style="177" customWidth="1"/>
    <col min="10498" max="10498" width="12.5703125" style="177"/>
    <col min="10499" max="10499" width="9" style="177" customWidth="1"/>
    <col min="10500" max="10500" width="9.85546875" style="177" customWidth="1"/>
    <col min="10501" max="10501" width="9.42578125" style="177" customWidth="1"/>
    <col min="10502" max="10502" width="11.140625" style="177" bestFit="1" customWidth="1"/>
    <col min="10503" max="10503" width="14.28515625" style="177" bestFit="1" customWidth="1"/>
    <col min="10504" max="10504" width="11.42578125" style="177" customWidth="1"/>
    <col min="10505" max="10505" width="14.140625" style="177" customWidth="1"/>
    <col min="10506" max="10506" width="7" style="177" customWidth="1"/>
    <col min="10507" max="10507" width="12.140625" style="177" customWidth="1"/>
    <col min="10508" max="10508" width="15.5703125" style="177" customWidth="1"/>
    <col min="10509" max="10509" width="11.140625" style="177" customWidth="1"/>
    <col min="10510" max="10510" width="15.140625" style="177" customWidth="1"/>
    <col min="10511" max="10511" width="9.140625" style="177" bestFit="1" customWidth="1"/>
    <col min="10512" max="10512" width="9.140625" style="177" customWidth="1"/>
    <col min="10513" max="10513" width="15.42578125" style="177" customWidth="1"/>
    <col min="10514" max="10514" width="11.28515625" style="177" customWidth="1"/>
    <col min="10515" max="10515" width="15.5703125" style="177" customWidth="1"/>
    <col min="10516" max="10516" width="7.28515625" style="177" customWidth="1"/>
    <col min="10517" max="10517" width="13.28515625" style="177" customWidth="1"/>
    <col min="10518" max="10752" width="12.5703125" style="177"/>
    <col min="10753" max="10753" width="9.42578125" style="177" customWidth="1"/>
    <col min="10754" max="10754" width="12.5703125" style="177"/>
    <col min="10755" max="10755" width="9" style="177" customWidth="1"/>
    <col min="10756" max="10756" width="9.85546875" style="177" customWidth="1"/>
    <col min="10757" max="10757" width="9.42578125" style="177" customWidth="1"/>
    <col min="10758" max="10758" width="11.140625" style="177" bestFit="1" customWidth="1"/>
    <col min="10759" max="10759" width="14.28515625" style="177" bestFit="1" customWidth="1"/>
    <col min="10760" max="10760" width="11.42578125" style="177" customWidth="1"/>
    <col min="10761" max="10761" width="14.140625" style="177" customWidth="1"/>
    <col min="10762" max="10762" width="7" style="177" customWidth="1"/>
    <col min="10763" max="10763" width="12.140625" style="177" customWidth="1"/>
    <col min="10764" max="10764" width="15.5703125" style="177" customWidth="1"/>
    <col min="10765" max="10765" width="11.140625" style="177" customWidth="1"/>
    <col min="10766" max="10766" width="15.140625" style="177" customWidth="1"/>
    <col min="10767" max="10767" width="9.140625" style="177" bestFit="1" customWidth="1"/>
    <col min="10768" max="10768" width="9.140625" style="177" customWidth="1"/>
    <col min="10769" max="10769" width="15.42578125" style="177" customWidth="1"/>
    <col min="10770" max="10770" width="11.28515625" style="177" customWidth="1"/>
    <col min="10771" max="10771" width="15.5703125" style="177" customWidth="1"/>
    <col min="10772" max="10772" width="7.28515625" style="177" customWidth="1"/>
    <col min="10773" max="10773" width="13.28515625" style="177" customWidth="1"/>
    <col min="10774" max="11008" width="12.5703125" style="177"/>
    <col min="11009" max="11009" width="9.42578125" style="177" customWidth="1"/>
    <col min="11010" max="11010" width="12.5703125" style="177"/>
    <col min="11011" max="11011" width="9" style="177" customWidth="1"/>
    <col min="11012" max="11012" width="9.85546875" style="177" customWidth="1"/>
    <col min="11013" max="11013" width="9.42578125" style="177" customWidth="1"/>
    <col min="11014" max="11014" width="11.140625" style="177" bestFit="1" customWidth="1"/>
    <col min="11015" max="11015" width="14.28515625" style="177" bestFit="1" customWidth="1"/>
    <col min="11016" max="11016" width="11.42578125" style="177" customWidth="1"/>
    <col min="11017" max="11017" width="14.140625" style="177" customWidth="1"/>
    <col min="11018" max="11018" width="7" style="177" customWidth="1"/>
    <col min="11019" max="11019" width="12.140625" style="177" customWidth="1"/>
    <col min="11020" max="11020" width="15.5703125" style="177" customWidth="1"/>
    <col min="11021" max="11021" width="11.140625" style="177" customWidth="1"/>
    <col min="11022" max="11022" width="15.140625" style="177" customWidth="1"/>
    <col min="11023" max="11023" width="9.140625" style="177" bestFit="1" customWidth="1"/>
    <col min="11024" max="11024" width="9.140625" style="177" customWidth="1"/>
    <col min="11025" max="11025" width="15.42578125" style="177" customWidth="1"/>
    <col min="11026" max="11026" width="11.28515625" style="177" customWidth="1"/>
    <col min="11027" max="11027" width="15.5703125" style="177" customWidth="1"/>
    <col min="11028" max="11028" width="7.28515625" style="177" customWidth="1"/>
    <col min="11029" max="11029" width="13.28515625" style="177" customWidth="1"/>
    <col min="11030" max="11264" width="12.5703125" style="177"/>
    <col min="11265" max="11265" width="9.42578125" style="177" customWidth="1"/>
    <col min="11266" max="11266" width="12.5703125" style="177"/>
    <col min="11267" max="11267" width="9" style="177" customWidth="1"/>
    <col min="11268" max="11268" width="9.85546875" style="177" customWidth="1"/>
    <col min="11269" max="11269" width="9.42578125" style="177" customWidth="1"/>
    <col min="11270" max="11270" width="11.140625" style="177" bestFit="1" customWidth="1"/>
    <col min="11271" max="11271" width="14.28515625" style="177" bestFit="1" customWidth="1"/>
    <col min="11272" max="11272" width="11.42578125" style="177" customWidth="1"/>
    <col min="11273" max="11273" width="14.140625" style="177" customWidth="1"/>
    <col min="11274" max="11274" width="7" style="177" customWidth="1"/>
    <col min="11275" max="11275" width="12.140625" style="177" customWidth="1"/>
    <col min="11276" max="11276" width="15.5703125" style="177" customWidth="1"/>
    <col min="11277" max="11277" width="11.140625" style="177" customWidth="1"/>
    <col min="11278" max="11278" width="15.140625" style="177" customWidth="1"/>
    <col min="11279" max="11279" width="9.140625" style="177" bestFit="1" customWidth="1"/>
    <col min="11280" max="11280" width="9.140625" style="177" customWidth="1"/>
    <col min="11281" max="11281" width="15.42578125" style="177" customWidth="1"/>
    <col min="11282" max="11282" width="11.28515625" style="177" customWidth="1"/>
    <col min="11283" max="11283" width="15.5703125" style="177" customWidth="1"/>
    <col min="11284" max="11284" width="7.28515625" style="177" customWidth="1"/>
    <col min="11285" max="11285" width="13.28515625" style="177" customWidth="1"/>
    <col min="11286" max="11520" width="12.5703125" style="177"/>
    <col min="11521" max="11521" width="9.42578125" style="177" customWidth="1"/>
    <col min="11522" max="11522" width="12.5703125" style="177"/>
    <col min="11523" max="11523" width="9" style="177" customWidth="1"/>
    <col min="11524" max="11524" width="9.85546875" style="177" customWidth="1"/>
    <col min="11525" max="11525" width="9.42578125" style="177" customWidth="1"/>
    <col min="11526" max="11526" width="11.140625" style="177" bestFit="1" customWidth="1"/>
    <col min="11527" max="11527" width="14.28515625" style="177" bestFit="1" customWidth="1"/>
    <col min="11528" max="11528" width="11.42578125" style="177" customWidth="1"/>
    <col min="11529" max="11529" width="14.140625" style="177" customWidth="1"/>
    <col min="11530" max="11530" width="7" style="177" customWidth="1"/>
    <col min="11531" max="11531" width="12.140625" style="177" customWidth="1"/>
    <col min="11532" max="11532" width="15.5703125" style="177" customWidth="1"/>
    <col min="11533" max="11533" width="11.140625" style="177" customWidth="1"/>
    <col min="11534" max="11534" width="15.140625" style="177" customWidth="1"/>
    <col min="11535" max="11535" width="9.140625" style="177" bestFit="1" customWidth="1"/>
    <col min="11536" max="11536" width="9.140625" style="177" customWidth="1"/>
    <col min="11537" max="11537" width="15.42578125" style="177" customWidth="1"/>
    <col min="11538" max="11538" width="11.28515625" style="177" customWidth="1"/>
    <col min="11539" max="11539" width="15.5703125" style="177" customWidth="1"/>
    <col min="11540" max="11540" width="7.28515625" style="177" customWidth="1"/>
    <col min="11541" max="11541" width="13.28515625" style="177" customWidth="1"/>
    <col min="11542" max="11776" width="12.5703125" style="177"/>
    <col min="11777" max="11777" width="9.42578125" style="177" customWidth="1"/>
    <col min="11778" max="11778" width="12.5703125" style="177"/>
    <col min="11779" max="11779" width="9" style="177" customWidth="1"/>
    <col min="11780" max="11780" width="9.85546875" style="177" customWidth="1"/>
    <col min="11781" max="11781" width="9.42578125" style="177" customWidth="1"/>
    <col min="11782" max="11782" width="11.140625" style="177" bestFit="1" customWidth="1"/>
    <col min="11783" max="11783" width="14.28515625" style="177" bestFit="1" customWidth="1"/>
    <col min="11784" max="11784" width="11.42578125" style="177" customWidth="1"/>
    <col min="11785" max="11785" width="14.140625" style="177" customWidth="1"/>
    <col min="11786" max="11786" width="7" style="177" customWidth="1"/>
    <col min="11787" max="11787" width="12.140625" style="177" customWidth="1"/>
    <col min="11788" max="11788" width="15.5703125" style="177" customWidth="1"/>
    <col min="11789" max="11789" width="11.140625" style="177" customWidth="1"/>
    <col min="11790" max="11790" width="15.140625" style="177" customWidth="1"/>
    <col min="11791" max="11791" width="9.140625" style="177" bestFit="1" customWidth="1"/>
    <col min="11792" max="11792" width="9.140625" style="177" customWidth="1"/>
    <col min="11793" max="11793" width="15.42578125" style="177" customWidth="1"/>
    <col min="11794" max="11794" width="11.28515625" style="177" customWidth="1"/>
    <col min="11795" max="11795" width="15.5703125" style="177" customWidth="1"/>
    <col min="11796" max="11796" width="7.28515625" style="177" customWidth="1"/>
    <col min="11797" max="11797" width="13.28515625" style="177" customWidth="1"/>
    <col min="11798" max="12032" width="12.5703125" style="177"/>
    <col min="12033" max="12033" width="9.42578125" style="177" customWidth="1"/>
    <col min="12034" max="12034" width="12.5703125" style="177"/>
    <col min="12035" max="12035" width="9" style="177" customWidth="1"/>
    <col min="12036" max="12036" width="9.85546875" style="177" customWidth="1"/>
    <col min="12037" max="12037" width="9.42578125" style="177" customWidth="1"/>
    <col min="12038" max="12038" width="11.140625" style="177" bestFit="1" customWidth="1"/>
    <col min="12039" max="12039" width="14.28515625" style="177" bestFit="1" customWidth="1"/>
    <col min="12040" max="12040" width="11.42578125" style="177" customWidth="1"/>
    <col min="12041" max="12041" width="14.140625" style="177" customWidth="1"/>
    <col min="12042" max="12042" width="7" style="177" customWidth="1"/>
    <col min="12043" max="12043" width="12.140625" style="177" customWidth="1"/>
    <col min="12044" max="12044" width="15.5703125" style="177" customWidth="1"/>
    <col min="12045" max="12045" width="11.140625" style="177" customWidth="1"/>
    <col min="12046" max="12046" width="15.140625" style="177" customWidth="1"/>
    <col min="12047" max="12047" width="9.140625" style="177" bestFit="1" customWidth="1"/>
    <col min="12048" max="12048" width="9.140625" style="177" customWidth="1"/>
    <col min="12049" max="12049" width="15.42578125" style="177" customWidth="1"/>
    <col min="12050" max="12050" width="11.28515625" style="177" customWidth="1"/>
    <col min="12051" max="12051" width="15.5703125" style="177" customWidth="1"/>
    <col min="12052" max="12052" width="7.28515625" style="177" customWidth="1"/>
    <col min="12053" max="12053" width="13.28515625" style="177" customWidth="1"/>
    <col min="12054" max="12288" width="12.5703125" style="177"/>
    <col min="12289" max="12289" width="9.42578125" style="177" customWidth="1"/>
    <col min="12290" max="12290" width="12.5703125" style="177"/>
    <col min="12291" max="12291" width="9" style="177" customWidth="1"/>
    <col min="12292" max="12292" width="9.85546875" style="177" customWidth="1"/>
    <col min="12293" max="12293" width="9.42578125" style="177" customWidth="1"/>
    <col min="12294" max="12294" width="11.140625" style="177" bestFit="1" customWidth="1"/>
    <col min="12295" max="12295" width="14.28515625" style="177" bestFit="1" customWidth="1"/>
    <col min="12296" max="12296" width="11.42578125" style="177" customWidth="1"/>
    <col min="12297" max="12297" width="14.140625" style="177" customWidth="1"/>
    <col min="12298" max="12298" width="7" style="177" customWidth="1"/>
    <col min="12299" max="12299" width="12.140625" style="177" customWidth="1"/>
    <col min="12300" max="12300" width="15.5703125" style="177" customWidth="1"/>
    <col min="12301" max="12301" width="11.140625" style="177" customWidth="1"/>
    <col min="12302" max="12302" width="15.140625" style="177" customWidth="1"/>
    <col min="12303" max="12303" width="9.140625" style="177" bestFit="1" customWidth="1"/>
    <col min="12304" max="12304" width="9.140625" style="177" customWidth="1"/>
    <col min="12305" max="12305" width="15.42578125" style="177" customWidth="1"/>
    <col min="12306" max="12306" width="11.28515625" style="177" customWidth="1"/>
    <col min="12307" max="12307" width="15.5703125" style="177" customWidth="1"/>
    <col min="12308" max="12308" width="7.28515625" style="177" customWidth="1"/>
    <col min="12309" max="12309" width="13.28515625" style="177" customWidth="1"/>
    <col min="12310" max="12544" width="12.5703125" style="177"/>
    <col min="12545" max="12545" width="9.42578125" style="177" customWidth="1"/>
    <col min="12546" max="12546" width="12.5703125" style="177"/>
    <col min="12547" max="12547" width="9" style="177" customWidth="1"/>
    <col min="12548" max="12548" width="9.85546875" style="177" customWidth="1"/>
    <col min="12549" max="12549" width="9.42578125" style="177" customWidth="1"/>
    <col min="12550" max="12550" width="11.140625" style="177" bestFit="1" customWidth="1"/>
    <col min="12551" max="12551" width="14.28515625" style="177" bestFit="1" customWidth="1"/>
    <col min="12552" max="12552" width="11.42578125" style="177" customWidth="1"/>
    <col min="12553" max="12553" width="14.140625" style="177" customWidth="1"/>
    <col min="12554" max="12554" width="7" style="177" customWidth="1"/>
    <col min="12555" max="12555" width="12.140625" style="177" customWidth="1"/>
    <col min="12556" max="12556" width="15.5703125" style="177" customWidth="1"/>
    <col min="12557" max="12557" width="11.140625" style="177" customWidth="1"/>
    <col min="12558" max="12558" width="15.140625" style="177" customWidth="1"/>
    <col min="12559" max="12559" width="9.140625" style="177" bestFit="1" customWidth="1"/>
    <col min="12560" max="12560" width="9.140625" style="177" customWidth="1"/>
    <col min="12561" max="12561" width="15.42578125" style="177" customWidth="1"/>
    <col min="12562" max="12562" width="11.28515625" style="177" customWidth="1"/>
    <col min="12563" max="12563" width="15.5703125" style="177" customWidth="1"/>
    <col min="12564" max="12564" width="7.28515625" style="177" customWidth="1"/>
    <col min="12565" max="12565" width="13.28515625" style="177" customWidth="1"/>
    <col min="12566" max="12800" width="12.5703125" style="177"/>
    <col min="12801" max="12801" width="9.42578125" style="177" customWidth="1"/>
    <col min="12802" max="12802" width="12.5703125" style="177"/>
    <col min="12803" max="12803" width="9" style="177" customWidth="1"/>
    <col min="12804" max="12804" width="9.85546875" style="177" customWidth="1"/>
    <col min="12805" max="12805" width="9.42578125" style="177" customWidth="1"/>
    <col min="12806" max="12806" width="11.140625" style="177" bestFit="1" customWidth="1"/>
    <col min="12807" max="12807" width="14.28515625" style="177" bestFit="1" customWidth="1"/>
    <col min="12808" max="12808" width="11.42578125" style="177" customWidth="1"/>
    <col min="12809" max="12809" width="14.140625" style="177" customWidth="1"/>
    <col min="12810" max="12810" width="7" style="177" customWidth="1"/>
    <col min="12811" max="12811" width="12.140625" style="177" customWidth="1"/>
    <col min="12812" max="12812" width="15.5703125" style="177" customWidth="1"/>
    <col min="12813" max="12813" width="11.140625" style="177" customWidth="1"/>
    <col min="12814" max="12814" width="15.140625" style="177" customWidth="1"/>
    <col min="12815" max="12815" width="9.140625" style="177" bestFit="1" customWidth="1"/>
    <col min="12816" max="12816" width="9.140625" style="177" customWidth="1"/>
    <col min="12817" max="12817" width="15.42578125" style="177" customWidth="1"/>
    <col min="12818" max="12818" width="11.28515625" style="177" customWidth="1"/>
    <col min="12819" max="12819" width="15.5703125" style="177" customWidth="1"/>
    <col min="12820" max="12820" width="7.28515625" style="177" customWidth="1"/>
    <col min="12821" max="12821" width="13.28515625" style="177" customWidth="1"/>
    <col min="12822" max="13056" width="12.5703125" style="177"/>
    <col min="13057" max="13057" width="9.42578125" style="177" customWidth="1"/>
    <col min="13058" max="13058" width="12.5703125" style="177"/>
    <col min="13059" max="13059" width="9" style="177" customWidth="1"/>
    <col min="13060" max="13060" width="9.85546875" style="177" customWidth="1"/>
    <col min="13061" max="13061" width="9.42578125" style="177" customWidth="1"/>
    <col min="13062" max="13062" width="11.140625" style="177" bestFit="1" customWidth="1"/>
    <col min="13063" max="13063" width="14.28515625" style="177" bestFit="1" customWidth="1"/>
    <col min="13064" max="13064" width="11.42578125" style="177" customWidth="1"/>
    <col min="13065" max="13065" width="14.140625" style="177" customWidth="1"/>
    <col min="13066" max="13066" width="7" style="177" customWidth="1"/>
    <col min="13067" max="13067" width="12.140625" style="177" customWidth="1"/>
    <col min="13068" max="13068" width="15.5703125" style="177" customWidth="1"/>
    <col min="13069" max="13069" width="11.140625" style="177" customWidth="1"/>
    <col min="13070" max="13070" width="15.140625" style="177" customWidth="1"/>
    <col min="13071" max="13071" width="9.140625" style="177" bestFit="1" customWidth="1"/>
    <col min="13072" max="13072" width="9.140625" style="177" customWidth="1"/>
    <col min="13073" max="13073" width="15.42578125" style="177" customWidth="1"/>
    <col min="13074" max="13074" width="11.28515625" style="177" customWidth="1"/>
    <col min="13075" max="13075" width="15.5703125" style="177" customWidth="1"/>
    <col min="13076" max="13076" width="7.28515625" style="177" customWidth="1"/>
    <col min="13077" max="13077" width="13.28515625" style="177" customWidth="1"/>
    <col min="13078" max="13312" width="12.5703125" style="177"/>
    <col min="13313" max="13313" width="9.42578125" style="177" customWidth="1"/>
    <col min="13314" max="13314" width="12.5703125" style="177"/>
    <col min="13315" max="13315" width="9" style="177" customWidth="1"/>
    <col min="13316" max="13316" width="9.85546875" style="177" customWidth="1"/>
    <col min="13317" max="13317" width="9.42578125" style="177" customWidth="1"/>
    <col min="13318" max="13318" width="11.140625" style="177" bestFit="1" customWidth="1"/>
    <col min="13319" max="13319" width="14.28515625" style="177" bestFit="1" customWidth="1"/>
    <col min="13320" max="13320" width="11.42578125" style="177" customWidth="1"/>
    <col min="13321" max="13321" width="14.140625" style="177" customWidth="1"/>
    <col min="13322" max="13322" width="7" style="177" customWidth="1"/>
    <col min="13323" max="13323" width="12.140625" style="177" customWidth="1"/>
    <col min="13324" max="13324" width="15.5703125" style="177" customWidth="1"/>
    <col min="13325" max="13325" width="11.140625" style="177" customWidth="1"/>
    <col min="13326" max="13326" width="15.140625" style="177" customWidth="1"/>
    <col min="13327" max="13327" width="9.140625" style="177" bestFit="1" customWidth="1"/>
    <col min="13328" max="13328" width="9.140625" style="177" customWidth="1"/>
    <col min="13329" max="13329" width="15.42578125" style="177" customWidth="1"/>
    <col min="13330" max="13330" width="11.28515625" style="177" customWidth="1"/>
    <col min="13331" max="13331" width="15.5703125" style="177" customWidth="1"/>
    <col min="13332" max="13332" width="7.28515625" style="177" customWidth="1"/>
    <col min="13333" max="13333" width="13.28515625" style="177" customWidth="1"/>
    <col min="13334" max="13568" width="12.5703125" style="177"/>
    <col min="13569" max="13569" width="9.42578125" style="177" customWidth="1"/>
    <col min="13570" max="13570" width="12.5703125" style="177"/>
    <col min="13571" max="13571" width="9" style="177" customWidth="1"/>
    <col min="13572" max="13572" width="9.85546875" style="177" customWidth="1"/>
    <col min="13573" max="13573" width="9.42578125" style="177" customWidth="1"/>
    <col min="13574" max="13574" width="11.140625" style="177" bestFit="1" customWidth="1"/>
    <col min="13575" max="13575" width="14.28515625" style="177" bestFit="1" customWidth="1"/>
    <col min="13576" max="13576" width="11.42578125" style="177" customWidth="1"/>
    <col min="13577" max="13577" width="14.140625" style="177" customWidth="1"/>
    <col min="13578" max="13578" width="7" style="177" customWidth="1"/>
    <col min="13579" max="13579" width="12.140625" style="177" customWidth="1"/>
    <col min="13580" max="13580" width="15.5703125" style="177" customWidth="1"/>
    <col min="13581" max="13581" width="11.140625" style="177" customWidth="1"/>
    <col min="13582" max="13582" width="15.140625" style="177" customWidth="1"/>
    <col min="13583" max="13583" width="9.140625" style="177" bestFit="1" customWidth="1"/>
    <col min="13584" max="13584" width="9.140625" style="177" customWidth="1"/>
    <col min="13585" max="13585" width="15.42578125" style="177" customWidth="1"/>
    <col min="13586" max="13586" width="11.28515625" style="177" customWidth="1"/>
    <col min="13587" max="13587" width="15.5703125" style="177" customWidth="1"/>
    <col min="13588" max="13588" width="7.28515625" style="177" customWidth="1"/>
    <col min="13589" max="13589" width="13.28515625" style="177" customWidth="1"/>
    <col min="13590" max="13824" width="12.5703125" style="177"/>
    <col min="13825" max="13825" width="9.42578125" style="177" customWidth="1"/>
    <col min="13826" max="13826" width="12.5703125" style="177"/>
    <col min="13827" max="13827" width="9" style="177" customWidth="1"/>
    <col min="13828" max="13828" width="9.85546875" style="177" customWidth="1"/>
    <col min="13829" max="13829" width="9.42578125" style="177" customWidth="1"/>
    <col min="13830" max="13830" width="11.140625" style="177" bestFit="1" customWidth="1"/>
    <col min="13831" max="13831" width="14.28515625" style="177" bestFit="1" customWidth="1"/>
    <col min="13832" max="13832" width="11.42578125" style="177" customWidth="1"/>
    <col min="13833" max="13833" width="14.140625" style="177" customWidth="1"/>
    <col min="13834" max="13834" width="7" style="177" customWidth="1"/>
    <col min="13835" max="13835" width="12.140625" style="177" customWidth="1"/>
    <col min="13836" max="13836" width="15.5703125" style="177" customWidth="1"/>
    <col min="13837" max="13837" width="11.140625" style="177" customWidth="1"/>
    <col min="13838" max="13838" width="15.140625" style="177" customWidth="1"/>
    <col min="13839" max="13839" width="9.140625" style="177" bestFit="1" customWidth="1"/>
    <col min="13840" max="13840" width="9.140625" style="177" customWidth="1"/>
    <col min="13841" max="13841" width="15.42578125" style="177" customWidth="1"/>
    <col min="13842" max="13842" width="11.28515625" style="177" customWidth="1"/>
    <col min="13843" max="13843" width="15.5703125" style="177" customWidth="1"/>
    <col min="13844" max="13844" width="7.28515625" style="177" customWidth="1"/>
    <col min="13845" max="13845" width="13.28515625" style="177" customWidth="1"/>
    <col min="13846" max="14080" width="12.5703125" style="177"/>
    <col min="14081" max="14081" width="9.42578125" style="177" customWidth="1"/>
    <col min="14082" max="14082" width="12.5703125" style="177"/>
    <col min="14083" max="14083" width="9" style="177" customWidth="1"/>
    <col min="14084" max="14084" width="9.85546875" style="177" customWidth="1"/>
    <col min="14085" max="14085" width="9.42578125" style="177" customWidth="1"/>
    <col min="14086" max="14086" width="11.140625" style="177" bestFit="1" customWidth="1"/>
    <col min="14087" max="14087" width="14.28515625" style="177" bestFit="1" customWidth="1"/>
    <col min="14088" max="14088" width="11.42578125" style="177" customWidth="1"/>
    <col min="14089" max="14089" width="14.140625" style="177" customWidth="1"/>
    <col min="14090" max="14090" width="7" style="177" customWidth="1"/>
    <col min="14091" max="14091" width="12.140625" style="177" customWidth="1"/>
    <col min="14092" max="14092" width="15.5703125" style="177" customWidth="1"/>
    <col min="14093" max="14093" width="11.140625" style="177" customWidth="1"/>
    <col min="14094" max="14094" width="15.140625" style="177" customWidth="1"/>
    <col min="14095" max="14095" width="9.140625" style="177" bestFit="1" customWidth="1"/>
    <col min="14096" max="14096" width="9.140625" style="177" customWidth="1"/>
    <col min="14097" max="14097" width="15.42578125" style="177" customWidth="1"/>
    <col min="14098" max="14098" width="11.28515625" style="177" customWidth="1"/>
    <col min="14099" max="14099" width="15.5703125" style="177" customWidth="1"/>
    <col min="14100" max="14100" width="7.28515625" style="177" customWidth="1"/>
    <col min="14101" max="14101" width="13.28515625" style="177" customWidth="1"/>
    <col min="14102" max="14336" width="12.5703125" style="177"/>
    <col min="14337" max="14337" width="9.42578125" style="177" customWidth="1"/>
    <col min="14338" max="14338" width="12.5703125" style="177"/>
    <col min="14339" max="14339" width="9" style="177" customWidth="1"/>
    <col min="14340" max="14340" width="9.85546875" style="177" customWidth="1"/>
    <col min="14341" max="14341" width="9.42578125" style="177" customWidth="1"/>
    <col min="14342" max="14342" width="11.140625" style="177" bestFit="1" customWidth="1"/>
    <col min="14343" max="14343" width="14.28515625" style="177" bestFit="1" customWidth="1"/>
    <col min="14344" max="14344" width="11.42578125" style="177" customWidth="1"/>
    <col min="14345" max="14345" width="14.140625" style="177" customWidth="1"/>
    <col min="14346" max="14346" width="7" style="177" customWidth="1"/>
    <col min="14347" max="14347" width="12.140625" style="177" customWidth="1"/>
    <col min="14348" max="14348" width="15.5703125" style="177" customWidth="1"/>
    <col min="14349" max="14349" width="11.140625" style="177" customWidth="1"/>
    <col min="14350" max="14350" width="15.140625" style="177" customWidth="1"/>
    <col min="14351" max="14351" width="9.140625" style="177" bestFit="1" customWidth="1"/>
    <col min="14352" max="14352" width="9.140625" style="177" customWidth="1"/>
    <col min="14353" max="14353" width="15.42578125" style="177" customWidth="1"/>
    <col min="14354" max="14354" width="11.28515625" style="177" customWidth="1"/>
    <col min="14355" max="14355" width="15.5703125" style="177" customWidth="1"/>
    <col min="14356" max="14356" width="7.28515625" style="177" customWidth="1"/>
    <col min="14357" max="14357" width="13.28515625" style="177" customWidth="1"/>
    <col min="14358" max="14592" width="12.5703125" style="177"/>
    <col min="14593" max="14593" width="9.42578125" style="177" customWidth="1"/>
    <col min="14594" max="14594" width="12.5703125" style="177"/>
    <col min="14595" max="14595" width="9" style="177" customWidth="1"/>
    <col min="14596" max="14596" width="9.85546875" style="177" customWidth="1"/>
    <col min="14597" max="14597" width="9.42578125" style="177" customWidth="1"/>
    <col min="14598" max="14598" width="11.140625" style="177" bestFit="1" customWidth="1"/>
    <col min="14599" max="14599" width="14.28515625" style="177" bestFit="1" customWidth="1"/>
    <col min="14600" max="14600" width="11.42578125" style="177" customWidth="1"/>
    <col min="14601" max="14601" width="14.140625" style="177" customWidth="1"/>
    <col min="14602" max="14602" width="7" style="177" customWidth="1"/>
    <col min="14603" max="14603" width="12.140625" style="177" customWidth="1"/>
    <col min="14604" max="14604" width="15.5703125" style="177" customWidth="1"/>
    <col min="14605" max="14605" width="11.140625" style="177" customWidth="1"/>
    <col min="14606" max="14606" width="15.140625" style="177" customWidth="1"/>
    <col min="14607" max="14607" width="9.140625" style="177" bestFit="1" customWidth="1"/>
    <col min="14608" max="14608" width="9.140625" style="177" customWidth="1"/>
    <col min="14609" max="14609" width="15.42578125" style="177" customWidth="1"/>
    <col min="14610" max="14610" width="11.28515625" style="177" customWidth="1"/>
    <col min="14611" max="14611" width="15.5703125" style="177" customWidth="1"/>
    <col min="14612" max="14612" width="7.28515625" style="177" customWidth="1"/>
    <col min="14613" max="14613" width="13.28515625" style="177" customWidth="1"/>
    <col min="14614" max="14848" width="12.5703125" style="177"/>
    <col min="14849" max="14849" width="9.42578125" style="177" customWidth="1"/>
    <col min="14850" max="14850" width="12.5703125" style="177"/>
    <col min="14851" max="14851" width="9" style="177" customWidth="1"/>
    <col min="14852" max="14852" width="9.85546875" style="177" customWidth="1"/>
    <col min="14853" max="14853" width="9.42578125" style="177" customWidth="1"/>
    <col min="14854" max="14854" width="11.140625" style="177" bestFit="1" customWidth="1"/>
    <col min="14855" max="14855" width="14.28515625" style="177" bestFit="1" customWidth="1"/>
    <col min="14856" max="14856" width="11.42578125" style="177" customWidth="1"/>
    <col min="14857" max="14857" width="14.140625" style="177" customWidth="1"/>
    <col min="14858" max="14858" width="7" style="177" customWidth="1"/>
    <col min="14859" max="14859" width="12.140625" style="177" customWidth="1"/>
    <col min="14860" max="14860" width="15.5703125" style="177" customWidth="1"/>
    <col min="14861" max="14861" width="11.140625" style="177" customWidth="1"/>
    <col min="14862" max="14862" width="15.140625" style="177" customWidth="1"/>
    <col min="14863" max="14863" width="9.140625" style="177" bestFit="1" customWidth="1"/>
    <col min="14864" max="14864" width="9.140625" style="177" customWidth="1"/>
    <col min="14865" max="14865" width="15.42578125" style="177" customWidth="1"/>
    <col min="14866" max="14866" width="11.28515625" style="177" customWidth="1"/>
    <col min="14867" max="14867" width="15.5703125" style="177" customWidth="1"/>
    <col min="14868" max="14868" width="7.28515625" style="177" customWidth="1"/>
    <col min="14869" max="14869" width="13.28515625" style="177" customWidth="1"/>
    <col min="14870" max="15104" width="12.5703125" style="177"/>
    <col min="15105" max="15105" width="9.42578125" style="177" customWidth="1"/>
    <col min="15106" max="15106" width="12.5703125" style="177"/>
    <col min="15107" max="15107" width="9" style="177" customWidth="1"/>
    <col min="15108" max="15108" width="9.85546875" style="177" customWidth="1"/>
    <col min="15109" max="15109" width="9.42578125" style="177" customWidth="1"/>
    <col min="15110" max="15110" width="11.140625" style="177" bestFit="1" customWidth="1"/>
    <col min="15111" max="15111" width="14.28515625" style="177" bestFit="1" customWidth="1"/>
    <col min="15112" max="15112" width="11.42578125" style="177" customWidth="1"/>
    <col min="15113" max="15113" width="14.140625" style="177" customWidth="1"/>
    <col min="15114" max="15114" width="7" style="177" customWidth="1"/>
    <col min="15115" max="15115" width="12.140625" style="177" customWidth="1"/>
    <col min="15116" max="15116" width="15.5703125" style="177" customWidth="1"/>
    <col min="15117" max="15117" width="11.140625" style="177" customWidth="1"/>
    <col min="15118" max="15118" width="15.140625" style="177" customWidth="1"/>
    <col min="15119" max="15119" width="9.140625" style="177" bestFit="1" customWidth="1"/>
    <col min="15120" max="15120" width="9.140625" style="177" customWidth="1"/>
    <col min="15121" max="15121" width="15.42578125" style="177" customWidth="1"/>
    <col min="15122" max="15122" width="11.28515625" style="177" customWidth="1"/>
    <col min="15123" max="15123" width="15.5703125" style="177" customWidth="1"/>
    <col min="15124" max="15124" width="7.28515625" style="177" customWidth="1"/>
    <col min="15125" max="15125" width="13.28515625" style="177" customWidth="1"/>
    <col min="15126" max="15360" width="12.5703125" style="177"/>
    <col min="15361" max="15361" width="9.42578125" style="177" customWidth="1"/>
    <col min="15362" max="15362" width="12.5703125" style="177"/>
    <col min="15363" max="15363" width="9" style="177" customWidth="1"/>
    <col min="15364" max="15364" width="9.85546875" style="177" customWidth="1"/>
    <col min="15365" max="15365" width="9.42578125" style="177" customWidth="1"/>
    <col min="15366" max="15366" width="11.140625" style="177" bestFit="1" customWidth="1"/>
    <col min="15367" max="15367" width="14.28515625" style="177" bestFit="1" customWidth="1"/>
    <col min="15368" max="15368" width="11.42578125" style="177" customWidth="1"/>
    <col min="15369" max="15369" width="14.140625" style="177" customWidth="1"/>
    <col min="15370" max="15370" width="7" style="177" customWidth="1"/>
    <col min="15371" max="15371" width="12.140625" style="177" customWidth="1"/>
    <col min="15372" max="15372" width="15.5703125" style="177" customWidth="1"/>
    <col min="15373" max="15373" width="11.140625" style="177" customWidth="1"/>
    <col min="15374" max="15374" width="15.140625" style="177" customWidth="1"/>
    <col min="15375" max="15375" width="9.140625" style="177" bestFit="1" customWidth="1"/>
    <col min="15376" max="15376" width="9.140625" style="177" customWidth="1"/>
    <col min="15377" max="15377" width="15.42578125" style="177" customWidth="1"/>
    <col min="15378" max="15378" width="11.28515625" style="177" customWidth="1"/>
    <col min="15379" max="15379" width="15.5703125" style="177" customWidth="1"/>
    <col min="15380" max="15380" width="7.28515625" style="177" customWidth="1"/>
    <col min="15381" max="15381" width="13.28515625" style="177" customWidth="1"/>
    <col min="15382" max="15616" width="12.5703125" style="177"/>
    <col min="15617" max="15617" width="9.42578125" style="177" customWidth="1"/>
    <col min="15618" max="15618" width="12.5703125" style="177"/>
    <col min="15619" max="15619" width="9" style="177" customWidth="1"/>
    <col min="15620" max="15620" width="9.85546875" style="177" customWidth="1"/>
    <col min="15621" max="15621" width="9.42578125" style="177" customWidth="1"/>
    <col min="15622" max="15622" width="11.140625" style="177" bestFit="1" customWidth="1"/>
    <col min="15623" max="15623" width="14.28515625" style="177" bestFit="1" customWidth="1"/>
    <col min="15624" max="15624" width="11.42578125" style="177" customWidth="1"/>
    <col min="15625" max="15625" width="14.140625" style="177" customWidth="1"/>
    <col min="15626" max="15626" width="7" style="177" customWidth="1"/>
    <col min="15627" max="15627" width="12.140625" style="177" customWidth="1"/>
    <col min="15628" max="15628" width="15.5703125" style="177" customWidth="1"/>
    <col min="15629" max="15629" width="11.140625" style="177" customWidth="1"/>
    <col min="15630" max="15630" width="15.140625" style="177" customWidth="1"/>
    <col min="15631" max="15631" width="9.140625" style="177" bestFit="1" customWidth="1"/>
    <col min="15632" max="15632" width="9.140625" style="177" customWidth="1"/>
    <col min="15633" max="15633" width="15.42578125" style="177" customWidth="1"/>
    <col min="15634" max="15634" width="11.28515625" style="177" customWidth="1"/>
    <col min="15635" max="15635" width="15.5703125" style="177" customWidth="1"/>
    <col min="15636" max="15636" width="7.28515625" style="177" customWidth="1"/>
    <col min="15637" max="15637" width="13.28515625" style="177" customWidth="1"/>
    <col min="15638" max="15872" width="12.5703125" style="177"/>
    <col min="15873" max="15873" width="9.42578125" style="177" customWidth="1"/>
    <col min="15874" max="15874" width="12.5703125" style="177"/>
    <col min="15875" max="15875" width="9" style="177" customWidth="1"/>
    <col min="15876" max="15876" width="9.85546875" style="177" customWidth="1"/>
    <col min="15877" max="15877" width="9.42578125" style="177" customWidth="1"/>
    <col min="15878" max="15878" width="11.140625" style="177" bestFit="1" customWidth="1"/>
    <col min="15879" max="15879" width="14.28515625" style="177" bestFit="1" customWidth="1"/>
    <col min="15880" max="15880" width="11.42578125" style="177" customWidth="1"/>
    <col min="15881" max="15881" width="14.140625" style="177" customWidth="1"/>
    <col min="15882" max="15882" width="7" style="177" customWidth="1"/>
    <col min="15883" max="15883" width="12.140625" style="177" customWidth="1"/>
    <col min="15884" max="15884" width="15.5703125" style="177" customWidth="1"/>
    <col min="15885" max="15885" width="11.140625" style="177" customWidth="1"/>
    <col min="15886" max="15886" width="15.140625" style="177" customWidth="1"/>
    <col min="15887" max="15887" width="9.140625" style="177" bestFit="1" customWidth="1"/>
    <col min="15888" max="15888" width="9.140625" style="177" customWidth="1"/>
    <col min="15889" max="15889" width="15.42578125" style="177" customWidth="1"/>
    <col min="15890" max="15890" width="11.28515625" style="177" customWidth="1"/>
    <col min="15891" max="15891" width="15.5703125" style="177" customWidth="1"/>
    <col min="15892" max="15892" width="7.28515625" style="177" customWidth="1"/>
    <col min="15893" max="15893" width="13.28515625" style="177" customWidth="1"/>
    <col min="15894" max="16128" width="12.5703125" style="177"/>
    <col min="16129" max="16129" width="9.42578125" style="177" customWidth="1"/>
    <col min="16130" max="16130" width="12.5703125" style="177"/>
    <col min="16131" max="16131" width="9" style="177" customWidth="1"/>
    <col min="16132" max="16132" width="9.85546875" style="177" customWidth="1"/>
    <col min="16133" max="16133" width="9.42578125" style="177" customWidth="1"/>
    <col min="16134" max="16134" width="11.140625" style="177" bestFit="1" customWidth="1"/>
    <col min="16135" max="16135" width="14.28515625" style="177" bestFit="1" customWidth="1"/>
    <col min="16136" max="16136" width="11.42578125" style="177" customWidth="1"/>
    <col min="16137" max="16137" width="14.140625" style="177" customWidth="1"/>
    <col min="16138" max="16138" width="7" style="177" customWidth="1"/>
    <col min="16139" max="16139" width="12.140625" style="177" customWidth="1"/>
    <col min="16140" max="16140" width="15.5703125" style="177" customWidth="1"/>
    <col min="16141" max="16141" width="11.140625" style="177" customWidth="1"/>
    <col min="16142" max="16142" width="15.140625" style="177" customWidth="1"/>
    <col min="16143" max="16143" width="9.140625" style="177" bestFit="1" customWidth="1"/>
    <col min="16144" max="16144" width="9.140625" style="177" customWidth="1"/>
    <col min="16145" max="16145" width="15.42578125" style="177" customWidth="1"/>
    <col min="16146" max="16146" width="11.28515625" style="177" customWidth="1"/>
    <col min="16147" max="16147" width="15.5703125" style="177" customWidth="1"/>
    <col min="16148" max="16148" width="7.28515625" style="177" customWidth="1"/>
    <col min="16149" max="16149" width="13.28515625" style="177" customWidth="1"/>
    <col min="16150" max="16384" width="12.5703125" style="177"/>
  </cols>
  <sheetData>
    <row r="1" spans="1:21" s="156" customFormat="1">
      <c r="A1" s="155" t="s">
        <v>363</v>
      </c>
      <c r="D1" s="157">
        <f>DATE(15,11,30)</f>
        <v>5813</v>
      </c>
      <c r="T1" s="158"/>
    </row>
    <row r="2" spans="1:21" s="156" customFormat="1">
      <c r="A2" s="155" t="s">
        <v>364</v>
      </c>
      <c r="D2" s="157">
        <f>DATE(15,12,31)</f>
        <v>5844</v>
      </c>
      <c r="T2" s="158"/>
    </row>
    <row r="3" spans="1:21" s="156" customFormat="1">
      <c r="A3" s="159"/>
      <c r="D3" s="160"/>
      <c r="T3" s="158"/>
    </row>
    <row r="4" spans="1:21" s="156" customFormat="1">
      <c r="A4" s="161" t="s">
        <v>365</v>
      </c>
      <c r="B4" s="162"/>
      <c r="C4" s="162"/>
      <c r="D4" s="162"/>
      <c r="E4" s="162"/>
      <c r="L4" s="163" t="s">
        <v>366</v>
      </c>
      <c r="M4" s="162"/>
      <c r="N4" s="162"/>
      <c r="Q4" s="163" t="s">
        <v>367</v>
      </c>
      <c r="R4" s="162"/>
      <c r="S4" s="162"/>
      <c r="T4" s="164"/>
    </row>
    <row r="5" spans="1:21" s="156" customFormat="1">
      <c r="A5" s="159"/>
      <c r="T5" s="158"/>
    </row>
    <row r="6" spans="1:21" s="156" customFormat="1">
      <c r="A6" s="165"/>
      <c r="B6" s="166"/>
      <c r="C6" s="166"/>
      <c r="D6" s="166"/>
      <c r="E6" s="167" t="s">
        <v>368</v>
      </c>
      <c r="F6" s="166"/>
      <c r="G6" s="166"/>
      <c r="H6" s="166"/>
      <c r="I6" s="166"/>
      <c r="J6" s="167" t="s">
        <v>369</v>
      </c>
      <c r="K6" s="167" t="s">
        <v>370</v>
      </c>
      <c r="L6" s="166"/>
      <c r="M6" s="166"/>
      <c r="N6" s="166"/>
      <c r="O6" s="166"/>
      <c r="P6" s="166"/>
      <c r="Q6" s="166"/>
      <c r="R6" s="166"/>
      <c r="S6" s="166"/>
      <c r="T6" s="168" t="s">
        <v>369</v>
      </c>
      <c r="U6" s="166"/>
    </row>
    <row r="7" spans="1:21" s="156" customFormat="1">
      <c r="A7" s="169" t="s">
        <v>371</v>
      </c>
      <c r="D7" s="170" t="s">
        <v>372</v>
      </c>
      <c r="E7" s="170" t="s">
        <v>373</v>
      </c>
      <c r="F7" s="170" t="s">
        <v>374</v>
      </c>
      <c r="G7" s="170" t="s">
        <v>375</v>
      </c>
      <c r="I7" s="170" t="s">
        <v>376</v>
      </c>
      <c r="J7" s="170" t="s">
        <v>373</v>
      </c>
      <c r="K7" s="170" t="s">
        <v>374</v>
      </c>
      <c r="L7" s="170" t="s">
        <v>376</v>
      </c>
      <c r="M7" s="170" t="s">
        <v>374</v>
      </c>
      <c r="N7" s="170" t="s">
        <v>377</v>
      </c>
      <c r="O7" s="170" t="s">
        <v>378</v>
      </c>
      <c r="P7" s="170" t="s">
        <v>379</v>
      </c>
      <c r="Q7" s="170" t="s">
        <v>380</v>
      </c>
      <c r="S7" s="170" t="s">
        <v>376</v>
      </c>
      <c r="T7" s="171" t="s">
        <v>373</v>
      </c>
      <c r="U7" s="170" t="s">
        <v>381</v>
      </c>
    </row>
    <row r="8" spans="1:21" s="156" customFormat="1" ht="13.5" customHeight="1">
      <c r="A8" s="172" t="s">
        <v>369</v>
      </c>
      <c r="B8" s="173" t="s">
        <v>382</v>
      </c>
      <c r="C8" s="174"/>
      <c r="D8" s="173" t="s">
        <v>368</v>
      </c>
      <c r="E8" s="173" t="s">
        <v>383</v>
      </c>
      <c r="F8" s="173" t="s">
        <v>384</v>
      </c>
      <c r="G8" s="173" t="s">
        <v>385</v>
      </c>
      <c r="H8" s="173" t="s">
        <v>386</v>
      </c>
      <c r="I8" s="173" t="s">
        <v>387</v>
      </c>
      <c r="J8" s="173" t="s">
        <v>388</v>
      </c>
      <c r="K8" s="173" t="s">
        <v>389</v>
      </c>
      <c r="L8" s="173" t="s">
        <v>387</v>
      </c>
      <c r="M8" s="173" t="s">
        <v>390</v>
      </c>
      <c r="N8" s="173" t="s">
        <v>390</v>
      </c>
      <c r="O8" s="173" t="s">
        <v>368</v>
      </c>
      <c r="P8" s="173" t="s">
        <v>368</v>
      </c>
      <c r="Q8" s="173" t="s">
        <v>385</v>
      </c>
      <c r="R8" s="173" t="s">
        <v>386</v>
      </c>
      <c r="S8" s="173" t="s">
        <v>387</v>
      </c>
      <c r="T8" s="175" t="s">
        <v>388</v>
      </c>
      <c r="U8" s="173" t="s">
        <v>374</v>
      </c>
    </row>
    <row r="9" spans="1:21" ht="13.5" customHeight="1"/>
    <row r="10" spans="1:21">
      <c r="A10" s="176" t="s">
        <v>392</v>
      </c>
      <c r="B10" s="179" t="s">
        <v>391</v>
      </c>
      <c r="D10" s="157">
        <v>5813</v>
      </c>
      <c r="E10" s="157">
        <v>5817</v>
      </c>
      <c r="F10" s="180">
        <v>4.7000000000000002E-3</v>
      </c>
      <c r="G10" s="177">
        <v>4000000</v>
      </c>
      <c r="H10" s="177">
        <v>208.89</v>
      </c>
      <c r="I10" s="181">
        <v>3999791.11</v>
      </c>
      <c r="J10" s="182">
        <v>4</v>
      </c>
      <c r="K10" s="181">
        <v>156.66999999999999</v>
      </c>
      <c r="L10" s="181">
        <v>3999791.11</v>
      </c>
      <c r="M10" s="181">
        <v>208.89</v>
      </c>
      <c r="N10" s="181">
        <v>4000000</v>
      </c>
      <c r="O10" s="157">
        <v>5814</v>
      </c>
      <c r="P10" s="157">
        <v>5817</v>
      </c>
      <c r="Q10" s="183" t="s">
        <v>409</v>
      </c>
      <c r="R10" s="183">
        <v>0</v>
      </c>
      <c r="S10" s="183">
        <v>0</v>
      </c>
      <c r="T10" s="182">
        <v>0</v>
      </c>
      <c r="U10" s="183">
        <v>0</v>
      </c>
    </row>
    <row r="11" spans="1:21">
      <c r="A11" s="176" t="s">
        <v>393</v>
      </c>
      <c r="B11" s="179" t="s">
        <v>391</v>
      </c>
      <c r="D11" s="157">
        <f>DATE(15,11,30)</f>
        <v>5813</v>
      </c>
      <c r="E11" s="157">
        <f>DATE(15,12,7)</f>
        <v>5820</v>
      </c>
      <c r="F11" s="180">
        <v>4.7999999999999996E-3</v>
      </c>
      <c r="G11" s="177">
        <v>4000000</v>
      </c>
      <c r="H11" s="177">
        <f t="shared" ref="H11:H24" si="0">ROUND(G11*F11/360*J11,2)</f>
        <v>373.33</v>
      </c>
      <c r="I11" s="181">
        <f t="shared" ref="I11:I24" si="1">(G11-H11)</f>
        <v>3999626.67</v>
      </c>
      <c r="J11" s="182">
        <f t="shared" ref="J11:J24" si="2">E11-D11</f>
        <v>7</v>
      </c>
      <c r="K11" s="181">
        <f t="shared" ref="K11:K24" si="3">IF(O11&lt;P11,ROUND(H11*(P11-O11)/J11,2),0)</f>
        <v>320</v>
      </c>
      <c r="L11" s="181">
        <f t="shared" ref="L11:L24" si="4">N11-M11</f>
        <v>3999626.67</v>
      </c>
      <c r="M11" s="181">
        <f t="shared" ref="M11:M24" si="5">IF(AND($E11&lt;=$D$2,$E11&gt;$D$1),H11,0)</f>
        <v>373.33</v>
      </c>
      <c r="N11" s="181">
        <f t="shared" ref="N11:N24" si="6">IF(AND($E11&lt;=$D$2,$E11&gt;$D$1),G11,0)</f>
        <v>4000000</v>
      </c>
      <c r="O11" s="157">
        <f t="shared" ref="O11:O24" si="7">IF(D11&lt;=$D$1,$D$1+1,D11)</f>
        <v>5814</v>
      </c>
      <c r="P11" s="157">
        <f t="shared" ref="P11:P24" si="8">IF(E11&gt;$D$2,$D$2+1,E11)</f>
        <v>5820</v>
      </c>
      <c r="Q11" s="183" t="str">
        <f t="shared" ref="Q11:Q24" si="9">IF(AND(D11&gt;$D$1,D11&lt;=$D$2),G11,"")</f>
        <v/>
      </c>
      <c r="R11" s="183">
        <f t="shared" ref="R11:R24" si="10">IF($Q11&lt;&gt;0,H11,0)</f>
        <v>0</v>
      </c>
      <c r="S11" s="183">
        <f t="shared" ref="S11:S24" si="11">Q11-R11</f>
        <v>0</v>
      </c>
      <c r="T11" s="182">
        <f t="shared" ref="T11:T24" si="12">IF($Q11&lt;&gt;0,J11,0)</f>
        <v>0</v>
      </c>
      <c r="U11" s="183">
        <f t="shared" ref="U11:U24" si="13">IF(E11&gt;$D$2,(E11-P11)*H11/J11,0)</f>
        <v>0</v>
      </c>
    </row>
    <row r="12" spans="1:21">
      <c r="A12" s="176" t="s">
        <v>394</v>
      </c>
      <c r="B12" s="179" t="s">
        <v>391</v>
      </c>
      <c r="D12" s="157">
        <f>DATE(15,12,1)</f>
        <v>5814</v>
      </c>
      <c r="E12" s="157">
        <f>DATE(15,12,8)</f>
        <v>5821</v>
      </c>
      <c r="F12" s="180">
        <v>4.7999999999999996E-3</v>
      </c>
      <c r="G12" s="177">
        <v>8750000</v>
      </c>
      <c r="H12" s="177">
        <f t="shared" si="0"/>
        <v>816.67</v>
      </c>
      <c r="I12" s="181">
        <f t="shared" si="1"/>
        <v>8749183.3300000001</v>
      </c>
      <c r="J12" s="182">
        <f t="shared" si="2"/>
        <v>7</v>
      </c>
      <c r="K12" s="181">
        <f t="shared" si="3"/>
        <v>816.67</v>
      </c>
      <c r="L12" s="181">
        <f t="shared" si="4"/>
        <v>8749183.3300000001</v>
      </c>
      <c r="M12" s="181">
        <f t="shared" si="5"/>
        <v>816.67</v>
      </c>
      <c r="N12" s="181">
        <f t="shared" si="6"/>
        <v>8750000</v>
      </c>
      <c r="O12" s="157">
        <f t="shared" si="7"/>
        <v>5814</v>
      </c>
      <c r="P12" s="157">
        <f t="shared" si="8"/>
        <v>5821</v>
      </c>
      <c r="Q12" s="183">
        <f t="shared" si="9"/>
        <v>8750000</v>
      </c>
      <c r="R12" s="183">
        <f t="shared" si="10"/>
        <v>816.67</v>
      </c>
      <c r="S12" s="183">
        <f t="shared" si="11"/>
        <v>8749183.3300000001</v>
      </c>
      <c r="T12" s="182">
        <f t="shared" si="12"/>
        <v>7</v>
      </c>
      <c r="U12" s="183">
        <f t="shared" si="13"/>
        <v>0</v>
      </c>
    </row>
    <row r="13" spans="1:21">
      <c r="A13" s="176" t="s">
        <v>395</v>
      </c>
      <c r="B13" s="179" t="s">
        <v>391</v>
      </c>
      <c r="D13" s="157">
        <f>DATE(15,12,4)</f>
        <v>5817</v>
      </c>
      <c r="E13" s="157">
        <f>DATE(15,12,11)</f>
        <v>5824</v>
      </c>
      <c r="F13" s="180">
        <v>4.7999999999999996E-3</v>
      </c>
      <c r="G13" s="177">
        <v>6000000</v>
      </c>
      <c r="H13" s="177">
        <f t="shared" si="0"/>
        <v>560</v>
      </c>
      <c r="I13" s="181">
        <f t="shared" si="1"/>
        <v>5999440</v>
      </c>
      <c r="J13" s="182">
        <f t="shared" si="2"/>
        <v>7</v>
      </c>
      <c r="K13" s="181">
        <f t="shared" si="3"/>
        <v>560</v>
      </c>
      <c r="L13" s="181">
        <f t="shared" si="4"/>
        <v>5999440</v>
      </c>
      <c r="M13" s="181">
        <f t="shared" si="5"/>
        <v>560</v>
      </c>
      <c r="N13" s="181">
        <f t="shared" si="6"/>
        <v>6000000</v>
      </c>
      <c r="O13" s="157">
        <f t="shared" si="7"/>
        <v>5817</v>
      </c>
      <c r="P13" s="157">
        <f t="shared" si="8"/>
        <v>5824</v>
      </c>
      <c r="Q13" s="183">
        <f t="shared" si="9"/>
        <v>6000000</v>
      </c>
      <c r="R13" s="183">
        <f t="shared" si="10"/>
        <v>560</v>
      </c>
      <c r="S13" s="183">
        <f t="shared" si="11"/>
        <v>5999440</v>
      </c>
      <c r="T13" s="182">
        <f t="shared" si="12"/>
        <v>7</v>
      </c>
      <c r="U13" s="183">
        <f t="shared" si="13"/>
        <v>0</v>
      </c>
    </row>
    <row r="14" spans="1:21">
      <c r="A14" s="176" t="s">
        <v>396</v>
      </c>
      <c r="B14" s="179" t="s">
        <v>391</v>
      </c>
      <c r="D14" s="157">
        <f>DATE(15,12,7)</f>
        <v>5820</v>
      </c>
      <c r="E14" s="157">
        <f>DATE(15,12,14)</f>
        <v>5827</v>
      </c>
      <c r="F14" s="180">
        <v>4.7999999999999996E-3</v>
      </c>
      <c r="G14" s="177">
        <v>2750000</v>
      </c>
      <c r="H14" s="177">
        <f t="shared" si="0"/>
        <v>256.67</v>
      </c>
      <c r="I14" s="181">
        <f t="shared" si="1"/>
        <v>2749743.33</v>
      </c>
      <c r="J14" s="182">
        <f t="shared" si="2"/>
        <v>7</v>
      </c>
      <c r="K14" s="181">
        <f t="shared" si="3"/>
        <v>256.67</v>
      </c>
      <c r="L14" s="181">
        <f t="shared" si="4"/>
        <v>2749743.33</v>
      </c>
      <c r="M14" s="181">
        <f t="shared" si="5"/>
        <v>256.67</v>
      </c>
      <c r="N14" s="181">
        <f t="shared" si="6"/>
        <v>2750000</v>
      </c>
      <c r="O14" s="157">
        <f t="shared" si="7"/>
        <v>5820</v>
      </c>
      <c r="P14" s="157">
        <f t="shared" si="8"/>
        <v>5827</v>
      </c>
      <c r="Q14" s="183">
        <f t="shared" si="9"/>
        <v>2750000</v>
      </c>
      <c r="R14" s="183">
        <f t="shared" si="10"/>
        <v>256.67</v>
      </c>
      <c r="S14" s="183">
        <f t="shared" si="11"/>
        <v>2749743.33</v>
      </c>
      <c r="T14" s="182">
        <f t="shared" si="12"/>
        <v>7</v>
      </c>
      <c r="U14" s="183">
        <f t="shared" si="13"/>
        <v>0</v>
      </c>
    </row>
    <row r="15" spans="1:21">
      <c r="A15" s="176" t="s">
        <v>397</v>
      </c>
      <c r="B15" s="179" t="s">
        <v>391</v>
      </c>
      <c r="D15" s="157">
        <f>DATE(15,12,8)</f>
        <v>5821</v>
      </c>
      <c r="E15" s="157">
        <f>DATE(15,12,14)</f>
        <v>5827</v>
      </c>
      <c r="F15" s="180">
        <v>4.7999999999999996E-3</v>
      </c>
      <c r="G15" s="177">
        <v>7000000</v>
      </c>
      <c r="H15" s="177">
        <f t="shared" si="0"/>
        <v>560</v>
      </c>
      <c r="I15" s="181">
        <f t="shared" si="1"/>
        <v>6999440</v>
      </c>
      <c r="J15" s="182">
        <f t="shared" si="2"/>
        <v>6</v>
      </c>
      <c r="K15" s="181">
        <f t="shared" si="3"/>
        <v>560</v>
      </c>
      <c r="L15" s="181">
        <f t="shared" si="4"/>
        <v>6999440</v>
      </c>
      <c r="M15" s="181">
        <f t="shared" si="5"/>
        <v>560</v>
      </c>
      <c r="N15" s="181">
        <f t="shared" si="6"/>
        <v>7000000</v>
      </c>
      <c r="O15" s="157">
        <f t="shared" si="7"/>
        <v>5821</v>
      </c>
      <c r="P15" s="157">
        <f t="shared" si="8"/>
        <v>5827</v>
      </c>
      <c r="Q15" s="183">
        <f t="shared" si="9"/>
        <v>7000000</v>
      </c>
      <c r="R15" s="183">
        <f t="shared" si="10"/>
        <v>560</v>
      </c>
      <c r="S15" s="183">
        <f t="shared" si="11"/>
        <v>6999440</v>
      </c>
      <c r="T15" s="182">
        <f t="shared" si="12"/>
        <v>6</v>
      </c>
      <c r="U15" s="183">
        <f t="shared" si="13"/>
        <v>0</v>
      </c>
    </row>
    <row r="16" spans="1:21">
      <c r="A16" s="176" t="s">
        <v>398</v>
      </c>
      <c r="B16" s="179" t="s">
        <v>391</v>
      </c>
      <c r="D16" s="157">
        <f>DATE(15,12,11)</f>
        <v>5824</v>
      </c>
      <c r="E16" s="157">
        <f>DATE(15,12,18)</f>
        <v>5831</v>
      </c>
      <c r="F16" s="180">
        <v>5.3E-3</v>
      </c>
      <c r="G16" s="177">
        <v>1500000</v>
      </c>
      <c r="H16" s="177">
        <f t="shared" si="0"/>
        <v>154.58000000000001</v>
      </c>
      <c r="I16" s="181">
        <f t="shared" si="1"/>
        <v>1499845.42</v>
      </c>
      <c r="J16" s="182">
        <f t="shared" si="2"/>
        <v>7</v>
      </c>
      <c r="K16" s="181">
        <f t="shared" si="3"/>
        <v>154.58000000000001</v>
      </c>
      <c r="L16" s="181">
        <f t="shared" si="4"/>
        <v>1499845.42</v>
      </c>
      <c r="M16" s="181">
        <f t="shared" si="5"/>
        <v>154.58000000000001</v>
      </c>
      <c r="N16" s="181">
        <f t="shared" si="6"/>
        <v>1500000</v>
      </c>
      <c r="O16" s="157">
        <f t="shared" si="7"/>
        <v>5824</v>
      </c>
      <c r="P16" s="157">
        <f t="shared" si="8"/>
        <v>5831</v>
      </c>
      <c r="Q16" s="183">
        <f t="shared" si="9"/>
        <v>1500000</v>
      </c>
      <c r="R16" s="183">
        <f t="shared" si="10"/>
        <v>154.58000000000001</v>
      </c>
      <c r="S16" s="183">
        <f t="shared" si="11"/>
        <v>1499845.42</v>
      </c>
      <c r="T16" s="182">
        <f t="shared" si="12"/>
        <v>7</v>
      </c>
      <c r="U16" s="183">
        <f t="shared" si="13"/>
        <v>0</v>
      </c>
    </row>
    <row r="17" spans="1:21">
      <c r="A17" s="176" t="s">
        <v>399</v>
      </c>
      <c r="B17" s="179" t="s">
        <v>391</v>
      </c>
      <c r="D17" s="157">
        <f>DATE(15,12,14)</f>
        <v>5827</v>
      </c>
      <c r="E17" s="157">
        <f>DATE(15,12,18)</f>
        <v>5831</v>
      </c>
      <c r="F17" s="180">
        <v>7.3000000000000001E-3</v>
      </c>
      <c r="G17" s="177">
        <v>9000000</v>
      </c>
      <c r="H17" s="177">
        <f t="shared" si="0"/>
        <v>730</v>
      </c>
      <c r="I17" s="181">
        <f t="shared" si="1"/>
        <v>8999270</v>
      </c>
      <c r="J17" s="182">
        <f t="shared" si="2"/>
        <v>4</v>
      </c>
      <c r="K17" s="181">
        <f t="shared" si="3"/>
        <v>730</v>
      </c>
      <c r="L17" s="181">
        <f t="shared" si="4"/>
        <v>8999270</v>
      </c>
      <c r="M17" s="181">
        <f t="shared" si="5"/>
        <v>730</v>
      </c>
      <c r="N17" s="181">
        <f t="shared" si="6"/>
        <v>9000000</v>
      </c>
      <c r="O17" s="157">
        <f t="shared" si="7"/>
        <v>5827</v>
      </c>
      <c r="P17" s="157">
        <f t="shared" si="8"/>
        <v>5831</v>
      </c>
      <c r="Q17" s="183">
        <f t="shared" si="9"/>
        <v>9000000</v>
      </c>
      <c r="R17" s="183">
        <f t="shared" si="10"/>
        <v>730</v>
      </c>
      <c r="S17" s="183">
        <f t="shared" si="11"/>
        <v>8999270</v>
      </c>
      <c r="T17" s="182">
        <f t="shared" si="12"/>
        <v>4</v>
      </c>
      <c r="U17" s="183">
        <f t="shared" si="13"/>
        <v>0</v>
      </c>
    </row>
    <row r="18" spans="1:21">
      <c r="A18" s="176" t="s">
        <v>400</v>
      </c>
      <c r="B18" s="179" t="s">
        <v>391</v>
      </c>
      <c r="D18" s="157">
        <f>DATE(15,12,15)</f>
        <v>5828</v>
      </c>
      <c r="E18" s="157">
        <f>DATE(15,12,22)</f>
        <v>5835</v>
      </c>
      <c r="F18" s="180">
        <v>7.4999999999999997E-3</v>
      </c>
      <c r="G18" s="177">
        <v>10500000</v>
      </c>
      <c r="H18" s="177">
        <f t="shared" si="0"/>
        <v>1531.25</v>
      </c>
      <c r="I18" s="181">
        <f t="shared" si="1"/>
        <v>10498468.75</v>
      </c>
      <c r="J18" s="182">
        <f t="shared" si="2"/>
        <v>7</v>
      </c>
      <c r="K18" s="181">
        <f t="shared" si="3"/>
        <v>1531.25</v>
      </c>
      <c r="L18" s="181">
        <f t="shared" si="4"/>
        <v>10498468.75</v>
      </c>
      <c r="M18" s="181">
        <f t="shared" si="5"/>
        <v>1531.25</v>
      </c>
      <c r="N18" s="181">
        <f t="shared" si="6"/>
        <v>10500000</v>
      </c>
      <c r="O18" s="157">
        <f t="shared" si="7"/>
        <v>5828</v>
      </c>
      <c r="P18" s="157">
        <f t="shared" si="8"/>
        <v>5835</v>
      </c>
      <c r="Q18" s="183">
        <f t="shared" si="9"/>
        <v>10500000</v>
      </c>
      <c r="R18" s="183">
        <f t="shared" si="10"/>
        <v>1531.25</v>
      </c>
      <c r="S18" s="183">
        <f t="shared" si="11"/>
        <v>10498468.75</v>
      </c>
      <c r="T18" s="182">
        <f t="shared" si="12"/>
        <v>7</v>
      </c>
      <c r="U18" s="183">
        <f t="shared" si="13"/>
        <v>0</v>
      </c>
    </row>
    <row r="19" spans="1:21">
      <c r="A19" s="176" t="s">
        <v>401</v>
      </c>
      <c r="B19" s="179" t="s">
        <v>391</v>
      </c>
      <c r="D19" s="157">
        <f>DATE(15,12,18)</f>
        <v>5831</v>
      </c>
      <c r="E19" s="157">
        <f>DATE(15,12,29)</f>
        <v>5842</v>
      </c>
      <c r="F19" s="180">
        <v>8.9999999999999993E-3</v>
      </c>
      <c r="G19" s="177">
        <v>10000000</v>
      </c>
      <c r="H19" s="177">
        <f t="shared" si="0"/>
        <v>2750</v>
      </c>
      <c r="I19" s="181">
        <f t="shared" si="1"/>
        <v>9997250</v>
      </c>
      <c r="J19" s="182">
        <f t="shared" si="2"/>
        <v>11</v>
      </c>
      <c r="K19" s="181">
        <f t="shared" si="3"/>
        <v>2750</v>
      </c>
      <c r="L19" s="181">
        <f t="shared" si="4"/>
        <v>9997250</v>
      </c>
      <c r="M19" s="181">
        <f t="shared" si="5"/>
        <v>2750</v>
      </c>
      <c r="N19" s="181">
        <f t="shared" si="6"/>
        <v>10000000</v>
      </c>
      <c r="O19" s="157">
        <f t="shared" si="7"/>
        <v>5831</v>
      </c>
      <c r="P19" s="157">
        <f t="shared" si="8"/>
        <v>5842</v>
      </c>
      <c r="Q19" s="183">
        <f t="shared" si="9"/>
        <v>10000000</v>
      </c>
      <c r="R19" s="183">
        <f t="shared" si="10"/>
        <v>2750</v>
      </c>
      <c r="S19" s="183">
        <f t="shared" si="11"/>
        <v>9997250</v>
      </c>
      <c r="T19" s="182">
        <f t="shared" si="12"/>
        <v>11</v>
      </c>
      <c r="U19" s="183">
        <f t="shared" si="13"/>
        <v>0</v>
      </c>
    </row>
    <row r="20" spans="1:21">
      <c r="A20" s="176" t="s">
        <v>402</v>
      </c>
      <c r="B20" s="179" t="s">
        <v>391</v>
      </c>
      <c r="D20" s="157">
        <f>DATE(15,12,18)</f>
        <v>5831</v>
      </c>
      <c r="E20" s="157">
        <f>DATE(15,12,31)</f>
        <v>5844</v>
      </c>
      <c r="F20" s="180">
        <v>8.9999999999999993E-3</v>
      </c>
      <c r="G20" s="177">
        <v>4000000</v>
      </c>
      <c r="H20" s="177">
        <f t="shared" si="0"/>
        <v>1300</v>
      </c>
      <c r="I20" s="181">
        <f t="shared" si="1"/>
        <v>3998700</v>
      </c>
      <c r="J20" s="182">
        <f t="shared" si="2"/>
        <v>13</v>
      </c>
      <c r="K20" s="181">
        <f t="shared" si="3"/>
        <v>1300</v>
      </c>
      <c r="L20" s="181">
        <f t="shared" si="4"/>
        <v>3998700</v>
      </c>
      <c r="M20" s="181">
        <f t="shared" si="5"/>
        <v>1300</v>
      </c>
      <c r="N20" s="181">
        <f t="shared" si="6"/>
        <v>4000000</v>
      </c>
      <c r="O20" s="157">
        <f t="shared" si="7"/>
        <v>5831</v>
      </c>
      <c r="P20" s="157">
        <f t="shared" si="8"/>
        <v>5844</v>
      </c>
      <c r="Q20" s="183">
        <f t="shared" si="9"/>
        <v>4000000</v>
      </c>
      <c r="R20" s="183">
        <f t="shared" si="10"/>
        <v>1300</v>
      </c>
      <c r="S20" s="183">
        <f t="shared" si="11"/>
        <v>3998700</v>
      </c>
      <c r="T20" s="182">
        <f t="shared" si="12"/>
        <v>13</v>
      </c>
      <c r="U20" s="183">
        <f t="shared" si="13"/>
        <v>0</v>
      </c>
    </row>
    <row r="21" spans="1:21">
      <c r="A21" s="176" t="s">
        <v>403</v>
      </c>
      <c r="B21" s="179" t="s">
        <v>391</v>
      </c>
      <c r="D21" s="157">
        <f>DATE(15,12,22)</f>
        <v>5835</v>
      </c>
      <c r="E21" s="157">
        <f>DATE(15,12,28)</f>
        <v>5841</v>
      </c>
      <c r="F21" s="180">
        <v>8.5000000000000006E-3</v>
      </c>
      <c r="G21" s="177">
        <v>7500000</v>
      </c>
      <c r="H21" s="177">
        <f t="shared" si="0"/>
        <v>1062.5</v>
      </c>
      <c r="I21" s="181">
        <f t="shared" si="1"/>
        <v>7498937.5</v>
      </c>
      <c r="J21" s="182">
        <f t="shared" si="2"/>
        <v>6</v>
      </c>
      <c r="K21" s="181">
        <f t="shared" si="3"/>
        <v>1062.5</v>
      </c>
      <c r="L21" s="181">
        <f t="shared" si="4"/>
        <v>7498937.5</v>
      </c>
      <c r="M21" s="181">
        <f t="shared" si="5"/>
        <v>1062.5</v>
      </c>
      <c r="N21" s="181">
        <f t="shared" si="6"/>
        <v>7500000</v>
      </c>
      <c r="O21" s="157">
        <f t="shared" si="7"/>
        <v>5835</v>
      </c>
      <c r="P21" s="157">
        <f t="shared" si="8"/>
        <v>5841</v>
      </c>
      <c r="Q21" s="183">
        <f t="shared" si="9"/>
        <v>7500000</v>
      </c>
      <c r="R21" s="183">
        <f t="shared" si="10"/>
        <v>1062.5</v>
      </c>
      <c r="S21" s="183">
        <f t="shared" si="11"/>
        <v>7498937.5</v>
      </c>
      <c r="T21" s="182">
        <f t="shared" si="12"/>
        <v>6</v>
      </c>
      <c r="U21" s="183">
        <f t="shared" si="13"/>
        <v>0</v>
      </c>
    </row>
    <row r="22" spans="1:21">
      <c r="A22" s="176" t="s">
        <v>404</v>
      </c>
      <c r="B22" s="179" t="s">
        <v>391</v>
      </c>
      <c r="D22" s="157">
        <f>DATE(15,12,23)</f>
        <v>5836</v>
      </c>
      <c r="E22" s="157">
        <f>DATE(15,12,30)</f>
        <v>5843</v>
      </c>
      <c r="F22" s="180">
        <v>8.5000000000000006E-3</v>
      </c>
      <c r="G22" s="177">
        <v>5000000</v>
      </c>
      <c r="H22" s="177">
        <f t="shared" si="0"/>
        <v>826.39</v>
      </c>
      <c r="I22" s="181">
        <f t="shared" si="1"/>
        <v>4999173.6100000003</v>
      </c>
      <c r="J22" s="182">
        <f t="shared" si="2"/>
        <v>7</v>
      </c>
      <c r="K22" s="181">
        <f t="shared" si="3"/>
        <v>826.39</v>
      </c>
      <c r="L22" s="181">
        <f t="shared" si="4"/>
        <v>4999173.6100000003</v>
      </c>
      <c r="M22" s="181">
        <f t="shared" si="5"/>
        <v>826.39</v>
      </c>
      <c r="N22" s="181">
        <f t="shared" si="6"/>
        <v>5000000</v>
      </c>
      <c r="O22" s="157">
        <f t="shared" si="7"/>
        <v>5836</v>
      </c>
      <c r="P22" s="157">
        <f t="shared" si="8"/>
        <v>5843</v>
      </c>
      <c r="Q22" s="183">
        <f t="shared" si="9"/>
        <v>5000000</v>
      </c>
      <c r="R22" s="183">
        <f t="shared" si="10"/>
        <v>826.39</v>
      </c>
      <c r="S22" s="183">
        <f t="shared" si="11"/>
        <v>4999173.6100000003</v>
      </c>
      <c r="T22" s="182">
        <f t="shared" si="12"/>
        <v>7</v>
      </c>
      <c r="U22" s="183">
        <f t="shared" si="13"/>
        <v>0</v>
      </c>
    </row>
    <row r="23" spans="1:21">
      <c r="A23" s="176" t="s">
        <v>405</v>
      </c>
      <c r="B23" s="179" t="s">
        <v>391</v>
      </c>
      <c r="D23" s="157">
        <f>DATE(15,12,28)</f>
        <v>5841</v>
      </c>
      <c r="E23" s="157">
        <f>DATE(16,1,4)</f>
        <v>5848</v>
      </c>
      <c r="F23" s="180">
        <v>8.5000000000000006E-3</v>
      </c>
      <c r="G23" s="177">
        <v>3000000</v>
      </c>
      <c r="H23" s="177">
        <f t="shared" si="0"/>
        <v>495.83</v>
      </c>
      <c r="I23" s="181">
        <f t="shared" si="1"/>
        <v>2999504.17</v>
      </c>
      <c r="J23" s="182">
        <f t="shared" si="2"/>
        <v>7</v>
      </c>
      <c r="K23" s="181">
        <f t="shared" si="3"/>
        <v>283.33</v>
      </c>
      <c r="L23" s="181">
        <f t="shared" si="4"/>
        <v>0</v>
      </c>
      <c r="M23" s="181">
        <f t="shared" si="5"/>
        <v>0</v>
      </c>
      <c r="N23" s="181">
        <f t="shared" si="6"/>
        <v>0</v>
      </c>
      <c r="O23" s="157">
        <f t="shared" si="7"/>
        <v>5841</v>
      </c>
      <c r="P23" s="157">
        <f t="shared" si="8"/>
        <v>5845</v>
      </c>
      <c r="Q23" s="183">
        <f t="shared" si="9"/>
        <v>3000000</v>
      </c>
      <c r="R23" s="183">
        <f t="shared" si="10"/>
        <v>495.83</v>
      </c>
      <c r="S23" s="183">
        <f t="shared" si="11"/>
        <v>2999504.17</v>
      </c>
      <c r="T23" s="182">
        <f t="shared" si="12"/>
        <v>7</v>
      </c>
      <c r="U23" s="183">
        <f t="shared" si="13"/>
        <v>212.49857142857144</v>
      </c>
    </row>
    <row r="24" spans="1:21">
      <c r="A24" s="176" t="s">
        <v>406</v>
      </c>
      <c r="B24" s="179" t="s">
        <v>391</v>
      </c>
      <c r="D24" s="157">
        <f>DATE(15,12,29)</f>
        <v>5842</v>
      </c>
      <c r="E24" s="157">
        <f>DATE(16,1,12)</f>
        <v>5856</v>
      </c>
      <c r="F24" s="180">
        <v>8.5000000000000006E-3</v>
      </c>
      <c r="G24" s="177">
        <v>10500000</v>
      </c>
      <c r="H24" s="177">
        <f t="shared" si="0"/>
        <v>3470.83</v>
      </c>
      <c r="I24" s="181">
        <f t="shared" si="1"/>
        <v>10496529.17</v>
      </c>
      <c r="J24" s="182">
        <f t="shared" si="2"/>
        <v>14</v>
      </c>
      <c r="K24" s="181">
        <f t="shared" si="3"/>
        <v>743.75</v>
      </c>
      <c r="L24" s="181">
        <f t="shared" si="4"/>
        <v>0</v>
      </c>
      <c r="M24" s="181">
        <f t="shared" si="5"/>
        <v>0</v>
      </c>
      <c r="N24" s="181">
        <f t="shared" si="6"/>
        <v>0</v>
      </c>
      <c r="O24" s="157">
        <f t="shared" si="7"/>
        <v>5842</v>
      </c>
      <c r="P24" s="157">
        <f t="shared" si="8"/>
        <v>5845</v>
      </c>
      <c r="Q24" s="183">
        <f t="shared" si="9"/>
        <v>10500000</v>
      </c>
      <c r="R24" s="183">
        <f t="shared" si="10"/>
        <v>3470.83</v>
      </c>
      <c r="S24" s="183">
        <f t="shared" si="11"/>
        <v>10496529.17</v>
      </c>
      <c r="T24" s="182">
        <f t="shared" si="12"/>
        <v>14</v>
      </c>
      <c r="U24" s="183">
        <f t="shared" si="13"/>
        <v>2727.0807142857143</v>
      </c>
    </row>
    <row r="25" spans="1:21">
      <c r="A25" s="176" t="s">
        <v>407</v>
      </c>
      <c r="B25" s="179" t="s">
        <v>391</v>
      </c>
      <c r="D25" s="157">
        <f>DATE(15,12,30)</f>
        <v>5843</v>
      </c>
      <c r="E25" s="157">
        <f>DATE(16,1,8)</f>
        <v>5852</v>
      </c>
      <c r="F25" s="180">
        <v>8.0000000000000002E-3</v>
      </c>
      <c r="G25" s="177">
        <v>4000000</v>
      </c>
      <c r="H25" s="177">
        <f>ROUND(G25*F25/360*J25,2)</f>
        <v>800</v>
      </c>
      <c r="I25" s="181">
        <f>(G25-H25)</f>
        <v>3999200</v>
      </c>
      <c r="J25" s="182">
        <f>E25-D25</f>
        <v>9</v>
      </c>
      <c r="K25" s="181">
        <f>IF(O25&lt;P25,ROUND(H25*(P25-O25)/J25,2),0)</f>
        <v>177.78</v>
      </c>
      <c r="L25" s="181">
        <f>N25-M25</f>
        <v>0</v>
      </c>
      <c r="M25" s="181">
        <f>IF(AND($E25&lt;=$D$2,$E25&gt;$D$1),H25,0)</f>
        <v>0</v>
      </c>
      <c r="N25" s="181">
        <f>IF(AND($E25&lt;=$D$2,$E25&gt;$D$1),G25,0)</f>
        <v>0</v>
      </c>
      <c r="O25" s="157">
        <f>IF(D25&lt;=$D$1,$D$1+1,D25)</f>
        <v>5843</v>
      </c>
      <c r="P25" s="157">
        <f>IF(E25&gt;$D$2,$D$2+1,E25)</f>
        <v>5845</v>
      </c>
      <c r="Q25" s="183">
        <f>IF(AND(D25&gt;$D$1,D25&lt;=$D$2),G25,"")</f>
        <v>4000000</v>
      </c>
      <c r="R25" s="183">
        <f>IF($Q25&lt;&gt;0,H25,0)</f>
        <v>800</v>
      </c>
      <c r="S25" s="183">
        <f>Q25-R25</f>
        <v>3999200</v>
      </c>
      <c r="T25" s="182">
        <f>IF($Q25&lt;&gt;0,J25,0)</f>
        <v>9</v>
      </c>
      <c r="U25" s="183">
        <f>IF(E25&gt;$D$2,(E25-P25)*H25/J25,0)</f>
        <v>622.22222222222217</v>
      </c>
    </row>
    <row r="26" spans="1:21">
      <c r="A26" s="176" t="s">
        <v>408</v>
      </c>
      <c r="B26" s="179" t="s">
        <v>391</v>
      </c>
      <c r="D26" s="157">
        <f>DATE(15,12,31)</f>
        <v>5844</v>
      </c>
      <c r="E26" s="157">
        <f>DATE(16,1,15)</f>
        <v>5859</v>
      </c>
      <c r="F26" s="180">
        <v>8.5000000000000006E-3</v>
      </c>
      <c r="G26" s="177">
        <v>7500000</v>
      </c>
      <c r="H26" s="177">
        <f>ROUND(G26*F26/360*J26,2)</f>
        <v>2656.25</v>
      </c>
      <c r="I26" s="181">
        <f>(G26-H26)</f>
        <v>7497343.75</v>
      </c>
      <c r="J26" s="182">
        <f>E26-D26</f>
        <v>15</v>
      </c>
      <c r="K26" s="181">
        <f>IF(O26&lt;P26,ROUND(H26*(P26-O26)/J26,2),0)</f>
        <v>177.08</v>
      </c>
      <c r="L26" s="181">
        <f>N26-M26</f>
        <v>0</v>
      </c>
      <c r="M26" s="181">
        <f>IF(AND($E26&lt;=$D$2,$E26&gt;$D$1),H26,0)</f>
        <v>0</v>
      </c>
      <c r="N26" s="181">
        <f>IF(AND($E26&lt;=$D$2,$E26&gt;$D$1),G26,0)</f>
        <v>0</v>
      </c>
      <c r="O26" s="157">
        <f>IF(D26&lt;=$D$1,$D$1+1,D26)</f>
        <v>5844</v>
      </c>
      <c r="P26" s="157">
        <f>IF(E26&gt;$D$2,$D$2+1,E26)</f>
        <v>5845</v>
      </c>
      <c r="Q26" s="183">
        <f>IF(AND(D26&gt;$D$1,D26&lt;=$D$2),G26,"")</f>
        <v>7500000</v>
      </c>
      <c r="R26" s="183">
        <f>IF($Q26&lt;&gt;0,H26,0)</f>
        <v>2656.25</v>
      </c>
      <c r="S26" s="183">
        <f>Q26-R26</f>
        <v>7497343.75</v>
      </c>
      <c r="T26" s="182">
        <f>IF($Q26&lt;&gt;0,J26,0)</f>
        <v>15</v>
      </c>
      <c r="U26" s="183">
        <f>IF(E26&gt;$D$2,(E26-P26)*H26/J26,0)</f>
        <v>2479.1666666666665</v>
      </c>
    </row>
    <row r="27" spans="1:21">
      <c r="B27" s="179"/>
      <c r="D27" s="157"/>
      <c r="E27" s="157"/>
      <c r="F27" s="180"/>
      <c r="I27" s="181"/>
      <c r="J27" s="182"/>
      <c r="K27" s="181"/>
      <c r="L27" s="181"/>
      <c r="M27" s="181"/>
      <c r="N27" s="181"/>
      <c r="O27" s="157"/>
      <c r="P27" s="157"/>
      <c r="Q27" s="183"/>
      <c r="R27" s="183"/>
      <c r="S27" s="183"/>
      <c r="T27" s="182"/>
      <c r="U27" s="183"/>
    </row>
    <row r="28" spans="1:21">
      <c r="A28" s="184"/>
      <c r="B28" s="185"/>
      <c r="C28" s="185"/>
      <c r="D28" s="186"/>
      <c r="E28" s="186"/>
      <c r="F28" s="187"/>
      <c r="G28" s="185"/>
      <c r="H28" s="188"/>
      <c r="I28" s="181">
        <f>(G28-H28)</f>
        <v>0</v>
      </c>
      <c r="J28" s="182">
        <f>E28-D28</f>
        <v>0</v>
      </c>
      <c r="K28" s="181">
        <f>IF(O28&lt;P28,ROUND(H28*(P28-O28)/J28,2),0)</f>
        <v>0</v>
      </c>
      <c r="L28" s="181">
        <f>N28-M28</f>
        <v>0</v>
      </c>
      <c r="M28" s="181">
        <f>IF(AND($E28&lt;=$D$2,$E28&gt;$D$1),H28,0)</f>
        <v>0</v>
      </c>
      <c r="N28" s="181">
        <f>IF(AND($E28&lt;=$D$2,$E28&gt;$D$1),G28,0)</f>
        <v>0</v>
      </c>
      <c r="O28" s="157"/>
      <c r="P28" s="157"/>
      <c r="Q28" s="183" t="str">
        <f>IF(AND(D28&gt;$D$1,D28&lt;=$D$2),G28,"")</f>
        <v/>
      </c>
      <c r="R28" s="183"/>
      <c r="S28" s="183">
        <f>Q28-R28</f>
        <v>0</v>
      </c>
      <c r="T28" s="182"/>
      <c r="U28" s="183"/>
    </row>
    <row r="29" spans="1:21" ht="13.5" thickBot="1">
      <c r="A29" s="189"/>
      <c r="B29" s="190"/>
      <c r="C29" s="190"/>
      <c r="D29" s="191"/>
      <c r="E29" s="191"/>
      <c r="F29" s="191"/>
      <c r="G29" s="192"/>
      <c r="H29" s="193"/>
      <c r="I29" s="193"/>
      <c r="J29" s="190"/>
      <c r="K29" s="194">
        <f>SUM(K8:K28)</f>
        <v>12406.67</v>
      </c>
      <c r="L29" s="194">
        <f>SUM(L8:L28)</f>
        <v>79988869.719999999</v>
      </c>
      <c r="M29" s="194">
        <f>SUM(M8:M28)</f>
        <v>11130.279999999999</v>
      </c>
      <c r="N29" s="194">
        <f>SUM(N8:N28)</f>
        <v>80000000</v>
      </c>
      <c r="O29" s="190"/>
      <c r="P29" s="190"/>
      <c r="Q29" s="194">
        <f>SUM(Q8:Q28)</f>
        <v>97000000</v>
      </c>
      <c r="R29" s="194">
        <f>SUM(R8:R28)</f>
        <v>17970.97</v>
      </c>
      <c r="S29" s="194">
        <f>SUM(S8:S28)</f>
        <v>96982029.030000001</v>
      </c>
      <c r="T29" s="195"/>
      <c r="U29" s="194">
        <f>SUM(U8:U28)</f>
        <v>6040.9681746031747</v>
      </c>
    </row>
    <row r="30" spans="1:21" ht="13.5" thickTop="1">
      <c r="F30" s="180"/>
    </row>
    <row r="31" spans="1:21">
      <c r="F31" s="180"/>
    </row>
    <row r="32" spans="1:21">
      <c r="F32" s="180"/>
    </row>
    <row r="33" spans="6:11">
      <c r="F33" s="180"/>
    </row>
    <row r="34" spans="6:11">
      <c r="F34" s="180"/>
    </row>
    <row r="35" spans="6:11">
      <c r="F35" s="180"/>
    </row>
    <row r="36" spans="6:11">
      <c r="F36" s="180"/>
    </row>
    <row r="37" spans="6:11">
      <c r="F37" s="180"/>
    </row>
    <row r="38" spans="6:11">
      <c r="F38" s="180"/>
    </row>
    <row r="39" spans="6:11">
      <c r="F39" s="180"/>
      <c r="H39" s="196"/>
      <c r="K39" s="197"/>
    </row>
    <row r="40" spans="6:11">
      <c r="H40" s="196"/>
      <c r="K40" s="197"/>
    </row>
    <row r="41" spans="6:11">
      <c r="H41" s="196"/>
      <c r="K41" s="197"/>
    </row>
    <row r="42" spans="6:11">
      <c r="H42" s="196"/>
      <c r="K42" s="197"/>
    </row>
    <row r="43" spans="6:11">
      <c r="H43" s="198"/>
      <c r="K43" s="197"/>
    </row>
    <row r="44" spans="6:11">
      <c r="H44" s="198"/>
    </row>
    <row r="45" spans="6:11">
      <c r="H45" s="198"/>
    </row>
    <row r="46" spans="6:11">
      <c r="H46" s="198"/>
    </row>
  </sheetData>
  <pageMargins left="0.28999999999999998" right="0.25" top="0.21" bottom="0.22" header="0.25" footer="0.22"/>
  <pageSetup scale="90" orientation="portrait" horizontalDpi="300" verticalDpi="300" r:id="rId1"/>
  <headerFooter alignWithMargins="0">
    <oddFooter>&amp;C&amp;"Times New Roman,Regular"&amp;10&amp;Z&amp;F
Prepared by Melody Wright &amp;D&amp;R&amp;"Times New Roman,Regular"&amp;10Page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3]!printall.printall">
                <anchor moveWithCells="1" sizeWithCells="1">
                  <from>
                    <xdr:col>6</xdr:col>
                    <xdr:colOff>495300</xdr:colOff>
                    <xdr:row>0</xdr:row>
                    <xdr:rowOff>133350</xdr:rowOff>
                  </from>
                  <to>
                    <xdr:col>7</xdr:col>
                    <xdr:colOff>733425</xdr:colOff>
                    <xdr:row>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RowHeight="15"/>
  <cols>
    <col min="1" max="1" width="45.7109375" bestFit="1" customWidth="1"/>
    <col min="2" max="2" width="8.5703125" bestFit="1" customWidth="1"/>
    <col min="3" max="4" width="12.7109375" bestFit="1" customWidth="1"/>
    <col min="5" max="5" width="11.28515625" bestFit="1" customWidth="1"/>
  </cols>
  <sheetData>
    <row r="1" spans="1:3">
      <c r="A1" s="2" t="s">
        <v>25</v>
      </c>
      <c r="B1" s="3"/>
      <c r="C1" s="14">
        <v>2016</v>
      </c>
    </row>
    <row r="2" spans="1:3">
      <c r="A2" s="4" t="s">
        <v>26</v>
      </c>
      <c r="B2" s="5">
        <v>165300</v>
      </c>
      <c r="C2" s="6">
        <v>27268.979999999985</v>
      </c>
    </row>
    <row r="3" spans="1:3">
      <c r="A3" s="4" t="s">
        <v>27</v>
      </c>
      <c r="B3" s="5">
        <v>165300</v>
      </c>
      <c r="C3" s="6">
        <v>42019.66</v>
      </c>
    </row>
    <row r="4" spans="1:3">
      <c r="A4" s="4" t="s">
        <v>27</v>
      </c>
      <c r="B4" s="5">
        <v>165300</v>
      </c>
      <c r="C4" s="6">
        <v>48472.959999999999</v>
      </c>
    </row>
    <row r="5" spans="1:3">
      <c r="A5" s="7" t="s">
        <v>28</v>
      </c>
      <c r="B5" s="8">
        <v>165300</v>
      </c>
      <c r="C5" s="9">
        <v>77805.27999999997</v>
      </c>
    </row>
    <row r="6" spans="1:3">
      <c r="A6" s="4" t="s">
        <v>29</v>
      </c>
      <c r="B6" s="5">
        <v>165300</v>
      </c>
      <c r="C6" s="6">
        <v>11000</v>
      </c>
    </row>
    <row r="7" spans="1:3">
      <c r="A7" s="10" t="s">
        <v>30</v>
      </c>
      <c r="B7" s="5">
        <v>165300</v>
      </c>
      <c r="C7" s="6">
        <v>6419.2</v>
      </c>
    </row>
    <row r="8" spans="1:3">
      <c r="A8" s="4" t="s">
        <v>31</v>
      </c>
      <c r="B8" s="5">
        <v>165300</v>
      </c>
      <c r="C8" s="6">
        <v>14145.68999999999</v>
      </c>
    </row>
    <row r="9" spans="1:3">
      <c r="A9" s="4" t="s">
        <v>31</v>
      </c>
      <c r="B9" s="5">
        <v>165300</v>
      </c>
      <c r="C9" s="6">
        <v>29068.61</v>
      </c>
    </row>
    <row r="10" spans="1:3">
      <c r="A10" s="4" t="s">
        <v>32</v>
      </c>
      <c r="B10" s="5">
        <v>165300</v>
      </c>
      <c r="C10" s="6">
        <v>244187</v>
      </c>
    </row>
    <row r="11" spans="1:3">
      <c r="A11" s="4" t="s">
        <v>32</v>
      </c>
      <c r="B11" s="5">
        <v>165300</v>
      </c>
      <c r="C11" s="6">
        <v>9178.7999999999993</v>
      </c>
    </row>
    <row r="12" spans="1:3">
      <c r="A12" s="4" t="s">
        <v>33</v>
      </c>
      <c r="B12" s="5">
        <v>165300</v>
      </c>
      <c r="C12" s="6">
        <v>21417.200000000001</v>
      </c>
    </row>
    <row r="13" spans="1:3">
      <c r="A13" s="4" t="s">
        <v>26</v>
      </c>
      <c r="B13" s="5">
        <v>165300</v>
      </c>
      <c r="C13" s="6">
        <v>38646.62999999999</v>
      </c>
    </row>
    <row r="14" spans="1:3">
      <c r="A14" s="4" t="s">
        <v>26</v>
      </c>
      <c r="B14" s="5">
        <v>165300</v>
      </c>
      <c r="C14" s="6">
        <v>34687.5</v>
      </c>
    </row>
    <row r="15" spans="1:3">
      <c r="A15" s="4" t="s">
        <v>34</v>
      </c>
      <c r="B15" s="5">
        <v>165300</v>
      </c>
      <c r="C15" s="6">
        <v>9415.82</v>
      </c>
    </row>
    <row r="16" spans="1:3">
      <c r="A16" s="4" t="s">
        <v>34</v>
      </c>
      <c r="B16" s="5">
        <v>165300</v>
      </c>
      <c r="C16" s="6">
        <v>24100.32</v>
      </c>
    </row>
    <row r="17" spans="1:3">
      <c r="A17" s="4" t="s">
        <v>34</v>
      </c>
      <c r="B17" s="5">
        <v>165300</v>
      </c>
      <c r="C17" s="6">
        <v>20128.599999999999</v>
      </c>
    </row>
    <row r="18" spans="1:3">
      <c r="A18" s="4" t="s">
        <v>35</v>
      </c>
      <c r="B18" s="5">
        <v>165300</v>
      </c>
      <c r="C18" s="6">
        <v>697.22</v>
      </c>
    </row>
    <row r="19" spans="1:3">
      <c r="A19" s="4" t="s">
        <v>36</v>
      </c>
      <c r="B19" s="5">
        <v>165300</v>
      </c>
      <c r="C19" s="6">
        <v>25000</v>
      </c>
    </row>
    <row r="20" spans="1:3">
      <c r="A20" s="4" t="s">
        <v>37</v>
      </c>
      <c r="B20" s="5">
        <v>165300</v>
      </c>
      <c r="C20" s="6">
        <v>102132</v>
      </c>
    </row>
    <row r="21" spans="1:3" ht="15.75" thickBot="1">
      <c r="A21" s="11"/>
      <c r="B21" s="12">
        <v>165300</v>
      </c>
      <c r="C21" s="13">
        <f>SUM(C2:C20)</f>
        <v>785791.46999999974</v>
      </c>
    </row>
    <row r="22" spans="1:3" ht="15.75" thickTop="1">
      <c r="A22" s="11"/>
      <c r="B22" s="20"/>
      <c r="C22" s="21"/>
    </row>
    <row r="24" spans="1:3">
      <c r="C24" s="14">
        <v>2015</v>
      </c>
    </row>
    <row r="25" spans="1:3">
      <c r="A25" s="15" t="s">
        <v>26</v>
      </c>
      <c r="B25" s="16">
        <v>165300</v>
      </c>
      <c r="C25" s="6">
        <v>37504.33</v>
      </c>
    </row>
    <row r="26" spans="1:3">
      <c r="A26" s="15" t="s">
        <v>26</v>
      </c>
      <c r="B26" s="16">
        <v>165300</v>
      </c>
      <c r="C26" s="6">
        <v>26077.05</v>
      </c>
    </row>
    <row r="27" spans="1:3">
      <c r="A27" s="15" t="s">
        <v>27</v>
      </c>
      <c r="B27" s="16">
        <v>165300</v>
      </c>
      <c r="C27" s="6">
        <v>41875.379999999997</v>
      </c>
    </row>
    <row r="28" spans="1:3">
      <c r="A28" s="15" t="s">
        <v>27</v>
      </c>
      <c r="B28" s="16">
        <v>165300</v>
      </c>
      <c r="C28" s="6">
        <v>47840.66</v>
      </c>
    </row>
    <row r="29" spans="1:3">
      <c r="A29" s="15" t="s">
        <v>28</v>
      </c>
      <c r="B29" s="16">
        <v>165300</v>
      </c>
      <c r="C29" s="6">
        <v>70732.33</v>
      </c>
    </row>
    <row r="30" spans="1:3">
      <c r="A30" s="15" t="s">
        <v>29</v>
      </c>
      <c r="B30" s="16">
        <v>165300</v>
      </c>
      <c r="C30" s="6">
        <v>155974.78</v>
      </c>
    </row>
    <row r="31" spans="1:3">
      <c r="A31" s="17" t="s">
        <v>39</v>
      </c>
      <c r="B31" s="16">
        <v>165300</v>
      </c>
      <c r="C31" s="6">
        <v>3785</v>
      </c>
    </row>
    <row r="32" spans="1:3">
      <c r="A32" s="15" t="s">
        <v>38</v>
      </c>
      <c r="B32" s="16">
        <v>165300</v>
      </c>
      <c r="C32" s="6">
        <v>5861.27</v>
      </c>
    </row>
    <row r="33" spans="1:3">
      <c r="A33" s="15" t="s">
        <v>31</v>
      </c>
      <c r="B33" s="16">
        <v>165300</v>
      </c>
      <c r="C33" s="6">
        <v>16990.45</v>
      </c>
    </row>
    <row r="34" spans="1:3">
      <c r="A34" s="15" t="s">
        <v>31</v>
      </c>
      <c r="B34" s="16">
        <v>165300</v>
      </c>
      <c r="C34" s="6">
        <v>1386.69</v>
      </c>
    </row>
    <row r="35" spans="1:3">
      <c r="A35" s="15" t="s">
        <v>31</v>
      </c>
      <c r="B35" s="16">
        <v>165300</v>
      </c>
      <c r="C35" s="6">
        <v>2548</v>
      </c>
    </row>
    <row r="36" spans="1:3">
      <c r="A36" s="15" t="s">
        <v>31</v>
      </c>
      <c r="B36" s="16">
        <v>165300</v>
      </c>
      <c r="C36" s="6">
        <v>32010.39</v>
      </c>
    </row>
    <row r="37" spans="1:3">
      <c r="A37" s="15" t="s">
        <v>32</v>
      </c>
      <c r="B37" s="16">
        <v>165300</v>
      </c>
      <c r="C37" s="6">
        <v>237075</v>
      </c>
    </row>
    <row r="38" spans="1:3">
      <c r="A38" s="15" t="s">
        <v>32</v>
      </c>
      <c r="B38" s="16">
        <v>165300</v>
      </c>
      <c r="C38" s="6">
        <v>8911.5</v>
      </c>
    </row>
    <row r="39" spans="1:3">
      <c r="A39" s="15" t="s">
        <v>33</v>
      </c>
      <c r="B39" s="16">
        <v>165300</v>
      </c>
      <c r="C39" s="6">
        <v>20793.5</v>
      </c>
    </row>
    <row r="40" spans="1:3" ht="15.75" thickBot="1">
      <c r="A40" s="18"/>
      <c r="B40" s="19">
        <v>165300</v>
      </c>
      <c r="C40" s="13">
        <f>SUM(C25:C39)</f>
        <v>709366.33000000007</v>
      </c>
    </row>
    <row r="41" spans="1:3" ht="15.75" thickTop="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topLeftCell="A2" workbookViewId="0">
      <selection activeCell="A2" sqref="A2"/>
    </sheetView>
  </sheetViews>
  <sheetFormatPr defaultColWidth="10.28515625" defaultRowHeight="12.75"/>
  <cols>
    <col min="1" max="1" width="14.7109375" style="202" customWidth="1"/>
    <col min="2" max="2" width="10.140625" style="202" bestFit="1" customWidth="1"/>
    <col min="3" max="3" width="14" style="201" bestFit="1" customWidth="1"/>
    <col min="4" max="4" width="29.140625" style="202" bestFit="1" customWidth="1"/>
    <col min="5" max="5" width="7.140625" style="202" bestFit="1" customWidth="1"/>
    <col min="6" max="6" width="8.42578125" style="202" bestFit="1" customWidth="1"/>
    <col min="7" max="7" width="5.42578125" style="202" bestFit="1" customWidth="1"/>
    <col min="8" max="8" width="6.42578125" style="202" bestFit="1" customWidth="1"/>
    <col min="9" max="9" width="5.42578125" style="202" bestFit="1" customWidth="1"/>
    <col min="10" max="256" width="10.28515625" style="202"/>
    <col min="257" max="257" width="14.7109375" style="202" customWidth="1"/>
    <col min="258" max="258" width="10.140625" style="202" bestFit="1" customWidth="1"/>
    <col min="259" max="259" width="14" style="202" bestFit="1" customWidth="1"/>
    <col min="260" max="260" width="29.140625" style="202" bestFit="1" customWidth="1"/>
    <col min="261" max="261" width="7.140625" style="202" bestFit="1" customWidth="1"/>
    <col min="262" max="262" width="8.42578125" style="202" bestFit="1" customWidth="1"/>
    <col min="263" max="263" width="5.42578125" style="202" bestFit="1" customWidth="1"/>
    <col min="264" max="264" width="6.42578125" style="202" bestFit="1" customWidth="1"/>
    <col min="265" max="265" width="5.42578125" style="202" bestFit="1" customWidth="1"/>
    <col min="266" max="512" width="10.28515625" style="202"/>
    <col min="513" max="513" width="14.7109375" style="202" customWidth="1"/>
    <col min="514" max="514" width="10.140625" style="202" bestFit="1" customWidth="1"/>
    <col min="515" max="515" width="14" style="202" bestFit="1" customWidth="1"/>
    <col min="516" max="516" width="29.140625" style="202" bestFit="1" customWidth="1"/>
    <col min="517" max="517" width="7.140625" style="202" bestFit="1" customWidth="1"/>
    <col min="518" max="518" width="8.42578125" style="202" bestFit="1" customWidth="1"/>
    <col min="519" max="519" width="5.42578125" style="202" bestFit="1" customWidth="1"/>
    <col min="520" max="520" width="6.42578125" style="202" bestFit="1" customWidth="1"/>
    <col min="521" max="521" width="5.42578125" style="202" bestFit="1" customWidth="1"/>
    <col min="522" max="768" width="10.28515625" style="202"/>
    <col min="769" max="769" width="14.7109375" style="202" customWidth="1"/>
    <col min="770" max="770" width="10.140625" style="202" bestFit="1" customWidth="1"/>
    <col min="771" max="771" width="14" style="202" bestFit="1" customWidth="1"/>
    <col min="772" max="772" width="29.140625" style="202" bestFit="1" customWidth="1"/>
    <col min="773" max="773" width="7.140625" style="202" bestFit="1" customWidth="1"/>
    <col min="774" max="774" width="8.42578125" style="202" bestFit="1" customWidth="1"/>
    <col min="775" max="775" width="5.42578125" style="202" bestFit="1" customWidth="1"/>
    <col min="776" max="776" width="6.42578125" style="202" bestFit="1" customWidth="1"/>
    <col min="777" max="777" width="5.42578125" style="202" bestFit="1" customWidth="1"/>
    <col min="778" max="1024" width="10.28515625" style="202"/>
    <col min="1025" max="1025" width="14.7109375" style="202" customWidth="1"/>
    <col min="1026" max="1026" width="10.140625" style="202" bestFit="1" customWidth="1"/>
    <col min="1027" max="1027" width="14" style="202" bestFit="1" customWidth="1"/>
    <col min="1028" max="1028" width="29.140625" style="202" bestFit="1" customWidth="1"/>
    <col min="1029" max="1029" width="7.140625" style="202" bestFit="1" customWidth="1"/>
    <col min="1030" max="1030" width="8.42578125" style="202" bestFit="1" customWidth="1"/>
    <col min="1031" max="1031" width="5.42578125" style="202" bestFit="1" customWidth="1"/>
    <col min="1032" max="1032" width="6.42578125" style="202" bestFit="1" customWidth="1"/>
    <col min="1033" max="1033" width="5.42578125" style="202" bestFit="1" customWidth="1"/>
    <col min="1034" max="1280" width="10.28515625" style="202"/>
    <col min="1281" max="1281" width="14.7109375" style="202" customWidth="1"/>
    <col min="1282" max="1282" width="10.140625" style="202" bestFit="1" customWidth="1"/>
    <col min="1283" max="1283" width="14" style="202" bestFit="1" customWidth="1"/>
    <col min="1284" max="1284" width="29.140625" style="202" bestFit="1" customWidth="1"/>
    <col min="1285" max="1285" width="7.140625" style="202" bestFit="1" customWidth="1"/>
    <col min="1286" max="1286" width="8.42578125" style="202" bestFit="1" customWidth="1"/>
    <col min="1287" max="1287" width="5.42578125" style="202" bestFit="1" customWidth="1"/>
    <col min="1288" max="1288" width="6.42578125" style="202" bestFit="1" customWidth="1"/>
    <col min="1289" max="1289" width="5.42578125" style="202" bestFit="1" customWidth="1"/>
    <col min="1290" max="1536" width="10.28515625" style="202"/>
    <col min="1537" max="1537" width="14.7109375" style="202" customWidth="1"/>
    <col min="1538" max="1538" width="10.140625" style="202" bestFit="1" customWidth="1"/>
    <col min="1539" max="1539" width="14" style="202" bestFit="1" customWidth="1"/>
    <col min="1540" max="1540" width="29.140625" style="202" bestFit="1" customWidth="1"/>
    <col min="1541" max="1541" width="7.140625" style="202" bestFit="1" customWidth="1"/>
    <col min="1542" max="1542" width="8.42578125" style="202" bestFit="1" customWidth="1"/>
    <col min="1543" max="1543" width="5.42578125" style="202" bestFit="1" customWidth="1"/>
    <col min="1544" max="1544" width="6.42578125" style="202" bestFit="1" customWidth="1"/>
    <col min="1545" max="1545" width="5.42578125" style="202" bestFit="1" customWidth="1"/>
    <col min="1546" max="1792" width="10.28515625" style="202"/>
    <col min="1793" max="1793" width="14.7109375" style="202" customWidth="1"/>
    <col min="1794" max="1794" width="10.140625" style="202" bestFit="1" customWidth="1"/>
    <col min="1795" max="1795" width="14" style="202" bestFit="1" customWidth="1"/>
    <col min="1796" max="1796" width="29.140625" style="202" bestFit="1" customWidth="1"/>
    <col min="1797" max="1797" width="7.140625" style="202" bestFit="1" customWidth="1"/>
    <col min="1798" max="1798" width="8.42578125" style="202" bestFit="1" customWidth="1"/>
    <col min="1799" max="1799" width="5.42578125" style="202" bestFit="1" customWidth="1"/>
    <col min="1800" max="1800" width="6.42578125" style="202" bestFit="1" customWidth="1"/>
    <col min="1801" max="1801" width="5.42578125" style="202" bestFit="1" customWidth="1"/>
    <col min="1802" max="2048" width="10.28515625" style="202"/>
    <col min="2049" max="2049" width="14.7109375" style="202" customWidth="1"/>
    <col min="2050" max="2050" width="10.140625" style="202" bestFit="1" customWidth="1"/>
    <col min="2051" max="2051" width="14" style="202" bestFit="1" customWidth="1"/>
    <col min="2052" max="2052" width="29.140625" style="202" bestFit="1" customWidth="1"/>
    <col min="2053" max="2053" width="7.140625" style="202" bestFit="1" customWidth="1"/>
    <col min="2054" max="2054" width="8.42578125" style="202" bestFit="1" customWidth="1"/>
    <col min="2055" max="2055" width="5.42578125" style="202" bestFit="1" customWidth="1"/>
    <col min="2056" max="2056" width="6.42578125" style="202" bestFit="1" customWidth="1"/>
    <col min="2057" max="2057" width="5.42578125" style="202" bestFit="1" customWidth="1"/>
    <col min="2058" max="2304" width="10.28515625" style="202"/>
    <col min="2305" max="2305" width="14.7109375" style="202" customWidth="1"/>
    <col min="2306" max="2306" width="10.140625" style="202" bestFit="1" customWidth="1"/>
    <col min="2307" max="2307" width="14" style="202" bestFit="1" customWidth="1"/>
    <col min="2308" max="2308" width="29.140625" style="202" bestFit="1" customWidth="1"/>
    <col min="2309" max="2309" width="7.140625" style="202" bestFit="1" customWidth="1"/>
    <col min="2310" max="2310" width="8.42578125" style="202" bestFit="1" customWidth="1"/>
    <col min="2311" max="2311" width="5.42578125" style="202" bestFit="1" customWidth="1"/>
    <col min="2312" max="2312" width="6.42578125" style="202" bestFit="1" customWidth="1"/>
    <col min="2313" max="2313" width="5.42578125" style="202" bestFit="1" customWidth="1"/>
    <col min="2314" max="2560" width="10.28515625" style="202"/>
    <col min="2561" max="2561" width="14.7109375" style="202" customWidth="1"/>
    <col min="2562" max="2562" width="10.140625" style="202" bestFit="1" customWidth="1"/>
    <col min="2563" max="2563" width="14" style="202" bestFit="1" customWidth="1"/>
    <col min="2564" max="2564" width="29.140625" style="202" bestFit="1" customWidth="1"/>
    <col min="2565" max="2565" width="7.140625" style="202" bestFit="1" customWidth="1"/>
    <col min="2566" max="2566" width="8.42578125" style="202" bestFit="1" customWidth="1"/>
    <col min="2567" max="2567" width="5.42578125" style="202" bestFit="1" customWidth="1"/>
    <col min="2568" max="2568" width="6.42578125" style="202" bestFit="1" customWidth="1"/>
    <col min="2569" max="2569" width="5.42578125" style="202" bestFit="1" customWidth="1"/>
    <col min="2570" max="2816" width="10.28515625" style="202"/>
    <col min="2817" max="2817" width="14.7109375" style="202" customWidth="1"/>
    <col min="2818" max="2818" width="10.140625" style="202" bestFit="1" customWidth="1"/>
    <col min="2819" max="2819" width="14" style="202" bestFit="1" customWidth="1"/>
    <col min="2820" max="2820" width="29.140625" style="202" bestFit="1" customWidth="1"/>
    <col min="2821" max="2821" width="7.140625" style="202" bestFit="1" customWidth="1"/>
    <col min="2822" max="2822" width="8.42578125" style="202" bestFit="1" customWidth="1"/>
    <col min="2823" max="2823" width="5.42578125" style="202" bestFit="1" customWidth="1"/>
    <col min="2824" max="2824" width="6.42578125" style="202" bestFit="1" customWidth="1"/>
    <col min="2825" max="2825" width="5.42578125" style="202" bestFit="1" customWidth="1"/>
    <col min="2826" max="3072" width="10.28515625" style="202"/>
    <col min="3073" max="3073" width="14.7109375" style="202" customWidth="1"/>
    <col min="3074" max="3074" width="10.140625" style="202" bestFit="1" customWidth="1"/>
    <col min="3075" max="3075" width="14" style="202" bestFit="1" customWidth="1"/>
    <col min="3076" max="3076" width="29.140625" style="202" bestFit="1" customWidth="1"/>
    <col min="3077" max="3077" width="7.140625" style="202" bestFit="1" customWidth="1"/>
    <col min="3078" max="3078" width="8.42578125" style="202" bestFit="1" customWidth="1"/>
    <col min="3079" max="3079" width="5.42578125" style="202" bestFit="1" customWidth="1"/>
    <col min="3080" max="3080" width="6.42578125" style="202" bestFit="1" customWidth="1"/>
    <col min="3081" max="3081" width="5.42578125" style="202" bestFit="1" customWidth="1"/>
    <col min="3082" max="3328" width="10.28515625" style="202"/>
    <col min="3329" max="3329" width="14.7109375" style="202" customWidth="1"/>
    <col min="3330" max="3330" width="10.140625" style="202" bestFit="1" customWidth="1"/>
    <col min="3331" max="3331" width="14" style="202" bestFit="1" customWidth="1"/>
    <col min="3332" max="3332" width="29.140625" style="202" bestFit="1" customWidth="1"/>
    <col min="3333" max="3333" width="7.140625" style="202" bestFit="1" customWidth="1"/>
    <col min="3334" max="3334" width="8.42578125" style="202" bestFit="1" customWidth="1"/>
    <col min="3335" max="3335" width="5.42578125" style="202" bestFit="1" customWidth="1"/>
    <col min="3336" max="3336" width="6.42578125" style="202" bestFit="1" customWidth="1"/>
    <col min="3337" max="3337" width="5.42578125" style="202" bestFit="1" customWidth="1"/>
    <col min="3338" max="3584" width="10.28515625" style="202"/>
    <col min="3585" max="3585" width="14.7109375" style="202" customWidth="1"/>
    <col min="3586" max="3586" width="10.140625" style="202" bestFit="1" customWidth="1"/>
    <col min="3587" max="3587" width="14" style="202" bestFit="1" customWidth="1"/>
    <col min="3588" max="3588" width="29.140625" style="202" bestFit="1" customWidth="1"/>
    <col min="3589" max="3589" width="7.140625" style="202" bestFit="1" customWidth="1"/>
    <col min="3590" max="3590" width="8.42578125" style="202" bestFit="1" customWidth="1"/>
    <col min="3591" max="3591" width="5.42578125" style="202" bestFit="1" customWidth="1"/>
    <col min="3592" max="3592" width="6.42578125" style="202" bestFit="1" customWidth="1"/>
    <col min="3593" max="3593" width="5.42578125" style="202" bestFit="1" customWidth="1"/>
    <col min="3594" max="3840" width="10.28515625" style="202"/>
    <col min="3841" max="3841" width="14.7109375" style="202" customWidth="1"/>
    <col min="3842" max="3842" width="10.140625" style="202" bestFit="1" customWidth="1"/>
    <col min="3843" max="3843" width="14" style="202" bestFit="1" customWidth="1"/>
    <col min="3844" max="3844" width="29.140625" style="202" bestFit="1" customWidth="1"/>
    <col min="3845" max="3845" width="7.140625" style="202" bestFit="1" customWidth="1"/>
    <col min="3846" max="3846" width="8.42578125" style="202" bestFit="1" customWidth="1"/>
    <col min="3847" max="3847" width="5.42578125" style="202" bestFit="1" customWidth="1"/>
    <col min="3848" max="3848" width="6.42578125" style="202" bestFit="1" customWidth="1"/>
    <col min="3849" max="3849" width="5.42578125" style="202" bestFit="1" customWidth="1"/>
    <col min="3850" max="4096" width="10.28515625" style="202"/>
    <col min="4097" max="4097" width="14.7109375" style="202" customWidth="1"/>
    <col min="4098" max="4098" width="10.140625" style="202" bestFit="1" customWidth="1"/>
    <col min="4099" max="4099" width="14" style="202" bestFit="1" customWidth="1"/>
    <col min="4100" max="4100" width="29.140625" style="202" bestFit="1" customWidth="1"/>
    <col min="4101" max="4101" width="7.140625" style="202" bestFit="1" customWidth="1"/>
    <col min="4102" max="4102" width="8.42578125" style="202" bestFit="1" customWidth="1"/>
    <col min="4103" max="4103" width="5.42578125" style="202" bestFit="1" customWidth="1"/>
    <col min="4104" max="4104" width="6.42578125" style="202" bestFit="1" customWidth="1"/>
    <col min="4105" max="4105" width="5.42578125" style="202" bestFit="1" customWidth="1"/>
    <col min="4106" max="4352" width="10.28515625" style="202"/>
    <col min="4353" max="4353" width="14.7109375" style="202" customWidth="1"/>
    <col min="4354" max="4354" width="10.140625" style="202" bestFit="1" customWidth="1"/>
    <col min="4355" max="4355" width="14" style="202" bestFit="1" customWidth="1"/>
    <col min="4356" max="4356" width="29.140625" style="202" bestFit="1" customWidth="1"/>
    <col min="4357" max="4357" width="7.140625" style="202" bestFit="1" customWidth="1"/>
    <col min="4358" max="4358" width="8.42578125" style="202" bestFit="1" customWidth="1"/>
    <col min="4359" max="4359" width="5.42578125" style="202" bestFit="1" customWidth="1"/>
    <col min="4360" max="4360" width="6.42578125" style="202" bestFit="1" customWidth="1"/>
    <col min="4361" max="4361" width="5.42578125" style="202" bestFit="1" customWidth="1"/>
    <col min="4362" max="4608" width="10.28515625" style="202"/>
    <col min="4609" max="4609" width="14.7109375" style="202" customWidth="1"/>
    <col min="4610" max="4610" width="10.140625" style="202" bestFit="1" customWidth="1"/>
    <col min="4611" max="4611" width="14" style="202" bestFit="1" customWidth="1"/>
    <col min="4612" max="4612" width="29.140625" style="202" bestFit="1" customWidth="1"/>
    <col min="4613" max="4613" width="7.140625" style="202" bestFit="1" customWidth="1"/>
    <col min="4614" max="4614" width="8.42578125" style="202" bestFit="1" customWidth="1"/>
    <col min="4615" max="4615" width="5.42578125" style="202" bestFit="1" customWidth="1"/>
    <col min="4616" max="4616" width="6.42578125" style="202" bestFit="1" customWidth="1"/>
    <col min="4617" max="4617" width="5.42578125" style="202" bestFit="1" customWidth="1"/>
    <col min="4618" max="4864" width="10.28515625" style="202"/>
    <col min="4865" max="4865" width="14.7109375" style="202" customWidth="1"/>
    <col min="4866" max="4866" width="10.140625" style="202" bestFit="1" customWidth="1"/>
    <col min="4867" max="4867" width="14" style="202" bestFit="1" customWidth="1"/>
    <col min="4868" max="4868" width="29.140625" style="202" bestFit="1" customWidth="1"/>
    <col min="4869" max="4869" width="7.140625" style="202" bestFit="1" customWidth="1"/>
    <col min="4870" max="4870" width="8.42578125" style="202" bestFit="1" customWidth="1"/>
    <col min="4871" max="4871" width="5.42578125" style="202" bestFit="1" customWidth="1"/>
    <col min="4872" max="4872" width="6.42578125" style="202" bestFit="1" customWidth="1"/>
    <col min="4873" max="4873" width="5.42578125" style="202" bestFit="1" customWidth="1"/>
    <col min="4874" max="5120" width="10.28515625" style="202"/>
    <col min="5121" max="5121" width="14.7109375" style="202" customWidth="1"/>
    <col min="5122" max="5122" width="10.140625" style="202" bestFit="1" customWidth="1"/>
    <col min="5123" max="5123" width="14" style="202" bestFit="1" customWidth="1"/>
    <col min="5124" max="5124" width="29.140625" style="202" bestFit="1" customWidth="1"/>
    <col min="5125" max="5125" width="7.140625" style="202" bestFit="1" customWidth="1"/>
    <col min="5126" max="5126" width="8.42578125" style="202" bestFit="1" customWidth="1"/>
    <col min="5127" max="5127" width="5.42578125" style="202" bestFit="1" customWidth="1"/>
    <col min="5128" max="5128" width="6.42578125" style="202" bestFit="1" customWidth="1"/>
    <col min="5129" max="5129" width="5.42578125" style="202" bestFit="1" customWidth="1"/>
    <col min="5130" max="5376" width="10.28515625" style="202"/>
    <col min="5377" max="5377" width="14.7109375" style="202" customWidth="1"/>
    <col min="5378" max="5378" width="10.140625" style="202" bestFit="1" customWidth="1"/>
    <col min="5379" max="5379" width="14" style="202" bestFit="1" customWidth="1"/>
    <col min="5380" max="5380" width="29.140625" style="202" bestFit="1" customWidth="1"/>
    <col min="5381" max="5381" width="7.140625" style="202" bestFit="1" customWidth="1"/>
    <col min="5382" max="5382" width="8.42578125" style="202" bestFit="1" customWidth="1"/>
    <col min="5383" max="5383" width="5.42578125" style="202" bestFit="1" customWidth="1"/>
    <col min="5384" max="5384" width="6.42578125" style="202" bestFit="1" customWidth="1"/>
    <col min="5385" max="5385" width="5.42578125" style="202" bestFit="1" customWidth="1"/>
    <col min="5386" max="5632" width="10.28515625" style="202"/>
    <col min="5633" max="5633" width="14.7109375" style="202" customWidth="1"/>
    <col min="5634" max="5634" width="10.140625" style="202" bestFit="1" customWidth="1"/>
    <col min="5635" max="5635" width="14" style="202" bestFit="1" customWidth="1"/>
    <col min="5636" max="5636" width="29.140625" style="202" bestFit="1" customWidth="1"/>
    <col min="5637" max="5637" width="7.140625" style="202" bestFit="1" customWidth="1"/>
    <col min="5638" max="5638" width="8.42578125" style="202" bestFit="1" customWidth="1"/>
    <col min="5639" max="5639" width="5.42578125" style="202" bestFit="1" customWidth="1"/>
    <col min="5640" max="5640" width="6.42578125" style="202" bestFit="1" customWidth="1"/>
    <col min="5641" max="5641" width="5.42578125" style="202" bestFit="1" customWidth="1"/>
    <col min="5642" max="5888" width="10.28515625" style="202"/>
    <col min="5889" max="5889" width="14.7109375" style="202" customWidth="1"/>
    <col min="5890" max="5890" width="10.140625" style="202" bestFit="1" customWidth="1"/>
    <col min="5891" max="5891" width="14" style="202" bestFit="1" customWidth="1"/>
    <col min="5892" max="5892" width="29.140625" style="202" bestFit="1" customWidth="1"/>
    <col min="5893" max="5893" width="7.140625" style="202" bestFit="1" customWidth="1"/>
    <col min="5894" max="5894" width="8.42578125" style="202" bestFit="1" customWidth="1"/>
    <col min="5895" max="5895" width="5.42578125" style="202" bestFit="1" customWidth="1"/>
    <col min="5896" max="5896" width="6.42578125" style="202" bestFit="1" customWidth="1"/>
    <col min="5897" max="5897" width="5.42578125" style="202" bestFit="1" customWidth="1"/>
    <col min="5898" max="6144" width="10.28515625" style="202"/>
    <col min="6145" max="6145" width="14.7109375" style="202" customWidth="1"/>
    <col min="6146" max="6146" width="10.140625" style="202" bestFit="1" customWidth="1"/>
    <col min="6147" max="6147" width="14" style="202" bestFit="1" customWidth="1"/>
    <col min="6148" max="6148" width="29.140625" style="202" bestFit="1" customWidth="1"/>
    <col min="6149" max="6149" width="7.140625" style="202" bestFit="1" customWidth="1"/>
    <col min="6150" max="6150" width="8.42578125" style="202" bestFit="1" customWidth="1"/>
    <col min="6151" max="6151" width="5.42578125" style="202" bestFit="1" customWidth="1"/>
    <col min="6152" max="6152" width="6.42578125" style="202" bestFit="1" customWidth="1"/>
    <col min="6153" max="6153" width="5.42578125" style="202" bestFit="1" customWidth="1"/>
    <col min="6154" max="6400" width="10.28515625" style="202"/>
    <col min="6401" max="6401" width="14.7109375" style="202" customWidth="1"/>
    <col min="6402" max="6402" width="10.140625" style="202" bestFit="1" customWidth="1"/>
    <col min="6403" max="6403" width="14" style="202" bestFit="1" customWidth="1"/>
    <col min="6404" max="6404" width="29.140625" style="202" bestFit="1" customWidth="1"/>
    <col min="6405" max="6405" width="7.140625" style="202" bestFit="1" customWidth="1"/>
    <col min="6406" max="6406" width="8.42578125" style="202" bestFit="1" customWidth="1"/>
    <col min="6407" max="6407" width="5.42578125" style="202" bestFit="1" customWidth="1"/>
    <col min="6408" max="6408" width="6.42578125" style="202" bestFit="1" customWidth="1"/>
    <col min="6409" max="6409" width="5.42578125" style="202" bestFit="1" customWidth="1"/>
    <col min="6410" max="6656" width="10.28515625" style="202"/>
    <col min="6657" max="6657" width="14.7109375" style="202" customWidth="1"/>
    <col min="6658" max="6658" width="10.140625" style="202" bestFit="1" customWidth="1"/>
    <col min="6659" max="6659" width="14" style="202" bestFit="1" customWidth="1"/>
    <col min="6660" max="6660" width="29.140625" style="202" bestFit="1" customWidth="1"/>
    <col min="6661" max="6661" width="7.140625" style="202" bestFit="1" customWidth="1"/>
    <col min="6662" max="6662" width="8.42578125" style="202" bestFit="1" customWidth="1"/>
    <col min="6663" max="6663" width="5.42578125" style="202" bestFit="1" customWidth="1"/>
    <col min="6664" max="6664" width="6.42578125" style="202" bestFit="1" customWidth="1"/>
    <col min="6665" max="6665" width="5.42578125" style="202" bestFit="1" customWidth="1"/>
    <col min="6666" max="6912" width="10.28515625" style="202"/>
    <col min="6913" max="6913" width="14.7109375" style="202" customWidth="1"/>
    <col min="6914" max="6914" width="10.140625" style="202" bestFit="1" customWidth="1"/>
    <col min="6915" max="6915" width="14" style="202" bestFit="1" customWidth="1"/>
    <col min="6916" max="6916" width="29.140625" style="202" bestFit="1" customWidth="1"/>
    <col min="6917" max="6917" width="7.140625" style="202" bestFit="1" customWidth="1"/>
    <col min="6918" max="6918" width="8.42578125" style="202" bestFit="1" customWidth="1"/>
    <col min="6919" max="6919" width="5.42578125" style="202" bestFit="1" customWidth="1"/>
    <col min="6920" max="6920" width="6.42578125" style="202" bestFit="1" customWidth="1"/>
    <col min="6921" max="6921" width="5.42578125" style="202" bestFit="1" customWidth="1"/>
    <col min="6922" max="7168" width="10.28515625" style="202"/>
    <col min="7169" max="7169" width="14.7109375" style="202" customWidth="1"/>
    <col min="7170" max="7170" width="10.140625" style="202" bestFit="1" customWidth="1"/>
    <col min="7171" max="7171" width="14" style="202" bestFit="1" customWidth="1"/>
    <col min="7172" max="7172" width="29.140625" style="202" bestFit="1" customWidth="1"/>
    <col min="7173" max="7173" width="7.140625" style="202" bestFit="1" customWidth="1"/>
    <col min="7174" max="7174" width="8.42578125" style="202" bestFit="1" customWidth="1"/>
    <col min="7175" max="7175" width="5.42578125" style="202" bestFit="1" customWidth="1"/>
    <col min="7176" max="7176" width="6.42578125" style="202" bestFit="1" customWidth="1"/>
    <col min="7177" max="7177" width="5.42578125" style="202" bestFit="1" customWidth="1"/>
    <col min="7178" max="7424" width="10.28515625" style="202"/>
    <col min="7425" max="7425" width="14.7109375" style="202" customWidth="1"/>
    <col min="7426" max="7426" width="10.140625" style="202" bestFit="1" customWidth="1"/>
    <col min="7427" max="7427" width="14" style="202" bestFit="1" customWidth="1"/>
    <col min="7428" max="7428" width="29.140625" style="202" bestFit="1" customWidth="1"/>
    <col min="7429" max="7429" width="7.140625" style="202" bestFit="1" customWidth="1"/>
    <col min="7430" max="7430" width="8.42578125" style="202" bestFit="1" customWidth="1"/>
    <col min="7431" max="7431" width="5.42578125" style="202" bestFit="1" customWidth="1"/>
    <col min="7432" max="7432" width="6.42578125" style="202" bestFit="1" customWidth="1"/>
    <col min="7433" max="7433" width="5.42578125" style="202" bestFit="1" customWidth="1"/>
    <col min="7434" max="7680" width="10.28515625" style="202"/>
    <col min="7681" max="7681" width="14.7109375" style="202" customWidth="1"/>
    <col min="7682" max="7682" width="10.140625" style="202" bestFit="1" customWidth="1"/>
    <col min="7683" max="7683" width="14" style="202" bestFit="1" customWidth="1"/>
    <col min="7684" max="7684" width="29.140625" style="202" bestFit="1" customWidth="1"/>
    <col min="7685" max="7685" width="7.140625" style="202" bestFit="1" customWidth="1"/>
    <col min="7686" max="7686" width="8.42578125" style="202" bestFit="1" customWidth="1"/>
    <col min="7687" max="7687" width="5.42578125" style="202" bestFit="1" customWidth="1"/>
    <col min="7688" max="7688" width="6.42578125" style="202" bestFit="1" customWidth="1"/>
    <col min="7689" max="7689" width="5.42578125" style="202" bestFit="1" customWidth="1"/>
    <col min="7690" max="7936" width="10.28515625" style="202"/>
    <col min="7937" max="7937" width="14.7109375" style="202" customWidth="1"/>
    <col min="7938" max="7938" width="10.140625" style="202" bestFit="1" customWidth="1"/>
    <col min="7939" max="7939" width="14" style="202" bestFit="1" customWidth="1"/>
    <col min="7940" max="7940" width="29.140625" style="202" bestFit="1" customWidth="1"/>
    <col min="7941" max="7941" width="7.140625" style="202" bestFit="1" customWidth="1"/>
    <col min="7942" max="7942" width="8.42578125" style="202" bestFit="1" customWidth="1"/>
    <col min="7943" max="7943" width="5.42578125" style="202" bestFit="1" customWidth="1"/>
    <col min="7944" max="7944" width="6.42578125" style="202" bestFit="1" customWidth="1"/>
    <col min="7945" max="7945" width="5.42578125" style="202" bestFit="1" customWidth="1"/>
    <col min="7946" max="8192" width="10.28515625" style="202"/>
    <col min="8193" max="8193" width="14.7109375" style="202" customWidth="1"/>
    <col min="8194" max="8194" width="10.140625" style="202" bestFit="1" customWidth="1"/>
    <col min="8195" max="8195" width="14" style="202" bestFit="1" customWidth="1"/>
    <col min="8196" max="8196" width="29.140625" style="202" bestFit="1" customWidth="1"/>
    <col min="8197" max="8197" width="7.140625" style="202" bestFit="1" customWidth="1"/>
    <col min="8198" max="8198" width="8.42578125" style="202" bestFit="1" customWidth="1"/>
    <col min="8199" max="8199" width="5.42578125" style="202" bestFit="1" customWidth="1"/>
    <col min="8200" max="8200" width="6.42578125" style="202" bestFit="1" customWidth="1"/>
    <col min="8201" max="8201" width="5.42578125" style="202" bestFit="1" customWidth="1"/>
    <col min="8202" max="8448" width="10.28515625" style="202"/>
    <col min="8449" max="8449" width="14.7109375" style="202" customWidth="1"/>
    <col min="8450" max="8450" width="10.140625" style="202" bestFit="1" customWidth="1"/>
    <col min="8451" max="8451" width="14" style="202" bestFit="1" customWidth="1"/>
    <col min="8452" max="8452" width="29.140625" style="202" bestFit="1" customWidth="1"/>
    <col min="8453" max="8453" width="7.140625" style="202" bestFit="1" customWidth="1"/>
    <col min="8454" max="8454" width="8.42578125" style="202" bestFit="1" customWidth="1"/>
    <col min="8455" max="8455" width="5.42578125" style="202" bestFit="1" customWidth="1"/>
    <col min="8456" max="8456" width="6.42578125" style="202" bestFit="1" customWidth="1"/>
    <col min="8457" max="8457" width="5.42578125" style="202" bestFit="1" customWidth="1"/>
    <col min="8458" max="8704" width="10.28515625" style="202"/>
    <col min="8705" max="8705" width="14.7109375" style="202" customWidth="1"/>
    <col min="8706" max="8706" width="10.140625" style="202" bestFit="1" customWidth="1"/>
    <col min="8707" max="8707" width="14" style="202" bestFit="1" customWidth="1"/>
    <col min="8708" max="8708" width="29.140625" style="202" bestFit="1" customWidth="1"/>
    <col min="8709" max="8709" width="7.140625" style="202" bestFit="1" customWidth="1"/>
    <col min="8710" max="8710" width="8.42578125" style="202" bestFit="1" customWidth="1"/>
    <col min="8711" max="8711" width="5.42578125" style="202" bestFit="1" customWidth="1"/>
    <col min="8712" max="8712" width="6.42578125" style="202" bestFit="1" customWidth="1"/>
    <col min="8713" max="8713" width="5.42578125" style="202" bestFit="1" customWidth="1"/>
    <col min="8714" max="8960" width="10.28515625" style="202"/>
    <col min="8961" max="8961" width="14.7109375" style="202" customWidth="1"/>
    <col min="8962" max="8962" width="10.140625" style="202" bestFit="1" customWidth="1"/>
    <col min="8963" max="8963" width="14" style="202" bestFit="1" customWidth="1"/>
    <col min="8964" max="8964" width="29.140625" style="202" bestFit="1" customWidth="1"/>
    <col min="8965" max="8965" width="7.140625" style="202" bestFit="1" customWidth="1"/>
    <col min="8966" max="8966" width="8.42578125" style="202" bestFit="1" customWidth="1"/>
    <col min="8967" max="8967" width="5.42578125" style="202" bestFit="1" customWidth="1"/>
    <col min="8968" max="8968" width="6.42578125" style="202" bestFit="1" customWidth="1"/>
    <col min="8969" max="8969" width="5.42578125" style="202" bestFit="1" customWidth="1"/>
    <col min="8970" max="9216" width="10.28515625" style="202"/>
    <col min="9217" max="9217" width="14.7109375" style="202" customWidth="1"/>
    <col min="9218" max="9218" width="10.140625" style="202" bestFit="1" customWidth="1"/>
    <col min="9219" max="9219" width="14" style="202" bestFit="1" customWidth="1"/>
    <col min="9220" max="9220" width="29.140625" style="202" bestFit="1" customWidth="1"/>
    <col min="9221" max="9221" width="7.140625" style="202" bestFit="1" customWidth="1"/>
    <col min="9222" max="9222" width="8.42578125" style="202" bestFit="1" customWidth="1"/>
    <col min="9223" max="9223" width="5.42578125" style="202" bestFit="1" customWidth="1"/>
    <col min="9224" max="9224" width="6.42578125" style="202" bestFit="1" customWidth="1"/>
    <col min="9225" max="9225" width="5.42578125" style="202" bestFit="1" customWidth="1"/>
    <col min="9226" max="9472" width="10.28515625" style="202"/>
    <col min="9473" max="9473" width="14.7109375" style="202" customWidth="1"/>
    <col min="9474" max="9474" width="10.140625" style="202" bestFit="1" customWidth="1"/>
    <col min="9475" max="9475" width="14" style="202" bestFit="1" customWidth="1"/>
    <col min="9476" max="9476" width="29.140625" style="202" bestFit="1" customWidth="1"/>
    <col min="9477" max="9477" width="7.140625" style="202" bestFit="1" customWidth="1"/>
    <col min="9478" max="9478" width="8.42578125" style="202" bestFit="1" customWidth="1"/>
    <col min="9479" max="9479" width="5.42578125" style="202" bestFit="1" customWidth="1"/>
    <col min="9480" max="9480" width="6.42578125" style="202" bestFit="1" customWidth="1"/>
    <col min="9481" max="9481" width="5.42578125" style="202" bestFit="1" customWidth="1"/>
    <col min="9482" max="9728" width="10.28515625" style="202"/>
    <col min="9729" max="9729" width="14.7109375" style="202" customWidth="1"/>
    <col min="9730" max="9730" width="10.140625" style="202" bestFit="1" customWidth="1"/>
    <col min="9731" max="9731" width="14" style="202" bestFit="1" customWidth="1"/>
    <col min="9732" max="9732" width="29.140625" style="202" bestFit="1" customWidth="1"/>
    <col min="9733" max="9733" width="7.140625" style="202" bestFit="1" customWidth="1"/>
    <col min="9734" max="9734" width="8.42578125" style="202" bestFit="1" customWidth="1"/>
    <col min="9735" max="9735" width="5.42578125" style="202" bestFit="1" customWidth="1"/>
    <col min="9736" max="9736" width="6.42578125" style="202" bestFit="1" customWidth="1"/>
    <col min="9737" max="9737" width="5.42578125" style="202" bestFit="1" customWidth="1"/>
    <col min="9738" max="9984" width="10.28515625" style="202"/>
    <col min="9985" max="9985" width="14.7109375" style="202" customWidth="1"/>
    <col min="9986" max="9986" width="10.140625" style="202" bestFit="1" customWidth="1"/>
    <col min="9987" max="9987" width="14" style="202" bestFit="1" customWidth="1"/>
    <col min="9988" max="9988" width="29.140625" style="202" bestFit="1" customWidth="1"/>
    <col min="9989" max="9989" width="7.140625" style="202" bestFit="1" customWidth="1"/>
    <col min="9990" max="9990" width="8.42578125" style="202" bestFit="1" customWidth="1"/>
    <col min="9991" max="9991" width="5.42578125" style="202" bestFit="1" customWidth="1"/>
    <col min="9992" max="9992" width="6.42578125" style="202" bestFit="1" customWidth="1"/>
    <col min="9993" max="9993" width="5.42578125" style="202" bestFit="1" customWidth="1"/>
    <col min="9994" max="10240" width="10.28515625" style="202"/>
    <col min="10241" max="10241" width="14.7109375" style="202" customWidth="1"/>
    <col min="10242" max="10242" width="10.140625" style="202" bestFit="1" customWidth="1"/>
    <col min="10243" max="10243" width="14" style="202" bestFit="1" customWidth="1"/>
    <col min="10244" max="10244" width="29.140625" style="202" bestFit="1" customWidth="1"/>
    <col min="10245" max="10245" width="7.140625" style="202" bestFit="1" customWidth="1"/>
    <col min="10246" max="10246" width="8.42578125" style="202" bestFit="1" customWidth="1"/>
    <col min="10247" max="10247" width="5.42578125" style="202" bestFit="1" customWidth="1"/>
    <col min="10248" max="10248" width="6.42578125" style="202" bestFit="1" customWidth="1"/>
    <col min="10249" max="10249" width="5.42578125" style="202" bestFit="1" customWidth="1"/>
    <col min="10250" max="10496" width="10.28515625" style="202"/>
    <col min="10497" max="10497" width="14.7109375" style="202" customWidth="1"/>
    <col min="10498" max="10498" width="10.140625" style="202" bestFit="1" customWidth="1"/>
    <col min="10499" max="10499" width="14" style="202" bestFit="1" customWidth="1"/>
    <col min="10500" max="10500" width="29.140625" style="202" bestFit="1" customWidth="1"/>
    <col min="10501" max="10501" width="7.140625" style="202" bestFit="1" customWidth="1"/>
    <col min="10502" max="10502" width="8.42578125" style="202" bestFit="1" customWidth="1"/>
    <col min="10503" max="10503" width="5.42578125" style="202" bestFit="1" customWidth="1"/>
    <col min="10504" max="10504" width="6.42578125" style="202" bestFit="1" customWidth="1"/>
    <col min="10505" max="10505" width="5.42578125" style="202" bestFit="1" customWidth="1"/>
    <col min="10506" max="10752" width="10.28515625" style="202"/>
    <col min="10753" max="10753" width="14.7109375" style="202" customWidth="1"/>
    <col min="10754" max="10754" width="10.140625" style="202" bestFit="1" customWidth="1"/>
    <col min="10755" max="10755" width="14" style="202" bestFit="1" customWidth="1"/>
    <col min="10756" max="10756" width="29.140625" style="202" bestFit="1" customWidth="1"/>
    <col min="10757" max="10757" width="7.140625" style="202" bestFit="1" customWidth="1"/>
    <col min="10758" max="10758" width="8.42578125" style="202" bestFit="1" customWidth="1"/>
    <col min="10759" max="10759" width="5.42578125" style="202" bestFit="1" customWidth="1"/>
    <col min="10760" max="10760" width="6.42578125" style="202" bestFit="1" customWidth="1"/>
    <col min="10761" max="10761" width="5.42578125" style="202" bestFit="1" customWidth="1"/>
    <col min="10762" max="11008" width="10.28515625" style="202"/>
    <col min="11009" max="11009" width="14.7109375" style="202" customWidth="1"/>
    <col min="11010" max="11010" width="10.140625" style="202" bestFit="1" customWidth="1"/>
    <col min="11011" max="11011" width="14" style="202" bestFit="1" customWidth="1"/>
    <col min="11012" max="11012" width="29.140625" style="202" bestFit="1" customWidth="1"/>
    <col min="11013" max="11013" width="7.140625" style="202" bestFit="1" customWidth="1"/>
    <col min="11014" max="11014" width="8.42578125" style="202" bestFit="1" customWidth="1"/>
    <col min="11015" max="11015" width="5.42578125" style="202" bestFit="1" customWidth="1"/>
    <col min="11016" max="11016" width="6.42578125" style="202" bestFit="1" customWidth="1"/>
    <col min="11017" max="11017" width="5.42578125" style="202" bestFit="1" customWidth="1"/>
    <col min="11018" max="11264" width="10.28515625" style="202"/>
    <col min="11265" max="11265" width="14.7109375" style="202" customWidth="1"/>
    <col min="11266" max="11266" width="10.140625" style="202" bestFit="1" customWidth="1"/>
    <col min="11267" max="11267" width="14" style="202" bestFit="1" customWidth="1"/>
    <col min="11268" max="11268" width="29.140625" style="202" bestFit="1" customWidth="1"/>
    <col min="11269" max="11269" width="7.140625" style="202" bestFit="1" customWidth="1"/>
    <col min="11270" max="11270" width="8.42578125" style="202" bestFit="1" customWidth="1"/>
    <col min="11271" max="11271" width="5.42578125" style="202" bestFit="1" customWidth="1"/>
    <col min="11272" max="11272" width="6.42578125" style="202" bestFit="1" customWidth="1"/>
    <col min="11273" max="11273" width="5.42578125" style="202" bestFit="1" customWidth="1"/>
    <col min="11274" max="11520" width="10.28515625" style="202"/>
    <col min="11521" max="11521" width="14.7109375" style="202" customWidth="1"/>
    <col min="11522" max="11522" width="10.140625" style="202" bestFit="1" customWidth="1"/>
    <col min="11523" max="11523" width="14" style="202" bestFit="1" customWidth="1"/>
    <col min="11524" max="11524" width="29.140625" style="202" bestFit="1" customWidth="1"/>
    <col min="11525" max="11525" width="7.140625" style="202" bestFit="1" customWidth="1"/>
    <col min="11526" max="11526" width="8.42578125" style="202" bestFit="1" customWidth="1"/>
    <col min="11527" max="11527" width="5.42578125" style="202" bestFit="1" customWidth="1"/>
    <col min="11528" max="11528" width="6.42578125" style="202" bestFit="1" customWidth="1"/>
    <col min="11529" max="11529" width="5.42578125" style="202" bestFit="1" customWidth="1"/>
    <col min="11530" max="11776" width="10.28515625" style="202"/>
    <col min="11777" max="11777" width="14.7109375" style="202" customWidth="1"/>
    <col min="11778" max="11778" width="10.140625" style="202" bestFit="1" customWidth="1"/>
    <col min="11779" max="11779" width="14" style="202" bestFit="1" customWidth="1"/>
    <col min="11780" max="11780" width="29.140625" style="202" bestFit="1" customWidth="1"/>
    <col min="11781" max="11781" width="7.140625" style="202" bestFit="1" customWidth="1"/>
    <col min="11782" max="11782" width="8.42578125" style="202" bestFit="1" customWidth="1"/>
    <col min="11783" max="11783" width="5.42578125" style="202" bestFit="1" customWidth="1"/>
    <col min="11784" max="11784" width="6.42578125" style="202" bestFit="1" customWidth="1"/>
    <col min="11785" max="11785" width="5.42578125" style="202" bestFit="1" customWidth="1"/>
    <col min="11786" max="12032" width="10.28515625" style="202"/>
    <col min="12033" max="12033" width="14.7109375" style="202" customWidth="1"/>
    <col min="12034" max="12034" width="10.140625" style="202" bestFit="1" customWidth="1"/>
    <col min="12035" max="12035" width="14" style="202" bestFit="1" customWidth="1"/>
    <col min="12036" max="12036" width="29.140625" style="202" bestFit="1" customWidth="1"/>
    <col min="12037" max="12037" width="7.140625" style="202" bestFit="1" customWidth="1"/>
    <col min="12038" max="12038" width="8.42578125" style="202" bestFit="1" customWidth="1"/>
    <col min="12039" max="12039" width="5.42578125" style="202" bestFit="1" customWidth="1"/>
    <col min="12040" max="12040" width="6.42578125" style="202" bestFit="1" customWidth="1"/>
    <col min="12041" max="12041" width="5.42578125" style="202" bestFit="1" customWidth="1"/>
    <col min="12042" max="12288" width="10.28515625" style="202"/>
    <col min="12289" max="12289" width="14.7109375" style="202" customWidth="1"/>
    <col min="12290" max="12290" width="10.140625" style="202" bestFit="1" customWidth="1"/>
    <col min="12291" max="12291" width="14" style="202" bestFit="1" customWidth="1"/>
    <col min="12292" max="12292" width="29.140625" style="202" bestFit="1" customWidth="1"/>
    <col min="12293" max="12293" width="7.140625" style="202" bestFit="1" customWidth="1"/>
    <col min="12294" max="12294" width="8.42578125" style="202" bestFit="1" customWidth="1"/>
    <col min="12295" max="12295" width="5.42578125" style="202" bestFit="1" customWidth="1"/>
    <col min="12296" max="12296" width="6.42578125" style="202" bestFit="1" customWidth="1"/>
    <col min="12297" max="12297" width="5.42578125" style="202" bestFit="1" customWidth="1"/>
    <col min="12298" max="12544" width="10.28515625" style="202"/>
    <col min="12545" max="12545" width="14.7109375" style="202" customWidth="1"/>
    <col min="12546" max="12546" width="10.140625" style="202" bestFit="1" customWidth="1"/>
    <col min="12547" max="12547" width="14" style="202" bestFit="1" customWidth="1"/>
    <col min="12548" max="12548" width="29.140625" style="202" bestFit="1" customWidth="1"/>
    <col min="12549" max="12549" width="7.140625" style="202" bestFit="1" customWidth="1"/>
    <col min="12550" max="12550" width="8.42578125" style="202" bestFit="1" customWidth="1"/>
    <col min="12551" max="12551" width="5.42578125" style="202" bestFit="1" customWidth="1"/>
    <col min="12552" max="12552" width="6.42578125" style="202" bestFit="1" customWidth="1"/>
    <col min="12553" max="12553" width="5.42578125" style="202" bestFit="1" customWidth="1"/>
    <col min="12554" max="12800" width="10.28515625" style="202"/>
    <col min="12801" max="12801" width="14.7109375" style="202" customWidth="1"/>
    <col min="12802" max="12802" width="10.140625" style="202" bestFit="1" customWidth="1"/>
    <col min="12803" max="12803" width="14" style="202" bestFit="1" customWidth="1"/>
    <col min="12804" max="12804" width="29.140625" style="202" bestFit="1" customWidth="1"/>
    <col min="12805" max="12805" width="7.140625" style="202" bestFit="1" customWidth="1"/>
    <col min="12806" max="12806" width="8.42578125" style="202" bestFit="1" customWidth="1"/>
    <col min="12807" max="12807" width="5.42578125" style="202" bestFit="1" customWidth="1"/>
    <col min="12808" max="12808" width="6.42578125" style="202" bestFit="1" customWidth="1"/>
    <col min="12809" max="12809" width="5.42578125" style="202" bestFit="1" customWidth="1"/>
    <col min="12810" max="13056" width="10.28515625" style="202"/>
    <col min="13057" max="13057" width="14.7109375" style="202" customWidth="1"/>
    <col min="13058" max="13058" width="10.140625" style="202" bestFit="1" customWidth="1"/>
    <col min="13059" max="13059" width="14" style="202" bestFit="1" customWidth="1"/>
    <col min="13060" max="13060" width="29.140625" style="202" bestFit="1" customWidth="1"/>
    <col min="13061" max="13061" width="7.140625" style="202" bestFit="1" customWidth="1"/>
    <col min="13062" max="13062" width="8.42578125" style="202" bestFit="1" customWidth="1"/>
    <col min="13063" max="13063" width="5.42578125" style="202" bestFit="1" customWidth="1"/>
    <col min="13064" max="13064" width="6.42578125" style="202" bestFit="1" customWidth="1"/>
    <col min="13065" max="13065" width="5.42578125" style="202" bestFit="1" customWidth="1"/>
    <col min="13066" max="13312" width="10.28515625" style="202"/>
    <col min="13313" max="13313" width="14.7109375" style="202" customWidth="1"/>
    <col min="13314" max="13314" width="10.140625" style="202" bestFit="1" customWidth="1"/>
    <col min="13315" max="13315" width="14" style="202" bestFit="1" customWidth="1"/>
    <col min="13316" max="13316" width="29.140625" style="202" bestFit="1" customWidth="1"/>
    <col min="13317" max="13317" width="7.140625" style="202" bestFit="1" customWidth="1"/>
    <col min="13318" max="13318" width="8.42578125" style="202" bestFit="1" customWidth="1"/>
    <col min="13319" max="13319" width="5.42578125" style="202" bestFit="1" customWidth="1"/>
    <col min="13320" max="13320" width="6.42578125" style="202" bestFit="1" customWidth="1"/>
    <col min="13321" max="13321" width="5.42578125" style="202" bestFit="1" customWidth="1"/>
    <col min="13322" max="13568" width="10.28515625" style="202"/>
    <col min="13569" max="13569" width="14.7109375" style="202" customWidth="1"/>
    <col min="13570" max="13570" width="10.140625" style="202" bestFit="1" customWidth="1"/>
    <col min="13571" max="13571" width="14" style="202" bestFit="1" customWidth="1"/>
    <col min="13572" max="13572" width="29.140625" style="202" bestFit="1" customWidth="1"/>
    <col min="13573" max="13573" width="7.140625" style="202" bestFit="1" customWidth="1"/>
    <col min="13574" max="13574" width="8.42578125" style="202" bestFit="1" customWidth="1"/>
    <col min="13575" max="13575" width="5.42578125" style="202" bestFit="1" customWidth="1"/>
    <col min="13576" max="13576" width="6.42578125" style="202" bestFit="1" customWidth="1"/>
    <col min="13577" max="13577" width="5.42578125" style="202" bestFit="1" customWidth="1"/>
    <col min="13578" max="13824" width="10.28515625" style="202"/>
    <col min="13825" max="13825" width="14.7109375" style="202" customWidth="1"/>
    <col min="13826" max="13826" width="10.140625" style="202" bestFit="1" customWidth="1"/>
    <col min="13827" max="13827" width="14" style="202" bestFit="1" customWidth="1"/>
    <col min="13828" max="13828" width="29.140625" style="202" bestFit="1" customWidth="1"/>
    <col min="13829" max="13829" width="7.140625" style="202" bestFit="1" customWidth="1"/>
    <col min="13830" max="13830" width="8.42578125" style="202" bestFit="1" customWidth="1"/>
    <col min="13831" max="13831" width="5.42578125" style="202" bestFit="1" customWidth="1"/>
    <col min="13832" max="13832" width="6.42578125" style="202" bestFit="1" customWidth="1"/>
    <col min="13833" max="13833" width="5.42578125" style="202" bestFit="1" customWidth="1"/>
    <col min="13834" max="14080" width="10.28515625" style="202"/>
    <col min="14081" max="14081" width="14.7109375" style="202" customWidth="1"/>
    <col min="14082" max="14082" width="10.140625" style="202" bestFit="1" customWidth="1"/>
    <col min="14083" max="14083" width="14" style="202" bestFit="1" customWidth="1"/>
    <col min="14084" max="14084" width="29.140625" style="202" bestFit="1" customWidth="1"/>
    <col min="14085" max="14085" width="7.140625" style="202" bestFit="1" customWidth="1"/>
    <col min="14086" max="14086" width="8.42578125" style="202" bestFit="1" customWidth="1"/>
    <col min="14087" max="14087" width="5.42578125" style="202" bestFit="1" customWidth="1"/>
    <col min="14088" max="14088" width="6.42578125" style="202" bestFit="1" customWidth="1"/>
    <col min="14089" max="14089" width="5.42578125" style="202" bestFit="1" customWidth="1"/>
    <col min="14090" max="14336" width="10.28515625" style="202"/>
    <col min="14337" max="14337" width="14.7109375" style="202" customWidth="1"/>
    <col min="14338" max="14338" width="10.140625" style="202" bestFit="1" customWidth="1"/>
    <col min="14339" max="14339" width="14" style="202" bestFit="1" customWidth="1"/>
    <col min="14340" max="14340" width="29.140625" style="202" bestFit="1" customWidth="1"/>
    <col min="14341" max="14341" width="7.140625" style="202" bestFit="1" customWidth="1"/>
    <col min="14342" max="14342" width="8.42578125" style="202" bestFit="1" customWidth="1"/>
    <col min="14343" max="14343" width="5.42578125" style="202" bestFit="1" customWidth="1"/>
    <col min="14344" max="14344" width="6.42578125" style="202" bestFit="1" customWidth="1"/>
    <col min="14345" max="14345" width="5.42578125" style="202" bestFit="1" customWidth="1"/>
    <col min="14346" max="14592" width="10.28515625" style="202"/>
    <col min="14593" max="14593" width="14.7109375" style="202" customWidth="1"/>
    <col min="14594" max="14594" width="10.140625" style="202" bestFit="1" customWidth="1"/>
    <col min="14595" max="14595" width="14" style="202" bestFit="1" customWidth="1"/>
    <col min="14596" max="14596" width="29.140625" style="202" bestFit="1" customWidth="1"/>
    <col min="14597" max="14597" width="7.140625" style="202" bestFit="1" customWidth="1"/>
    <col min="14598" max="14598" width="8.42578125" style="202" bestFit="1" customWidth="1"/>
    <col min="14599" max="14599" width="5.42578125" style="202" bestFit="1" customWidth="1"/>
    <col min="14600" max="14600" width="6.42578125" style="202" bestFit="1" customWidth="1"/>
    <col min="14601" max="14601" width="5.42578125" style="202" bestFit="1" customWidth="1"/>
    <col min="14602" max="14848" width="10.28515625" style="202"/>
    <col min="14849" max="14849" width="14.7109375" style="202" customWidth="1"/>
    <col min="14850" max="14850" width="10.140625" style="202" bestFit="1" customWidth="1"/>
    <col min="14851" max="14851" width="14" style="202" bestFit="1" customWidth="1"/>
    <col min="14852" max="14852" width="29.140625" style="202" bestFit="1" customWidth="1"/>
    <col min="14853" max="14853" width="7.140625" style="202" bestFit="1" customWidth="1"/>
    <col min="14854" max="14854" width="8.42578125" style="202" bestFit="1" customWidth="1"/>
    <col min="14855" max="14855" width="5.42578125" style="202" bestFit="1" customWidth="1"/>
    <col min="14856" max="14856" width="6.42578125" style="202" bestFit="1" customWidth="1"/>
    <col min="14857" max="14857" width="5.42578125" style="202" bestFit="1" customWidth="1"/>
    <col min="14858" max="15104" width="10.28515625" style="202"/>
    <col min="15105" max="15105" width="14.7109375" style="202" customWidth="1"/>
    <col min="15106" max="15106" width="10.140625" style="202" bestFit="1" customWidth="1"/>
    <col min="15107" max="15107" width="14" style="202" bestFit="1" customWidth="1"/>
    <col min="15108" max="15108" width="29.140625" style="202" bestFit="1" customWidth="1"/>
    <col min="15109" max="15109" width="7.140625" style="202" bestFit="1" customWidth="1"/>
    <col min="15110" max="15110" width="8.42578125" style="202" bestFit="1" customWidth="1"/>
    <col min="15111" max="15111" width="5.42578125" style="202" bestFit="1" customWidth="1"/>
    <col min="15112" max="15112" width="6.42578125" style="202" bestFit="1" customWidth="1"/>
    <col min="15113" max="15113" width="5.42578125" style="202" bestFit="1" customWidth="1"/>
    <col min="15114" max="15360" width="10.28515625" style="202"/>
    <col min="15361" max="15361" width="14.7109375" style="202" customWidth="1"/>
    <col min="15362" max="15362" width="10.140625" style="202" bestFit="1" customWidth="1"/>
    <col min="15363" max="15363" width="14" style="202" bestFit="1" customWidth="1"/>
    <col min="15364" max="15364" width="29.140625" style="202" bestFit="1" customWidth="1"/>
    <col min="15365" max="15365" width="7.140625" style="202" bestFit="1" customWidth="1"/>
    <col min="15366" max="15366" width="8.42578125" style="202" bestFit="1" customWidth="1"/>
    <col min="15367" max="15367" width="5.42578125" style="202" bestFit="1" customWidth="1"/>
    <col min="15368" max="15368" width="6.42578125" style="202" bestFit="1" customWidth="1"/>
    <col min="15369" max="15369" width="5.42578125" style="202" bestFit="1" customWidth="1"/>
    <col min="15370" max="15616" width="10.28515625" style="202"/>
    <col min="15617" max="15617" width="14.7109375" style="202" customWidth="1"/>
    <col min="15618" max="15618" width="10.140625" style="202" bestFit="1" customWidth="1"/>
    <col min="15619" max="15619" width="14" style="202" bestFit="1" customWidth="1"/>
    <col min="15620" max="15620" width="29.140625" style="202" bestFit="1" customWidth="1"/>
    <col min="15621" max="15621" width="7.140625" style="202" bestFit="1" customWidth="1"/>
    <col min="15622" max="15622" width="8.42578125" style="202" bestFit="1" customWidth="1"/>
    <col min="15623" max="15623" width="5.42578125" style="202" bestFit="1" customWidth="1"/>
    <col min="15624" max="15624" width="6.42578125" style="202" bestFit="1" customWidth="1"/>
    <col min="15625" max="15625" width="5.42578125" style="202" bestFit="1" customWidth="1"/>
    <col min="15626" max="15872" width="10.28515625" style="202"/>
    <col min="15873" max="15873" width="14.7109375" style="202" customWidth="1"/>
    <col min="15874" max="15874" width="10.140625" style="202" bestFit="1" customWidth="1"/>
    <col min="15875" max="15875" width="14" style="202" bestFit="1" customWidth="1"/>
    <col min="15876" max="15876" width="29.140625" style="202" bestFit="1" customWidth="1"/>
    <col min="15877" max="15877" width="7.140625" style="202" bestFit="1" customWidth="1"/>
    <col min="15878" max="15878" width="8.42578125" style="202" bestFit="1" customWidth="1"/>
    <col min="15879" max="15879" width="5.42578125" style="202" bestFit="1" customWidth="1"/>
    <col min="15880" max="15880" width="6.42578125" style="202" bestFit="1" customWidth="1"/>
    <col min="15881" max="15881" width="5.42578125" style="202" bestFit="1" customWidth="1"/>
    <col min="15882" max="16128" width="10.28515625" style="202"/>
    <col min="16129" max="16129" width="14.7109375" style="202" customWidth="1"/>
    <col min="16130" max="16130" width="10.140625" style="202" bestFit="1" customWidth="1"/>
    <col min="16131" max="16131" width="14" style="202" bestFit="1" customWidth="1"/>
    <col min="16132" max="16132" width="29.140625" style="202" bestFit="1" customWidth="1"/>
    <col min="16133" max="16133" width="7.140625" style="202" bestFit="1" customWidth="1"/>
    <col min="16134" max="16134" width="8.42578125" style="202" bestFit="1" customWidth="1"/>
    <col min="16135" max="16135" width="5.42578125" style="202" bestFit="1" customWidth="1"/>
    <col min="16136" max="16136" width="6.42578125" style="202" bestFit="1" customWidth="1"/>
    <col min="16137" max="16137" width="5.42578125" style="202" bestFit="1" customWidth="1"/>
    <col min="16138" max="16384" width="10.28515625" style="202"/>
  </cols>
  <sheetData>
    <row r="1" spans="1:9" ht="14.25" hidden="1" thickTop="1" thickBot="1">
      <c r="A1" s="199" t="s">
        <v>427</v>
      </c>
      <c r="B1" s="200" t="s">
        <v>428</v>
      </c>
    </row>
    <row r="2" spans="1:9" ht="14.25" thickTop="1" thickBot="1">
      <c r="A2" s="199" t="s">
        <v>429</v>
      </c>
      <c r="B2" s="199" t="s">
        <v>430</v>
      </c>
      <c r="C2" s="203" t="s">
        <v>385</v>
      </c>
      <c r="D2" s="199" t="s">
        <v>431</v>
      </c>
      <c r="E2" s="199" t="s">
        <v>432</v>
      </c>
      <c r="F2" s="199" t="s">
        <v>433</v>
      </c>
      <c r="G2" s="199" t="s">
        <v>434</v>
      </c>
      <c r="H2" s="199" t="s">
        <v>435</v>
      </c>
      <c r="I2" s="199" t="s">
        <v>436</v>
      </c>
    </row>
    <row r="3" spans="1:9" ht="13.5" thickTop="1">
      <c r="A3" s="204" t="s">
        <v>437</v>
      </c>
      <c r="B3" s="204" t="s">
        <v>7</v>
      </c>
      <c r="C3" s="201">
        <v>212000</v>
      </c>
      <c r="D3" s="204" t="s">
        <v>6</v>
      </c>
      <c r="E3" s="202">
        <v>12</v>
      </c>
      <c r="F3" s="204" t="s">
        <v>438</v>
      </c>
      <c r="G3" s="204" t="s">
        <v>439</v>
      </c>
      <c r="H3" s="204" t="s">
        <v>440</v>
      </c>
      <c r="I3" s="202">
        <v>2011</v>
      </c>
    </row>
    <row r="4" spans="1:9">
      <c r="A4" s="204" t="s">
        <v>437</v>
      </c>
      <c r="B4" s="204" t="s">
        <v>7</v>
      </c>
      <c r="C4" s="201">
        <v>105989</v>
      </c>
      <c r="D4" s="204" t="s">
        <v>6</v>
      </c>
      <c r="E4" s="202">
        <v>12</v>
      </c>
      <c r="F4" s="204" t="s">
        <v>438</v>
      </c>
      <c r="G4" s="204" t="s">
        <v>441</v>
      </c>
      <c r="H4" s="204" t="s">
        <v>440</v>
      </c>
      <c r="I4" s="202">
        <v>2011</v>
      </c>
    </row>
    <row r="5" spans="1:9">
      <c r="A5" s="204" t="s">
        <v>437</v>
      </c>
      <c r="B5" s="204" t="s">
        <v>7</v>
      </c>
      <c r="C5" s="201">
        <v>1027434</v>
      </c>
      <c r="D5" s="204" t="s">
        <v>6</v>
      </c>
      <c r="E5" s="202">
        <v>12</v>
      </c>
      <c r="F5" s="204" t="s">
        <v>438</v>
      </c>
      <c r="G5" s="204" t="s">
        <v>442</v>
      </c>
      <c r="H5" s="204" t="s">
        <v>440</v>
      </c>
      <c r="I5" s="202">
        <v>2011</v>
      </c>
    </row>
    <row r="6" spans="1:9">
      <c r="A6" s="204"/>
      <c r="B6" s="204"/>
      <c r="D6" s="204"/>
      <c r="F6" s="204"/>
      <c r="G6" s="204"/>
      <c r="H6" s="204"/>
    </row>
    <row r="7" spans="1:9">
      <c r="A7" s="204" t="s">
        <v>443</v>
      </c>
      <c r="B7" s="204" t="s">
        <v>7</v>
      </c>
      <c r="C7" s="201">
        <v>154336.69</v>
      </c>
      <c r="D7" s="204" t="s">
        <v>444</v>
      </c>
      <c r="E7" s="202">
        <v>12</v>
      </c>
      <c r="F7" s="204" t="s">
        <v>445</v>
      </c>
      <c r="G7" s="204" t="s">
        <v>441</v>
      </c>
      <c r="H7" s="204" t="s">
        <v>440</v>
      </c>
      <c r="I7" s="202">
        <v>2012</v>
      </c>
    </row>
    <row r="8" spans="1:9">
      <c r="A8" s="204" t="s">
        <v>446</v>
      </c>
      <c r="B8" s="204" t="s">
        <v>7</v>
      </c>
      <c r="C8" s="201">
        <v>-82821</v>
      </c>
      <c r="D8" s="204" t="s">
        <v>447</v>
      </c>
      <c r="E8" s="202">
        <v>12</v>
      </c>
      <c r="F8" s="204" t="s">
        <v>445</v>
      </c>
      <c r="G8" s="204" t="s">
        <v>441</v>
      </c>
      <c r="H8" s="204" t="s">
        <v>440</v>
      </c>
      <c r="I8" s="202">
        <v>2012</v>
      </c>
    </row>
    <row r="9" spans="1:9">
      <c r="A9" s="204" t="s">
        <v>446</v>
      </c>
      <c r="B9" s="204" t="s">
        <v>7</v>
      </c>
      <c r="C9" s="201">
        <v>-71515.69</v>
      </c>
      <c r="D9" s="204" t="s">
        <v>448</v>
      </c>
      <c r="E9" s="202">
        <v>12</v>
      </c>
      <c r="F9" s="204" t="s">
        <v>445</v>
      </c>
      <c r="G9" s="204" t="s">
        <v>441</v>
      </c>
      <c r="H9" s="204" t="s">
        <v>440</v>
      </c>
      <c r="I9" s="202">
        <v>2012</v>
      </c>
    </row>
    <row r="11" spans="1:9">
      <c r="B11" s="205">
        <v>41274</v>
      </c>
      <c r="C11" s="201">
        <f>SUM(C3:C10)</f>
        <v>1345423</v>
      </c>
    </row>
    <row r="13" spans="1:9" hidden="1">
      <c r="B13" s="205">
        <v>41305</v>
      </c>
      <c r="C13" s="201">
        <v>1345423</v>
      </c>
      <c r="D13" s="202" t="s">
        <v>449</v>
      </c>
      <c r="E13" s="202" t="s">
        <v>450</v>
      </c>
    </row>
    <row r="14" spans="1:9" hidden="1">
      <c r="B14" s="205">
        <v>41333</v>
      </c>
      <c r="C14" s="201">
        <v>1345423</v>
      </c>
      <c r="D14" s="202" t="s">
        <v>449</v>
      </c>
      <c r="E14" s="202" t="s">
        <v>451</v>
      </c>
    </row>
    <row r="15" spans="1:9" hidden="1">
      <c r="B15" s="205">
        <v>41364</v>
      </c>
      <c r="C15" s="201">
        <v>1345423</v>
      </c>
      <c r="D15" s="202" t="s">
        <v>449</v>
      </c>
      <c r="E15" s="202" t="s">
        <v>452</v>
      </c>
    </row>
    <row r="16" spans="1:9" hidden="1">
      <c r="B16" s="205">
        <v>41394</v>
      </c>
      <c r="C16" s="201">
        <v>1345423</v>
      </c>
      <c r="D16" s="202" t="s">
        <v>449</v>
      </c>
      <c r="E16" s="202" t="s">
        <v>453</v>
      </c>
    </row>
    <row r="17" spans="2:5" hidden="1">
      <c r="B17" s="205">
        <v>41425</v>
      </c>
      <c r="C17" s="201">
        <v>1345423</v>
      </c>
      <c r="D17" s="202" t="s">
        <v>449</v>
      </c>
      <c r="E17" s="202" t="s">
        <v>454</v>
      </c>
    </row>
    <row r="18" spans="2:5" hidden="1">
      <c r="B18" s="205">
        <v>41455</v>
      </c>
      <c r="C18" s="201">
        <v>1345423</v>
      </c>
      <c r="D18" s="202" t="s">
        <v>449</v>
      </c>
      <c r="E18" s="202" t="s">
        <v>455</v>
      </c>
    </row>
    <row r="19" spans="2:5" hidden="1">
      <c r="B19" s="205">
        <v>41486</v>
      </c>
      <c r="C19" s="201">
        <v>1345423</v>
      </c>
      <c r="D19" s="202" t="s">
        <v>449</v>
      </c>
      <c r="E19" s="202" t="s">
        <v>456</v>
      </c>
    </row>
    <row r="20" spans="2:5" hidden="1">
      <c r="B20" s="205">
        <v>41517</v>
      </c>
      <c r="C20" s="201">
        <v>1345423</v>
      </c>
      <c r="D20" s="202" t="s">
        <v>449</v>
      </c>
      <c r="E20" s="202" t="s">
        <v>457</v>
      </c>
    </row>
    <row r="21" spans="2:5" hidden="1">
      <c r="B21" s="205">
        <v>41547</v>
      </c>
      <c r="C21" s="201">
        <v>1345423</v>
      </c>
      <c r="D21" s="202" t="s">
        <v>449</v>
      </c>
      <c r="E21" s="202" t="s">
        <v>458</v>
      </c>
    </row>
    <row r="22" spans="2:5" hidden="1">
      <c r="B22" s="205">
        <v>41578</v>
      </c>
      <c r="C22" s="201">
        <v>1345423</v>
      </c>
      <c r="D22" s="202" t="s">
        <v>449</v>
      </c>
      <c r="E22" s="202" t="s">
        <v>459</v>
      </c>
    </row>
    <row r="23" spans="2:5" hidden="1">
      <c r="B23" s="205">
        <v>41608</v>
      </c>
      <c r="C23" s="201">
        <v>1345423</v>
      </c>
      <c r="D23" s="202" t="s">
        <v>449</v>
      </c>
      <c r="E23" s="202" t="s">
        <v>460</v>
      </c>
    </row>
    <row r="24" spans="2:5" hidden="1">
      <c r="B24" s="205">
        <v>41639</v>
      </c>
      <c r="C24" s="201">
        <v>1345423</v>
      </c>
      <c r="D24" s="202" t="s">
        <v>449</v>
      </c>
      <c r="E24" s="202" t="s">
        <v>461</v>
      </c>
    </row>
    <row r="25" spans="2:5" hidden="1">
      <c r="B25" s="205"/>
    </row>
    <row r="26" spans="2:5" hidden="1">
      <c r="B26" s="205">
        <v>41670</v>
      </c>
      <c r="C26" s="201">
        <v>1345423</v>
      </c>
      <c r="D26" s="202" t="s">
        <v>449</v>
      </c>
      <c r="E26" s="202" t="s">
        <v>462</v>
      </c>
    </row>
    <row r="27" spans="2:5" hidden="1">
      <c r="B27" s="205">
        <v>41698</v>
      </c>
      <c r="C27" s="201">
        <v>1345423</v>
      </c>
      <c r="D27" s="202" t="s">
        <v>449</v>
      </c>
      <c r="E27" s="202" t="s">
        <v>463</v>
      </c>
    </row>
    <row r="28" spans="2:5" hidden="1">
      <c r="B28" s="205">
        <v>41729</v>
      </c>
      <c r="C28" s="201">
        <v>1345423</v>
      </c>
      <c r="D28" s="202" t="s">
        <v>449</v>
      </c>
      <c r="E28" s="202" t="s">
        <v>464</v>
      </c>
    </row>
    <row r="29" spans="2:5" hidden="1">
      <c r="B29" s="205">
        <v>41759</v>
      </c>
      <c r="C29" s="201">
        <v>1345423</v>
      </c>
      <c r="D29" s="202" t="s">
        <v>449</v>
      </c>
      <c r="E29" s="202" t="s">
        <v>465</v>
      </c>
    </row>
    <row r="30" spans="2:5" hidden="1">
      <c r="B30" s="205">
        <v>41790</v>
      </c>
      <c r="C30" s="201">
        <v>1345423</v>
      </c>
      <c r="D30" s="202" t="s">
        <v>449</v>
      </c>
      <c r="E30" s="202" t="s">
        <v>466</v>
      </c>
    </row>
    <row r="31" spans="2:5" hidden="1">
      <c r="B31" s="205">
        <v>41820</v>
      </c>
      <c r="C31" s="201">
        <v>1345423</v>
      </c>
      <c r="D31" s="202" t="s">
        <v>449</v>
      </c>
      <c r="E31" s="202" t="s">
        <v>467</v>
      </c>
    </row>
    <row r="32" spans="2:5" hidden="1">
      <c r="B32" s="205">
        <v>41851</v>
      </c>
      <c r="C32" s="201">
        <v>1345423</v>
      </c>
      <c r="D32" s="202" t="s">
        <v>449</v>
      </c>
      <c r="E32" s="202" t="s">
        <v>468</v>
      </c>
    </row>
    <row r="33" spans="2:5" hidden="1">
      <c r="B33" s="205">
        <v>41882</v>
      </c>
      <c r="C33" s="201">
        <v>1345423</v>
      </c>
      <c r="D33" s="202" t="s">
        <v>449</v>
      </c>
      <c r="E33" s="202" t="s">
        <v>469</v>
      </c>
    </row>
    <row r="34" spans="2:5" hidden="1">
      <c r="B34" s="205">
        <v>41912</v>
      </c>
      <c r="C34" s="201">
        <v>1345423</v>
      </c>
      <c r="D34" s="202" t="s">
        <v>449</v>
      </c>
      <c r="E34" s="202" t="s">
        <v>470</v>
      </c>
    </row>
    <row r="35" spans="2:5" hidden="1">
      <c r="B35" s="205">
        <v>41943</v>
      </c>
      <c r="C35" s="201">
        <v>1345423</v>
      </c>
      <c r="D35" s="202" t="s">
        <v>449</v>
      </c>
      <c r="E35" s="202" t="s">
        <v>471</v>
      </c>
    </row>
    <row r="36" spans="2:5" hidden="1">
      <c r="B36" s="205">
        <v>41973</v>
      </c>
      <c r="C36" s="201">
        <v>1345423</v>
      </c>
      <c r="D36" s="202" t="s">
        <v>449</v>
      </c>
      <c r="E36" s="202" t="s">
        <v>472</v>
      </c>
    </row>
    <row r="37" spans="2:5" hidden="1">
      <c r="B37" s="205">
        <v>42004</v>
      </c>
      <c r="C37" s="201">
        <v>1345423</v>
      </c>
      <c r="D37" s="202" t="s">
        <v>449</v>
      </c>
      <c r="E37" s="202" t="s">
        <v>473</v>
      </c>
    </row>
    <row r="38" spans="2:5" hidden="1"/>
    <row r="39" spans="2:5" hidden="1">
      <c r="B39" s="205">
        <v>42035</v>
      </c>
      <c r="C39" s="201">
        <v>1345423</v>
      </c>
      <c r="D39" s="202" t="s">
        <v>449</v>
      </c>
      <c r="E39" s="202" t="s">
        <v>474</v>
      </c>
    </row>
    <row r="40" spans="2:5" hidden="1">
      <c r="B40" s="205">
        <v>42063</v>
      </c>
      <c r="C40" s="201">
        <v>1345423</v>
      </c>
      <c r="D40" s="202" t="s">
        <v>449</v>
      </c>
      <c r="E40" s="202" t="s">
        <v>475</v>
      </c>
    </row>
    <row r="41" spans="2:5" hidden="1">
      <c r="B41" s="205">
        <v>42094</v>
      </c>
      <c r="C41" s="201">
        <v>1345423</v>
      </c>
      <c r="D41" s="202" t="s">
        <v>449</v>
      </c>
      <c r="E41" s="202" t="s">
        <v>476</v>
      </c>
    </row>
    <row r="42" spans="2:5" hidden="1">
      <c r="B42" s="205">
        <v>42124</v>
      </c>
      <c r="C42" s="201">
        <v>1345423</v>
      </c>
      <c r="D42" s="202" t="s">
        <v>449</v>
      </c>
      <c r="E42" s="202" t="s">
        <v>477</v>
      </c>
    </row>
    <row r="43" spans="2:5" hidden="1">
      <c r="B43" s="205">
        <v>42155</v>
      </c>
      <c r="C43" s="201">
        <v>1345423</v>
      </c>
      <c r="D43" s="202" t="s">
        <v>449</v>
      </c>
      <c r="E43" s="202" t="s">
        <v>478</v>
      </c>
    </row>
    <row r="44" spans="2:5" hidden="1">
      <c r="B44" s="205">
        <v>42185</v>
      </c>
      <c r="C44" s="201">
        <v>1345423</v>
      </c>
      <c r="D44" s="202" t="s">
        <v>449</v>
      </c>
      <c r="E44" s="202" t="s">
        <v>479</v>
      </c>
    </row>
    <row r="45" spans="2:5" hidden="1">
      <c r="B45" s="205">
        <v>42216</v>
      </c>
      <c r="C45" s="201">
        <v>1345423</v>
      </c>
      <c r="D45" s="202" t="s">
        <v>449</v>
      </c>
      <c r="E45" s="202" t="s">
        <v>480</v>
      </c>
    </row>
    <row r="46" spans="2:5" hidden="1">
      <c r="B46" s="205">
        <v>42247</v>
      </c>
      <c r="C46" s="201">
        <v>1345423</v>
      </c>
      <c r="D46" s="202" t="s">
        <v>449</v>
      </c>
      <c r="E46" s="202" t="s">
        <v>481</v>
      </c>
    </row>
    <row r="47" spans="2:5" hidden="1">
      <c r="B47" s="205">
        <v>42277</v>
      </c>
      <c r="C47" s="201">
        <v>1345423</v>
      </c>
      <c r="D47" s="202" t="s">
        <v>449</v>
      </c>
      <c r="E47" s="202" t="s">
        <v>482</v>
      </c>
    </row>
    <row r="48" spans="2:5" hidden="1">
      <c r="B48" s="205">
        <v>42308</v>
      </c>
      <c r="C48" s="201">
        <v>1345423</v>
      </c>
      <c r="D48" s="202" t="s">
        <v>449</v>
      </c>
      <c r="E48" s="202" t="s">
        <v>483</v>
      </c>
    </row>
    <row r="49" spans="1:9" hidden="1">
      <c r="B49" s="205">
        <v>42338</v>
      </c>
      <c r="C49" s="201">
        <v>1345423</v>
      </c>
      <c r="D49" s="202" t="s">
        <v>449</v>
      </c>
      <c r="E49" s="202" t="s">
        <v>484</v>
      </c>
    </row>
    <row r="51" spans="1:9">
      <c r="A51" s="202" t="s">
        <v>485</v>
      </c>
      <c r="B51" s="204" t="s">
        <v>7</v>
      </c>
      <c r="C51" s="201">
        <v>286000</v>
      </c>
      <c r="D51" s="204" t="s">
        <v>447</v>
      </c>
      <c r="E51" s="202">
        <v>12</v>
      </c>
      <c r="F51" s="202" t="s">
        <v>486</v>
      </c>
      <c r="G51" s="206" t="s">
        <v>487</v>
      </c>
      <c r="H51" s="202" t="s">
        <v>440</v>
      </c>
      <c r="I51" s="202">
        <v>2015</v>
      </c>
    </row>
    <row r="54" spans="1:9" ht="13.5" thickBot="1">
      <c r="B54" s="205">
        <v>42369</v>
      </c>
      <c r="C54" s="207">
        <f>C3+C4+C5+C7+C8+C9+C51</f>
        <v>1631423</v>
      </c>
    </row>
    <row r="55" spans="1:9" ht="13.5" thickTop="1"/>
    <row r="56" spans="1:9" hidden="1">
      <c r="B56" s="205">
        <v>42400</v>
      </c>
      <c r="C56" s="201">
        <v>1631423</v>
      </c>
      <c r="D56" s="202" t="s">
        <v>488</v>
      </c>
      <c r="E56" s="208" t="s">
        <v>489</v>
      </c>
    </row>
    <row r="57" spans="1:9" hidden="1">
      <c r="B57" s="205">
        <v>42429</v>
      </c>
      <c r="C57" s="201">
        <v>1631423</v>
      </c>
      <c r="D57" s="202" t="s">
        <v>488</v>
      </c>
      <c r="E57" s="208" t="s">
        <v>490</v>
      </c>
    </row>
    <row r="58" spans="1:9" hidden="1">
      <c r="B58" s="205">
        <v>42460</v>
      </c>
      <c r="C58" s="201">
        <v>1631423</v>
      </c>
      <c r="D58" s="202" t="s">
        <v>488</v>
      </c>
      <c r="E58" s="208" t="s">
        <v>491</v>
      </c>
    </row>
    <row r="59" spans="1:9" hidden="1">
      <c r="B59" s="205">
        <v>42490</v>
      </c>
      <c r="C59" s="201">
        <v>1631423</v>
      </c>
      <c r="D59" s="202" t="s">
        <v>488</v>
      </c>
      <c r="E59" s="208" t="s">
        <v>492</v>
      </c>
    </row>
    <row r="60" spans="1:9" hidden="1">
      <c r="B60" s="205">
        <v>42521</v>
      </c>
      <c r="C60" s="201">
        <v>1631423</v>
      </c>
      <c r="D60" s="202" t="s">
        <v>488</v>
      </c>
      <c r="E60" s="208" t="s">
        <v>493</v>
      </c>
    </row>
    <row r="61" spans="1:9" hidden="1">
      <c r="B61" s="205">
        <v>42551</v>
      </c>
      <c r="C61" s="201">
        <v>1631423</v>
      </c>
      <c r="D61" s="202" t="s">
        <v>488</v>
      </c>
      <c r="E61" s="208" t="s">
        <v>494</v>
      </c>
    </row>
    <row r="62" spans="1:9" hidden="1">
      <c r="B62" s="205">
        <v>42582</v>
      </c>
      <c r="C62" s="201">
        <v>1631423</v>
      </c>
      <c r="D62" s="202" t="s">
        <v>488</v>
      </c>
      <c r="E62" s="208" t="s">
        <v>495</v>
      </c>
    </row>
    <row r="63" spans="1:9" hidden="1">
      <c r="B63" s="205">
        <v>42613</v>
      </c>
      <c r="C63" s="201">
        <v>1631423</v>
      </c>
      <c r="D63" s="202" t="s">
        <v>488</v>
      </c>
      <c r="E63" s="208" t="s">
        <v>496</v>
      </c>
    </row>
    <row r="64" spans="1:9" hidden="1">
      <c r="B64" s="205">
        <v>42643</v>
      </c>
      <c r="C64" s="201">
        <v>1631423</v>
      </c>
      <c r="D64" s="202" t="s">
        <v>488</v>
      </c>
      <c r="E64" s="208" t="s">
        <v>497</v>
      </c>
    </row>
    <row r="65" spans="1:9" hidden="1">
      <c r="B65" s="205">
        <v>42674</v>
      </c>
      <c r="C65" s="201">
        <v>1631423</v>
      </c>
      <c r="D65" s="202" t="s">
        <v>488</v>
      </c>
      <c r="E65" s="208" t="s">
        <v>498</v>
      </c>
    </row>
    <row r="66" spans="1:9" hidden="1">
      <c r="B66" s="205">
        <v>42704</v>
      </c>
      <c r="C66" s="201">
        <v>1631423</v>
      </c>
      <c r="D66" s="202" t="s">
        <v>488</v>
      </c>
      <c r="E66" s="208" t="s">
        <v>499</v>
      </c>
    </row>
    <row r="67" spans="1:9">
      <c r="B67" s="205"/>
      <c r="E67" s="208"/>
    </row>
    <row r="68" spans="1:9">
      <c r="A68" s="202" t="s">
        <v>500</v>
      </c>
      <c r="B68" s="202" t="s">
        <v>7</v>
      </c>
      <c r="C68" s="201">
        <v>-41123</v>
      </c>
      <c r="D68" s="202" t="s">
        <v>447</v>
      </c>
      <c r="E68" s="202">
        <v>12</v>
      </c>
      <c r="F68" s="202" t="s">
        <v>438</v>
      </c>
      <c r="G68" s="202" t="s">
        <v>439</v>
      </c>
      <c r="H68" s="202" t="s">
        <v>440</v>
      </c>
      <c r="I68" s="202">
        <v>2016</v>
      </c>
    </row>
    <row r="69" spans="1:9">
      <c r="A69" s="202" t="s">
        <v>500</v>
      </c>
      <c r="B69" s="202" t="s">
        <v>7</v>
      </c>
      <c r="C69" s="201">
        <v>-170031</v>
      </c>
      <c r="D69" s="202" t="s">
        <v>447</v>
      </c>
      <c r="E69" s="202">
        <v>12</v>
      </c>
      <c r="F69" s="202" t="s">
        <v>438</v>
      </c>
      <c r="G69" s="202" t="s">
        <v>442</v>
      </c>
      <c r="H69" s="202" t="s">
        <v>440</v>
      </c>
      <c r="I69" s="202">
        <v>2016</v>
      </c>
    </row>
    <row r="70" spans="1:9">
      <c r="A70" s="202" t="s">
        <v>500</v>
      </c>
      <c r="B70" s="202" t="s">
        <v>7</v>
      </c>
      <c r="C70" s="201">
        <v>-43846</v>
      </c>
      <c r="D70" s="202" t="s">
        <v>447</v>
      </c>
      <c r="E70" s="202">
        <v>12</v>
      </c>
      <c r="F70" s="202" t="s">
        <v>438</v>
      </c>
      <c r="G70" s="202" t="s">
        <v>441</v>
      </c>
      <c r="H70" s="202" t="s">
        <v>440</v>
      </c>
      <c r="I70" s="202">
        <v>2016</v>
      </c>
    </row>
    <row r="72" spans="1:9" ht="13.5" thickBot="1">
      <c r="B72" s="205">
        <v>42735</v>
      </c>
      <c r="C72" s="207">
        <f>SUM(C66:C70)</f>
        <v>1376423</v>
      </c>
      <c r="E72" s="208" t="s">
        <v>501</v>
      </c>
    </row>
    <row r="73" spans="1:9" ht="13.5" thickTop="1"/>
  </sheetData>
  <printOptions horizontalCentered="1" gridLines="1"/>
  <pageMargins left="0.25" right="0.25" top="1" bottom="1" header="0.5" footer="0.5"/>
  <pageSetup orientation="portrait" r:id="rId1"/>
  <headerFooter>
    <oddHeader>&amp;CPrepayments-Wrking Funds Iatan - GL# 165350</oddHeader>
    <oddFooter>&amp;C&amp;Z&amp;F&amp;R&amp;D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2" workbookViewId="0">
      <selection activeCell="A2" sqref="A2"/>
    </sheetView>
  </sheetViews>
  <sheetFormatPr defaultColWidth="10.28515625" defaultRowHeight="12.75"/>
  <cols>
    <col min="1" max="1" width="14.7109375" style="202" customWidth="1"/>
    <col min="2" max="2" width="10.140625" style="202" bestFit="1" customWidth="1"/>
    <col min="3" max="3" width="11.28515625" style="201" bestFit="1" customWidth="1"/>
    <col min="4" max="4" width="29.85546875" style="202" bestFit="1" customWidth="1"/>
    <col min="5" max="5" width="7.140625" style="202" bestFit="1" customWidth="1"/>
    <col min="6" max="6" width="8.42578125" style="202" bestFit="1" customWidth="1"/>
    <col min="7" max="7" width="5.42578125" style="202" bestFit="1" customWidth="1"/>
    <col min="8" max="8" width="6.42578125" style="202" bestFit="1" customWidth="1"/>
    <col min="9" max="9" width="5.42578125" style="202" bestFit="1" customWidth="1"/>
    <col min="10" max="256" width="10.28515625" style="202"/>
    <col min="257" max="257" width="14.7109375" style="202" customWidth="1"/>
    <col min="258" max="258" width="10.140625" style="202" bestFit="1" customWidth="1"/>
    <col min="259" max="259" width="11.28515625" style="202" bestFit="1" customWidth="1"/>
    <col min="260" max="260" width="29.85546875" style="202" bestFit="1" customWidth="1"/>
    <col min="261" max="261" width="7.140625" style="202" bestFit="1" customWidth="1"/>
    <col min="262" max="262" width="8.42578125" style="202" bestFit="1" customWidth="1"/>
    <col min="263" max="263" width="5.42578125" style="202" bestFit="1" customWidth="1"/>
    <col min="264" max="264" width="6.42578125" style="202" bestFit="1" customWidth="1"/>
    <col min="265" max="265" width="5.42578125" style="202" bestFit="1" customWidth="1"/>
    <col min="266" max="512" width="10.28515625" style="202"/>
    <col min="513" max="513" width="14.7109375" style="202" customWidth="1"/>
    <col min="514" max="514" width="10.140625" style="202" bestFit="1" customWidth="1"/>
    <col min="515" max="515" width="11.28515625" style="202" bestFit="1" customWidth="1"/>
    <col min="516" max="516" width="29.85546875" style="202" bestFit="1" customWidth="1"/>
    <col min="517" max="517" width="7.140625" style="202" bestFit="1" customWidth="1"/>
    <col min="518" max="518" width="8.42578125" style="202" bestFit="1" customWidth="1"/>
    <col min="519" max="519" width="5.42578125" style="202" bestFit="1" customWidth="1"/>
    <col min="520" max="520" width="6.42578125" style="202" bestFit="1" customWidth="1"/>
    <col min="521" max="521" width="5.42578125" style="202" bestFit="1" customWidth="1"/>
    <col min="522" max="768" width="10.28515625" style="202"/>
    <col min="769" max="769" width="14.7109375" style="202" customWidth="1"/>
    <col min="770" max="770" width="10.140625" style="202" bestFit="1" customWidth="1"/>
    <col min="771" max="771" width="11.28515625" style="202" bestFit="1" customWidth="1"/>
    <col min="772" max="772" width="29.85546875" style="202" bestFit="1" customWidth="1"/>
    <col min="773" max="773" width="7.140625" style="202" bestFit="1" customWidth="1"/>
    <col min="774" max="774" width="8.42578125" style="202" bestFit="1" customWidth="1"/>
    <col min="775" max="775" width="5.42578125" style="202" bestFit="1" customWidth="1"/>
    <col min="776" max="776" width="6.42578125" style="202" bestFit="1" customWidth="1"/>
    <col min="777" max="777" width="5.42578125" style="202" bestFit="1" customWidth="1"/>
    <col min="778" max="1024" width="10.28515625" style="202"/>
    <col min="1025" max="1025" width="14.7109375" style="202" customWidth="1"/>
    <col min="1026" max="1026" width="10.140625" style="202" bestFit="1" customWidth="1"/>
    <col min="1027" max="1027" width="11.28515625" style="202" bestFit="1" customWidth="1"/>
    <col min="1028" max="1028" width="29.85546875" style="202" bestFit="1" customWidth="1"/>
    <col min="1029" max="1029" width="7.140625" style="202" bestFit="1" customWidth="1"/>
    <col min="1030" max="1030" width="8.42578125" style="202" bestFit="1" customWidth="1"/>
    <col min="1031" max="1031" width="5.42578125" style="202" bestFit="1" customWidth="1"/>
    <col min="1032" max="1032" width="6.42578125" style="202" bestFit="1" customWidth="1"/>
    <col min="1033" max="1033" width="5.42578125" style="202" bestFit="1" customWidth="1"/>
    <col min="1034" max="1280" width="10.28515625" style="202"/>
    <col min="1281" max="1281" width="14.7109375" style="202" customWidth="1"/>
    <col min="1282" max="1282" width="10.140625" style="202" bestFit="1" customWidth="1"/>
    <col min="1283" max="1283" width="11.28515625" style="202" bestFit="1" customWidth="1"/>
    <col min="1284" max="1284" width="29.85546875" style="202" bestFit="1" customWidth="1"/>
    <col min="1285" max="1285" width="7.140625" style="202" bestFit="1" customWidth="1"/>
    <col min="1286" max="1286" width="8.42578125" style="202" bestFit="1" customWidth="1"/>
    <col min="1287" max="1287" width="5.42578125" style="202" bestFit="1" customWidth="1"/>
    <col min="1288" max="1288" width="6.42578125" style="202" bestFit="1" customWidth="1"/>
    <col min="1289" max="1289" width="5.42578125" style="202" bestFit="1" customWidth="1"/>
    <col min="1290" max="1536" width="10.28515625" style="202"/>
    <col min="1537" max="1537" width="14.7109375" style="202" customWidth="1"/>
    <col min="1538" max="1538" width="10.140625" style="202" bestFit="1" customWidth="1"/>
    <col min="1539" max="1539" width="11.28515625" style="202" bestFit="1" customWidth="1"/>
    <col min="1540" max="1540" width="29.85546875" style="202" bestFit="1" customWidth="1"/>
    <col min="1541" max="1541" width="7.140625" style="202" bestFit="1" customWidth="1"/>
    <col min="1542" max="1542" width="8.42578125" style="202" bestFit="1" customWidth="1"/>
    <col min="1543" max="1543" width="5.42578125" style="202" bestFit="1" customWidth="1"/>
    <col min="1544" max="1544" width="6.42578125" style="202" bestFit="1" customWidth="1"/>
    <col min="1545" max="1545" width="5.42578125" style="202" bestFit="1" customWidth="1"/>
    <col min="1546" max="1792" width="10.28515625" style="202"/>
    <col min="1793" max="1793" width="14.7109375" style="202" customWidth="1"/>
    <col min="1794" max="1794" width="10.140625" style="202" bestFit="1" customWidth="1"/>
    <col min="1795" max="1795" width="11.28515625" style="202" bestFit="1" customWidth="1"/>
    <col min="1796" max="1796" width="29.85546875" style="202" bestFit="1" customWidth="1"/>
    <col min="1797" max="1797" width="7.140625" style="202" bestFit="1" customWidth="1"/>
    <col min="1798" max="1798" width="8.42578125" style="202" bestFit="1" customWidth="1"/>
    <col min="1799" max="1799" width="5.42578125" style="202" bestFit="1" customWidth="1"/>
    <col min="1800" max="1800" width="6.42578125" style="202" bestFit="1" customWidth="1"/>
    <col min="1801" max="1801" width="5.42578125" style="202" bestFit="1" customWidth="1"/>
    <col min="1802" max="2048" width="10.28515625" style="202"/>
    <col min="2049" max="2049" width="14.7109375" style="202" customWidth="1"/>
    <col min="2050" max="2050" width="10.140625" style="202" bestFit="1" customWidth="1"/>
    <col min="2051" max="2051" width="11.28515625" style="202" bestFit="1" customWidth="1"/>
    <col min="2052" max="2052" width="29.85546875" style="202" bestFit="1" customWidth="1"/>
    <col min="2053" max="2053" width="7.140625" style="202" bestFit="1" customWidth="1"/>
    <col min="2054" max="2054" width="8.42578125" style="202" bestFit="1" customWidth="1"/>
    <col min="2055" max="2055" width="5.42578125" style="202" bestFit="1" customWidth="1"/>
    <col min="2056" max="2056" width="6.42578125" style="202" bestFit="1" customWidth="1"/>
    <col min="2057" max="2057" width="5.42578125" style="202" bestFit="1" customWidth="1"/>
    <col min="2058" max="2304" width="10.28515625" style="202"/>
    <col min="2305" max="2305" width="14.7109375" style="202" customWidth="1"/>
    <col min="2306" max="2306" width="10.140625" style="202" bestFit="1" customWidth="1"/>
    <col min="2307" max="2307" width="11.28515625" style="202" bestFit="1" customWidth="1"/>
    <col min="2308" max="2308" width="29.85546875" style="202" bestFit="1" customWidth="1"/>
    <col min="2309" max="2309" width="7.140625" style="202" bestFit="1" customWidth="1"/>
    <col min="2310" max="2310" width="8.42578125" style="202" bestFit="1" customWidth="1"/>
    <col min="2311" max="2311" width="5.42578125" style="202" bestFit="1" customWidth="1"/>
    <col min="2312" max="2312" width="6.42578125" style="202" bestFit="1" customWidth="1"/>
    <col min="2313" max="2313" width="5.42578125" style="202" bestFit="1" customWidth="1"/>
    <col min="2314" max="2560" width="10.28515625" style="202"/>
    <col min="2561" max="2561" width="14.7109375" style="202" customWidth="1"/>
    <col min="2562" max="2562" width="10.140625" style="202" bestFit="1" customWidth="1"/>
    <col min="2563" max="2563" width="11.28515625" style="202" bestFit="1" customWidth="1"/>
    <col min="2564" max="2564" width="29.85546875" style="202" bestFit="1" customWidth="1"/>
    <col min="2565" max="2565" width="7.140625" style="202" bestFit="1" customWidth="1"/>
    <col min="2566" max="2566" width="8.42578125" style="202" bestFit="1" customWidth="1"/>
    <col min="2567" max="2567" width="5.42578125" style="202" bestFit="1" customWidth="1"/>
    <col min="2568" max="2568" width="6.42578125" style="202" bestFit="1" customWidth="1"/>
    <col min="2569" max="2569" width="5.42578125" style="202" bestFit="1" customWidth="1"/>
    <col min="2570" max="2816" width="10.28515625" style="202"/>
    <col min="2817" max="2817" width="14.7109375" style="202" customWidth="1"/>
    <col min="2818" max="2818" width="10.140625" style="202" bestFit="1" customWidth="1"/>
    <col min="2819" max="2819" width="11.28515625" style="202" bestFit="1" customWidth="1"/>
    <col min="2820" max="2820" width="29.85546875" style="202" bestFit="1" customWidth="1"/>
    <col min="2821" max="2821" width="7.140625" style="202" bestFit="1" customWidth="1"/>
    <col min="2822" max="2822" width="8.42578125" style="202" bestFit="1" customWidth="1"/>
    <col min="2823" max="2823" width="5.42578125" style="202" bestFit="1" customWidth="1"/>
    <col min="2824" max="2824" width="6.42578125" style="202" bestFit="1" customWidth="1"/>
    <col min="2825" max="2825" width="5.42578125" style="202" bestFit="1" customWidth="1"/>
    <col min="2826" max="3072" width="10.28515625" style="202"/>
    <col min="3073" max="3073" width="14.7109375" style="202" customWidth="1"/>
    <col min="3074" max="3074" width="10.140625" style="202" bestFit="1" customWidth="1"/>
    <col min="3075" max="3075" width="11.28515625" style="202" bestFit="1" customWidth="1"/>
    <col min="3076" max="3076" width="29.85546875" style="202" bestFit="1" customWidth="1"/>
    <col min="3077" max="3077" width="7.140625" style="202" bestFit="1" customWidth="1"/>
    <col min="3078" max="3078" width="8.42578125" style="202" bestFit="1" customWidth="1"/>
    <col min="3079" max="3079" width="5.42578125" style="202" bestFit="1" customWidth="1"/>
    <col min="3080" max="3080" width="6.42578125" style="202" bestFit="1" customWidth="1"/>
    <col min="3081" max="3081" width="5.42578125" style="202" bestFit="1" customWidth="1"/>
    <col min="3082" max="3328" width="10.28515625" style="202"/>
    <col min="3329" max="3329" width="14.7109375" style="202" customWidth="1"/>
    <col min="3330" max="3330" width="10.140625" style="202" bestFit="1" customWidth="1"/>
    <col min="3331" max="3331" width="11.28515625" style="202" bestFit="1" customWidth="1"/>
    <col min="3332" max="3332" width="29.85546875" style="202" bestFit="1" customWidth="1"/>
    <col min="3333" max="3333" width="7.140625" style="202" bestFit="1" customWidth="1"/>
    <col min="3334" max="3334" width="8.42578125" style="202" bestFit="1" customWidth="1"/>
    <col min="3335" max="3335" width="5.42578125" style="202" bestFit="1" customWidth="1"/>
    <col min="3336" max="3336" width="6.42578125" style="202" bestFit="1" customWidth="1"/>
    <col min="3337" max="3337" width="5.42578125" style="202" bestFit="1" customWidth="1"/>
    <col min="3338" max="3584" width="10.28515625" style="202"/>
    <col min="3585" max="3585" width="14.7109375" style="202" customWidth="1"/>
    <col min="3586" max="3586" width="10.140625" style="202" bestFit="1" customWidth="1"/>
    <col min="3587" max="3587" width="11.28515625" style="202" bestFit="1" customWidth="1"/>
    <col min="3588" max="3588" width="29.85546875" style="202" bestFit="1" customWidth="1"/>
    <col min="3589" max="3589" width="7.140625" style="202" bestFit="1" customWidth="1"/>
    <col min="3590" max="3590" width="8.42578125" style="202" bestFit="1" customWidth="1"/>
    <col min="3591" max="3591" width="5.42578125" style="202" bestFit="1" customWidth="1"/>
    <col min="3592" max="3592" width="6.42578125" style="202" bestFit="1" customWidth="1"/>
    <col min="3593" max="3593" width="5.42578125" style="202" bestFit="1" customWidth="1"/>
    <col min="3594" max="3840" width="10.28515625" style="202"/>
    <col min="3841" max="3841" width="14.7109375" style="202" customWidth="1"/>
    <col min="3842" max="3842" width="10.140625" style="202" bestFit="1" customWidth="1"/>
    <col min="3843" max="3843" width="11.28515625" style="202" bestFit="1" customWidth="1"/>
    <col min="3844" max="3844" width="29.85546875" style="202" bestFit="1" customWidth="1"/>
    <col min="3845" max="3845" width="7.140625" style="202" bestFit="1" customWidth="1"/>
    <col min="3846" max="3846" width="8.42578125" style="202" bestFit="1" customWidth="1"/>
    <col min="3847" max="3847" width="5.42578125" style="202" bestFit="1" customWidth="1"/>
    <col min="3848" max="3848" width="6.42578125" style="202" bestFit="1" customWidth="1"/>
    <col min="3849" max="3849" width="5.42578125" style="202" bestFit="1" customWidth="1"/>
    <col min="3850" max="4096" width="10.28515625" style="202"/>
    <col min="4097" max="4097" width="14.7109375" style="202" customWidth="1"/>
    <col min="4098" max="4098" width="10.140625" style="202" bestFit="1" customWidth="1"/>
    <col min="4099" max="4099" width="11.28515625" style="202" bestFit="1" customWidth="1"/>
    <col min="4100" max="4100" width="29.85546875" style="202" bestFit="1" customWidth="1"/>
    <col min="4101" max="4101" width="7.140625" style="202" bestFit="1" customWidth="1"/>
    <col min="4102" max="4102" width="8.42578125" style="202" bestFit="1" customWidth="1"/>
    <col min="4103" max="4103" width="5.42578125" style="202" bestFit="1" customWidth="1"/>
    <col min="4104" max="4104" width="6.42578125" style="202" bestFit="1" customWidth="1"/>
    <col min="4105" max="4105" width="5.42578125" style="202" bestFit="1" customWidth="1"/>
    <col min="4106" max="4352" width="10.28515625" style="202"/>
    <col min="4353" max="4353" width="14.7109375" style="202" customWidth="1"/>
    <col min="4354" max="4354" width="10.140625" style="202" bestFit="1" customWidth="1"/>
    <col min="4355" max="4355" width="11.28515625" style="202" bestFit="1" customWidth="1"/>
    <col min="4356" max="4356" width="29.85546875" style="202" bestFit="1" customWidth="1"/>
    <col min="4357" max="4357" width="7.140625" style="202" bestFit="1" customWidth="1"/>
    <col min="4358" max="4358" width="8.42578125" style="202" bestFit="1" customWidth="1"/>
    <col min="4359" max="4359" width="5.42578125" style="202" bestFit="1" customWidth="1"/>
    <col min="4360" max="4360" width="6.42578125" style="202" bestFit="1" customWidth="1"/>
    <col min="4361" max="4361" width="5.42578125" style="202" bestFit="1" customWidth="1"/>
    <col min="4362" max="4608" width="10.28515625" style="202"/>
    <col min="4609" max="4609" width="14.7109375" style="202" customWidth="1"/>
    <col min="4610" max="4610" width="10.140625" style="202" bestFit="1" customWidth="1"/>
    <col min="4611" max="4611" width="11.28515625" style="202" bestFit="1" customWidth="1"/>
    <col min="4612" max="4612" width="29.85546875" style="202" bestFit="1" customWidth="1"/>
    <col min="4613" max="4613" width="7.140625" style="202" bestFit="1" customWidth="1"/>
    <col min="4614" max="4614" width="8.42578125" style="202" bestFit="1" customWidth="1"/>
    <col min="4615" max="4615" width="5.42578125" style="202" bestFit="1" customWidth="1"/>
    <col min="4616" max="4616" width="6.42578125" style="202" bestFit="1" customWidth="1"/>
    <col min="4617" max="4617" width="5.42578125" style="202" bestFit="1" customWidth="1"/>
    <col min="4618" max="4864" width="10.28515625" style="202"/>
    <col min="4865" max="4865" width="14.7109375" style="202" customWidth="1"/>
    <col min="4866" max="4866" width="10.140625" style="202" bestFit="1" customWidth="1"/>
    <col min="4867" max="4867" width="11.28515625" style="202" bestFit="1" customWidth="1"/>
    <col min="4868" max="4868" width="29.85546875" style="202" bestFit="1" customWidth="1"/>
    <col min="4869" max="4869" width="7.140625" style="202" bestFit="1" customWidth="1"/>
    <col min="4870" max="4870" width="8.42578125" style="202" bestFit="1" customWidth="1"/>
    <col min="4871" max="4871" width="5.42578125" style="202" bestFit="1" customWidth="1"/>
    <col min="4872" max="4872" width="6.42578125" style="202" bestFit="1" customWidth="1"/>
    <col min="4873" max="4873" width="5.42578125" style="202" bestFit="1" customWidth="1"/>
    <col min="4874" max="5120" width="10.28515625" style="202"/>
    <col min="5121" max="5121" width="14.7109375" style="202" customWidth="1"/>
    <col min="5122" max="5122" width="10.140625" style="202" bestFit="1" customWidth="1"/>
    <col min="5123" max="5123" width="11.28515625" style="202" bestFit="1" customWidth="1"/>
    <col min="5124" max="5124" width="29.85546875" style="202" bestFit="1" customWidth="1"/>
    <col min="5125" max="5125" width="7.140625" style="202" bestFit="1" customWidth="1"/>
    <col min="5126" max="5126" width="8.42578125" style="202" bestFit="1" customWidth="1"/>
    <col min="5127" max="5127" width="5.42578125" style="202" bestFit="1" customWidth="1"/>
    <col min="5128" max="5128" width="6.42578125" style="202" bestFit="1" customWidth="1"/>
    <col min="5129" max="5129" width="5.42578125" style="202" bestFit="1" customWidth="1"/>
    <col min="5130" max="5376" width="10.28515625" style="202"/>
    <col min="5377" max="5377" width="14.7109375" style="202" customWidth="1"/>
    <col min="5378" max="5378" width="10.140625" style="202" bestFit="1" customWidth="1"/>
    <col min="5379" max="5379" width="11.28515625" style="202" bestFit="1" customWidth="1"/>
    <col min="5380" max="5380" width="29.85546875" style="202" bestFit="1" customWidth="1"/>
    <col min="5381" max="5381" width="7.140625" style="202" bestFit="1" customWidth="1"/>
    <col min="5382" max="5382" width="8.42578125" style="202" bestFit="1" customWidth="1"/>
    <col min="5383" max="5383" width="5.42578125" style="202" bestFit="1" customWidth="1"/>
    <col min="5384" max="5384" width="6.42578125" style="202" bestFit="1" customWidth="1"/>
    <col min="5385" max="5385" width="5.42578125" style="202" bestFit="1" customWidth="1"/>
    <col min="5386" max="5632" width="10.28515625" style="202"/>
    <col min="5633" max="5633" width="14.7109375" style="202" customWidth="1"/>
    <col min="5634" max="5634" width="10.140625" style="202" bestFit="1" customWidth="1"/>
    <col min="5635" max="5635" width="11.28515625" style="202" bestFit="1" customWidth="1"/>
    <col min="5636" max="5636" width="29.85546875" style="202" bestFit="1" customWidth="1"/>
    <col min="5637" max="5637" width="7.140625" style="202" bestFit="1" customWidth="1"/>
    <col min="5638" max="5638" width="8.42578125" style="202" bestFit="1" customWidth="1"/>
    <col min="5639" max="5639" width="5.42578125" style="202" bestFit="1" customWidth="1"/>
    <col min="5640" max="5640" width="6.42578125" style="202" bestFit="1" customWidth="1"/>
    <col min="5641" max="5641" width="5.42578125" style="202" bestFit="1" customWidth="1"/>
    <col min="5642" max="5888" width="10.28515625" style="202"/>
    <col min="5889" max="5889" width="14.7109375" style="202" customWidth="1"/>
    <col min="5890" max="5890" width="10.140625" style="202" bestFit="1" customWidth="1"/>
    <col min="5891" max="5891" width="11.28515625" style="202" bestFit="1" customWidth="1"/>
    <col min="5892" max="5892" width="29.85546875" style="202" bestFit="1" customWidth="1"/>
    <col min="5893" max="5893" width="7.140625" style="202" bestFit="1" customWidth="1"/>
    <col min="5894" max="5894" width="8.42578125" style="202" bestFit="1" customWidth="1"/>
    <col min="5895" max="5895" width="5.42578125" style="202" bestFit="1" customWidth="1"/>
    <col min="5896" max="5896" width="6.42578125" style="202" bestFit="1" customWidth="1"/>
    <col min="5897" max="5897" width="5.42578125" style="202" bestFit="1" customWidth="1"/>
    <col min="5898" max="6144" width="10.28515625" style="202"/>
    <col min="6145" max="6145" width="14.7109375" style="202" customWidth="1"/>
    <col min="6146" max="6146" width="10.140625" style="202" bestFit="1" customWidth="1"/>
    <col min="6147" max="6147" width="11.28515625" style="202" bestFit="1" customWidth="1"/>
    <col min="6148" max="6148" width="29.85546875" style="202" bestFit="1" customWidth="1"/>
    <col min="6149" max="6149" width="7.140625" style="202" bestFit="1" customWidth="1"/>
    <col min="6150" max="6150" width="8.42578125" style="202" bestFit="1" customWidth="1"/>
    <col min="6151" max="6151" width="5.42578125" style="202" bestFit="1" customWidth="1"/>
    <col min="6152" max="6152" width="6.42578125" style="202" bestFit="1" customWidth="1"/>
    <col min="6153" max="6153" width="5.42578125" style="202" bestFit="1" customWidth="1"/>
    <col min="6154" max="6400" width="10.28515625" style="202"/>
    <col min="6401" max="6401" width="14.7109375" style="202" customWidth="1"/>
    <col min="6402" max="6402" width="10.140625" style="202" bestFit="1" customWidth="1"/>
    <col min="6403" max="6403" width="11.28515625" style="202" bestFit="1" customWidth="1"/>
    <col min="6404" max="6404" width="29.85546875" style="202" bestFit="1" customWidth="1"/>
    <col min="6405" max="6405" width="7.140625" style="202" bestFit="1" customWidth="1"/>
    <col min="6406" max="6406" width="8.42578125" style="202" bestFit="1" customWidth="1"/>
    <col min="6407" max="6407" width="5.42578125" style="202" bestFit="1" customWidth="1"/>
    <col min="6408" max="6408" width="6.42578125" style="202" bestFit="1" customWidth="1"/>
    <col min="6409" max="6409" width="5.42578125" style="202" bestFit="1" customWidth="1"/>
    <col min="6410" max="6656" width="10.28515625" style="202"/>
    <col min="6657" max="6657" width="14.7109375" style="202" customWidth="1"/>
    <col min="6658" max="6658" width="10.140625" style="202" bestFit="1" customWidth="1"/>
    <col min="6659" max="6659" width="11.28515625" style="202" bestFit="1" customWidth="1"/>
    <col min="6660" max="6660" width="29.85546875" style="202" bestFit="1" customWidth="1"/>
    <col min="6661" max="6661" width="7.140625" style="202" bestFit="1" customWidth="1"/>
    <col min="6662" max="6662" width="8.42578125" style="202" bestFit="1" customWidth="1"/>
    <col min="6663" max="6663" width="5.42578125" style="202" bestFit="1" customWidth="1"/>
    <col min="6664" max="6664" width="6.42578125" style="202" bestFit="1" customWidth="1"/>
    <col min="6665" max="6665" width="5.42578125" style="202" bestFit="1" customWidth="1"/>
    <col min="6666" max="6912" width="10.28515625" style="202"/>
    <col min="6913" max="6913" width="14.7109375" style="202" customWidth="1"/>
    <col min="6914" max="6914" width="10.140625" style="202" bestFit="1" customWidth="1"/>
    <col min="6915" max="6915" width="11.28515625" style="202" bestFit="1" customWidth="1"/>
    <col min="6916" max="6916" width="29.85546875" style="202" bestFit="1" customWidth="1"/>
    <col min="6917" max="6917" width="7.140625" style="202" bestFit="1" customWidth="1"/>
    <col min="6918" max="6918" width="8.42578125" style="202" bestFit="1" customWidth="1"/>
    <col min="6919" max="6919" width="5.42578125" style="202" bestFit="1" customWidth="1"/>
    <col min="6920" max="6920" width="6.42578125" style="202" bestFit="1" customWidth="1"/>
    <col min="6921" max="6921" width="5.42578125" style="202" bestFit="1" customWidth="1"/>
    <col min="6922" max="7168" width="10.28515625" style="202"/>
    <col min="7169" max="7169" width="14.7109375" style="202" customWidth="1"/>
    <col min="7170" max="7170" width="10.140625" style="202" bestFit="1" customWidth="1"/>
    <col min="7171" max="7171" width="11.28515625" style="202" bestFit="1" customWidth="1"/>
    <col min="7172" max="7172" width="29.85546875" style="202" bestFit="1" customWidth="1"/>
    <col min="7173" max="7173" width="7.140625" style="202" bestFit="1" customWidth="1"/>
    <col min="7174" max="7174" width="8.42578125" style="202" bestFit="1" customWidth="1"/>
    <col min="7175" max="7175" width="5.42578125" style="202" bestFit="1" customWidth="1"/>
    <col min="7176" max="7176" width="6.42578125" style="202" bestFit="1" customWidth="1"/>
    <col min="7177" max="7177" width="5.42578125" style="202" bestFit="1" customWidth="1"/>
    <col min="7178" max="7424" width="10.28515625" style="202"/>
    <col min="7425" max="7425" width="14.7109375" style="202" customWidth="1"/>
    <col min="7426" max="7426" width="10.140625" style="202" bestFit="1" customWidth="1"/>
    <col min="7427" max="7427" width="11.28515625" style="202" bestFit="1" customWidth="1"/>
    <col min="7428" max="7428" width="29.85546875" style="202" bestFit="1" customWidth="1"/>
    <col min="7429" max="7429" width="7.140625" style="202" bestFit="1" customWidth="1"/>
    <col min="7430" max="7430" width="8.42578125" style="202" bestFit="1" customWidth="1"/>
    <col min="7431" max="7431" width="5.42578125" style="202" bestFit="1" customWidth="1"/>
    <col min="7432" max="7432" width="6.42578125" style="202" bestFit="1" customWidth="1"/>
    <col min="7433" max="7433" width="5.42578125" style="202" bestFit="1" customWidth="1"/>
    <col min="7434" max="7680" width="10.28515625" style="202"/>
    <col min="7681" max="7681" width="14.7109375" style="202" customWidth="1"/>
    <col min="7682" max="7682" width="10.140625" style="202" bestFit="1" customWidth="1"/>
    <col min="7683" max="7683" width="11.28515625" style="202" bestFit="1" customWidth="1"/>
    <col min="7684" max="7684" width="29.85546875" style="202" bestFit="1" customWidth="1"/>
    <col min="7685" max="7685" width="7.140625" style="202" bestFit="1" customWidth="1"/>
    <col min="7686" max="7686" width="8.42578125" style="202" bestFit="1" customWidth="1"/>
    <col min="7687" max="7687" width="5.42578125" style="202" bestFit="1" customWidth="1"/>
    <col min="7688" max="7688" width="6.42578125" style="202" bestFit="1" customWidth="1"/>
    <col min="7689" max="7689" width="5.42578125" style="202" bestFit="1" customWidth="1"/>
    <col min="7690" max="7936" width="10.28515625" style="202"/>
    <col min="7937" max="7937" width="14.7109375" style="202" customWidth="1"/>
    <col min="7938" max="7938" width="10.140625" style="202" bestFit="1" customWidth="1"/>
    <col min="7939" max="7939" width="11.28515625" style="202" bestFit="1" customWidth="1"/>
    <col min="7940" max="7940" width="29.85546875" style="202" bestFit="1" customWidth="1"/>
    <col min="7941" max="7941" width="7.140625" style="202" bestFit="1" customWidth="1"/>
    <col min="7942" max="7942" width="8.42578125" style="202" bestFit="1" customWidth="1"/>
    <col min="7943" max="7943" width="5.42578125" style="202" bestFit="1" customWidth="1"/>
    <col min="7944" max="7944" width="6.42578125" style="202" bestFit="1" customWidth="1"/>
    <col min="7945" max="7945" width="5.42578125" style="202" bestFit="1" customWidth="1"/>
    <col min="7946" max="8192" width="10.28515625" style="202"/>
    <col min="8193" max="8193" width="14.7109375" style="202" customWidth="1"/>
    <col min="8194" max="8194" width="10.140625" style="202" bestFit="1" customWidth="1"/>
    <col min="8195" max="8195" width="11.28515625" style="202" bestFit="1" customWidth="1"/>
    <col min="8196" max="8196" width="29.85546875" style="202" bestFit="1" customWidth="1"/>
    <col min="8197" max="8197" width="7.140625" style="202" bestFit="1" customWidth="1"/>
    <col min="8198" max="8198" width="8.42578125" style="202" bestFit="1" customWidth="1"/>
    <col min="8199" max="8199" width="5.42578125" style="202" bestFit="1" customWidth="1"/>
    <col min="8200" max="8200" width="6.42578125" style="202" bestFit="1" customWidth="1"/>
    <col min="8201" max="8201" width="5.42578125" style="202" bestFit="1" customWidth="1"/>
    <col min="8202" max="8448" width="10.28515625" style="202"/>
    <col min="8449" max="8449" width="14.7109375" style="202" customWidth="1"/>
    <col min="8450" max="8450" width="10.140625" style="202" bestFit="1" customWidth="1"/>
    <col min="8451" max="8451" width="11.28515625" style="202" bestFit="1" customWidth="1"/>
    <col min="8452" max="8452" width="29.85546875" style="202" bestFit="1" customWidth="1"/>
    <col min="8453" max="8453" width="7.140625" style="202" bestFit="1" customWidth="1"/>
    <col min="8454" max="8454" width="8.42578125" style="202" bestFit="1" customWidth="1"/>
    <col min="8455" max="8455" width="5.42578125" style="202" bestFit="1" customWidth="1"/>
    <col min="8456" max="8456" width="6.42578125" style="202" bestFit="1" customWidth="1"/>
    <col min="8457" max="8457" width="5.42578125" style="202" bestFit="1" customWidth="1"/>
    <col min="8458" max="8704" width="10.28515625" style="202"/>
    <col min="8705" max="8705" width="14.7109375" style="202" customWidth="1"/>
    <col min="8706" max="8706" width="10.140625" style="202" bestFit="1" customWidth="1"/>
    <col min="8707" max="8707" width="11.28515625" style="202" bestFit="1" customWidth="1"/>
    <col min="8708" max="8708" width="29.85546875" style="202" bestFit="1" customWidth="1"/>
    <col min="8709" max="8709" width="7.140625" style="202" bestFit="1" customWidth="1"/>
    <col min="8710" max="8710" width="8.42578125" style="202" bestFit="1" customWidth="1"/>
    <col min="8711" max="8711" width="5.42578125" style="202" bestFit="1" customWidth="1"/>
    <col min="8712" max="8712" width="6.42578125" style="202" bestFit="1" customWidth="1"/>
    <col min="8713" max="8713" width="5.42578125" style="202" bestFit="1" customWidth="1"/>
    <col min="8714" max="8960" width="10.28515625" style="202"/>
    <col min="8961" max="8961" width="14.7109375" style="202" customWidth="1"/>
    <col min="8962" max="8962" width="10.140625" style="202" bestFit="1" customWidth="1"/>
    <col min="8963" max="8963" width="11.28515625" style="202" bestFit="1" customWidth="1"/>
    <col min="8964" max="8964" width="29.85546875" style="202" bestFit="1" customWidth="1"/>
    <col min="8965" max="8965" width="7.140625" style="202" bestFit="1" customWidth="1"/>
    <col min="8966" max="8966" width="8.42578125" style="202" bestFit="1" customWidth="1"/>
    <col min="8967" max="8967" width="5.42578125" style="202" bestFit="1" customWidth="1"/>
    <col min="8968" max="8968" width="6.42578125" style="202" bestFit="1" customWidth="1"/>
    <col min="8969" max="8969" width="5.42578125" style="202" bestFit="1" customWidth="1"/>
    <col min="8970" max="9216" width="10.28515625" style="202"/>
    <col min="9217" max="9217" width="14.7109375" style="202" customWidth="1"/>
    <col min="9218" max="9218" width="10.140625" style="202" bestFit="1" customWidth="1"/>
    <col min="9219" max="9219" width="11.28515625" style="202" bestFit="1" customWidth="1"/>
    <col min="9220" max="9220" width="29.85546875" style="202" bestFit="1" customWidth="1"/>
    <col min="9221" max="9221" width="7.140625" style="202" bestFit="1" customWidth="1"/>
    <col min="9222" max="9222" width="8.42578125" style="202" bestFit="1" customWidth="1"/>
    <col min="9223" max="9223" width="5.42578125" style="202" bestFit="1" customWidth="1"/>
    <col min="9224" max="9224" width="6.42578125" style="202" bestFit="1" customWidth="1"/>
    <col min="9225" max="9225" width="5.42578125" style="202" bestFit="1" customWidth="1"/>
    <col min="9226" max="9472" width="10.28515625" style="202"/>
    <col min="9473" max="9473" width="14.7109375" style="202" customWidth="1"/>
    <col min="9474" max="9474" width="10.140625" style="202" bestFit="1" customWidth="1"/>
    <col min="9475" max="9475" width="11.28515625" style="202" bestFit="1" customWidth="1"/>
    <col min="9476" max="9476" width="29.85546875" style="202" bestFit="1" customWidth="1"/>
    <col min="9477" max="9477" width="7.140625" style="202" bestFit="1" customWidth="1"/>
    <col min="9478" max="9478" width="8.42578125" style="202" bestFit="1" customWidth="1"/>
    <col min="9479" max="9479" width="5.42578125" style="202" bestFit="1" customWidth="1"/>
    <col min="9480" max="9480" width="6.42578125" style="202" bestFit="1" customWidth="1"/>
    <col min="9481" max="9481" width="5.42578125" style="202" bestFit="1" customWidth="1"/>
    <col min="9482" max="9728" width="10.28515625" style="202"/>
    <col min="9729" max="9729" width="14.7109375" style="202" customWidth="1"/>
    <col min="9730" max="9730" width="10.140625" style="202" bestFit="1" customWidth="1"/>
    <col min="9731" max="9731" width="11.28515625" style="202" bestFit="1" customWidth="1"/>
    <col min="9732" max="9732" width="29.85546875" style="202" bestFit="1" customWidth="1"/>
    <col min="9733" max="9733" width="7.140625" style="202" bestFit="1" customWidth="1"/>
    <col min="9734" max="9734" width="8.42578125" style="202" bestFit="1" customWidth="1"/>
    <col min="9735" max="9735" width="5.42578125" style="202" bestFit="1" customWidth="1"/>
    <col min="9736" max="9736" width="6.42578125" style="202" bestFit="1" customWidth="1"/>
    <col min="9737" max="9737" width="5.42578125" style="202" bestFit="1" customWidth="1"/>
    <col min="9738" max="9984" width="10.28515625" style="202"/>
    <col min="9985" max="9985" width="14.7109375" style="202" customWidth="1"/>
    <col min="9986" max="9986" width="10.140625" style="202" bestFit="1" customWidth="1"/>
    <col min="9987" max="9987" width="11.28515625" style="202" bestFit="1" customWidth="1"/>
    <col min="9988" max="9988" width="29.85546875" style="202" bestFit="1" customWidth="1"/>
    <col min="9989" max="9989" width="7.140625" style="202" bestFit="1" customWidth="1"/>
    <col min="9990" max="9990" width="8.42578125" style="202" bestFit="1" customWidth="1"/>
    <col min="9991" max="9991" width="5.42578125" style="202" bestFit="1" customWidth="1"/>
    <col min="9992" max="9992" width="6.42578125" style="202" bestFit="1" customWidth="1"/>
    <col min="9993" max="9993" width="5.42578125" style="202" bestFit="1" customWidth="1"/>
    <col min="9994" max="10240" width="10.28515625" style="202"/>
    <col min="10241" max="10241" width="14.7109375" style="202" customWidth="1"/>
    <col min="10242" max="10242" width="10.140625" style="202" bestFit="1" customWidth="1"/>
    <col min="10243" max="10243" width="11.28515625" style="202" bestFit="1" customWidth="1"/>
    <col min="10244" max="10244" width="29.85546875" style="202" bestFit="1" customWidth="1"/>
    <col min="10245" max="10245" width="7.140625" style="202" bestFit="1" customWidth="1"/>
    <col min="10246" max="10246" width="8.42578125" style="202" bestFit="1" customWidth="1"/>
    <col min="10247" max="10247" width="5.42578125" style="202" bestFit="1" customWidth="1"/>
    <col min="10248" max="10248" width="6.42578125" style="202" bestFit="1" customWidth="1"/>
    <col min="10249" max="10249" width="5.42578125" style="202" bestFit="1" customWidth="1"/>
    <col min="10250" max="10496" width="10.28515625" style="202"/>
    <col min="10497" max="10497" width="14.7109375" style="202" customWidth="1"/>
    <col min="10498" max="10498" width="10.140625" style="202" bestFit="1" customWidth="1"/>
    <col min="10499" max="10499" width="11.28515625" style="202" bestFit="1" customWidth="1"/>
    <col min="10500" max="10500" width="29.85546875" style="202" bestFit="1" customWidth="1"/>
    <col min="10501" max="10501" width="7.140625" style="202" bestFit="1" customWidth="1"/>
    <col min="10502" max="10502" width="8.42578125" style="202" bestFit="1" customWidth="1"/>
    <col min="10503" max="10503" width="5.42578125" style="202" bestFit="1" customWidth="1"/>
    <col min="10504" max="10504" width="6.42578125" style="202" bestFit="1" customWidth="1"/>
    <col min="10505" max="10505" width="5.42578125" style="202" bestFit="1" customWidth="1"/>
    <col min="10506" max="10752" width="10.28515625" style="202"/>
    <col min="10753" max="10753" width="14.7109375" style="202" customWidth="1"/>
    <col min="10754" max="10754" width="10.140625" style="202" bestFit="1" customWidth="1"/>
    <col min="10755" max="10755" width="11.28515625" style="202" bestFit="1" customWidth="1"/>
    <col min="10756" max="10756" width="29.85546875" style="202" bestFit="1" customWidth="1"/>
    <col min="10757" max="10757" width="7.140625" style="202" bestFit="1" customWidth="1"/>
    <col min="10758" max="10758" width="8.42578125" style="202" bestFit="1" customWidth="1"/>
    <col min="10759" max="10759" width="5.42578125" style="202" bestFit="1" customWidth="1"/>
    <col min="10760" max="10760" width="6.42578125" style="202" bestFit="1" customWidth="1"/>
    <col min="10761" max="10761" width="5.42578125" style="202" bestFit="1" customWidth="1"/>
    <col min="10762" max="11008" width="10.28515625" style="202"/>
    <col min="11009" max="11009" width="14.7109375" style="202" customWidth="1"/>
    <col min="11010" max="11010" width="10.140625" style="202" bestFit="1" customWidth="1"/>
    <col min="11011" max="11011" width="11.28515625" style="202" bestFit="1" customWidth="1"/>
    <col min="11012" max="11012" width="29.85546875" style="202" bestFit="1" customWidth="1"/>
    <col min="11013" max="11013" width="7.140625" style="202" bestFit="1" customWidth="1"/>
    <col min="11014" max="11014" width="8.42578125" style="202" bestFit="1" customWidth="1"/>
    <col min="11015" max="11015" width="5.42578125" style="202" bestFit="1" customWidth="1"/>
    <col min="11016" max="11016" width="6.42578125" style="202" bestFit="1" customWidth="1"/>
    <col min="11017" max="11017" width="5.42578125" style="202" bestFit="1" customWidth="1"/>
    <col min="11018" max="11264" width="10.28515625" style="202"/>
    <col min="11265" max="11265" width="14.7109375" style="202" customWidth="1"/>
    <col min="11266" max="11266" width="10.140625" style="202" bestFit="1" customWidth="1"/>
    <col min="11267" max="11267" width="11.28515625" style="202" bestFit="1" customWidth="1"/>
    <col min="11268" max="11268" width="29.85546875" style="202" bestFit="1" customWidth="1"/>
    <col min="11269" max="11269" width="7.140625" style="202" bestFit="1" customWidth="1"/>
    <col min="11270" max="11270" width="8.42578125" style="202" bestFit="1" customWidth="1"/>
    <col min="11271" max="11271" width="5.42578125" style="202" bestFit="1" customWidth="1"/>
    <col min="11272" max="11272" width="6.42578125" style="202" bestFit="1" customWidth="1"/>
    <col min="11273" max="11273" width="5.42578125" style="202" bestFit="1" customWidth="1"/>
    <col min="11274" max="11520" width="10.28515625" style="202"/>
    <col min="11521" max="11521" width="14.7109375" style="202" customWidth="1"/>
    <col min="11522" max="11522" width="10.140625" style="202" bestFit="1" customWidth="1"/>
    <col min="11523" max="11523" width="11.28515625" style="202" bestFit="1" customWidth="1"/>
    <col min="11524" max="11524" width="29.85546875" style="202" bestFit="1" customWidth="1"/>
    <col min="11525" max="11525" width="7.140625" style="202" bestFit="1" customWidth="1"/>
    <col min="11526" max="11526" width="8.42578125" style="202" bestFit="1" customWidth="1"/>
    <col min="11527" max="11527" width="5.42578125" style="202" bestFit="1" customWidth="1"/>
    <col min="11528" max="11528" width="6.42578125" style="202" bestFit="1" customWidth="1"/>
    <col min="11529" max="11529" width="5.42578125" style="202" bestFit="1" customWidth="1"/>
    <col min="11530" max="11776" width="10.28515625" style="202"/>
    <col min="11777" max="11777" width="14.7109375" style="202" customWidth="1"/>
    <col min="11778" max="11778" width="10.140625" style="202" bestFit="1" customWidth="1"/>
    <col min="11779" max="11779" width="11.28515625" style="202" bestFit="1" customWidth="1"/>
    <col min="11780" max="11780" width="29.85546875" style="202" bestFit="1" customWidth="1"/>
    <col min="11781" max="11781" width="7.140625" style="202" bestFit="1" customWidth="1"/>
    <col min="11782" max="11782" width="8.42578125" style="202" bestFit="1" customWidth="1"/>
    <col min="11783" max="11783" width="5.42578125" style="202" bestFit="1" customWidth="1"/>
    <col min="11784" max="11784" width="6.42578125" style="202" bestFit="1" customWidth="1"/>
    <col min="11785" max="11785" width="5.42578125" style="202" bestFit="1" customWidth="1"/>
    <col min="11786" max="12032" width="10.28515625" style="202"/>
    <col min="12033" max="12033" width="14.7109375" style="202" customWidth="1"/>
    <col min="12034" max="12034" width="10.140625" style="202" bestFit="1" customWidth="1"/>
    <col min="12035" max="12035" width="11.28515625" style="202" bestFit="1" customWidth="1"/>
    <col min="12036" max="12036" width="29.85546875" style="202" bestFit="1" customWidth="1"/>
    <col min="12037" max="12037" width="7.140625" style="202" bestFit="1" customWidth="1"/>
    <col min="12038" max="12038" width="8.42578125" style="202" bestFit="1" customWidth="1"/>
    <col min="12039" max="12039" width="5.42578125" style="202" bestFit="1" customWidth="1"/>
    <col min="12040" max="12040" width="6.42578125" style="202" bestFit="1" customWidth="1"/>
    <col min="12041" max="12041" width="5.42578125" style="202" bestFit="1" customWidth="1"/>
    <col min="12042" max="12288" width="10.28515625" style="202"/>
    <col min="12289" max="12289" width="14.7109375" style="202" customWidth="1"/>
    <col min="12290" max="12290" width="10.140625" style="202" bestFit="1" customWidth="1"/>
    <col min="12291" max="12291" width="11.28515625" style="202" bestFit="1" customWidth="1"/>
    <col min="12292" max="12292" width="29.85546875" style="202" bestFit="1" customWidth="1"/>
    <col min="12293" max="12293" width="7.140625" style="202" bestFit="1" customWidth="1"/>
    <col min="12294" max="12294" width="8.42578125" style="202" bestFit="1" customWidth="1"/>
    <col min="12295" max="12295" width="5.42578125" style="202" bestFit="1" customWidth="1"/>
    <col min="12296" max="12296" width="6.42578125" style="202" bestFit="1" customWidth="1"/>
    <col min="12297" max="12297" width="5.42578125" style="202" bestFit="1" customWidth="1"/>
    <col min="12298" max="12544" width="10.28515625" style="202"/>
    <col min="12545" max="12545" width="14.7109375" style="202" customWidth="1"/>
    <col min="12546" max="12546" width="10.140625" style="202" bestFit="1" customWidth="1"/>
    <col min="12547" max="12547" width="11.28515625" style="202" bestFit="1" customWidth="1"/>
    <col min="12548" max="12548" width="29.85546875" style="202" bestFit="1" customWidth="1"/>
    <col min="12549" max="12549" width="7.140625" style="202" bestFit="1" customWidth="1"/>
    <col min="12550" max="12550" width="8.42578125" style="202" bestFit="1" customWidth="1"/>
    <col min="12551" max="12551" width="5.42578125" style="202" bestFit="1" customWidth="1"/>
    <col min="12552" max="12552" width="6.42578125" style="202" bestFit="1" customWidth="1"/>
    <col min="12553" max="12553" width="5.42578125" style="202" bestFit="1" customWidth="1"/>
    <col min="12554" max="12800" width="10.28515625" style="202"/>
    <col min="12801" max="12801" width="14.7109375" style="202" customWidth="1"/>
    <col min="12802" max="12802" width="10.140625" style="202" bestFit="1" customWidth="1"/>
    <col min="12803" max="12803" width="11.28515625" style="202" bestFit="1" customWidth="1"/>
    <col min="12804" max="12804" width="29.85546875" style="202" bestFit="1" customWidth="1"/>
    <col min="12805" max="12805" width="7.140625" style="202" bestFit="1" customWidth="1"/>
    <col min="12806" max="12806" width="8.42578125" style="202" bestFit="1" customWidth="1"/>
    <col min="12807" max="12807" width="5.42578125" style="202" bestFit="1" customWidth="1"/>
    <col min="12808" max="12808" width="6.42578125" style="202" bestFit="1" customWidth="1"/>
    <col min="12809" max="12809" width="5.42578125" style="202" bestFit="1" customWidth="1"/>
    <col min="12810" max="13056" width="10.28515625" style="202"/>
    <col min="13057" max="13057" width="14.7109375" style="202" customWidth="1"/>
    <col min="13058" max="13058" width="10.140625" style="202" bestFit="1" customWidth="1"/>
    <col min="13059" max="13059" width="11.28515625" style="202" bestFit="1" customWidth="1"/>
    <col min="13060" max="13060" width="29.85546875" style="202" bestFit="1" customWidth="1"/>
    <col min="13061" max="13061" width="7.140625" style="202" bestFit="1" customWidth="1"/>
    <col min="13062" max="13062" width="8.42578125" style="202" bestFit="1" customWidth="1"/>
    <col min="13063" max="13063" width="5.42578125" style="202" bestFit="1" customWidth="1"/>
    <col min="13064" max="13064" width="6.42578125" style="202" bestFit="1" customWidth="1"/>
    <col min="13065" max="13065" width="5.42578125" style="202" bestFit="1" customWidth="1"/>
    <col min="13066" max="13312" width="10.28515625" style="202"/>
    <col min="13313" max="13313" width="14.7109375" style="202" customWidth="1"/>
    <col min="13314" max="13314" width="10.140625" style="202" bestFit="1" customWidth="1"/>
    <col min="13315" max="13315" width="11.28515625" style="202" bestFit="1" customWidth="1"/>
    <col min="13316" max="13316" width="29.85546875" style="202" bestFit="1" customWidth="1"/>
    <col min="13317" max="13317" width="7.140625" style="202" bestFit="1" customWidth="1"/>
    <col min="13318" max="13318" width="8.42578125" style="202" bestFit="1" customWidth="1"/>
    <col min="13319" max="13319" width="5.42578125" style="202" bestFit="1" customWidth="1"/>
    <col min="13320" max="13320" width="6.42578125" style="202" bestFit="1" customWidth="1"/>
    <col min="13321" max="13321" width="5.42578125" style="202" bestFit="1" customWidth="1"/>
    <col min="13322" max="13568" width="10.28515625" style="202"/>
    <col min="13569" max="13569" width="14.7109375" style="202" customWidth="1"/>
    <col min="13570" max="13570" width="10.140625" style="202" bestFit="1" customWidth="1"/>
    <col min="13571" max="13571" width="11.28515625" style="202" bestFit="1" customWidth="1"/>
    <col min="13572" max="13572" width="29.85546875" style="202" bestFit="1" customWidth="1"/>
    <col min="13573" max="13573" width="7.140625" style="202" bestFit="1" customWidth="1"/>
    <col min="13574" max="13574" width="8.42578125" style="202" bestFit="1" customWidth="1"/>
    <col min="13575" max="13575" width="5.42578125" style="202" bestFit="1" customWidth="1"/>
    <col min="13576" max="13576" width="6.42578125" style="202" bestFit="1" customWidth="1"/>
    <col min="13577" max="13577" width="5.42578125" style="202" bestFit="1" customWidth="1"/>
    <col min="13578" max="13824" width="10.28515625" style="202"/>
    <col min="13825" max="13825" width="14.7109375" style="202" customWidth="1"/>
    <col min="13826" max="13826" width="10.140625" style="202" bestFit="1" customWidth="1"/>
    <col min="13827" max="13827" width="11.28515625" style="202" bestFit="1" customWidth="1"/>
    <col min="13828" max="13828" width="29.85546875" style="202" bestFit="1" customWidth="1"/>
    <col min="13829" max="13829" width="7.140625" style="202" bestFit="1" customWidth="1"/>
    <col min="13830" max="13830" width="8.42578125" style="202" bestFit="1" customWidth="1"/>
    <col min="13831" max="13831" width="5.42578125" style="202" bestFit="1" customWidth="1"/>
    <col min="13832" max="13832" width="6.42578125" style="202" bestFit="1" customWidth="1"/>
    <col min="13833" max="13833" width="5.42578125" style="202" bestFit="1" customWidth="1"/>
    <col min="13834" max="14080" width="10.28515625" style="202"/>
    <col min="14081" max="14081" width="14.7109375" style="202" customWidth="1"/>
    <col min="14082" max="14082" width="10.140625" style="202" bestFit="1" customWidth="1"/>
    <col min="14083" max="14083" width="11.28515625" style="202" bestFit="1" customWidth="1"/>
    <col min="14084" max="14084" width="29.85546875" style="202" bestFit="1" customWidth="1"/>
    <col min="14085" max="14085" width="7.140625" style="202" bestFit="1" customWidth="1"/>
    <col min="14086" max="14086" width="8.42578125" style="202" bestFit="1" customWidth="1"/>
    <col min="14087" max="14087" width="5.42578125" style="202" bestFit="1" customWidth="1"/>
    <col min="14088" max="14088" width="6.42578125" style="202" bestFit="1" customWidth="1"/>
    <col min="14089" max="14089" width="5.42578125" style="202" bestFit="1" customWidth="1"/>
    <col min="14090" max="14336" width="10.28515625" style="202"/>
    <col min="14337" max="14337" width="14.7109375" style="202" customWidth="1"/>
    <col min="14338" max="14338" width="10.140625" style="202" bestFit="1" customWidth="1"/>
    <col min="14339" max="14339" width="11.28515625" style="202" bestFit="1" customWidth="1"/>
    <col min="14340" max="14340" width="29.85546875" style="202" bestFit="1" customWidth="1"/>
    <col min="14341" max="14341" width="7.140625" style="202" bestFit="1" customWidth="1"/>
    <col min="14342" max="14342" width="8.42578125" style="202" bestFit="1" customWidth="1"/>
    <col min="14343" max="14343" width="5.42578125" style="202" bestFit="1" customWidth="1"/>
    <col min="14344" max="14344" width="6.42578125" style="202" bestFit="1" customWidth="1"/>
    <col min="14345" max="14345" width="5.42578125" style="202" bestFit="1" customWidth="1"/>
    <col min="14346" max="14592" width="10.28515625" style="202"/>
    <col min="14593" max="14593" width="14.7109375" style="202" customWidth="1"/>
    <col min="14594" max="14594" width="10.140625" style="202" bestFit="1" customWidth="1"/>
    <col min="14595" max="14595" width="11.28515625" style="202" bestFit="1" customWidth="1"/>
    <col min="14596" max="14596" width="29.85546875" style="202" bestFit="1" customWidth="1"/>
    <col min="14597" max="14597" width="7.140625" style="202" bestFit="1" customWidth="1"/>
    <col min="14598" max="14598" width="8.42578125" style="202" bestFit="1" customWidth="1"/>
    <col min="14599" max="14599" width="5.42578125" style="202" bestFit="1" customWidth="1"/>
    <col min="14600" max="14600" width="6.42578125" style="202" bestFit="1" customWidth="1"/>
    <col min="14601" max="14601" width="5.42578125" style="202" bestFit="1" customWidth="1"/>
    <col min="14602" max="14848" width="10.28515625" style="202"/>
    <col min="14849" max="14849" width="14.7109375" style="202" customWidth="1"/>
    <col min="14850" max="14850" width="10.140625" style="202" bestFit="1" customWidth="1"/>
    <col min="14851" max="14851" width="11.28515625" style="202" bestFit="1" customWidth="1"/>
    <col min="14852" max="14852" width="29.85546875" style="202" bestFit="1" customWidth="1"/>
    <col min="14853" max="14853" width="7.140625" style="202" bestFit="1" customWidth="1"/>
    <col min="14854" max="14854" width="8.42578125" style="202" bestFit="1" customWidth="1"/>
    <col min="14855" max="14855" width="5.42578125" style="202" bestFit="1" customWidth="1"/>
    <col min="14856" max="14856" width="6.42578125" style="202" bestFit="1" customWidth="1"/>
    <col min="14857" max="14857" width="5.42578125" style="202" bestFit="1" customWidth="1"/>
    <col min="14858" max="15104" width="10.28515625" style="202"/>
    <col min="15105" max="15105" width="14.7109375" style="202" customWidth="1"/>
    <col min="15106" max="15106" width="10.140625" style="202" bestFit="1" customWidth="1"/>
    <col min="15107" max="15107" width="11.28515625" style="202" bestFit="1" customWidth="1"/>
    <col min="15108" max="15108" width="29.85546875" style="202" bestFit="1" customWidth="1"/>
    <col min="15109" max="15109" width="7.140625" style="202" bestFit="1" customWidth="1"/>
    <col min="15110" max="15110" width="8.42578125" style="202" bestFit="1" customWidth="1"/>
    <col min="15111" max="15111" width="5.42578125" style="202" bestFit="1" customWidth="1"/>
    <col min="15112" max="15112" width="6.42578125" style="202" bestFit="1" customWidth="1"/>
    <col min="15113" max="15113" width="5.42578125" style="202" bestFit="1" customWidth="1"/>
    <col min="15114" max="15360" width="10.28515625" style="202"/>
    <col min="15361" max="15361" width="14.7109375" style="202" customWidth="1"/>
    <col min="15362" max="15362" width="10.140625" style="202" bestFit="1" customWidth="1"/>
    <col min="15363" max="15363" width="11.28515625" style="202" bestFit="1" customWidth="1"/>
    <col min="15364" max="15364" width="29.85546875" style="202" bestFit="1" customWidth="1"/>
    <col min="15365" max="15365" width="7.140625" style="202" bestFit="1" customWidth="1"/>
    <col min="15366" max="15366" width="8.42578125" style="202" bestFit="1" customWidth="1"/>
    <col min="15367" max="15367" width="5.42578125" style="202" bestFit="1" customWidth="1"/>
    <col min="15368" max="15368" width="6.42578125" style="202" bestFit="1" customWidth="1"/>
    <col min="15369" max="15369" width="5.42578125" style="202" bestFit="1" customWidth="1"/>
    <col min="15370" max="15616" width="10.28515625" style="202"/>
    <col min="15617" max="15617" width="14.7109375" style="202" customWidth="1"/>
    <col min="15618" max="15618" width="10.140625" style="202" bestFit="1" customWidth="1"/>
    <col min="15619" max="15619" width="11.28515625" style="202" bestFit="1" customWidth="1"/>
    <col min="15620" max="15620" width="29.85546875" style="202" bestFit="1" customWidth="1"/>
    <col min="15621" max="15621" width="7.140625" style="202" bestFit="1" customWidth="1"/>
    <col min="15622" max="15622" width="8.42578125" style="202" bestFit="1" customWidth="1"/>
    <col min="15623" max="15623" width="5.42578125" style="202" bestFit="1" customWidth="1"/>
    <col min="15624" max="15624" width="6.42578125" style="202" bestFit="1" customWidth="1"/>
    <col min="15625" max="15625" width="5.42578125" style="202" bestFit="1" customWidth="1"/>
    <col min="15626" max="15872" width="10.28515625" style="202"/>
    <col min="15873" max="15873" width="14.7109375" style="202" customWidth="1"/>
    <col min="15874" max="15874" width="10.140625" style="202" bestFit="1" customWidth="1"/>
    <col min="15875" max="15875" width="11.28515625" style="202" bestFit="1" customWidth="1"/>
    <col min="15876" max="15876" width="29.85546875" style="202" bestFit="1" customWidth="1"/>
    <col min="15877" max="15877" width="7.140625" style="202" bestFit="1" customWidth="1"/>
    <col min="15878" max="15878" width="8.42578125" style="202" bestFit="1" customWidth="1"/>
    <col min="15879" max="15879" width="5.42578125" style="202" bestFit="1" customWidth="1"/>
    <col min="15880" max="15880" width="6.42578125" style="202" bestFit="1" customWidth="1"/>
    <col min="15881" max="15881" width="5.42578125" style="202" bestFit="1" customWidth="1"/>
    <col min="15882" max="16128" width="10.28515625" style="202"/>
    <col min="16129" max="16129" width="14.7109375" style="202" customWidth="1"/>
    <col min="16130" max="16130" width="10.140625" style="202" bestFit="1" customWidth="1"/>
    <col min="16131" max="16131" width="11.28515625" style="202" bestFit="1" customWidth="1"/>
    <col min="16132" max="16132" width="29.85546875" style="202" bestFit="1" customWidth="1"/>
    <col min="16133" max="16133" width="7.140625" style="202" bestFit="1" customWidth="1"/>
    <col min="16134" max="16134" width="8.42578125" style="202" bestFit="1" customWidth="1"/>
    <col min="16135" max="16135" width="5.42578125" style="202" bestFit="1" customWidth="1"/>
    <col min="16136" max="16136" width="6.42578125" style="202" bestFit="1" customWidth="1"/>
    <col min="16137" max="16137" width="5.42578125" style="202" bestFit="1" customWidth="1"/>
    <col min="16138" max="16384" width="10.28515625" style="202"/>
  </cols>
  <sheetData>
    <row r="1" spans="1:9" ht="14.25" hidden="1" thickTop="1" thickBot="1">
      <c r="A1" s="199" t="s">
        <v>427</v>
      </c>
      <c r="B1" s="200" t="s">
        <v>504</v>
      </c>
    </row>
    <row r="2" spans="1:9" ht="14.25" thickTop="1" thickBot="1">
      <c r="A2" s="199" t="s">
        <v>429</v>
      </c>
      <c r="B2" s="199" t="s">
        <v>430</v>
      </c>
      <c r="C2" s="203" t="s">
        <v>385</v>
      </c>
      <c r="D2" s="199" t="s">
        <v>431</v>
      </c>
      <c r="E2" s="199" t="s">
        <v>432</v>
      </c>
      <c r="F2" s="199" t="s">
        <v>433</v>
      </c>
      <c r="G2" s="199" t="s">
        <v>434</v>
      </c>
      <c r="H2" s="199" t="s">
        <v>435</v>
      </c>
      <c r="I2" s="199" t="s">
        <v>436</v>
      </c>
    </row>
    <row r="3" spans="1:9" ht="13.5" thickTop="1">
      <c r="A3" s="204" t="s">
        <v>505</v>
      </c>
      <c r="B3" s="204" t="s">
        <v>9</v>
      </c>
      <c r="C3" s="201">
        <v>857280</v>
      </c>
      <c r="D3" s="204" t="s">
        <v>8</v>
      </c>
      <c r="E3" s="202">
        <v>12</v>
      </c>
      <c r="F3" s="204" t="s">
        <v>438</v>
      </c>
      <c r="G3" s="204" t="s">
        <v>487</v>
      </c>
      <c r="H3" s="204" t="s">
        <v>440</v>
      </c>
      <c r="I3" s="202">
        <v>2011</v>
      </c>
    </row>
    <row r="4" spans="1:9" hidden="1"/>
    <row r="5" spans="1:9" hidden="1">
      <c r="B5" s="205">
        <v>41305</v>
      </c>
      <c r="C5" s="201">
        <v>857280</v>
      </c>
      <c r="D5" s="202" t="s">
        <v>449</v>
      </c>
      <c r="E5" s="202" t="s">
        <v>450</v>
      </c>
    </row>
    <row r="6" spans="1:9" hidden="1">
      <c r="B6" s="205">
        <v>41333</v>
      </c>
      <c r="C6" s="201">
        <v>857280</v>
      </c>
      <c r="D6" s="202" t="s">
        <v>449</v>
      </c>
      <c r="E6" s="202" t="s">
        <v>451</v>
      </c>
    </row>
    <row r="7" spans="1:9" hidden="1">
      <c r="B7" s="205">
        <v>41364</v>
      </c>
      <c r="C7" s="201">
        <v>857280</v>
      </c>
      <c r="D7" s="202" t="s">
        <v>449</v>
      </c>
      <c r="E7" s="202" t="s">
        <v>452</v>
      </c>
    </row>
    <row r="8" spans="1:9" hidden="1">
      <c r="B8" s="205">
        <v>41394</v>
      </c>
      <c r="C8" s="201">
        <v>857280</v>
      </c>
      <c r="D8" s="202" t="s">
        <v>449</v>
      </c>
      <c r="E8" s="202" t="s">
        <v>453</v>
      </c>
    </row>
    <row r="9" spans="1:9" hidden="1">
      <c r="B9" s="205">
        <v>41425</v>
      </c>
      <c r="C9" s="201">
        <v>857280</v>
      </c>
      <c r="D9" s="202" t="s">
        <v>449</v>
      </c>
      <c r="E9" s="202" t="s">
        <v>454</v>
      </c>
    </row>
    <row r="10" spans="1:9" hidden="1">
      <c r="B10" s="205">
        <v>41455</v>
      </c>
      <c r="C10" s="201">
        <v>857280</v>
      </c>
      <c r="D10" s="202" t="s">
        <v>449</v>
      </c>
      <c r="E10" s="202" t="s">
        <v>455</v>
      </c>
    </row>
    <row r="11" spans="1:9" hidden="1">
      <c r="B11" s="205">
        <v>41486</v>
      </c>
      <c r="C11" s="201">
        <v>857280</v>
      </c>
      <c r="D11" s="202" t="s">
        <v>449</v>
      </c>
      <c r="E11" s="202" t="s">
        <v>456</v>
      </c>
    </row>
    <row r="12" spans="1:9" hidden="1">
      <c r="B12" s="205">
        <v>41517</v>
      </c>
      <c r="C12" s="201">
        <v>857280</v>
      </c>
      <c r="D12" s="202" t="s">
        <v>449</v>
      </c>
      <c r="E12" s="202" t="s">
        <v>457</v>
      </c>
    </row>
    <row r="13" spans="1:9" hidden="1">
      <c r="B13" s="205">
        <v>41547</v>
      </c>
      <c r="C13" s="201">
        <v>857280</v>
      </c>
      <c r="D13" s="202" t="s">
        <v>449</v>
      </c>
      <c r="E13" s="202" t="s">
        <v>458</v>
      </c>
    </row>
    <row r="14" spans="1:9" hidden="1">
      <c r="B14" s="205">
        <v>41578</v>
      </c>
      <c r="C14" s="201">
        <v>857280</v>
      </c>
      <c r="D14" s="202" t="s">
        <v>449</v>
      </c>
      <c r="E14" s="202" t="s">
        <v>459</v>
      </c>
    </row>
    <row r="15" spans="1:9" hidden="1">
      <c r="B15" s="205">
        <v>41608</v>
      </c>
      <c r="C15" s="201">
        <v>857280</v>
      </c>
      <c r="D15" s="202" t="s">
        <v>449</v>
      </c>
      <c r="E15" s="202" t="s">
        <v>460</v>
      </c>
    </row>
    <row r="16" spans="1:9" hidden="1">
      <c r="B16" s="205">
        <v>41639</v>
      </c>
      <c r="C16" s="201">
        <v>857280</v>
      </c>
      <c r="D16" s="202" t="s">
        <v>449</v>
      </c>
      <c r="E16" s="202" t="s">
        <v>461</v>
      </c>
    </row>
    <row r="17" spans="2:5" hidden="1">
      <c r="B17" s="205"/>
    </row>
    <row r="18" spans="2:5" hidden="1">
      <c r="B18" s="205">
        <v>41670</v>
      </c>
      <c r="C18" s="201">
        <v>857280</v>
      </c>
      <c r="D18" s="202" t="s">
        <v>449</v>
      </c>
      <c r="E18" s="202" t="s">
        <v>462</v>
      </c>
    </row>
    <row r="19" spans="2:5" hidden="1">
      <c r="B19" s="205">
        <v>41698</v>
      </c>
      <c r="C19" s="201">
        <v>857280</v>
      </c>
      <c r="D19" s="202" t="s">
        <v>449</v>
      </c>
      <c r="E19" s="202" t="s">
        <v>463</v>
      </c>
    </row>
    <row r="20" spans="2:5" hidden="1">
      <c r="B20" s="205">
        <v>41729</v>
      </c>
      <c r="C20" s="201">
        <v>857280</v>
      </c>
      <c r="D20" s="202" t="s">
        <v>449</v>
      </c>
      <c r="E20" s="202" t="s">
        <v>464</v>
      </c>
    </row>
    <row r="21" spans="2:5" hidden="1">
      <c r="B21" s="205">
        <v>41759</v>
      </c>
      <c r="C21" s="201">
        <v>857280</v>
      </c>
      <c r="D21" s="202" t="s">
        <v>449</v>
      </c>
      <c r="E21" s="202" t="s">
        <v>465</v>
      </c>
    </row>
    <row r="22" spans="2:5" hidden="1">
      <c r="B22" s="205">
        <v>41790</v>
      </c>
      <c r="C22" s="201">
        <v>857280</v>
      </c>
      <c r="D22" s="202" t="s">
        <v>449</v>
      </c>
      <c r="E22" s="202" t="s">
        <v>466</v>
      </c>
    </row>
    <row r="23" spans="2:5" hidden="1">
      <c r="B23" s="205">
        <v>41820</v>
      </c>
      <c r="C23" s="201">
        <v>857280</v>
      </c>
      <c r="D23" s="202" t="s">
        <v>449</v>
      </c>
      <c r="E23" s="202" t="s">
        <v>467</v>
      </c>
    </row>
    <row r="24" spans="2:5" hidden="1">
      <c r="B24" s="205">
        <v>41851</v>
      </c>
      <c r="C24" s="201">
        <v>857280</v>
      </c>
      <c r="D24" s="202" t="s">
        <v>449</v>
      </c>
      <c r="E24" s="202" t="s">
        <v>468</v>
      </c>
    </row>
    <row r="25" spans="2:5" hidden="1">
      <c r="B25" s="205">
        <v>41882</v>
      </c>
      <c r="C25" s="201">
        <v>857280</v>
      </c>
      <c r="D25" s="202" t="s">
        <v>449</v>
      </c>
      <c r="E25" s="202" t="s">
        <v>469</v>
      </c>
    </row>
    <row r="26" spans="2:5" hidden="1">
      <c r="B26" s="205">
        <v>41912</v>
      </c>
      <c r="C26" s="201">
        <v>857280</v>
      </c>
      <c r="D26" s="202" t="s">
        <v>449</v>
      </c>
      <c r="E26" s="202" t="s">
        <v>470</v>
      </c>
    </row>
    <row r="27" spans="2:5" hidden="1">
      <c r="B27" s="205">
        <v>41943</v>
      </c>
      <c r="C27" s="201">
        <v>857280</v>
      </c>
      <c r="D27" s="202" t="s">
        <v>449</v>
      </c>
      <c r="E27" s="202" t="s">
        <v>471</v>
      </c>
    </row>
    <row r="28" spans="2:5" hidden="1">
      <c r="B28" s="205">
        <v>41973</v>
      </c>
      <c r="C28" s="201">
        <v>857280</v>
      </c>
      <c r="D28" s="202" t="s">
        <v>449</v>
      </c>
      <c r="E28" s="202" t="s">
        <v>472</v>
      </c>
    </row>
    <row r="29" spans="2:5" hidden="1">
      <c r="B29" s="205">
        <v>42004</v>
      </c>
      <c r="C29" s="201">
        <v>857280</v>
      </c>
      <c r="D29" s="202" t="s">
        <v>449</v>
      </c>
      <c r="E29" s="202" t="s">
        <v>473</v>
      </c>
    </row>
    <row r="30" spans="2:5" hidden="1"/>
    <row r="31" spans="2:5" hidden="1">
      <c r="B31" s="205">
        <v>42035</v>
      </c>
      <c r="C31" s="201">
        <v>857280</v>
      </c>
      <c r="D31" s="202" t="s">
        <v>449</v>
      </c>
      <c r="E31" s="202" t="s">
        <v>474</v>
      </c>
    </row>
    <row r="32" spans="2:5" hidden="1">
      <c r="B32" s="205">
        <v>42063</v>
      </c>
      <c r="C32" s="201">
        <v>857280</v>
      </c>
      <c r="D32" s="202" t="s">
        <v>449</v>
      </c>
      <c r="E32" s="202" t="s">
        <v>475</v>
      </c>
    </row>
    <row r="33" spans="2:5" hidden="1">
      <c r="B33" s="205">
        <v>42094</v>
      </c>
      <c r="C33" s="201">
        <v>857280</v>
      </c>
      <c r="D33" s="202" t="s">
        <v>449</v>
      </c>
      <c r="E33" s="202" t="s">
        <v>476</v>
      </c>
    </row>
    <row r="34" spans="2:5" hidden="1">
      <c r="B34" s="205">
        <v>42124</v>
      </c>
      <c r="C34" s="201">
        <v>857280</v>
      </c>
      <c r="D34" s="202" t="s">
        <v>449</v>
      </c>
      <c r="E34" s="202" t="s">
        <v>477</v>
      </c>
    </row>
    <row r="35" spans="2:5" hidden="1">
      <c r="B35" s="205">
        <v>42155</v>
      </c>
      <c r="C35" s="201">
        <v>857280</v>
      </c>
      <c r="D35" s="202" t="s">
        <v>449</v>
      </c>
      <c r="E35" s="202" t="s">
        <v>478</v>
      </c>
    </row>
    <row r="36" spans="2:5" hidden="1">
      <c r="B36" s="205">
        <v>42185</v>
      </c>
      <c r="C36" s="201">
        <v>857280</v>
      </c>
      <c r="D36" s="202" t="s">
        <v>449</v>
      </c>
      <c r="E36" s="202" t="s">
        <v>479</v>
      </c>
    </row>
    <row r="37" spans="2:5" hidden="1">
      <c r="B37" s="205">
        <v>42216</v>
      </c>
      <c r="C37" s="201">
        <v>857280</v>
      </c>
      <c r="D37" s="202" t="s">
        <v>449</v>
      </c>
      <c r="E37" s="202" t="s">
        <v>480</v>
      </c>
    </row>
    <row r="38" spans="2:5" hidden="1">
      <c r="B38" s="205">
        <v>42247</v>
      </c>
      <c r="C38" s="201">
        <v>857280</v>
      </c>
      <c r="D38" s="202" t="s">
        <v>449</v>
      </c>
      <c r="E38" s="202" t="s">
        <v>481</v>
      </c>
    </row>
    <row r="39" spans="2:5" hidden="1">
      <c r="B39" s="205">
        <v>42277</v>
      </c>
      <c r="C39" s="201">
        <v>857280</v>
      </c>
      <c r="D39" s="202" t="s">
        <v>449</v>
      </c>
      <c r="E39" s="202" t="s">
        <v>482</v>
      </c>
    </row>
    <row r="40" spans="2:5" hidden="1">
      <c r="B40" s="205">
        <v>42308</v>
      </c>
      <c r="C40" s="201">
        <v>857280</v>
      </c>
      <c r="D40" s="202" t="s">
        <v>449</v>
      </c>
      <c r="E40" s="202" t="s">
        <v>483</v>
      </c>
    </row>
    <row r="41" spans="2:5" hidden="1">
      <c r="B41" s="205">
        <v>42338</v>
      </c>
      <c r="C41" s="201">
        <v>857280</v>
      </c>
      <c r="D41" s="202" t="s">
        <v>449</v>
      </c>
      <c r="E41" s="202" t="s">
        <v>484</v>
      </c>
    </row>
    <row r="42" spans="2:5" ht="13.5" thickBot="1">
      <c r="B42" s="209">
        <v>42369</v>
      </c>
      <c r="C42" s="207">
        <v>857280</v>
      </c>
      <c r="D42" s="202" t="s">
        <v>449</v>
      </c>
      <c r="E42" s="202" t="s">
        <v>506</v>
      </c>
    </row>
    <row r="43" spans="2:5" ht="13.5" thickTop="1"/>
    <row r="44" spans="2:5" hidden="1">
      <c r="B44" s="205">
        <v>42400</v>
      </c>
      <c r="C44" s="201">
        <v>857280</v>
      </c>
      <c r="D44" s="202" t="s">
        <v>488</v>
      </c>
      <c r="E44" s="208" t="s">
        <v>507</v>
      </c>
    </row>
    <row r="45" spans="2:5" hidden="1">
      <c r="B45" s="205">
        <v>42429</v>
      </c>
      <c r="C45" s="201">
        <v>857280</v>
      </c>
      <c r="D45" s="202" t="s">
        <v>488</v>
      </c>
      <c r="E45" s="208" t="s">
        <v>508</v>
      </c>
    </row>
    <row r="46" spans="2:5" hidden="1">
      <c r="B46" s="205">
        <v>42460</v>
      </c>
      <c r="C46" s="201">
        <v>857280</v>
      </c>
      <c r="D46" s="202" t="s">
        <v>488</v>
      </c>
      <c r="E46" s="208" t="s">
        <v>509</v>
      </c>
    </row>
    <row r="47" spans="2:5" hidden="1">
      <c r="B47" s="205">
        <v>42490</v>
      </c>
      <c r="C47" s="201">
        <v>857280</v>
      </c>
      <c r="D47" s="202" t="s">
        <v>488</v>
      </c>
      <c r="E47" s="208" t="s">
        <v>510</v>
      </c>
    </row>
    <row r="48" spans="2:5" hidden="1">
      <c r="B48" s="205">
        <v>42521</v>
      </c>
      <c r="C48" s="201">
        <v>857280</v>
      </c>
      <c r="D48" s="202" t="s">
        <v>488</v>
      </c>
      <c r="E48" s="208" t="s">
        <v>511</v>
      </c>
    </row>
    <row r="49" spans="2:5" hidden="1">
      <c r="B49" s="205">
        <v>42551</v>
      </c>
      <c r="C49" s="201">
        <v>857280</v>
      </c>
      <c r="D49" s="202" t="s">
        <v>488</v>
      </c>
      <c r="E49" s="208" t="s">
        <v>512</v>
      </c>
    </row>
    <row r="50" spans="2:5" hidden="1">
      <c r="B50" s="205">
        <v>42582</v>
      </c>
      <c r="C50" s="201">
        <v>857280</v>
      </c>
      <c r="D50" s="202" t="s">
        <v>488</v>
      </c>
      <c r="E50" s="208" t="s">
        <v>513</v>
      </c>
    </row>
    <row r="51" spans="2:5" hidden="1">
      <c r="B51" s="205">
        <v>42613</v>
      </c>
      <c r="C51" s="201">
        <v>857280</v>
      </c>
      <c r="D51" s="202" t="s">
        <v>488</v>
      </c>
      <c r="E51" s="208" t="s">
        <v>514</v>
      </c>
    </row>
    <row r="52" spans="2:5" hidden="1">
      <c r="B52" s="205">
        <v>42643</v>
      </c>
      <c r="C52" s="201">
        <v>857280</v>
      </c>
      <c r="D52" s="202" t="s">
        <v>488</v>
      </c>
      <c r="E52" s="208" t="s">
        <v>515</v>
      </c>
    </row>
    <row r="53" spans="2:5" hidden="1">
      <c r="B53" s="205">
        <v>42674</v>
      </c>
      <c r="C53" s="201">
        <v>857280</v>
      </c>
      <c r="D53" s="202" t="s">
        <v>488</v>
      </c>
      <c r="E53" s="208" t="s">
        <v>516</v>
      </c>
    </row>
    <row r="54" spans="2:5" hidden="1">
      <c r="B54" s="205">
        <v>42704</v>
      </c>
      <c r="C54" s="201">
        <v>857280</v>
      </c>
      <c r="D54" s="202" t="s">
        <v>488</v>
      </c>
      <c r="E54" s="208" t="s">
        <v>517</v>
      </c>
    </row>
    <row r="55" spans="2:5">
      <c r="B55" s="205">
        <v>42735</v>
      </c>
      <c r="C55" s="201">
        <v>857280</v>
      </c>
      <c r="D55" s="202" t="s">
        <v>488</v>
      </c>
      <c r="E55" s="208" t="s">
        <v>518</v>
      </c>
    </row>
  </sheetData>
  <printOptions horizontalCentered="1" gridLines="1"/>
  <pageMargins left="0.25" right="0.25" top="1" bottom="1" header="0.5" footer="0.5"/>
  <pageSetup orientation="portrait" r:id="rId1"/>
  <headerFooter>
    <oddHeader>&amp;CPrepmts-Wrking Funds PlumPoint - GL# 165351</oddHeader>
    <oddFooter>&amp;C&amp;Z&amp;F&amp;R&amp;D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9"/>
  <sheetViews>
    <sheetView zoomScaleNormal="100" workbookViewId="0"/>
  </sheetViews>
  <sheetFormatPr defaultColWidth="16.42578125" defaultRowHeight="15"/>
  <cols>
    <col min="1" max="2" width="16.42578125" customWidth="1"/>
    <col min="3" max="4" width="13.140625" customWidth="1"/>
    <col min="5" max="5" width="12.7109375" customWidth="1"/>
    <col min="257" max="258" width="16.42578125" customWidth="1"/>
    <col min="259" max="260" width="13.140625" customWidth="1"/>
    <col min="261" max="261" width="12.7109375" customWidth="1"/>
    <col min="513" max="514" width="16.42578125" customWidth="1"/>
    <col min="515" max="516" width="13.140625" customWidth="1"/>
    <col min="517" max="517" width="12.7109375" customWidth="1"/>
    <col min="769" max="770" width="16.42578125" customWidth="1"/>
    <col min="771" max="772" width="13.140625" customWidth="1"/>
    <col min="773" max="773" width="12.7109375" customWidth="1"/>
    <col min="1025" max="1026" width="16.42578125" customWidth="1"/>
    <col min="1027" max="1028" width="13.140625" customWidth="1"/>
    <col min="1029" max="1029" width="12.7109375" customWidth="1"/>
    <col min="1281" max="1282" width="16.42578125" customWidth="1"/>
    <col min="1283" max="1284" width="13.140625" customWidth="1"/>
    <col min="1285" max="1285" width="12.7109375" customWidth="1"/>
    <col min="1537" max="1538" width="16.42578125" customWidth="1"/>
    <col min="1539" max="1540" width="13.140625" customWidth="1"/>
    <col min="1541" max="1541" width="12.7109375" customWidth="1"/>
    <col min="1793" max="1794" width="16.42578125" customWidth="1"/>
    <col min="1795" max="1796" width="13.140625" customWidth="1"/>
    <col min="1797" max="1797" width="12.7109375" customWidth="1"/>
    <col min="2049" max="2050" width="16.42578125" customWidth="1"/>
    <col min="2051" max="2052" width="13.140625" customWidth="1"/>
    <col min="2053" max="2053" width="12.7109375" customWidth="1"/>
    <col min="2305" max="2306" width="16.42578125" customWidth="1"/>
    <col min="2307" max="2308" width="13.140625" customWidth="1"/>
    <col min="2309" max="2309" width="12.7109375" customWidth="1"/>
    <col min="2561" max="2562" width="16.42578125" customWidth="1"/>
    <col min="2563" max="2564" width="13.140625" customWidth="1"/>
    <col min="2565" max="2565" width="12.7109375" customWidth="1"/>
    <col min="2817" max="2818" width="16.42578125" customWidth="1"/>
    <col min="2819" max="2820" width="13.140625" customWidth="1"/>
    <col min="2821" max="2821" width="12.7109375" customWidth="1"/>
    <col min="3073" max="3074" width="16.42578125" customWidth="1"/>
    <col min="3075" max="3076" width="13.140625" customWidth="1"/>
    <col min="3077" max="3077" width="12.7109375" customWidth="1"/>
    <col min="3329" max="3330" width="16.42578125" customWidth="1"/>
    <col min="3331" max="3332" width="13.140625" customWidth="1"/>
    <col min="3333" max="3333" width="12.7109375" customWidth="1"/>
    <col min="3585" max="3586" width="16.42578125" customWidth="1"/>
    <col min="3587" max="3588" width="13.140625" customWidth="1"/>
    <col min="3589" max="3589" width="12.7109375" customWidth="1"/>
    <col min="3841" max="3842" width="16.42578125" customWidth="1"/>
    <col min="3843" max="3844" width="13.140625" customWidth="1"/>
    <col min="3845" max="3845" width="12.7109375" customWidth="1"/>
    <col min="4097" max="4098" width="16.42578125" customWidth="1"/>
    <col min="4099" max="4100" width="13.140625" customWidth="1"/>
    <col min="4101" max="4101" width="12.7109375" customWidth="1"/>
    <col min="4353" max="4354" width="16.42578125" customWidth="1"/>
    <col min="4355" max="4356" width="13.140625" customWidth="1"/>
    <col min="4357" max="4357" width="12.7109375" customWidth="1"/>
    <col min="4609" max="4610" width="16.42578125" customWidth="1"/>
    <col min="4611" max="4612" width="13.140625" customWidth="1"/>
    <col min="4613" max="4613" width="12.7109375" customWidth="1"/>
    <col min="4865" max="4866" width="16.42578125" customWidth="1"/>
    <col min="4867" max="4868" width="13.140625" customWidth="1"/>
    <col min="4869" max="4869" width="12.7109375" customWidth="1"/>
    <col min="5121" max="5122" width="16.42578125" customWidth="1"/>
    <col min="5123" max="5124" width="13.140625" customWidth="1"/>
    <col min="5125" max="5125" width="12.7109375" customWidth="1"/>
    <col min="5377" max="5378" width="16.42578125" customWidth="1"/>
    <col min="5379" max="5380" width="13.140625" customWidth="1"/>
    <col min="5381" max="5381" width="12.7109375" customWidth="1"/>
    <col min="5633" max="5634" width="16.42578125" customWidth="1"/>
    <col min="5635" max="5636" width="13.140625" customWidth="1"/>
    <col min="5637" max="5637" width="12.7109375" customWidth="1"/>
    <col min="5889" max="5890" width="16.42578125" customWidth="1"/>
    <col min="5891" max="5892" width="13.140625" customWidth="1"/>
    <col min="5893" max="5893" width="12.7109375" customWidth="1"/>
    <col min="6145" max="6146" width="16.42578125" customWidth="1"/>
    <col min="6147" max="6148" width="13.140625" customWidth="1"/>
    <col min="6149" max="6149" width="12.7109375" customWidth="1"/>
    <col min="6401" max="6402" width="16.42578125" customWidth="1"/>
    <col min="6403" max="6404" width="13.140625" customWidth="1"/>
    <col min="6405" max="6405" width="12.7109375" customWidth="1"/>
    <col min="6657" max="6658" width="16.42578125" customWidth="1"/>
    <col min="6659" max="6660" width="13.140625" customWidth="1"/>
    <col min="6661" max="6661" width="12.7109375" customWidth="1"/>
    <col min="6913" max="6914" width="16.42578125" customWidth="1"/>
    <col min="6915" max="6916" width="13.140625" customWidth="1"/>
    <col min="6917" max="6917" width="12.7109375" customWidth="1"/>
    <col min="7169" max="7170" width="16.42578125" customWidth="1"/>
    <col min="7171" max="7172" width="13.140625" customWidth="1"/>
    <col min="7173" max="7173" width="12.7109375" customWidth="1"/>
    <col min="7425" max="7426" width="16.42578125" customWidth="1"/>
    <col min="7427" max="7428" width="13.140625" customWidth="1"/>
    <col min="7429" max="7429" width="12.7109375" customWidth="1"/>
    <col min="7681" max="7682" width="16.42578125" customWidth="1"/>
    <col min="7683" max="7684" width="13.140625" customWidth="1"/>
    <col min="7685" max="7685" width="12.7109375" customWidth="1"/>
    <col min="7937" max="7938" width="16.42578125" customWidth="1"/>
    <col min="7939" max="7940" width="13.140625" customWidth="1"/>
    <col min="7941" max="7941" width="12.7109375" customWidth="1"/>
    <col min="8193" max="8194" width="16.42578125" customWidth="1"/>
    <col min="8195" max="8196" width="13.140625" customWidth="1"/>
    <col min="8197" max="8197" width="12.7109375" customWidth="1"/>
    <col min="8449" max="8450" width="16.42578125" customWidth="1"/>
    <col min="8451" max="8452" width="13.140625" customWidth="1"/>
    <col min="8453" max="8453" width="12.7109375" customWidth="1"/>
    <col min="8705" max="8706" width="16.42578125" customWidth="1"/>
    <col min="8707" max="8708" width="13.140625" customWidth="1"/>
    <col min="8709" max="8709" width="12.7109375" customWidth="1"/>
    <col min="8961" max="8962" width="16.42578125" customWidth="1"/>
    <col min="8963" max="8964" width="13.140625" customWidth="1"/>
    <col min="8965" max="8965" width="12.7109375" customWidth="1"/>
    <col min="9217" max="9218" width="16.42578125" customWidth="1"/>
    <col min="9219" max="9220" width="13.140625" customWidth="1"/>
    <col min="9221" max="9221" width="12.7109375" customWidth="1"/>
    <col min="9473" max="9474" width="16.42578125" customWidth="1"/>
    <col min="9475" max="9476" width="13.140625" customWidth="1"/>
    <col min="9477" max="9477" width="12.7109375" customWidth="1"/>
    <col min="9729" max="9730" width="16.42578125" customWidth="1"/>
    <col min="9731" max="9732" width="13.140625" customWidth="1"/>
    <col min="9733" max="9733" width="12.7109375" customWidth="1"/>
    <col min="9985" max="9986" width="16.42578125" customWidth="1"/>
    <col min="9987" max="9988" width="13.140625" customWidth="1"/>
    <col min="9989" max="9989" width="12.7109375" customWidth="1"/>
    <col min="10241" max="10242" width="16.42578125" customWidth="1"/>
    <col min="10243" max="10244" width="13.140625" customWidth="1"/>
    <col min="10245" max="10245" width="12.7109375" customWidth="1"/>
    <col min="10497" max="10498" width="16.42578125" customWidth="1"/>
    <col min="10499" max="10500" width="13.140625" customWidth="1"/>
    <col min="10501" max="10501" width="12.7109375" customWidth="1"/>
    <col min="10753" max="10754" width="16.42578125" customWidth="1"/>
    <col min="10755" max="10756" width="13.140625" customWidth="1"/>
    <col min="10757" max="10757" width="12.7109375" customWidth="1"/>
    <col min="11009" max="11010" width="16.42578125" customWidth="1"/>
    <col min="11011" max="11012" width="13.140625" customWidth="1"/>
    <col min="11013" max="11013" width="12.7109375" customWidth="1"/>
    <col min="11265" max="11266" width="16.42578125" customWidth="1"/>
    <col min="11267" max="11268" width="13.140625" customWidth="1"/>
    <col min="11269" max="11269" width="12.7109375" customWidth="1"/>
    <col min="11521" max="11522" width="16.42578125" customWidth="1"/>
    <col min="11523" max="11524" width="13.140625" customWidth="1"/>
    <col min="11525" max="11525" width="12.7109375" customWidth="1"/>
    <col min="11777" max="11778" width="16.42578125" customWidth="1"/>
    <col min="11779" max="11780" width="13.140625" customWidth="1"/>
    <col min="11781" max="11781" width="12.7109375" customWidth="1"/>
    <col min="12033" max="12034" width="16.42578125" customWidth="1"/>
    <col min="12035" max="12036" width="13.140625" customWidth="1"/>
    <col min="12037" max="12037" width="12.7109375" customWidth="1"/>
    <col min="12289" max="12290" width="16.42578125" customWidth="1"/>
    <col min="12291" max="12292" width="13.140625" customWidth="1"/>
    <col min="12293" max="12293" width="12.7109375" customWidth="1"/>
    <col min="12545" max="12546" width="16.42578125" customWidth="1"/>
    <col min="12547" max="12548" width="13.140625" customWidth="1"/>
    <col min="12549" max="12549" width="12.7109375" customWidth="1"/>
    <col min="12801" max="12802" width="16.42578125" customWidth="1"/>
    <col min="12803" max="12804" width="13.140625" customWidth="1"/>
    <col min="12805" max="12805" width="12.7109375" customWidth="1"/>
    <col min="13057" max="13058" width="16.42578125" customWidth="1"/>
    <col min="13059" max="13060" width="13.140625" customWidth="1"/>
    <col min="13061" max="13061" width="12.7109375" customWidth="1"/>
    <col min="13313" max="13314" width="16.42578125" customWidth="1"/>
    <col min="13315" max="13316" width="13.140625" customWidth="1"/>
    <col min="13317" max="13317" width="12.7109375" customWidth="1"/>
    <col min="13569" max="13570" width="16.42578125" customWidth="1"/>
    <col min="13571" max="13572" width="13.140625" customWidth="1"/>
    <col min="13573" max="13573" width="12.7109375" customWidth="1"/>
    <col min="13825" max="13826" width="16.42578125" customWidth="1"/>
    <col min="13827" max="13828" width="13.140625" customWidth="1"/>
    <col min="13829" max="13829" width="12.7109375" customWidth="1"/>
    <col min="14081" max="14082" width="16.42578125" customWidth="1"/>
    <col min="14083" max="14084" width="13.140625" customWidth="1"/>
    <col min="14085" max="14085" width="12.7109375" customWidth="1"/>
    <col min="14337" max="14338" width="16.42578125" customWidth="1"/>
    <col min="14339" max="14340" width="13.140625" customWidth="1"/>
    <col min="14341" max="14341" width="12.7109375" customWidth="1"/>
    <col min="14593" max="14594" width="16.42578125" customWidth="1"/>
    <col min="14595" max="14596" width="13.140625" customWidth="1"/>
    <col min="14597" max="14597" width="12.7109375" customWidth="1"/>
    <col min="14849" max="14850" width="16.42578125" customWidth="1"/>
    <col min="14851" max="14852" width="13.140625" customWidth="1"/>
    <col min="14853" max="14853" width="12.7109375" customWidth="1"/>
    <col min="15105" max="15106" width="16.42578125" customWidth="1"/>
    <col min="15107" max="15108" width="13.140625" customWidth="1"/>
    <col min="15109" max="15109" width="12.7109375" customWidth="1"/>
    <col min="15361" max="15362" width="16.42578125" customWidth="1"/>
    <col min="15363" max="15364" width="13.140625" customWidth="1"/>
    <col min="15365" max="15365" width="12.7109375" customWidth="1"/>
    <col min="15617" max="15618" width="16.42578125" customWidth="1"/>
    <col min="15619" max="15620" width="13.140625" customWidth="1"/>
    <col min="15621" max="15621" width="12.7109375" customWidth="1"/>
    <col min="15873" max="15874" width="16.42578125" customWidth="1"/>
    <col min="15875" max="15876" width="13.140625" customWidth="1"/>
    <col min="15877" max="15877" width="12.7109375" customWidth="1"/>
    <col min="16129" max="16130" width="16.42578125" customWidth="1"/>
    <col min="16131" max="16132" width="13.140625" customWidth="1"/>
    <col min="16133" max="16133" width="12.7109375" customWidth="1"/>
  </cols>
  <sheetData>
    <row r="1" spans="1:17">
      <c r="A1" s="210"/>
      <c r="B1" s="211"/>
      <c r="C1" s="211"/>
      <c r="D1" s="211"/>
      <c r="E1" s="211"/>
      <c r="F1" s="211"/>
      <c r="G1" s="211"/>
      <c r="H1" s="211"/>
      <c r="I1" s="211"/>
      <c r="J1" s="211"/>
      <c r="K1" s="211"/>
      <c r="L1" s="211"/>
      <c r="M1" s="211"/>
      <c r="N1" s="211"/>
      <c r="O1" s="211"/>
      <c r="P1" s="211"/>
      <c r="Q1" s="211"/>
    </row>
    <row r="2" spans="1:17">
      <c r="A2" s="212" t="s">
        <v>519</v>
      </c>
      <c r="B2" s="213"/>
      <c r="C2" s="213"/>
      <c r="D2" s="213"/>
      <c r="E2" s="213"/>
      <c r="F2" s="213"/>
      <c r="G2" s="211"/>
      <c r="H2" s="211"/>
      <c r="I2" s="211"/>
      <c r="J2" s="211"/>
      <c r="K2" s="211"/>
      <c r="L2" s="211"/>
      <c r="M2" s="211"/>
      <c r="N2" s="211"/>
      <c r="O2" s="211"/>
      <c r="P2" s="211"/>
      <c r="Q2" s="211"/>
    </row>
    <row r="3" spans="1:17">
      <c r="A3" s="212" t="s">
        <v>520</v>
      </c>
      <c r="B3" s="213"/>
      <c r="C3" s="213"/>
      <c r="D3" s="213"/>
      <c r="E3" s="213"/>
      <c r="F3" s="213"/>
      <c r="G3" s="211"/>
      <c r="H3" s="211"/>
      <c r="I3" s="211"/>
      <c r="J3" s="211"/>
      <c r="K3" s="211"/>
      <c r="L3" s="211"/>
      <c r="M3" s="211"/>
      <c r="N3" s="211"/>
      <c r="O3" s="211"/>
      <c r="P3" s="211"/>
      <c r="Q3" s="211"/>
    </row>
    <row r="4" spans="1:17">
      <c r="A4" s="212" t="s">
        <v>521</v>
      </c>
      <c r="B4" s="214"/>
      <c r="C4" s="214"/>
      <c r="D4" s="214"/>
      <c r="E4" s="214"/>
      <c r="F4" s="214"/>
      <c r="G4" s="211"/>
      <c r="H4" s="211"/>
      <c r="I4" s="211"/>
      <c r="J4" s="211"/>
      <c r="K4" s="211"/>
      <c r="L4" s="211"/>
      <c r="M4" s="211"/>
      <c r="N4" s="211"/>
      <c r="O4" s="211"/>
      <c r="P4" s="211"/>
      <c r="Q4" s="211"/>
    </row>
    <row r="5" spans="1:17">
      <c r="A5" s="212"/>
      <c r="B5" s="214"/>
      <c r="C5" s="214"/>
      <c r="D5" s="214"/>
      <c r="E5" s="214"/>
      <c r="F5" s="214"/>
      <c r="G5" s="211"/>
      <c r="H5" s="211"/>
      <c r="I5" s="211"/>
      <c r="J5" s="211"/>
      <c r="K5" s="211"/>
      <c r="L5" s="211"/>
      <c r="M5" s="211"/>
      <c r="N5" s="211"/>
      <c r="O5" s="211"/>
      <c r="P5" s="211"/>
      <c r="Q5" s="211"/>
    </row>
    <row r="6" spans="1:17" ht="15.75" thickBot="1">
      <c r="A6" s="212"/>
      <c r="B6" s="214"/>
      <c r="C6" s="214"/>
      <c r="D6" s="214"/>
      <c r="E6" s="214"/>
      <c r="F6" s="214"/>
      <c r="G6" s="211"/>
      <c r="H6" s="211"/>
      <c r="I6" s="211"/>
      <c r="J6" s="211"/>
      <c r="K6" s="211"/>
      <c r="L6" s="211"/>
      <c r="M6" s="211"/>
      <c r="N6" s="211"/>
      <c r="O6" s="211"/>
      <c r="P6" s="211"/>
      <c r="Q6" s="211"/>
    </row>
    <row r="7" spans="1:17" s="219" customFormat="1" ht="12.75" thickTop="1">
      <c r="A7" s="215" t="s">
        <v>522</v>
      </c>
      <c r="B7" s="216" t="s">
        <v>523</v>
      </c>
      <c r="C7" s="217"/>
      <c r="D7" s="216" t="s">
        <v>524</v>
      </c>
      <c r="E7" s="216" t="s">
        <v>525</v>
      </c>
      <c r="F7" s="218" t="s">
        <v>526</v>
      </c>
    </row>
    <row r="8" spans="1:17" ht="15.75" thickBot="1">
      <c r="A8" s="220"/>
      <c r="B8" s="221"/>
      <c r="C8" s="221"/>
      <c r="D8" s="221"/>
      <c r="E8" s="222" t="s">
        <v>527</v>
      </c>
      <c r="F8" s="223"/>
      <c r="G8" s="211"/>
      <c r="H8" s="211"/>
      <c r="I8" s="211"/>
      <c r="J8" s="211"/>
      <c r="K8" s="211"/>
      <c r="L8" s="211"/>
      <c r="M8" s="211"/>
      <c r="N8" s="211"/>
      <c r="O8" s="211"/>
      <c r="P8" s="211"/>
      <c r="Q8" s="211"/>
    </row>
    <row r="9" spans="1:17" ht="15.75" thickTop="1">
      <c r="A9" s="224"/>
      <c r="B9" s="211"/>
      <c r="C9" s="211"/>
      <c r="D9" s="225"/>
      <c r="E9" s="225"/>
      <c r="F9" s="225"/>
      <c r="G9" s="225"/>
      <c r="H9" s="225"/>
      <c r="I9" s="225"/>
      <c r="J9" s="225"/>
      <c r="K9" s="225"/>
      <c r="L9" s="225"/>
      <c r="M9" s="225"/>
      <c r="N9" s="225"/>
      <c r="O9" s="225"/>
      <c r="P9" s="225"/>
      <c r="Q9" s="225"/>
    </row>
    <row r="10" spans="1:17" hidden="1">
      <c r="A10" s="226" t="s">
        <v>528</v>
      </c>
      <c r="B10" s="227" t="s">
        <v>529</v>
      </c>
      <c r="C10" s="211"/>
      <c r="D10" s="228">
        <v>154336.69</v>
      </c>
      <c r="E10" s="225"/>
      <c r="F10" s="225"/>
      <c r="G10" s="225"/>
      <c r="H10" s="225"/>
      <c r="I10" s="225"/>
      <c r="J10" s="225"/>
      <c r="K10" s="225"/>
      <c r="L10" s="225"/>
      <c r="M10" s="225"/>
      <c r="N10" s="225"/>
      <c r="O10" s="225"/>
      <c r="P10" s="225"/>
      <c r="Q10" s="225"/>
    </row>
    <row r="11" spans="1:17" hidden="1">
      <c r="A11" s="224"/>
      <c r="B11" s="211"/>
      <c r="C11" s="211"/>
      <c r="D11" s="225">
        <f>SUM(D9:D10)</f>
        <v>154336.69</v>
      </c>
      <c r="E11" s="229">
        <v>564</v>
      </c>
      <c r="F11" s="225">
        <f>D11/E11</f>
        <v>273.64661347517733</v>
      </c>
      <c r="G11" s="225"/>
      <c r="H11" s="225"/>
      <c r="I11" s="225"/>
      <c r="J11" s="225"/>
      <c r="K11" s="225"/>
      <c r="L11" s="225"/>
      <c r="M11" s="225"/>
      <c r="N11" s="225"/>
      <c r="O11" s="225"/>
      <c r="P11" s="225"/>
      <c r="Q11" s="225"/>
    </row>
    <row r="12" spans="1:17" hidden="1">
      <c r="A12" s="230"/>
      <c r="B12" s="231"/>
      <c r="C12" s="232"/>
      <c r="D12" s="232"/>
      <c r="E12" s="233"/>
      <c r="F12" s="232"/>
      <c r="G12" s="225"/>
      <c r="H12" s="225"/>
      <c r="I12" s="225"/>
      <c r="J12" s="225"/>
      <c r="K12" s="225"/>
      <c r="L12" s="225"/>
      <c r="M12" s="225"/>
      <c r="N12" s="225"/>
      <c r="O12" s="225"/>
      <c r="P12" s="225"/>
      <c r="Q12" s="225"/>
    </row>
    <row r="13" spans="1:17" hidden="1">
      <c r="A13" s="234" t="s">
        <v>530</v>
      </c>
      <c r="B13" s="235" t="s">
        <v>526</v>
      </c>
      <c r="C13" s="232"/>
      <c r="D13" s="232">
        <f>-F11</f>
        <v>-273.64661347517733</v>
      </c>
      <c r="E13" s="233"/>
      <c r="F13" s="232"/>
      <c r="G13" s="225"/>
      <c r="H13" s="225"/>
      <c r="I13" s="225"/>
      <c r="J13" s="225"/>
      <c r="K13" s="225"/>
      <c r="L13" s="225"/>
      <c r="M13" s="225"/>
      <c r="N13" s="225"/>
      <c r="O13" s="225"/>
      <c r="P13" s="225"/>
      <c r="Q13" s="225"/>
    </row>
    <row r="14" spans="1:17" hidden="1">
      <c r="A14" s="234" t="s">
        <v>531</v>
      </c>
      <c r="B14" s="235" t="s">
        <v>529</v>
      </c>
      <c r="C14" s="232"/>
      <c r="D14" s="236"/>
      <c r="E14" s="233"/>
      <c r="F14" s="232"/>
      <c r="G14" s="225"/>
      <c r="H14" s="225"/>
      <c r="I14" s="225"/>
      <c r="J14" s="225"/>
      <c r="K14" s="225"/>
      <c r="L14" s="225"/>
      <c r="M14" s="225"/>
      <c r="N14" s="225"/>
      <c r="O14" s="225"/>
      <c r="P14" s="225"/>
      <c r="Q14" s="225"/>
    </row>
    <row r="15" spans="1:17" hidden="1">
      <c r="A15" s="230"/>
      <c r="B15" s="237" t="s">
        <v>532</v>
      </c>
      <c r="C15" s="232"/>
      <c r="D15" s="232">
        <f>SUM(D11:D14)</f>
        <v>154063.04338652483</v>
      </c>
      <c r="E15" s="233">
        <v>563</v>
      </c>
      <c r="F15" s="232">
        <f>ROUND(+D15/E15,2)</f>
        <v>273.64999999999998</v>
      </c>
      <c r="G15" s="225"/>
      <c r="H15" s="225"/>
      <c r="I15" s="225"/>
      <c r="J15" s="225"/>
      <c r="K15" s="225"/>
      <c r="L15" s="225"/>
      <c r="M15" s="225"/>
      <c r="N15" s="225"/>
      <c r="O15" s="225"/>
      <c r="P15" s="225"/>
      <c r="Q15" s="225"/>
    </row>
    <row r="16" spans="1:17" hidden="1">
      <c r="A16" s="230"/>
      <c r="B16" s="231"/>
      <c r="C16" s="232"/>
      <c r="D16" s="232"/>
      <c r="E16" s="233"/>
      <c r="F16" s="232"/>
      <c r="G16" s="225"/>
      <c r="H16" s="225"/>
      <c r="I16" s="225"/>
      <c r="J16" s="225"/>
      <c r="K16" s="225"/>
      <c r="L16" s="225"/>
      <c r="M16" s="225"/>
      <c r="N16" s="225"/>
      <c r="O16" s="225"/>
      <c r="P16" s="225"/>
      <c r="Q16" s="225"/>
    </row>
    <row r="17" spans="1:17" hidden="1">
      <c r="A17" s="226" t="s">
        <v>531</v>
      </c>
      <c r="B17" s="227" t="s">
        <v>526</v>
      </c>
      <c r="C17" s="225"/>
      <c r="D17" s="225">
        <f>-F15</f>
        <v>-273.64999999999998</v>
      </c>
      <c r="E17" s="229"/>
      <c r="F17" s="225"/>
      <c r="G17" s="225"/>
      <c r="H17" s="225"/>
      <c r="I17" s="225"/>
      <c r="J17" s="225"/>
      <c r="K17" s="225"/>
      <c r="L17" s="225"/>
      <c r="M17" s="225"/>
      <c r="N17" s="225"/>
      <c r="O17" s="225"/>
      <c r="P17" s="225"/>
      <c r="Q17" s="225"/>
    </row>
    <row r="18" spans="1:17" hidden="1">
      <c r="A18" s="226" t="s">
        <v>533</v>
      </c>
      <c r="B18" s="227" t="s">
        <v>529</v>
      </c>
      <c r="C18" s="225"/>
      <c r="D18" s="228"/>
      <c r="E18" s="229"/>
      <c r="F18" s="225"/>
      <c r="G18" s="225"/>
      <c r="H18" s="225"/>
      <c r="I18" s="225"/>
      <c r="J18" s="225"/>
      <c r="K18" s="225"/>
      <c r="L18" s="225"/>
      <c r="M18" s="225"/>
      <c r="N18" s="225"/>
      <c r="O18" s="225"/>
      <c r="P18" s="225"/>
      <c r="Q18" s="225"/>
    </row>
    <row r="19" spans="1:17" hidden="1">
      <c r="A19" s="224"/>
      <c r="B19" s="238" t="s">
        <v>451</v>
      </c>
      <c r="C19" s="225"/>
      <c r="D19" s="225">
        <f>SUM(D15:D18)</f>
        <v>153789.39338652484</v>
      </c>
      <c r="E19" s="229">
        <f>E15-1</f>
        <v>562</v>
      </c>
      <c r="F19" s="225">
        <f>ROUND(+D19/E19,2)</f>
        <v>273.64999999999998</v>
      </c>
      <c r="G19" s="225"/>
      <c r="H19" s="225"/>
      <c r="I19" s="225"/>
      <c r="J19" s="225"/>
      <c r="K19" s="225"/>
      <c r="L19" s="225"/>
      <c r="M19" s="225"/>
      <c r="N19" s="225"/>
      <c r="O19" s="225"/>
      <c r="P19" s="225"/>
      <c r="Q19" s="225"/>
    </row>
    <row r="20" spans="1:17" hidden="1">
      <c r="A20" s="224"/>
      <c r="B20" s="211"/>
      <c r="C20" s="225"/>
      <c r="D20" s="225"/>
      <c r="E20" s="229"/>
      <c r="F20" s="225"/>
      <c r="G20" s="225"/>
      <c r="H20" s="225"/>
      <c r="I20" s="225"/>
      <c r="J20" s="225"/>
      <c r="K20" s="225"/>
      <c r="L20" s="225"/>
      <c r="M20" s="225"/>
      <c r="N20" s="225"/>
      <c r="O20" s="225"/>
      <c r="P20" s="225"/>
      <c r="Q20" s="225"/>
    </row>
    <row r="21" spans="1:17" hidden="1">
      <c r="A21" s="226" t="s">
        <v>533</v>
      </c>
      <c r="B21" s="227" t="s">
        <v>526</v>
      </c>
      <c r="C21" s="225"/>
      <c r="D21" s="225">
        <f>-F19</f>
        <v>-273.64999999999998</v>
      </c>
      <c r="E21" s="229"/>
      <c r="F21" s="225"/>
      <c r="G21" s="225"/>
      <c r="H21" s="225"/>
      <c r="I21" s="225"/>
      <c r="J21" s="225"/>
      <c r="K21" s="225"/>
      <c r="L21" s="225"/>
      <c r="M21" s="225"/>
      <c r="N21" s="225"/>
      <c r="O21" s="225"/>
      <c r="P21" s="225"/>
      <c r="Q21" s="225"/>
    </row>
    <row r="22" spans="1:17" hidden="1">
      <c r="A22" s="226" t="s">
        <v>534</v>
      </c>
      <c r="B22" s="227" t="s">
        <v>529</v>
      </c>
      <c r="C22" s="225"/>
      <c r="D22" s="228"/>
      <c r="E22" s="229"/>
      <c r="F22" s="225"/>
      <c r="G22" s="225"/>
      <c r="H22" s="225"/>
      <c r="I22" s="225"/>
      <c r="J22" s="225"/>
      <c r="K22" s="225"/>
      <c r="L22" s="225"/>
      <c r="M22" s="225"/>
      <c r="N22" s="225"/>
      <c r="O22" s="225"/>
      <c r="P22" s="225"/>
      <c r="Q22" s="225"/>
    </row>
    <row r="23" spans="1:17" hidden="1">
      <c r="A23" s="224"/>
      <c r="B23" s="238" t="s">
        <v>452</v>
      </c>
      <c r="C23" s="225"/>
      <c r="D23" s="225">
        <f>SUM(D19:D22)</f>
        <v>153515.74338652485</v>
      </c>
      <c r="E23" s="229">
        <f>E19-1</f>
        <v>561</v>
      </c>
      <c r="F23" s="225">
        <f>ROUND(+D23/E23,2)</f>
        <v>273.64999999999998</v>
      </c>
      <c r="G23" s="225"/>
      <c r="H23" s="225"/>
      <c r="I23" s="225"/>
      <c r="J23" s="225"/>
      <c r="K23" s="225"/>
      <c r="L23" s="225"/>
      <c r="M23" s="225"/>
      <c r="N23" s="225"/>
      <c r="O23" s="225"/>
      <c r="P23" s="225"/>
      <c r="Q23" s="225"/>
    </row>
    <row r="24" spans="1:17" hidden="1">
      <c r="A24" s="230"/>
      <c r="B24" s="231"/>
      <c r="C24" s="232"/>
      <c r="D24" s="232"/>
      <c r="E24" s="233"/>
      <c r="F24" s="232"/>
      <c r="G24" s="225"/>
      <c r="H24" s="225"/>
      <c r="I24" s="225"/>
      <c r="J24" s="225"/>
      <c r="K24" s="225"/>
      <c r="L24" s="225"/>
      <c r="M24" s="225"/>
      <c r="N24" s="225"/>
      <c r="O24" s="225"/>
      <c r="P24" s="225"/>
      <c r="Q24" s="225"/>
    </row>
    <row r="25" spans="1:17" hidden="1">
      <c r="A25" s="234" t="s">
        <v>534</v>
      </c>
      <c r="B25" s="235" t="s">
        <v>526</v>
      </c>
      <c r="C25" s="232"/>
      <c r="D25" s="232">
        <f>-F23</f>
        <v>-273.64999999999998</v>
      </c>
      <c r="E25" s="233"/>
      <c r="F25" s="225"/>
      <c r="G25" s="225"/>
      <c r="H25" s="225"/>
      <c r="I25" s="225"/>
      <c r="J25" s="225"/>
      <c r="K25" s="225"/>
      <c r="L25" s="225"/>
      <c r="M25" s="225"/>
      <c r="N25" s="225"/>
      <c r="O25" s="225"/>
      <c r="P25" s="225"/>
      <c r="Q25" s="225"/>
    </row>
    <row r="26" spans="1:17" hidden="1">
      <c r="A26" s="234" t="s">
        <v>535</v>
      </c>
      <c r="B26" s="235" t="s">
        <v>529</v>
      </c>
      <c r="C26" s="232"/>
      <c r="D26" s="236"/>
      <c r="E26" s="233"/>
      <c r="F26" s="225"/>
      <c r="G26" s="225"/>
      <c r="H26" s="225"/>
      <c r="I26" s="225"/>
      <c r="J26" s="225"/>
      <c r="K26" s="225"/>
      <c r="L26" s="225"/>
      <c r="M26" s="225"/>
      <c r="N26" s="225"/>
      <c r="O26" s="225"/>
      <c r="P26" s="225"/>
      <c r="Q26" s="225"/>
    </row>
    <row r="27" spans="1:17" hidden="1">
      <c r="A27" s="230"/>
      <c r="B27" s="238" t="s">
        <v>453</v>
      </c>
      <c r="C27" s="232"/>
      <c r="D27" s="232">
        <f>SUM(D23:D26)</f>
        <v>153242.09338652485</v>
      </c>
      <c r="E27" s="233">
        <f>E23-1</f>
        <v>560</v>
      </c>
      <c r="F27" s="225">
        <f>ROUND(+D27/E27,2)</f>
        <v>273.64999999999998</v>
      </c>
      <c r="G27" s="225"/>
      <c r="H27" s="225"/>
      <c r="I27" s="225"/>
      <c r="J27" s="225"/>
      <c r="K27" s="225"/>
      <c r="L27" s="225"/>
      <c r="M27" s="225"/>
      <c r="N27" s="225"/>
      <c r="O27" s="225"/>
      <c r="P27" s="225"/>
      <c r="Q27" s="225"/>
    </row>
    <row r="28" spans="1:17" hidden="1">
      <c r="A28" s="234"/>
      <c r="B28" s="235"/>
      <c r="C28" s="232"/>
      <c r="D28" s="232"/>
      <c r="E28" s="233"/>
      <c r="F28" s="232"/>
      <c r="G28" s="225"/>
      <c r="H28" s="225"/>
      <c r="I28" s="225"/>
      <c r="J28" s="225"/>
      <c r="K28" s="225"/>
      <c r="L28" s="225"/>
      <c r="M28" s="225"/>
      <c r="N28" s="225"/>
      <c r="O28" s="225"/>
      <c r="P28" s="225"/>
      <c r="Q28" s="225"/>
    </row>
    <row r="29" spans="1:17" hidden="1">
      <c r="A29" s="226" t="s">
        <v>535</v>
      </c>
      <c r="B29" s="227" t="s">
        <v>526</v>
      </c>
      <c r="C29" s="225"/>
      <c r="D29" s="225">
        <f>-F27</f>
        <v>-273.64999999999998</v>
      </c>
      <c r="E29" s="229"/>
      <c r="F29" s="225"/>
      <c r="G29" s="225"/>
      <c r="H29" s="225"/>
      <c r="I29" s="225"/>
      <c r="J29" s="225"/>
      <c r="K29" s="225"/>
      <c r="L29" s="225"/>
      <c r="M29" s="225"/>
      <c r="N29" s="225"/>
      <c r="O29" s="225"/>
      <c r="P29" s="225"/>
      <c r="Q29" s="225"/>
    </row>
    <row r="30" spans="1:17" hidden="1">
      <c r="A30" s="226" t="s">
        <v>536</v>
      </c>
      <c r="B30" s="227" t="s">
        <v>529</v>
      </c>
      <c r="C30" s="225"/>
      <c r="D30" s="228"/>
      <c r="E30" s="229"/>
      <c r="F30" s="225"/>
      <c r="G30" s="225"/>
      <c r="H30" s="225"/>
      <c r="I30" s="225"/>
      <c r="J30" s="225"/>
      <c r="K30" s="225"/>
      <c r="L30" s="225"/>
      <c r="M30" s="225"/>
      <c r="N30" s="225"/>
      <c r="O30" s="225"/>
      <c r="P30" s="225"/>
      <c r="Q30" s="225"/>
    </row>
    <row r="31" spans="1:17" hidden="1">
      <c r="A31" s="224"/>
      <c r="B31" s="238" t="s">
        <v>454</v>
      </c>
      <c r="C31" s="225"/>
      <c r="D31" s="225">
        <f>SUM(D27:D30)</f>
        <v>152968.44338652486</v>
      </c>
      <c r="E31" s="229">
        <f>E27-1</f>
        <v>559</v>
      </c>
      <c r="F31" s="225">
        <f>ROUND(+D31/E31,2)</f>
        <v>273.64999999999998</v>
      </c>
      <c r="G31" s="225"/>
      <c r="H31" s="225"/>
      <c r="I31" s="225"/>
      <c r="J31" s="225"/>
      <c r="K31" s="225"/>
      <c r="L31" s="225"/>
      <c r="M31" s="225"/>
      <c r="N31" s="225"/>
      <c r="O31" s="225"/>
      <c r="P31" s="225"/>
      <c r="Q31" s="225"/>
    </row>
    <row r="32" spans="1:17" hidden="1">
      <c r="A32" s="234"/>
      <c r="B32" s="235"/>
      <c r="C32" s="232"/>
      <c r="D32" s="232"/>
      <c r="E32" s="233"/>
      <c r="F32" s="232"/>
      <c r="G32" s="225"/>
      <c r="H32" s="225"/>
      <c r="I32" s="225"/>
      <c r="J32" s="225"/>
      <c r="K32" s="225"/>
      <c r="L32" s="225"/>
      <c r="M32" s="225"/>
      <c r="N32" s="225"/>
      <c r="O32" s="225"/>
      <c r="P32" s="225"/>
      <c r="Q32" s="225"/>
    </row>
    <row r="33" spans="1:17" hidden="1">
      <c r="A33" s="226" t="s">
        <v>536</v>
      </c>
      <c r="B33" s="227" t="s">
        <v>526</v>
      </c>
      <c r="C33" s="225"/>
      <c r="D33" s="225">
        <f>-F31</f>
        <v>-273.64999999999998</v>
      </c>
      <c r="E33" s="229"/>
      <c r="F33" s="225"/>
      <c r="G33" s="225"/>
      <c r="H33" s="225"/>
      <c r="I33" s="225"/>
      <c r="J33" s="225"/>
      <c r="K33" s="225"/>
      <c r="L33" s="225"/>
      <c r="M33" s="225"/>
      <c r="N33" s="225"/>
      <c r="O33" s="225"/>
      <c r="P33" s="225"/>
      <c r="Q33" s="225"/>
    </row>
    <row r="34" spans="1:17" hidden="1">
      <c r="A34" s="226" t="s">
        <v>537</v>
      </c>
      <c r="B34" s="227" t="s">
        <v>529</v>
      </c>
      <c r="C34" s="225"/>
      <c r="D34" s="228"/>
      <c r="E34" s="229"/>
      <c r="F34" s="225"/>
      <c r="G34" s="225"/>
      <c r="H34" s="225"/>
      <c r="I34" s="225"/>
      <c r="J34" s="225"/>
      <c r="K34" s="225"/>
      <c r="L34" s="225"/>
      <c r="M34" s="225"/>
      <c r="N34" s="225"/>
      <c r="O34" s="225"/>
      <c r="P34" s="225"/>
      <c r="Q34" s="225"/>
    </row>
    <row r="35" spans="1:17" hidden="1">
      <c r="A35" s="224"/>
      <c r="B35" s="238" t="s">
        <v>455</v>
      </c>
      <c r="C35" s="225"/>
      <c r="D35" s="225">
        <f>SUM(D31:D34)</f>
        <v>152694.79338652486</v>
      </c>
      <c r="E35" s="229">
        <f>E31-1</f>
        <v>558</v>
      </c>
      <c r="F35" s="225">
        <f>ROUND(+D35/E35,2)</f>
        <v>273.64999999999998</v>
      </c>
      <c r="G35" s="225"/>
      <c r="H35" s="225"/>
      <c r="I35" s="225"/>
      <c r="J35" s="225"/>
      <c r="K35" s="225"/>
      <c r="L35" s="225"/>
      <c r="M35" s="225"/>
      <c r="N35" s="225"/>
      <c r="O35" s="225"/>
      <c r="P35" s="225"/>
      <c r="Q35" s="225"/>
    </row>
    <row r="36" spans="1:17" hidden="1">
      <c r="A36" s="230"/>
      <c r="B36" s="231"/>
      <c r="C36" s="232"/>
      <c r="D36" s="232"/>
      <c r="E36" s="233"/>
      <c r="F36" s="232"/>
      <c r="G36" s="225"/>
      <c r="H36" s="225"/>
      <c r="I36" s="225"/>
      <c r="J36" s="225"/>
      <c r="K36" s="225"/>
      <c r="L36" s="225"/>
      <c r="M36" s="225"/>
      <c r="N36" s="225"/>
      <c r="O36" s="225"/>
      <c r="P36" s="225"/>
      <c r="Q36" s="225"/>
    </row>
    <row r="37" spans="1:17" hidden="1">
      <c r="A37" s="226" t="s">
        <v>537</v>
      </c>
      <c r="B37" s="227" t="s">
        <v>526</v>
      </c>
      <c r="C37" s="225"/>
      <c r="D37" s="225">
        <f>-F35</f>
        <v>-273.64999999999998</v>
      </c>
      <c r="E37" s="229"/>
      <c r="F37" s="225"/>
      <c r="G37" s="225"/>
      <c r="H37" s="225"/>
      <c r="I37" s="225"/>
      <c r="J37" s="225"/>
      <c r="K37" s="225"/>
      <c r="L37" s="225"/>
      <c r="M37" s="225"/>
      <c r="N37" s="225"/>
      <c r="O37" s="225"/>
      <c r="P37" s="225"/>
      <c r="Q37" s="225"/>
    </row>
    <row r="38" spans="1:17" hidden="1">
      <c r="A38" s="226" t="s">
        <v>538</v>
      </c>
      <c r="B38" s="227" t="s">
        <v>529</v>
      </c>
      <c r="C38" s="225"/>
      <c r="D38" s="228"/>
      <c r="E38" s="229"/>
      <c r="F38" s="225"/>
      <c r="G38" s="225"/>
      <c r="H38" s="225"/>
      <c r="I38" s="225"/>
      <c r="J38" s="225"/>
      <c r="K38" s="225"/>
      <c r="L38" s="225"/>
      <c r="M38" s="225"/>
      <c r="N38" s="225"/>
      <c r="O38" s="225"/>
      <c r="P38" s="225"/>
      <c r="Q38" s="225"/>
    </row>
    <row r="39" spans="1:17" hidden="1">
      <c r="A39" s="224"/>
      <c r="B39" s="238" t="s">
        <v>456</v>
      </c>
      <c r="C39" s="225"/>
      <c r="D39" s="225">
        <f>SUM(D35:D38)</f>
        <v>152421.14338652487</v>
      </c>
      <c r="E39" s="229">
        <f>E35-1</f>
        <v>557</v>
      </c>
      <c r="F39" s="225">
        <f>ROUND(+D39/E39,2)</f>
        <v>273.64999999999998</v>
      </c>
      <c r="G39" s="225"/>
      <c r="H39" s="225"/>
      <c r="I39" s="225"/>
      <c r="J39" s="225"/>
      <c r="K39" s="225"/>
      <c r="L39" s="225"/>
      <c r="M39" s="225"/>
      <c r="N39" s="225"/>
      <c r="O39" s="225"/>
      <c r="P39" s="225"/>
      <c r="Q39" s="225"/>
    </row>
    <row r="40" spans="1:17" hidden="1">
      <c r="A40" s="230"/>
      <c r="B40" s="231"/>
      <c r="C40" s="232"/>
      <c r="D40" s="232"/>
      <c r="E40" s="233"/>
      <c r="F40" s="232"/>
      <c r="G40" s="225"/>
      <c r="H40" s="225"/>
      <c r="I40" s="225"/>
      <c r="J40" s="225"/>
      <c r="K40" s="225"/>
      <c r="L40" s="225"/>
      <c r="M40" s="225"/>
      <c r="N40" s="225"/>
      <c r="O40" s="225"/>
      <c r="P40" s="225"/>
      <c r="Q40" s="225"/>
    </row>
    <row r="41" spans="1:17" hidden="1">
      <c r="A41" s="226" t="s">
        <v>538</v>
      </c>
      <c r="B41" s="227" t="s">
        <v>526</v>
      </c>
      <c r="C41" s="225"/>
      <c r="D41" s="225">
        <f>-F39</f>
        <v>-273.64999999999998</v>
      </c>
      <c r="E41" s="229"/>
      <c r="F41" s="225"/>
      <c r="G41" s="225"/>
      <c r="H41" s="225"/>
      <c r="I41" s="225"/>
      <c r="J41" s="225"/>
      <c r="K41" s="225"/>
      <c r="L41" s="225"/>
      <c r="M41" s="225"/>
      <c r="N41" s="225"/>
      <c r="O41" s="225"/>
      <c r="P41" s="225"/>
      <c r="Q41" s="225"/>
    </row>
    <row r="42" spans="1:17" hidden="1">
      <c r="A42" s="226" t="s">
        <v>539</v>
      </c>
      <c r="B42" s="227" t="s">
        <v>529</v>
      </c>
      <c r="C42" s="225"/>
      <c r="D42" s="228"/>
      <c r="E42" s="229"/>
      <c r="F42" s="225"/>
      <c r="G42" s="225"/>
      <c r="H42" s="225"/>
      <c r="I42" s="225"/>
      <c r="J42" s="225"/>
      <c r="K42" s="225"/>
      <c r="L42" s="225"/>
      <c r="M42" s="225"/>
      <c r="N42" s="225"/>
      <c r="O42" s="225"/>
      <c r="P42" s="225"/>
      <c r="Q42" s="225"/>
    </row>
    <row r="43" spans="1:17" hidden="1">
      <c r="A43" s="224"/>
      <c r="B43" s="238" t="s">
        <v>457</v>
      </c>
      <c r="C43" s="225"/>
      <c r="D43" s="225">
        <f>SUM(D39:D42)</f>
        <v>152147.49338652487</v>
      </c>
      <c r="E43" s="229">
        <f>E39-1</f>
        <v>556</v>
      </c>
      <c r="F43" s="225">
        <f>ROUND(+D43/E43,2)</f>
        <v>273.64999999999998</v>
      </c>
      <c r="G43" s="225"/>
      <c r="H43" s="225"/>
      <c r="I43" s="225"/>
      <c r="J43" s="225"/>
      <c r="K43" s="225"/>
      <c r="L43" s="225"/>
      <c r="M43" s="225"/>
      <c r="N43" s="225"/>
      <c r="O43" s="225"/>
      <c r="P43" s="225"/>
      <c r="Q43" s="225"/>
    </row>
    <row r="44" spans="1:17" ht="14.25" hidden="1" customHeight="1">
      <c r="A44" s="230"/>
      <c r="B44" s="231"/>
      <c r="C44" s="232"/>
      <c r="D44" s="232"/>
      <c r="E44" s="233"/>
      <c r="F44" s="232"/>
      <c r="G44" s="225"/>
      <c r="H44" s="225"/>
      <c r="I44" s="225"/>
      <c r="J44" s="225"/>
      <c r="K44" s="225"/>
      <c r="L44" s="225"/>
      <c r="M44" s="225"/>
      <c r="N44" s="225"/>
      <c r="O44" s="225"/>
      <c r="P44" s="225"/>
      <c r="Q44" s="225"/>
    </row>
    <row r="45" spans="1:17" hidden="1">
      <c r="A45" s="226" t="s">
        <v>539</v>
      </c>
      <c r="B45" s="227" t="s">
        <v>526</v>
      </c>
      <c r="C45" s="225"/>
      <c r="D45" s="225">
        <f>-F43</f>
        <v>-273.64999999999998</v>
      </c>
      <c r="E45" s="229"/>
      <c r="F45" s="225"/>
      <c r="G45" s="225"/>
      <c r="H45" s="225"/>
      <c r="I45" s="225"/>
      <c r="J45" s="225"/>
      <c r="K45" s="225"/>
      <c r="L45" s="225"/>
      <c r="M45" s="225"/>
      <c r="N45" s="225"/>
      <c r="O45" s="225"/>
      <c r="P45" s="225"/>
      <c r="Q45" s="225"/>
    </row>
    <row r="46" spans="1:17" hidden="1">
      <c r="A46" s="226" t="s">
        <v>540</v>
      </c>
      <c r="B46" s="227" t="s">
        <v>529</v>
      </c>
      <c r="C46" s="225"/>
      <c r="D46" s="228"/>
      <c r="E46" s="229"/>
      <c r="F46" s="225"/>
      <c r="G46" s="225"/>
      <c r="H46" s="225"/>
      <c r="I46" s="225"/>
      <c r="J46" s="225"/>
      <c r="K46" s="225"/>
      <c r="L46" s="225"/>
      <c r="M46" s="225"/>
      <c r="N46" s="225"/>
      <c r="O46" s="225"/>
      <c r="P46" s="225"/>
      <c r="Q46" s="225"/>
    </row>
    <row r="47" spans="1:17" hidden="1">
      <c r="A47" s="224"/>
      <c r="B47" s="238" t="s">
        <v>458</v>
      </c>
      <c r="C47" s="225"/>
      <c r="D47" s="225">
        <f>SUM(D43:D46)</f>
        <v>151873.84338652488</v>
      </c>
      <c r="E47" s="229">
        <f>E43-1</f>
        <v>555</v>
      </c>
      <c r="F47" s="225">
        <f>ROUND(+D47/E47,2)</f>
        <v>273.64999999999998</v>
      </c>
      <c r="G47" s="225"/>
      <c r="H47" s="225"/>
      <c r="I47" s="225"/>
      <c r="J47" s="225"/>
      <c r="K47" s="225"/>
      <c r="L47" s="225"/>
      <c r="M47" s="225"/>
      <c r="N47" s="225"/>
      <c r="O47" s="225"/>
      <c r="P47" s="225"/>
      <c r="Q47" s="225"/>
    </row>
    <row r="48" spans="1:17" ht="14.25" hidden="1" customHeight="1">
      <c r="A48" s="230"/>
      <c r="B48" s="231"/>
      <c r="C48" s="232"/>
      <c r="D48" s="232"/>
      <c r="E48" s="233"/>
      <c r="F48" s="232"/>
      <c r="G48" s="225"/>
      <c r="H48" s="225"/>
      <c r="I48" s="225"/>
      <c r="J48" s="225"/>
      <c r="K48" s="225"/>
      <c r="L48" s="225"/>
      <c r="M48" s="225"/>
      <c r="N48" s="225"/>
      <c r="O48" s="225"/>
      <c r="P48" s="225"/>
      <c r="Q48" s="225"/>
    </row>
    <row r="49" spans="1:17" hidden="1">
      <c r="A49" s="226" t="s">
        <v>540</v>
      </c>
      <c r="B49" s="227" t="s">
        <v>526</v>
      </c>
      <c r="C49" s="225"/>
      <c r="D49" s="225">
        <f>-F47</f>
        <v>-273.64999999999998</v>
      </c>
      <c r="E49" s="229"/>
      <c r="F49" s="225"/>
      <c r="G49" s="225"/>
      <c r="H49" s="225"/>
      <c r="I49" s="225"/>
      <c r="J49" s="225"/>
      <c r="K49" s="225"/>
      <c r="L49" s="225"/>
      <c r="M49" s="225"/>
      <c r="N49" s="225"/>
      <c r="O49" s="225"/>
      <c r="P49" s="225"/>
      <c r="Q49" s="225"/>
    </row>
    <row r="50" spans="1:17" hidden="1">
      <c r="A50" s="226" t="s">
        <v>541</v>
      </c>
      <c r="B50" s="227" t="s">
        <v>529</v>
      </c>
      <c r="C50" s="225"/>
      <c r="D50" s="228"/>
      <c r="E50" s="229"/>
      <c r="F50" s="225"/>
      <c r="G50" s="225"/>
      <c r="H50" s="225"/>
      <c r="I50" s="225"/>
      <c r="J50" s="225"/>
      <c r="K50" s="225"/>
      <c r="L50" s="225"/>
      <c r="M50" s="225"/>
      <c r="N50" s="225"/>
      <c r="O50" s="225"/>
      <c r="P50" s="225"/>
      <c r="Q50" s="225"/>
    </row>
    <row r="51" spans="1:17" hidden="1">
      <c r="A51" s="224"/>
      <c r="B51" s="238" t="s">
        <v>459</v>
      </c>
      <c r="C51" s="225"/>
      <c r="D51" s="225">
        <f>SUM(D47:D50)</f>
        <v>151600.19338652489</v>
      </c>
      <c r="E51" s="229">
        <f>E47-1</f>
        <v>554</v>
      </c>
      <c r="F51" s="225">
        <f>ROUND(+D51/E51,2)</f>
        <v>273.64999999999998</v>
      </c>
      <c r="G51" s="225"/>
      <c r="H51" s="225"/>
      <c r="I51" s="225"/>
      <c r="J51" s="225"/>
      <c r="K51" s="225"/>
      <c r="L51" s="225"/>
      <c r="M51" s="225"/>
      <c r="N51" s="225"/>
      <c r="O51" s="225"/>
      <c r="P51" s="225"/>
      <c r="Q51" s="225"/>
    </row>
    <row r="52" spans="1:17" ht="14.25" hidden="1" customHeight="1">
      <c r="A52" s="230"/>
      <c r="B52" s="231"/>
      <c r="C52" s="232"/>
      <c r="D52" s="232"/>
      <c r="E52" s="233"/>
      <c r="F52" s="232"/>
      <c r="G52" s="225"/>
      <c r="H52" s="225"/>
      <c r="I52" s="225"/>
      <c r="J52" s="225"/>
      <c r="K52" s="225"/>
      <c r="L52" s="225"/>
      <c r="M52" s="225"/>
      <c r="N52" s="225"/>
      <c r="O52" s="225"/>
      <c r="P52" s="225"/>
      <c r="Q52" s="225"/>
    </row>
    <row r="53" spans="1:17" hidden="1">
      <c r="A53" s="226" t="s">
        <v>541</v>
      </c>
      <c r="B53" s="227" t="s">
        <v>526</v>
      </c>
      <c r="C53" s="225"/>
      <c r="D53" s="225">
        <f>-F51</f>
        <v>-273.64999999999998</v>
      </c>
      <c r="E53" s="229"/>
      <c r="F53" s="225"/>
      <c r="G53" s="225"/>
      <c r="H53" s="225"/>
      <c r="I53" s="225"/>
      <c r="J53" s="225"/>
      <c r="K53" s="225"/>
      <c r="L53" s="225"/>
      <c r="M53" s="225"/>
      <c r="N53" s="225"/>
      <c r="O53" s="225"/>
      <c r="P53" s="225"/>
      <c r="Q53" s="225"/>
    </row>
    <row r="54" spans="1:17" hidden="1">
      <c r="A54" s="226" t="s">
        <v>542</v>
      </c>
      <c r="B54" s="227" t="s">
        <v>529</v>
      </c>
      <c r="C54" s="225"/>
      <c r="D54" s="228"/>
      <c r="E54" s="229"/>
      <c r="F54" s="225"/>
      <c r="G54" s="225"/>
      <c r="H54" s="225"/>
      <c r="I54" s="225"/>
      <c r="J54" s="225"/>
      <c r="K54" s="225"/>
      <c r="L54" s="225"/>
      <c r="M54" s="225"/>
      <c r="N54" s="225"/>
      <c r="O54" s="225"/>
      <c r="P54" s="225"/>
      <c r="Q54" s="225"/>
    </row>
    <row r="55" spans="1:17" hidden="1">
      <c r="A55" s="224"/>
      <c r="B55" s="238" t="s">
        <v>460</v>
      </c>
      <c r="C55" s="225"/>
      <c r="D55" s="225">
        <f>SUM(D51:D54)</f>
        <v>151326.54338652489</v>
      </c>
      <c r="E55" s="229">
        <f>E51-1</f>
        <v>553</v>
      </c>
      <c r="F55" s="225">
        <f>ROUND(+D55/E55,2)</f>
        <v>273.64999999999998</v>
      </c>
      <c r="G55" s="225"/>
      <c r="H55" s="225"/>
      <c r="I55" s="225"/>
      <c r="J55" s="225"/>
      <c r="K55" s="225"/>
      <c r="L55" s="225"/>
      <c r="M55" s="225"/>
      <c r="N55" s="225"/>
      <c r="O55" s="225"/>
      <c r="P55" s="225"/>
      <c r="Q55" s="225"/>
    </row>
    <row r="56" spans="1:17" ht="14.25" hidden="1" customHeight="1">
      <c r="A56" s="230"/>
      <c r="B56" s="231"/>
      <c r="C56" s="232"/>
      <c r="D56" s="232"/>
      <c r="E56" s="233"/>
      <c r="F56" s="232"/>
      <c r="G56" s="225"/>
      <c r="H56" s="225"/>
      <c r="I56" s="225"/>
      <c r="J56" s="225"/>
      <c r="K56" s="225"/>
      <c r="L56" s="225"/>
      <c r="M56" s="225"/>
      <c r="N56" s="225"/>
      <c r="O56" s="225"/>
      <c r="P56" s="225"/>
      <c r="Q56" s="225"/>
    </row>
    <row r="57" spans="1:17" hidden="1">
      <c r="A57" s="226" t="s">
        <v>542</v>
      </c>
      <c r="B57" s="227" t="s">
        <v>526</v>
      </c>
      <c r="C57" s="225"/>
      <c r="D57" s="225">
        <f>-F55</f>
        <v>-273.64999999999998</v>
      </c>
      <c r="E57" s="229"/>
      <c r="F57" s="225"/>
      <c r="G57" s="225"/>
      <c r="H57" s="225"/>
      <c r="I57" s="225"/>
      <c r="J57" s="225"/>
      <c r="K57" s="225"/>
      <c r="L57" s="225"/>
      <c r="M57" s="225"/>
      <c r="N57" s="225"/>
      <c r="O57" s="225"/>
      <c r="P57" s="225"/>
      <c r="Q57" s="225"/>
    </row>
    <row r="58" spans="1:17" hidden="1">
      <c r="A58" s="226" t="s">
        <v>543</v>
      </c>
      <c r="B58" s="227" t="s">
        <v>529</v>
      </c>
      <c r="C58" s="225"/>
      <c r="D58" s="228"/>
      <c r="E58" s="229"/>
      <c r="F58" s="225"/>
      <c r="G58" s="225"/>
      <c r="H58" s="225"/>
      <c r="I58" s="225"/>
      <c r="J58" s="225"/>
      <c r="K58" s="225"/>
      <c r="L58" s="225"/>
      <c r="M58" s="225"/>
      <c r="N58" s="225"/>
      <c r="O58" s="225"/>
      <c r="P58" s="225"/>
      <c r="Q58" s="225"/>
    </row>
    <row r="59" spans="1:17" hidden="1">
      <c r="A59" s="224"/>
      <c r="B59" s="238" t="s">
        <v>461</v>
      </c>
      <c r="C59" s="225"/>
      <c r="D59" s="225">
        <f>SUM(D55:D58)</f>
        <v>151052.8933865249</v>
      </c>
      <c r="E59" s="229">
        <f>E55-1</f>
        <v>552</v>
      </c>
      <c r="F59" s="225">
        <f>ROUND(+D59/E59,2)</f>
        <v>273.64999999999998</v>
      </c>
      <c r="G59" s="225"/>
      <c r="H59" s="225"/>
      <c r="I59" s="225"/>
      <c r="J59" s="225"/>
      <c r="K59" s="225"/>
      <c r="L59" s="225"/>
      <c r="M59" s="225"/>
      <c r="N59" s="225"/>
      <c r="O59" s="225"/>
      <c r="P59" s="225"/>
      <c r="Q59" s="225"/>
    </row>
    <row r="60" spans="1:17" ht="14.25" hidden="1" customHeight="1">
      <c r="A60" s="230"/>
      <c r="B60" s="231"/>
      <c r="C60" s="232"/>
      <c r="D60" s="232"/>
      <c r="E60" s="233"/>
      <c r="F60" s="232"/>
      <c r="G60" s="225"/>
      <c r="H60" s="225"/>
      <c r="I60" s="225"/>
      <c r="J60" s="225"/>
      <c r="K60" s="225"/>
      <c r="L60" s="225"/>
      <c r="M60" s="225"/>
      <c r="N60" s="225"/>
      <c r="O60" s="225"/>
      <c r="P60" s="225"/>
      <c r="Q60" s="225"/>
    </row>
    <row r="61" spans="1:17" hidden="1">
      <c r="A61" s="226" t="s">
        <v>543</v>
      </c>
      <c r="B61" s="227" t="s">
        <v>526</v>
      </c>
      <c r="C61" s="225"/>
      <c r="D61" s="225">
        <f>-F59</f>
        <v>-273.64999999999998</v>
      </c>
      <c r="E61" s="229"/>
      <c r="F61" s="225"/>
      <c r="G61" s="225"/>
      <c r="H61" s="225"/>
      <c r="I61" s="225"/>
      <c r="J61" s="225"/>
      <c r="K61" s="225"/>
      <c r="L61" s="225"/>
      <c r="M61" s="225"/>
      <c r="N61" s="225"/>
      <c r="O61" s="225"/>
      <c r="P61" s="225"/>
      <c r="Q61" s="225"/>
    </row>
    <row r="62" spans="1:17" hidden="1">
      <c r="A62" s="226" t="s">
        <v>544</v>
      </c>
      <c r="B62" s="227" t="s">
        <v>529</v>
      </c>
      <c r="C62" s="225"/>
      <c r="D62" s="228"/>
      <c r="E62" s="229"/>
      <c r="F62" s="225"/>
      <c r="G62" s="225"/>
      <c r="H62" s="225"/>
      <c r="I62" s="225"/>
      <c r="J62" s="225"/>
      <c r="K62" s="225"/>
      <c r="L62" s="225"/>
      <c r="M62" s="225"/>
      <c r="N62" s="225"/>
      <c r="O62" s="225"/>
      <c r="P62" s="225"/>
      <c r="Q62" s="225"/>
    </row>
    <row r="63" spans="1:17" hidden="1">
      <c r="A63" s="224"/>
      <c r="B63" s="238" t="s">
        <v>462</v>
      </c>
      <c r="C63" s="225"/>
      <c r="D63" s="225">
        <f>SUM(D59:D62)</f>
        <v>150779.2433865249</v>
      </c>
      <c r="E63" s="229">
        <f>E59-1</f>
        <v>551</v>
      </c>
      <c r="F63" s="225">
        <f>ROUND(+D63/E63,2)</f>
        <v>273.64999999999998</v>
      </c>
      <c r="G63" s="225"/>
      <c r="H63" s="225"/>
      <c r="I63" s="225"/>
      <c r="J63" s="225"/>
      <c r="K63" s="225"/>
      <c r="L63" s="225"/>
      <c r="M63" s="225"/>
      <c r="N63" s="225"/>
      <c r="O63" s="225"/>
      <c r="P63" s="225"/>
      <c r="Q63" s="225"/>
    </row>
    <row r="64" spans="1:17" hidden="1">
      <c r="A64" s="224"/>
      <c r="B64" s="211"/>
      <c r="C64" s="225"/>
      <c r="D64" s="225"/>
      <c r="E64" s="229"/>
      <c r="F64" s="225"/>
      <c r="G64" s="225"/>
      <c r="H64" s="225"/>
      <c r="I64" s="225"/>
      <c r="J64" s="225"/>
      <c r="K64" s="225"/>
      <c r="L64" s="225"/>
      <c r="M64" s="225"/>
      <c r="N64" s="225"/>
      <c r="O64" s="225"/>
      <c r="P64" s="225"/>
      <c r="Q64" s="225"/>
    </row>
    <row r="65" spans="1:17" hidden="1">
      <c r="A65" s="226" t="s">
        <v>544</v>
      </c>
      <c r="B65" s="227" t="s">
        <v>526</v>
      </c>
      <c r="C65" s="225"/>
      <c r="D65" s="225">
        <f>-F63</f>
        <v>-273.64999999999998</v>
      </c>
      <c r="E65" s="229"/>
      <c r="F65" s="225"/>
      <c r="G65" s="225"/>
      <c r="H65" s="225"/>
      <c r="I65" s="225"/>
      <c r="J65" s="225"/>
      <c r="K65" s="225"/>
      <c r="L65" s="225"/>
      <c r="M65" s="225"/>
      <c r="N65" s="225"/>
      <c r="O65" s="225"/>
      <c r="P65" s="225"/>
      <c r="Q65" s="225"/>
    </row>
    <row r="66" spans="1:17" hidden="1">
      <c r="A66" s="226" t="s">
        <v>545</v>
      </c>
      <c r="B66" s="227" t="s">
        <v>529</v>
      </c>
      <c r="C66" s="225"/>
      <c r="D66" s="228"/>
      <c r="E66" s="229"/>
      <c r="F66" s="225"/>
      <c r="G66" s="225"/>
      <c r="H66" s="225"/>
      <c r="I66" s="225"/>
      <c r="J66" s="225"/>
      <c r="K66" s="225"/>
      <c r="L66" s="225"/>
      <c r="M66" s="225"/>
      <c r="N66" s="225"/>
      <c r="O66" s="225"/>
      <c r="P66" s="225"/>
      <c r="Q66" s="225"/>
    </row>
    <row r="67" spans="1:17" hidden="1">
      <c r="A67" s="224"/>
      <c r="B67" s="238" t="s">
        <v>463</v>
      </c>
      <c r="C67" s="225"/>
      <c r="D67" s="225">
        <f>SUM(D63:D66)</f>
        <v>150505.59338652491</v>
      </c>
      <c r="E67" s="229">
        <f>E63-1</f>
        <v>550</v>
      </c>
      <c r="F67" s="225">
        <f>ROUND(+D67/E67,2)</f>
        <v>273.64999999999998</v>
      </c>
      <c r="G67" s="225"/>
      <c r="H67" s="225"/>
      <c r="I67" s="225"/>
      <c r="J67" s="225"/>
      <c r="K67" s="225"/>
      <c r="L67" s="225"/>
      <c r="M67" s="225"/>
      <c r="N67" s="225"/>
      <c r="O67" s="225"/>
      <c r="P67" s="225"/>
      <c r="Q67" s="225"/>
    </row>
    <row r="68" spans="1:17" hidden="1">
      <c r="A68" s="230"/>
      <c r="B68" s="231"/>
      <c r="C68" s="232"/>
      <c r="D68" s="232"/>
      <c r="E68" s="229"/>
      <c r="F68" s="225"/>
      <c r="G68" s="225"/>
      <c r="H68" s="225"/>
      <c r="I68" s="225"/>
      <c r="J68" s="225"/>
      <c r="K68" s="225"/>
      <c r="L68" s="225"/>
      <c r="M68" s="225"/>
      <c r="N68" s="225"/>
      <c r="O68" s="225"/>
      <c r="P68" s="225"/>
      <c r="Q68" s="225"/>
    </row>
    <row r="69" spans="1:17" hidden="1">
      <c r="A69" s="234" t="s">
        <v>545</v>
      </c>
      <c r="B69" s="235" t="s">
        <v>526</v>
      </c>
      <c r="C69" s="232"/>
      <c r="D69" s="232">
        <f>-F67</f>
        <v>-273.64999999999998</v>
      </c>
      <c r="E69" s="229"/>
      <c r="F69" s="225"/>
      <c r="G69" s="225"/>
      <c r="H69" s="225"/>
      <c r="I69" s="225"/>
      <c r="J69" s="225"/>
      <c r="K69" s="225"/>
      <c r="L69" s="225"/>
      <c r="M69" s="225"/>
      <c r="N69" s="225"/>
      <c r="O69" s="225"/>
      <c r="P69" s="225"/>
      <c r="Q69" s="225"/>
    </row>
    <row r="70" spans="1:17" hidden="1">
      <c r="A70" s="234" t="s">
        <v>546</v>
      </c>
      <c r="B70" s="235" t="s">
        <v>529</v>
      </c>
      <c r="C70" s="232"/>
      <c r="D70" s="232"/>
      <c r="E70" s="229"/>
      <c r="F70" s="225"/>
      <c r="G70" s="225"/>
      <c r="H70" s="225"/>
      <c r="I70" s="225"/>
      <c r="J70" s="225"/>
      <c r="K70" s="225"/>
      <c r="L70" s="225"/>
      <c r="M70" s="225"/>
      <c r="N70" s="225"/>
      <c r="O70" s="225"/>
      <c r="P70" s="225"/>
      <c r="Q70" s="225"/>
    </row>
    <row r="71" spans="1:17" hidden="1">
      <c r="A71" s="230"/>
      <c r="B71" s="237" t="s">
        <v>464</v>
      </c>
      <c r="C71" s="232"/>
      <c r="D71" s="239">
        <f>SUM(D67:D70)</f>
        <v>150231.94338652492</v>
      </c>
      <c r="E71" s="229">
        <f>E67-1</f>
        <v>549</v>
      </c>
      <c r="F71" s="225">
        <f>ROUND(+D71/E71,2)</f>
        <v>273.64999999999998</v>
      </c>
      <c r="G71" s="225"/>
      <c r="H71" s="225"/>
      <c r="I71" s="225"/>
      <c r="J71" s="225"/>
      <c r="K71" s="225"/>
      <c r="L71" s="225"/>
      <c r="M71" s="225"/>
      <c r="N71" s="225"/>
      <c r="O71" s="225"/>
      <c r="P71" s="225"/>
      <c r="Q71" s="225"/>
    </row>
    <row r="72" spans="1:17" hidden="1">
      <c r="A72" s="230"/>
      <c r="B72" s="231"/>
      <c r="C72" s="232"/>
      <c r="D72" s="232"/>
      <c r="E72" s="233"/>
      <c r="F72" s="232"/>
      <c r="G72" s="225"/>
      <c r="H72" s="225"/>
      <c r="I72" s="225"/>
      <c r="J72" s="225"/>
      <c r="K72" s="225"/>
      <c r="L72" s="225"/>
      <c r="M72" s="225"/>
      <c r="N72" s="225"/>
      <c r="O72" s="225"/>
      <c r="P72" s="225"/>
      <c r="Q72" s="225"/>
    </row>
    <row r="73" spans="1:17" hidden="1">
      <c r="A73" s="226" t="s">
        <v>546</v>
      </c>
      <c r="B73" s="227" t="s">
        <v>526</v>
      </c>
      <c r="C73" s="225"/>
      <c r="D73" s="225">
        <f>-F71</f>
        <v>-273.64999999999998</v>
      </c>
      <c r="E73" s="229"/>
      <c r="F73" s="225"/>
      <c r="G73" s="225"/>
      <c r="H73" s="225"/>
      <c r="I73" s="225"/>
      <c r="J73" s="225"/>
      <c r="K73" s="225"/>
      <c r="L73" s="225"/>
      <c r="M73" s="225"/>
      <c r="N73" s="225"/>
      <c r="O73" s="225"/>
      <c r="P73" s="225"/>
      <c r="Q73" s="225"/>
    </row>
    <row r="74" spans="1:17" hidden="1">
      <c r="A74" s="226" t="s">
        <v>547</v>
      </c>
      <c r="B74" s="227" t="s">
        <v>529</v>
      </c>
      <c r="C74" s="225"/>
      <c r="D74" s="228"/>
      <c r="E74" s="229"/>
      <c r="F74" s="225"/>
      <c r="G74" s="225"/>
      <c r="H74" s="225"/>
      <c r="I74" s="225"/>
      <c r="J74" s="225"/>
      <c r="K74" s="225"/>
      <c r="L74" s="225"/>
      <c r="M74" s="225"/>
      <c r="N74" s="225"/>
      <c r="O74" s="225"/>
      <c r="P74" s="225"/>
      <c r="Q74" s="225"/>
    </row>
    <row r="75" spans="1:17" hidden="1">
      <c r="A75" s="224"/>
      <c r="B75" s="237" t="s">
        <v>465</v>
      </c>
      <c r="C75" s="225"/>
      <c r="D75" s="225">
        <f>SUM(D71:D74)</f>
        <v>149958.29338652492</v>
      </c>
      <c r="E75" s="229">
        <f>E71-1</f>
        <v>548</v>
      </c>
      <c r="F75" s="225">
        <f>ROUND(+D75/E75,2)</f>
        <v>273.64999999999998</v>
      </c>
      <c r="G75" s="225"/>
      <c r="H75" s="225"/>
      <c r="I75" s="225"/>
      <c r="J75" s="225"/>
      <c r="K75" s="225"/>
      <c r="L75" s="225"/>
      <c r="M75" s="225"/>
      <c r="N75" s="225"/>
      <c r="O75" s="225"/>
      <c r="P75" s="225"/>
      <c r="Q75" s="225"/>
    </row>
    <row r="76" spans="1:17" hidden="1">
      <c r="A76" s="234"/>
      <c r="B76" s="235"/>
      <c r="C76" s="232"/>
      <c r="D76" s="232"/>
      <c r="E76" s="233"/>
      <c r="F76" s="232"/>
      <c r="G76" s="225"/>
      <c r="H76" s="225"/>
      <c r="I76" s="225"/>
      <c r="J76" s="225"/>
      <c r="K76" s="225"/>
      <c r="L76" s="225"/>
      <c r="M76" s="225"/>
      <c r="N76" s="225"/>
      <c r="O76" s="225"/>
      <c r="P76" s="225"/>
      <c r="Q76" s="225"/>
    </row>
    <row r="77" spans="1:17" hidden="1">
      <c r="A77" s="226" t="s">
        <v>547</v>
      </c>
      <c r="B77" s="227" t="s">
        <v>526</v>
      </c>
      <c r="C77" s="225"/>
      <c r="D77" s="225">
        <f>-F75</f>
        <v>-273.64999999999998</v>
      </c>
      <c r="E77" s="229"/>
      <c r="F77" s="225"/>
      <c r="G77" s="225"/>
      <c r="H77" s="225"/>
      <c r="I77" s="225"/>
      <c r="J77" s="225"/>
      <c r="K77" s="225"/>
      <c r="L77" s="225"/>
      <c r="M77" s="225"/>
      <c r="N77" s="225"/>
      <c r="O77" s="225"/>
      <c r="P77" s="225"/>
      <c r="Q77" s="225"/>
    </row>
    <row r="78" spans="1:17" hidden="1">
      <c r="A78" s="226" t="s">
        <v>548</v>
      </c>
      <c r="B78" s="227" t="s">
        <v>529</v>
      </c>
      <c r="C78" s="225"/>
      <c r="D78" s="228"/>
      <c r="E78" s="229"/>
      <c r="F78" s="225"/>
      <c r="G78" s="225"/>
      <c r="H78" s="225"/>
      <c r="I78" s="225"/>
      <c r="J78" s="225"/>
      <c r="K78" s="225"/>
      <c r="L78" s="225"/>
      <c r="M78" s="225"/>
      <c r="N78" s="225"/>
      <c r="O78" s="225"/>
      <c r="P78" s="225"/>
      <c r="Q78" s="225"/>
    </row>
    <row r="79" spans="1:17" hidden="1">
      <c r="A79" s="224"/>
      <c r="B79" s="237" t="s">
        <v>466</v>
      </c>
      <c r="C79" s="225"/>
      <c r="D79" s="225">
        <f>SUM(D75:D78)</f>
        <v>149684.64338652493</v>
      </c>
      <c r="E79" s="229">
        <f>E75-1</f>
        <v>547</v>
      </c>
      <c r="F79" s="225">
        <f>ROUND(+D79/E79,2)</f>
        <v>273.64999999999998</v>
      </c>
      <c r="G79" s="225"/>
      <c r="H79" s="225"/>
      <c r="I79" s="225"/>
      <c r="J79" s="225"/>
      <c r="K79" s="225"/>
      <c r="L79" s="225"/>
      <c r="M79" s="225"/>
      <c r="N79" s="225"/>
      <c r="O79" s="225"/>
      <c r="P79" s="225"/>
      <c r="Q79" s="225"/>
    </row>
    <row r="80" spans="1:17" hidden="1">
      <c r="A80" s="234"/>
      <c r="B80" s="235"/>
      <c r="C80" s="232"/>
      <c r="D80" s="232"/>
      <c r="E80" s="233"/>
      <c r="F80" s="232"/>
      <c r="G80" s="225"/>
      <c r="H80" s="225"/>
      <c r="I80" s="225"/>
      <c r="J80" s="225"/>
      <c r="K80" s="225"/>
      <c r="L80" s="225"/>
      <c r="M80" s="225"/>
      <c r="N80" s="225"/>
      <c r="O80" s="225"/>
      <c r="P80" s="225"/>
      <c r="Q80" s="225"/>
    </row>
    <row r="81" spans="1:17" hidden="1">
      <c r="A81" s="226" t="s">
        <v>548</v>
      </c>
      <c r="B81" s="227" t="s">
        <v>526</v>
      </c>
      <c r="C81" s="225"/>
      <c r="D81" s="225">
        <f>-F79</f>
        <v>-273.64999999999998</v>
      </c>
      <c r="E81" s="229"/>
      <c r="F81" s="225"/>
      <c r="G81" s="225"/>
      <c r="H81" s="225"/>
      <c r="I81" s="225"/>
      <c r="J81" s="225"/>
      <c r="K81" s="225"/>
      <c r="L81" s="225"/>
      <c r="M81" s="225"/>
      <c r="N81" s="225"/>
      <c r="O81" s="225"/>
      <c r="P81" s="225"/>
      <c r="Q81" s="225"/>
    </row>
    <row r="82" spans="1:17" hidden="1">
      <c r="A82" s="226" t="s">
        <v>549</v>
      </c>
      <c r="B82" s="227" t="s">
        <v>529</v>
      </c>
      <c r="C82" s="225"/>
      <c r="D82" s="228"/>
      <c r="E82" s="229"/>
      <c r="F82" s="225"/>
      <c r="G82" s="225"/>
      <c r="H82" s="225"/>
      <c r="I82" s="225"/>
      <c r="J82" s="225"/>
      <c r="K82" s="225"/>
      <c r="L82" s="225"/>
      <c r="M82" s="225"/>
      <c r="N82" s="225"/>
      <c r="O82" s="225"/>
      <c r="P82" s="225"/>
      <c r="Q82" s="225"/>
    </row>
    <row r="83" spans="1:17" hidden="1">
      <c r="A83" s="224"/>
      <c r="B83" s="237" t="s">
        <v>467</v>
      </c>
      <c r="C83" s="225"/>
      <c r="D83" s="225">
        <f>SUM(D79:D82)</f>
        <v>149410.99338652493</v>
      </c>
      <c r="E83" s="229">
        <f>E79-1</f>
        <v>546</v>
      </c>
      <c r="F83" s="225">
        <f>ROUND(+D83/E83,2)</f>
        <v>273.64999999999998</v>
      </c>
      <c r="G83" s="225"/>
      <c r="H83" s="225"/>
      <c r="I83" s="225"/>
      <c r="J83" s="225"/>
      <c r="K83" s="225"/>
      <c r="L83" s="225"/>
      <c r="M83" s="225"/>
      <c r="N83" s="225"/>
      <c r="O83" s="225"/>
      <c r="P83" s="225"/>
      <c r="Q83" s="225"/>
    </row>
    <row r="84" spans="1:17" hidden="1">
      <c r="A84" s="230"/>
      <c r="B84" s="231"/>
      <c r="C84" s="232"/>
      <c r="D84" s="232"/>
      <c r="E84" s="233"/>
      <c r="F84" s="232"/>
      <c r="G84" s="225"/>
      <c r="H84" s="225"/>
      <c r="I84" s="225"/>
      <c r="J84" s="225"/>
      <c r="K84" s="225"/>
      <c r="L84" s="225"/>
      <c r="M84" s="225"/>
      <c r="N84" s="225"/>
      <c r="O84" s="225"/>
      <c r="P84" s="225"/>
      <c r="Q84" s="225"/>
    </row>
    <row r="85" spans="1:17" hidden="1">
      <c r="A85" s="226" t="s">
        <v>549</v>
      </c>
      <c r="B85" s="227" t="s">
        <v>526</v>
      </c>
      <c r="C85" s="225"/>
      <c r="D85" s="225">
        <f>-F83</f>
        <v>-273.64999999999998</v>
      </c>
      <c r="E85" s="229"/>
      <c r="F85" s="225"/>
      <c r="G85" s="225"/>
      <c r="H85" s="225"/>
      <c r="I85" s="225"/>
      <c r="J85" s="225"/>
      <c r="K85" s="225"/>
      <c r="L85" s="225"/>
      <c r="M85" s="225"/>
      <c r="N85" s="225"/>
      <c r="O85" s="225"/>
      <c r="P85" s="225"/>
      <c r="Q85" s="225"/>
    </row>
    <row r="86" spans="1:17" hidden="1">
      <c r="A86" s="226" t="s">
        <v>550</v>
      </c>
      <c r="B86" s="227" t="s">
        <v>529</v>
      </c>
      <c r="C86" s="225"/>
      <c r="D86" s="228"/>
      <c r="E86" s="229"/>
      <c r="F86" s="225"/>
      <c r="G86" s="225"/>
      <c r="H86" s="225"/>
      <c r="I86" s="225"/>
      <c r="J86" s="225"/>
      <c r="K86" s="225"/>
      <c r="L86" s="225"/>
      <c r="M86" s="225"/>
      <c r="N86" s="225"/>
      <c r="O86" s="225"/>
      <c r="P86" s="225"/>
      <c r="Q86" s="225"/>
    </row>
    <row r="87" spans="1:17" hidden="1">
      <c r="A87" s="224"/>
      <c r="B87" s="237" t="s">
        <v>468</v>
      </c>
      <c r="C87" s="225"/>
      <c r="D87" s="225">
        <f>SUM(D83:D86)</f>
        <v>149137.34338652494</v>
      </c>
      <c r="E87" s="229">
        <f>E83-1</f>
        <v>545</v>
      </c>
      <c r="F87" s="225">
        <f>ROUND(+D87/E87,2)</f>
        <v>273.64999999999998</v>
      </c>
      <c r="G87" s="225"/>
      <c r="H87" s="225"/>
      <c r="I87" s="225"/>
      <c r="J87" s="225"/>
      <c r="K87" s="225"/>
      <c r="L87" s="225"/>
      <c r="M87" s="225"/>
      <c r="N87" s="225"/>
      <c r="O87" s="225"/>
      <c r="P87" s="225"/>
      <c r="Q87" s="225"/>
    </row>
    <row r="88" spans="1:17" hidden="1">
      <c r="A88" s="230"/>
      <c r="B88" s="231"/>
      <c r="C88" s="232"/>
      <c r="D88" s="232"/>
      <c r="E88" s="233"/>
      <c r="F88" s="232"/>
      <c r="G88" s="225"/>
      <c r="H88" s="225"/>
      <c r="I88" s="225"/>
      <c r="J88" s="225"/>
      <c r="K88" s="225"/>
      <c r="L88" s="225"/>
      <c r="M88" s="225"/>
      <c r="N88" s="225"/>
      <c r="O88" s="225"/>
      <c r="P88" s="225"/>
      <c r="Q88" s="225"/>
    </row>
    <row r="89" spans="1:17" hidden="1">
      <c r="A89" s="234" t="s">
        <v>550</v>
      </c>
      <c r="B89" s="235" t="s">
        <v>526</v>
      </c>
      <c r="C89" s="232"/>
      <c r="D89" s="232">
        <f>-F87</f>
        <v>-273.64999999999998</v>
      </c>
      <c r="E89" s="233"/>
      <c r="F89" s="225"/>
      <c r="G89" s="225"/>
      <c r="H89" s="225"/>
      <c r="I89" s="225"/>
      <c r="J89" s="225"/>
      <c r="K89" s="225"/>
      <c r="L89" s="225"/>
      <c r="M89" s="225"/>
      <c r="N89" s="225"/>
      <c r="O89" s="225"/>
      <c r="P89" s="225"/>
      <c r="Q89" s="225"/>
    </row>
    <row r="90" spans="1:17" hidden="1">
      <c r="A90" s="234" t="s">
        <v>551</v>
      </c>
      <c r="B90" s="235" t="s">
        <v>529</v>
      </c>
      <c r="C90" s="232"/>
      <c r="D90" s="228"/>
      <c r="E90" s="233"/>
      <c r="F90" s="225"/>
      <c r="G90" s="225"/>
      <c r="H90" s="225"/>
      <c r="I90" s="225"/>
      <c r="J90" s="225"/>
      <c r="K90" s="225"/>
      <c r="L90" s="225"/>
      <c r="M90" s="225"/>
      <c r="N90" s="225"/>
      <c r="O90" s="225"/>
      <c r="P90" s="225"/>
      <c r="Q90" s="225"/>
    </row>
    <row r="91" spans="1:17" hidden="1">
      <c r="A91" s="230"/>
      <c r="B91" s="237" t="s">
        <v>469</v>
      </c>
      <c r="C91" s="232"/>
      <c r="D91" s="232">
        <f>SUM(D87:D90)</f>
        <v>148863.69338652494</v>
      </c>
      <c r="E91" s="233">
        <f>E87-1</f>
        <v>544</v>
      </c>
      <c r="F91" s="225">
        <f>ROUND(+D91/E91,2)</f>
        <v>273.64999999999998</v>
      </c>
      <c r="G91" s="225"/>
      <c r="H91" s="225"/>
      <c r="I91" s="225"/>
      <c r="J91" s="225"/>
      <c r="K91" s="225"/>
      <c r="L91" s="225"/>
      <c r="M91" s="225"/>
      <c r="N91" s="225"/>
      <c r="O91" s="225"/>
      <c r="P91" s="225"/>
      <c r="Q91" s="225"/>
    </row>
    <row r="92" spans="1:17" ht="14.25" hidden="1" customHeight="1">
      <c r="A92" s="230"/>
      <c r="B92" s="231"/>
      <c r="C92" s="232"/>
      <c r="D92" s="232"/>
      <c r="E92" s="233"/>
      <c r="F92" s="232"/>
      <c r="G92" s="225"/>
      <c r="H92" s="225"/>
      <c r="I92" s="225"/>
      <c r="J92" s="225"/>
      <c r="K92" s="225"/>
      <c r="L92" s="225"/>
      <c r="M92" s="225"/>
      <c r="N92" s="225"/>
      <c r="O92" s="225"/>
      <c r="P92" s="225"/>
      <c r="Q92" s="225"/>
    </row>
    <row r="93" spans="1:17" hidden="1">
      <c r="A93" s="234" t="s">
        <v>551</v>
      </c>
      <c r="B93" s="227" t="s">
        <v>526</v>
      </c>
      <c r="C93" s="225"/>
      <c r="D93" s="225">
        <f>-F91</f>
        <v>-273.64999999999998</v>
      </c>
      <c r="E93" s="229"/>
      <c r="F93" s="225"/>
      <c r="G93" s="225"/>
      <c r="H93" s="225"/>
      <c r="I93" s="225"/>
      <c r="J93" s="225"/>
      <c r="K93" s="225"/>
      <c r="L93" s="225"/>
      <c r="M93" s="225"/>
      <c r="N93" s="225"/>
      <c r="O93" s="225"/>
      <c r="P93" s="225"/>
      <c r="Q93" s="225"/>
    </row>
    <row r="94" spans="1:17" hidden="1">
      <c r="A94" s="234" t="s">
        <v>552</v>
      </c>
      <c r="B94" s="227" t="s">
        <v>529</v>
      </c>
      <c r="C94" s="225"/>
      <c r="D94" s="228"/>
      <c r="E94" s="229"/>
      <c r="F94" s="225"/>
      <c r="G94" s="225"/>
      <c r="H94" s="225"/>
      <c r="I94" s="225"/>
      <c r="J94" s="225"/>
      <c r="K94" s="225"/>
      <c r="L94" s="225"/>
      <c r="M94" s="225"/>
      <c r="N94" s="225"/>
      <c r="O94" s="225"/>
      <c r="P94" s="225"/>
      <c r="Q94" s="225"/>
    </row>
    <row r="95" spans="1:17" hidden="1">
      <c r="A95" s="230"/>
      <c r="B95" s="237" t="s">
        <v>470</v>
      </c>
      <c r="C95" s="225"/>
      <c r="D95" s="225">
        <f>SUM(D91:D94)</f>
        <v>148590.04338652495</v>
      </c>
      <c r="E95" s="229">
        <f>E91-1</f>
        <v>543</v>
      </c>
      <c r="F95" s="225">
        <f>ROUND(+D95/E95,2)</f>
        <v>273.64999999999998</v>
      </c>
      <c r="G95" s="225"/>
      <c r="H95" s="225"/>
      <c r="I95" s="225"/>
      <c r="J95" s="225"/>
      <c r="K95" s="225"/>
      <c r="L95" s="225"/>
      <c r="M95" s="225"/>
      <c r="N95" s="225"/>
      <c r="O95" s="225"/>
      <c r="P95" s="225"/>
      <c r="Q95" s="225"/>
    </row>
    <row r="96" spans="1:17" ht="14.25" hidden="1" customHeight="1">
      <c r="A96" s="230"/>
      <c r="B96" s="231"/>
      <c r="C96" s="232"/>
      <c r="D96" s="232"/>
      <c r="E96" s="233"/>
      <c r="F96" s="232"/>
      <c r="G96" s="225"/>
      <c r="H96" s="225"/>
      <c r="I96" s="225"/>
      <c r="J96" s="225"/>
      <c r="K96" s="225"/>
      <c r="L96" s="225"/>
      <c r="M96" s="225"/>
      <c r="N96" s="225"/>
      <c r="O96" s="225"/>
      <c r="P96" s="225"/>
      <c r="Q96" s="225"/>
    </row>
    <row r="97" spans="1:17" hidden="1">
      <c r="A97" s="234" t="s">
        <v>552</v>
      </c>
      <c r="B97" s="227" t="s">
        <v>526</v>
      </c>
      <c r="C97" s="225"/>
      <c r="D97" s="225">
        <f>-F95</f>
        <v>-273.64999999999998</v>
      </c>
      <c r="E97" s="229"/>
      <c r="F97" s="225"/>
      <c r="G97" s="225"/>
      <c r="H97" s="225"/>
      <c r="I97" s="225"/>
      <c r="J97" s="225"/>
      <c r="K97" s="225"/>
      <c r="L97" s="225"/>
      <c r="M97" s="225"/>
      <c r="N97" s="225"/>
      <c r="O97" s="225"/>
      <c r="P97" s="225"/>
      <c r="Q97" s="225"/>
    </row>
    <row r="98" spans="1:17" hidden="1">
      <c r="A98" s="226" t="s">
        <v>553</v>
      </c>
      <c r="B98" s="227" t="s">
        <v>529</v>
      </c>
      <c r="C98" s="225"/>
      <c r="D98" s="228"/>
      <c r="E98" s="229"/>
      <c r="F98" s="225"/>
      <c r="G98" s="225"/>
      <c r="H98" s="225"/>
      <c r="I98" s="225"/>
      <c r="J98" s="225"/>
      <c r="K98" s="225"/>
      <c r="L98" s="225"/>
      <c r="M98" s="225"/>
      <c r="N98" s="225"/>
      <c r="O98" s="225"/>
      <c r="P98" s="225"/>
      <c r="Q98" s="225"/>
    </row>
    <row r="99" spans="1:17" hidden="1">
      <c r="A99" s="224"/>
      <c r="B99" s="237" t="s">
        <v>471</v>
      </c>
      <c r="C99" s="225"/>
      <c r="D99" s="225">
        <f>SUM(D95:D98)</f>
        <v>148316.39338652496</v>
      </c>
      <c r="E99" s="229">
        <f>E95-1</f>
        <v>542</v>
      </c>
      <c r="F99" s="225">
        <f>ROUND(+D99/E99,2)</f>
        <v>273.64999999999998</v>
      </c>
      <c r="G99" s="225"/>
      <c r="H99" s="225"/>
      <c r="I99" s="225"/>
      <c r="J99" s="225"/>
      <c r="K99" s="225"/>
      <c r="L99" s="225"/>
      <c r="M99" s="225"/>
      <c r="N99" s="225"/>
      <c r="O99" s="225"/>
      <c r="P99" s="225"/>
      <c r="Q99" s="225"/>
    </row>
    <row r="100" spans="1:17" ht="14.25" hidden="1" customHeight="1">
      <c r="A100" s="230"/>
      <c r="B100" s="231"/>
      <c r="C100" s="232"/>
      <c r="D100" s="232"/>
      <c r="E100" s="233"/>
      <c r="F100" s="232"/>
      <c r="G100" s="225"/>
      <c r="H100" s="225"/>
      <c r="I100" s="225"/>
      <c r="J100" s="225"/>
      <c r="K100" s="225"/>
      <c r="L100" s="225"/>
      <c r="M100" s="225"/>
      <c r="N100" s="225"/>
      <c r="O100" s="225"/>
      <c r="P100" s="225"/>
      <c r="Q100" s="225"/>
    </row>
    <row r="101" spans="1:17" hidden="1">
      <c r="A101" s="226" t="s">
        <v>553</v>
      </c>
      <c r="B101" s="227" t="s">
        <v>526</v>
      </c>
      <c r="C101" s="225"/>
      <c r="D101" s="225">
        <f>-F99</f>
        <v>-273.64999999999998</v>
      </c>
      <c r="E101" s="229"/>
      <c r="F101" s="225"/>
      <c r="G101" s="225"/>
      <c r="H101" s="225"/>
      <c r="I101" s="225"/>
      <c r="J101" s="225"/>
      <c r="K101" s="225"/>
      <c r="L101" s="225"/>
      <c r="M101" s="225"/>
      <c r="N101" s="225"/>
      <c r="O101" s="225"/>
      <c r="P101" s="225"/>
      <c r="Q101" s="225"/>
    </row>
    <row r="102" spans="1:17" hidden="1">
      <c r="A102" s="226" t="s">
        <v>554</v>
      </c>
      <c r="B102" s="227" t="s">
        <v>529</v>
      </c>
      <c r="C102" s="225"/>
      <c r="D102" s="228"/>
      <c r="E102" s="229"/>
      <c r="F102" s="225"/>
      <c r="G102" s="225"/>
      <c r="H102" s="225"/>
      <c r="I102" s="225"/>
      <c r="J102" s="225"/>
      <c r="K102" s="225"/>
      <c r="L102" s="225"/>
      <c r="M102" s="225"/>
      <c r="N102" s="225"/>
      <c r="O102" s="225"/>
      <c r="P102" s="225"/>
      <c r="Q102" s="225"/>
    </row>
    <row r="103" spans="1:17" hidden="1">
      <c r="A103" s="224"/>
      <c r="B103" s="237" t="s">
        <v>472</v>
      </c>
      <c r="C103" s="225"/>
      <c r="D103" s="225">
        <f>SUM(D99:D102)</f>
        <v>148042.74338652496</v>
      </c>
      <c r="E103" s="229">
        <f>E99-1</f>
        <v>541</v>
      </c>
      <c r="F103" s="225">
        <f>ROUND(+D103/E103,2)</f>
        <v>273.64999999999998</v>
      </c>
      <c r="G103" s="225"/>
      <c r="H103" s="225"/>
      <c r="I103" s="225"/>
      <c r="J103" s="225"/>
      <c r="K103" s="225"/>
      <c r="L103" s="225"/>
      <c r="M103" s="225"/>
      <c r="N103" s="225"/>
      <c r="O103" s="225"/>
      <c r="P103" s="225"/>
      <c r="Q103" s="225"/>
    </row>
    <row r="104" spans="1:17" ht="14.25" hidden="1" customHeight="1">
      <c r="A104" s="230"/>
      <c r="B104" s="231"/>
      <c r="C104" s="232"/>
      <c r="D104" s="232"/>
      <c r="E104" s="233"/>
      <c r="F104" s="232"/>
      <c r="G104" s="225"/>
      <c r="H104" s="225"/>
      <c r="I104" s="225"/>
      <c r="J104" s="225"/>
      <c r="K104" s="225"/>
      <c r="L104" s="225"/>
      <c r="M104" s="225"/>
      <c r="N104" s="225"/>
      <c r="O104" s="225"/>
      <c r="P104" s="225"/>
      <c r="Q104" s="225"/>
    </row>
    <row r="105" spans="1:17" hidden="1">
      <c r="A105" s="226" t="s">
        <v>554</v>
      </c>
      <c r="B105" s="227" t="s">
        <v>526</v>
      </c>
      <c r="C105" s="225"/>
      <c r="D105" s="225">
        <f>-F103</f>
        <v>-273.64999999999998</v>
      </c>
      <c r="E105" s="229"/>
      <c r="F105" s="225"/>
      <c r="G105" s="225"/>
      <c r="H105" s="225"/>
      <c r="I105" s="225"/>
      <c r="J105" s="225"/>
      <c r="K105" s="225"/>
      <c r="L105" s="225"/>
      <c r="M105" s="225"/>
      <c r="N105" s="225"/>
      <c r="O105" s="225"/>
      <c r="P105" s="225"/>
      <c r="Q105" s="225"/>
    </row>
    <row r="106" spans="1:17" hidden="1">
      <c r="A106" s="226" t="s">
        <v>555</v>
      </c>
      <c r="B106" s="227" t="s">
        <v>529</v>
      </c>
      <c r="C106" s="225"/>
      <c r="D106" s="232"/>
      <c r="E106" s="229"/>
      <c r="F106" s="225"/>
      <c r="G106" s="225"/>
      <c r="H106" s="225"/>
      <c r="I106" s="225"/>
      <c r="J106" s="225"/>
      <c r="K106" s="225"/>
      <c r="L106" s="225"/>
      <c r="M106" s="225"/>
      <c r="N106" s="225"/>
      <c r="O106" s="225"/>
      <c r="P106" s="225"/>
      <c r="Q106" s="225"/>
    </row>
    <row r="107" spans="1:17" hidden="1">
      <c r="A107" s="224"/>
      <c r="B107" s="237" t="s">
        <v>473</v>
      </c>
      <c r="C107" s="225"/>
      <c r="D107" s="239">
        <f>SUM(D103:D106)</f>
        <v>147769.09338652497</v>
      </c>
      <c r="E107" s="229">
        <f>E103-1</f>
        <v>540</v>
      </c>
      <c r="F107" s="225">
        <f>ROUND(+D107/E107,2)</f>
        <v>273.64999999999998</v>
      </c>
      <c r="G107" s="225"/>
      <c r="H107" s="225"/>
      <c r="I107" s="225"/>
      <c r="J107" s="225"/>
      <c r="K107" s="225"/>
      <c r="L107" s="225"/>
      <c r="M107" s="225"/>
      <c r="N107" s="225"/>
      <c r="O107" s="225"/>
      <c r="P107" s="225"/>
      <c r="Q107" s="225"/>
    </row>
    <row r="108" spans="1:17" hidden="1">
      <c r="A108" s="230"/>
      <c r="B108" s="231"/>
      <c r="C108" s="232"/>
      <c r="D108" s="232"/>
      <c r="E108" s="233"/>
      <c r="F108" s="232"/>
      <c r="G108" s="225"/>
      <c r="H108" s="225"/>
      <c r="I108" s="225"/>
      <c r="J108" s="225"/>
      <c r="K108" s="225"/>
      <c r="L108" s="225"/>
      <c r="M108" s="225"/>
      <c r="N108" s="225"/>
      <c r="O108" s="225"/>
      <c r="P108" s="225"/>
      <c r="Q108" s="225"/>
    </row>
    <row r="109" spans="1:17">
      <c r="A109" s="226" t="s">
        <v>555</v>
      </c>
      <c r="B109" s="227" t="s">
        <v>526</v>
      </c>
      <c r="C109" s="225"/>
      <c r="D109" s="225">
        <f>-F107</f>
        <v>-273.64999999999998</v>
      </c>
      <c r="E109" s="229"/>
      <c r="F109" s="225"/>
      <c r="G109" s="225"/>
      <c r="H109" s="225"/>
      <c r="I109" s="225"/>
      <c r="J109" s="225"/>
      <c r="K109" s="225"/>
      <c r="L109" s="225"/>
      <c r="M109" s="225"/>
      <c r="N109" s="225"/>
      <c r="O109" s="225"/>
      <c r="P109" s="225"/>
      <c r="Q109" s="225"/>
    </row>
    <row r="110" spans="1:17" hidden="1">
      <c r="A110" s="226" t="s">
        <v>556</v>
      </c>
      <c r="B110" s="227" t="s">
        <v>529</v>
      </c>
      <c r="C110" s="225"/>
      <c r="D110" s="232"/>
      <c r="E110" s="229"/>
      <c r="F110" s="225"/>
      <c r="G110" s="225"/>
      <c r="H110" s="225"/>
      <c r="I110" s="225"/>
      <c r="J110" s="225"/>
      <c r="K110" s="225"/>
      <c r="L110" s="225"/>
      <c r="M110" s="225"/>
      <c r="N110" s="225"/>
      <c r="O110" s="225"/>
      <c r="P110" s="225"/>
      <c r="Q110" s="225"/>
    </row>
    <row r="111" spans="1:17">
      <c r="A111" s="224"/>
      <c r="B111" s="237" t="s">
        <v>474</v>
      </c>
      <c r="C111" s="225"/>
      <c r="D111" s="239">
        <f>SUM(D107:D110)</f>
        <v>147495.44338652497</v>
      </c>
      <c r="E111" s="229">
        <f>E107-1</f>
        <v>539</v>
      </c>
      <c r="F111" s="225">
        <f>ROUND(+D111/E111,2)</f>
        <v>273.64999999999998</v>
      </c>
      <c r="G111" s="225"/>
      <c r="H111" s="225"/>
      <c r="I111" s="225"/>
      <c r="J111" s="225"/>
      <c r="K111" s="225"/>
      <c r="L111" s="225"/>
      <c r="M111" s="225"/>
      <c r="N111" s="225"/>
      <c r="O111" s="225"/>
      <c r="P111" s="225"/>
      <c r="Q111" s="225"/>
    </row>
    <row r="112" spans="1:17">
      <c r="A112" s="224"/>
      <c r="B112" s="211"/>
      <c r="C112" s="225"/>
      <c r="D112" s="225"/>
      <c r="E112" s="229"/>
      <c r="F112" s="225"/>
      <c r="G112" s="225"/>
      <c r="H112" s="225"/>
      <c r="I112" s="225"/>
      <c r="J112" s="225"/>
      <c r="K112" s="225"/>
      <c r="L112" s="225"/>
      <c r="M112" s="225"/>
      <c r="N112" s="225"/>
      <c r="O112" s="225"/>
      <c r="P112" s="225"/>
      <c r="Q112" s="225"/>
    </row>
    <row r="113" spans="1:17">
      <c r="A113" s="226" t="s">
        <v>556</v>
      </c>
      <c r="B113" s="227" t="s">
        <v>526</v>
      </c>
      <c r="C113" s="225"/>
      <c r="D113" s="225">
        <f>-F111</f>
        <v>-273.64999999999998</v>
      </c>
      <c r="E113" s="229"/>
      <c r="F113" s="225"/>
      <c r="G113" s="225"/>
      <c r="H113" s="225"/>
      <c r="I113" s="225"/>
      <c r="J113" s="225"/>
      <c r="K113" s="225"/>
      <c r="L113" s="225"/>
      <c r="M113" s="225"/>
      <c r="N113" s="225"/>
      <c r="O113" s="225"/>
      <c r="P113" s="225"/>
      <c r="Q113" s="225"/>
    </row>
    <row r="114" spans="1:17" hidden="1">
      <c r="A114" s="226" t="s">
        <v>557</v>
      </c>
      <c r="B114" s="227" t="s">
        <v>529</v>
      </c>
      <c r="C114" s="225"/>
      <c r="D114" s="232"/>
      <c r="E114" s="229"/>
      <c r="F114" s="225"/>
      <c r="G114" s="225"/>
      <c r="H114" s="225"/>
      <c r="I114" s="225"/>
      <c r="J114" s="225"/>
      <c r="K114" s="225"/>
      <c r="L114" s="225"/>
      <c r="M114" s="225"/>
      <c r="N114" s="225"/>
      <c r="O114" s="225"/>
      <c r="P114" s="225"/>
      <c r="Q114" s="225"/>
    </row>
    <row r="115" spans="1:17">
      <c r="A115" s="224"/>
      <c r="B115" s="237" t="s">
        <v>475</v>
      </c>
      <c r="C115" s="225"/>
      <c r="D115" s="239">
        <f>SUM(D111:D114)</f>
        <v>147221.79338652498</v>
      </c>
      <c r="E115" s="229">
        <f>E111-1</f>
        <v>538</v>
      </c>
      <c r="F115" s="225">
        <f>ROUND(+D115/E115,2)</f>
        <v>273.64999999999998</v>
      </c>
      <c r="G115" s="225"/>
      <c r="H115" s="225"/>
      <c r="I115" s="225"/>
      <c r="J115" s="225"/>
      <c r="K115" s="225"/>
      <c r="L115" s="225"/>
      <c r="M115" s="225"/>
      <c r="N115" s="225"/>
      <c r="O115" s="225"/>
      <c r="P115" s="225"/>
      <c r="Q115" s="225"/>
    </row>
    <row r="116" spans="1:17">
      <c r="A116" s="224"/>
      <c r="B116" s="211"/>
      <c r="C116" s="225"/>
      <c r="D116" s="225"/>
      <c r="E116" s="229"/>
      <c r="F116" s="225"/>
      <c r="G116" s="225"/>
      <c r="H116" s="225"/>
      <c r="I116" s="225"/>
      <c r="J116" s="225"/>
      <c r="K116" s="225"/>
      <c r="L116" s="225"/>
      <c r="M116" s="225"/>
      <c r="N116" s="225"/>
      <c r="O116" s="225"/>
      <c r="P116" s="225"/>
      <c r="Q116" s="225"/>
    </row>
    <row r="117" spans="1:17">
      <c r="A117" s="226" t="s">
        <v>557</v>
      </c>
      <c r="B117" s="227" t="s">
        <v>526</v>
      </c>
      <c r="C117" s="225"/>
      <c r="D117" s="225">
        <f>-F115</f>
        <v>-273.64999999999998</v>
      </c>
      <c r="E117" s="229"/>
      <c r="F117" s="225"/>
      <c r="G117" s="225"/>
      <c r="H117" s="225"/>
      <c r="I117" s="225"/>
      <c r="J117" s="225"/>
      <c r="K117" s="225"/>
      <c r="L117" s="225"/>
      <c r="M117" s="225"/>
      <c r="N117" s="225"/>
      <c r="O117" s="225"/>
      <c r="P117" s="225"/>
      <c r="Q117" s="225"/>
    </row>
    <row r="118" spans="1:17" hidden="1">
      <c r="A118" s="226" t="s">
        <v>558</v>
      </c>
      <c r="B118" s="227" t="s">
        <v>529</v>
      </c>
      <c r="C118" s="225"/>
      <c r="D118" s="232"/>
      <c r="E118" s="229"/>
      <c r="F118" s="225"/>
      <c r="G118" s="225"/>
      <c r="H118" s="225"/>
      <c r="I118" s="225"/>
      <c r="J118" s="225"/>
      <c r="K118" s="225"/>
      <c r="L118" s="225"/>
      <c r="M118" s="225"/>
      <c r="N118" s="225"/>
      <c r="O118" s="225"/>
      <c r="P118" s="225"/>
      <c r="Q118" s="225"/>
    </row>
    <row r="119" spans="1:17">
      <c r="A119" s="224"/>
      <c r="B119" s="237" t="s">
        <v>476</v>
      </c>
      <c r="C119" s="225"/>
      <c r="D119" s="239">
        <f>SUM(D115:D118)</f>
        <v>146948.14338652499</v>
      </c>
      <c r="E119" s="229">
        <f>E115-1</f>
        <v>537</v>
      </c>
      <c r="F119" s="225">
        <f>ROUND(+D119/E119,2)</f>
        <v>273.64999999999998</v>
      </c>
      <c r="G119" s="225"/>
      <c r="H119" s="225"/>
      <c r="I119" s="225"/>
      <c r="J119" s="225"/>
      <c r="K119" s="225"/>
      <c r="L119" s="225"/>
      <c r="M119" s="225"/>
      <c r="N119" s="225"/>
      <c r="O119" s="225"/>
      <c r="P119" s="225"/>
      <c r="Q119" s="225"/>
    </row>
    <row r="120" spans="1:17">
      <c r="A120" s="230"/>
      <c r="B120" s="231"/>
      <c r="C120" s="232"/>
      <c r="D120" s="232"/>
      <c r="E120" s="233"/>
      <c r="F120" s="232"/>
      <c r="G120" s="225"/>
      <c r="H120" s="225"/>
      <c r="I120" s="225"/>
      <c r="J120" s="225"/>
      <c r="K120" s="225"/>
      <c r="L120" s="225"/>
      <c r="M120" s="225"/>
      <c r="N120" s="225"/>
      <c r="O120" s="225"/>
      <c r="P120" s="225"/>
      <c r="Q120" s="225"/>
    </row>
    <row r="121" spans="1:17">
      <c r="A121" s="226" t="s">
        <v>558</v>
      </c>
      <c r="B121" s="227" t="s">
        <v>526</v>
      </c>
      <c r="C121" s="225"/>
      <c r="D121" s="225">
        <f>-F119</f>
        <v>-273.64999999999998</v>
      </c>
      <c r="E121" s="229"/>
      <c r="F121" s="225"/>
      <c r="G121" s="225"/>
      <c r="H121" s="225"/>
      <c r="I121" s="225"/>
      <c r="J121" s="225"/>
      <c r="K121" s="225"/>
      <c r="L121" s="225"/>
      <c r="M121" s="225"/>
      <c r="N121" s="225"/>
      <c r="O121" s="225"/>
      <c r="P121" s="225"/>
      <c r="Q121" s="225"/>
    </row>
    <row r="122" spans="1:17" hidden="1">
      <c r="A122" s="226" t="s">
        <v>559</v>
      </c>
      <c r="B122" s="227" t="s">
        <v>529</v>
      </c>
      <c r="C122" s="225"/>
      <c r="D122" s="232"/>
      <c r="E122" s="229"/>
      <c r="F122" s="225"/>
      <c r="G122" s="225"/>
      <c r="H122" s="225"/>
      <c r="I122" s="225"/>
      <c r="J122" s="225"/>
      <c r="K122" s="225"/>
      <c r="L122" s="225"/>
      <c r="M122" s="225"/>
      <c r="N122" s="225"/>
      <c r="O122" s="225"/>
      <c r="P122" s="225"/>
      <c r="Q122" s="225"/>
    </row>
    <row r="123" spans="1:17">
      <c r="A123" s="224"/>
      <c r="B123" s="237" t="s">
        <v>477</v>
      </c>
      <c r="C123" s="225"/>
      <c r="D123" s="239">
        <f>SUM(D119:D122)</f>
        <v>146674.49338652499</v>
      </c>
      <c r="E123" s="229">
        <f>E119-1</f>
        <v>536</v>
      </c>
      <c r="F123" s="225">
        <f>ROUND(+D123/E123,2)</f>
        <v>273.64999999999998</v>
      </c>
      <c r="G123" s="225"/>
      <c r="H123" s="225"/>
      <c r="I123" s="225"/>
      <c r="J123" s="225"/>
      <c r="K123" s="225"/>
      <c r="L123" s="225"/>
      <c r="M123" s="225"/>
      <c r="N123" s="225"/>
      <c r="O123" s="225"/>
      <c r="P123" s="225"/>
      <c r="Q123" s="225"/>
    </row>
    <row r="124" spans="1:17">
      <c r="A124" s="234"/>
      <c r="B124" s="235"/>
      <c r="C124" s="232"/>
      <c r="D124" s="232"/>
      <c r="E124" s="233"/>
      <c r="F124" s="232"/>
      <c r="G124" s="225"/>
      <c r="H124" s="225"/>
      <c r="I124" s="225"/>
      <c r="J124" s="225"/>
      <c r="K124" s="225"/>
      <c r="L124" s="225"/>
      <c r="M124" s="225"/>
      <c r="N124" s="225"/>
      <c r="O124" s="225"/>
      <c r="P124" s="225"/>
      <c r="Q124" s="225"/>
    </row>
    <row r="125" spans="1:17">
      <c r="A125" s="226" t="s">
        <v>559</v>
      </c>
      <c r="B125" s="227" t="s">
        <v>526</v>
      </c>
      <c r="C125" s="225"/>
      <c r="D125" s="225">
        <f>-F123</f>
        <v>-273.64999999999998</v>
      </c>
      <c r="E125" s="229"/>
      <c r="F125" s="225"/>
      <c r="G125" s="225"/>
      <c r="H125" s="225"/>
      <c r="I125" s="225"/>
      <c r="J125" s="225"/>
      <c r="K125" s="225"/>
      <c r="L125" s="225"/>
      <c r="M125" s="225"/>
      <c r="N125" s="225"/>
      <c r="O125" s="225"/>
      <c r="P125" s="225"/>
      <c r="Q125" s="225"/>
    </row>
    <row r="126" spans="1:17" hidden="1">
      <c r="A126" s="226" t="s">
        <v>560</v>
      </c>
      <c r="B126" s="227" t="s">
        <v>529</v>
      </c>
      <c r="C126" s="225"/>
      <c r="D126" s="232"/>
      <c r="E126" s="229"/>
      <c r="F126" s="225"/>
      <c r="G126" s="225"/>
      <c r="H126" s="225"/>
      <c r="I126" s="225"/>
      <c r="J126" s="225"/>
      <c r="K126" s="225"/>
      <c r="L126" s="225"/>
      <c r="M126" s="225"/>
      <c r="N126" s="225"/>
      <c r="O126" s="225"/>
      <c r="P126" s="225"/>
      <c r="Q126" s="225"/>
    </row>
    <row r="127" spans="1:17">
      <c r="A127" s="224"/>
      <c r="B127" s="237" t="s">
        <v>478</v>
      </c>
      <c r="C127" s="225"/>
      <c r="D127" s="239">
        <f>SUM(D123:D126)</f>
        <v>146400.843386525</v>
      </c>
      <c r="E127" s="229">
        <f>E123-1</f>
        <v>535</v>
      </c>
      <c r="F127" s="225">
        <f>ROUND(+D127/E127,2)</f>
        <v>273.64999999999998</v>
      </c>
      <c r="G127" s="225"/>
      <c r="H127" s="225"/>
      <c r="I127" s="225"/>
      <c r="J127" s="225"/>
      <c r="K127" s="225"/>
      <c r="L127" s="225"/>
      <c r="M127" s="225"/>
      <c r="N127" s="225"/>
      <c r="O127" s="225"/>
      <c r="P127" s="225"/>
      <c r="Q127" s="225"/>
    </row>
    <row r="128" spans="1:17">
      <c r="A128" s="234"/>
      <c r="B128" s="235"/>
      <c r="C128" s="232"/>
      <c r="D128" s="232"/>
      <c r="E128" s="233"/>
      <c r="F128" s="232"/>
      <c r="G128" s="225"/>
      <c r="H128" s="225"/>
      <c r="I128" s="225"/>
      <c r="J128" s="225"/>
      <c r="K128" s="225"/>
      <c r="L128" s="225"/>
      <c r="M128" s="225"/>
      <c r="N128" s="225"/>
      <c r="O128" s="225"/>
      <c r="P128" s="225"/>
      <c r="Q128" s="225"/>
    </row>
    <row r="129" spans="1:17">
      <c r="A129" s="226" t="s">
        <v>560</v>
      </c>
      <c r="B129" s="227" t="s">
        <v>526</v>
      </c>
      <c r="C129" s="225"/>
      <c r="D129" s="225">
        <f>-F127</f>
        <v>-273.64999999999998</v>
      </c>
      <c r="E129" s="229"/>
      <c r="F129" s="225"/>
      <c r="G129" s="225"/>
      <c r="H129" s="225"/>
      <c r="I129" s="225"/>
      <c r="J129" s="225"/>
      <c r="K129" s="225"/>
      <c r="L129" s="225"/>
      <c r="M129" s="225"/>
      <c r="N129" s="225"/>
      <c r="O129" s="225"/>
      <c r="P129" s="225"/>
      <c r="Q129" s="225"/>
    </row>
    <row r="130" spans="1:17" hidden="1">
      <c r="A130" s="226" t="s">
        <v>561</v>
      </c>
      <c r="B130" s="227" t="s">
        <v>529</v>
      </c>
      <c r="C130" s="225"/>
      <c r="D130" s="232"/>
      <c r="E130" s="229"/>
      <c r="F130" s="225"/>
      <c r="G130" s="225"/>
      <c r="H130" s="225"/>
      <c r="I130" s="225"/>
      <c r="J130" s="225"/>
      <c r="K130" s="225"/>
      <c r="L130" s="225"/>
      <c r="M130" s="225"/>
      <c r="N130" s="225"/>
      <c r="O130" s="225"/>
      <c r="P130" s="225"/>
      <c r="Q130" s="225"/>
    </row>
    <row r="131" spans="1:17">
      <c r="A131" s="224"/>
      <c r="B131" s="237" t="s">
        <v>479</v>
      </c>
      <c r="C131" s="225"/>
      <c r="D131" s="239">
        <f>SUM(D127:D130)</f>
        <v>146127.193386525</v>
      </c>
      <c r="E131" s="229">
        <f>E127-1</f>
        <v>534</v>
      </c>
      <c r="F131" s="225">
        <f>ROUND(+D131/E131,2)</f>
        <v>273.64999999999998</v>
      </c>
      <c r="G131" s="225"/>
      <c r="H131" s="225"/>
      <c r="I131" s="225"/>
      <c r="J131" s="225"/>
      <c r="K131" s="225"/>
      <c r="L131" s="225"/>
      <c r="M131" s="225"/>
      <c r="N131" s="225"/>
      <c r="O131" s="225"/>
      <c r="P131" s="225"/>
      <c r="Q131" s="225"/>
    </row>
    <row r="132" spans="1:17">
      <c r="A132" s="230"/>
      <c r="B132" s="231"/>
      <c r="C132" s="232"/>
      <c r="D132" s="232"/>
      <c r="E132" s="233"/>
      <c r="F132" s="232"/>
      <c r="G132" s="225"/>
      <c r="H132" s="225"/>
      <c r="I132" s="225"/>
      <c r="J132" s="225"/>
      <c r="K132" s="225"/>
      <c r="L132" s="225"/>
      <c r="M132" s="225"/>
      <c r="N132" s="225"/>
      <c r="O132" s="225"/>
      <c r="P132" s="225"/>
      <c r="Q132" s="225"/>
    </row>
    <row r="133" spans="1:17">
      <c r="A133" s="234" t="s">
        <v>561</v>
      </c>
      <c r="B133" s="227" t="s">
        <v>526</v>
      </c>
      <c r="C133" s="225"/>
      <c r="D133" s="225">
        <f>-F131</f>
        <v>-273.64999999999998</v>
      </c>
      <c r="E133" s="229"/>
      <c r="F133" s="225"/>
      <c r="G133" s="225"/>
      <c r="H133" s="225"/>
      <c r="I133" s="225"/>
      <c r="J133" s="225"/>
      <c r="K133" s="225"/>
      <c r="L133" s="225"/>
      <c r="M133" s="225"/>
      <c r="N133" s="225"/>
      <c r="O133" s="225"/>
      <c r="P133" s="225"/>
      <c r="Q133" s="225"/>
    </row>
    <row r="134" spans="1:17" hidden="1">
      <c r="A134" s="234" t="s">
        <v>562</v>
      </c>
      <c r="B134" s="227" t="s">
        <v>529</v>
      </c>
      <c r="C134" s="225"/>
      <c r="D134" s="232"/>
      <c r="E134" s="229"/>
      <c r="F134" s="225"/>
      <c r="G134" s="225"/>
      <c r="H134" s="225"/>
      <c r="I134" s="225"/>
      <c r="J134" s="225"/>
      <c r="K134" s="225"/>
      <c r="L134" s="225"/>
      <c r="M134" s="225"/>
      <c r="N134" s="225"/>
      <c r="O134" s="225"/>
      <c r="P134" s="225"/>
      <c r="Q134" s="225"/>
    </row>
    <row r="135" spans="1:17">
      <c r="A135" s="230"/>
      <c r="B135" s="237" t="s">
        <v>480</v>
      </c>
      <c r="C135" s="225"/>
      <c r="D135" s="239">
        <f>SUM(D131:D134)</f>
        <v>145853.54338652501</v>
      </c>
      <c r="E135" s="229">
        <f>E131-1</f>
        <v>533</v>
      </c>
      <c r="F135" s="225">
        <f>ROUND(+D135/E135,2)</f>
        <v>273.64999999999998</v>
      </c>
      <c r="G135" s="225"/>
      <c r="H135" s="225"/>
      <c r="I135" s="225"/>
      <c r="J135" s="225"/>
      <c r="K135" s="225"/>
      <c r="L135" s="225"/>
      <c r="M135" s="225"/>
      <c r="N135" s="225"/>
      <c r="O135" s="225"/>
      <c r="P135" s="225"/>
      <c r="Q135" s="225"/>
    </row>
    <row r="136" spans="1:17">
      <c r="A136" s="230"/>
      <c r="B136" s="231"/>
      <c r="C136" s="232"/>
      <c r="D136" s="232"/>
      <c r="E136" s="233"/>
      <c r="F136" s="232"/>
      <c r="G136" s="225"/>
      <c r="H136" s="225"/>
      <c r="I136" s="225"/>
      <c r="J136" s="225"/>
      <c r="K136" s="225"/>
      <c r="L136" s="225"/>
      <c r="M136" s="225"/>
      <c r="N136" s="225"/>
      <c r="O136" s="225"/>
      <c r="P136" s="225"/>
      <c r="Q136" s="225"/>
    </row>
    <row r="137" spans="1:17">
      <c r="A137" s="234" t="s">
        <v>562</v>
      </c>
      <c r="B137" s="227" t="s">
        <v>526</v>
      </c>
      <c r="C137" s="225"/>
      <c r="D137" s="225">
        <f>-F135</f>
        <v>-273.64999999999998</v>
      </c>
      <c r="E137" s="229"/>
      <c r="F137" s="225"/>
      <c r="G137" s="225"/>
      <c r="H137" s="225"/>
      <c r="I137" s="225"/>
      <c r="J137" s="225"/>
      <c r="K137" s="225"/>
      <c r="L137" s="225"/>
      <c r="M137" s="225"/>
      <c r="N137" s="225"/>
      <c r="O137" s="225"/>
      <c r="P137" s="225"/>
      <c r="Q137" s="225"/>
    </row>
    <row r="138" spans="1:17" hidden="1">
      <c r="A138" s="234" t="s">
        <v>563</v>
      </c>
      <c r="B138" s="227" t="s">
        <v>529</v>
      </c>
      <c r="C138" s="225"/>
      <c r="D138" s="232"/>
      <c r="E138" s="229"/>
      <c r="F138" s="225"/>
      <c r="G138" s="225"/>
      <c r="H138" s="225"/>
      <c r="I138" s="225"/>
      <c r="J138" s="225"/>
      <c r="K138" s="225"/>
      <c r="L138" s="225"/>
      <c r="M138" s="225"/>
      <c r="N138" s="225"/>
      <c r="O138" s="225"/>
      <c r="P138" s="225"/>
      <c r="Q138" s="225"/>
    </row>
    <row r="139" spans="1:17">
      <c r="A139" s="230"/>
      <c r="B139" s="237" t="s">
        <v>481</v>
      </c>
      <c r="C139" s="225"/>
      <c r="D139" s="239">
        <f>SUM(D135:D138)</f>
        <v>145579.89338652501</v>
      </c>
      <c r="E139" s="229">
        <f>E135-1</f>
        <v>532</v>
      </c>
      <c r="F139" s="225">
        <f>ROUND(+D139/E139,2)</f>
        <v>273.64999999999998</v>
      </c>
      <c r="G139" s="225"/>
      <c r="H139" s="225"/>
      <c r="I139" s="225"/>
      <c r="J139" s="225"/>
      <c r="K139" s="225"/>
      <c r="L139" s="225"/>
      <c r="M139" s="225"/>
      <c r="N139" s="225"/>
      <c r="O139" s="225"/>
      <c r="P139" s="225"/>
      <c r="Q139" s="225"/>
    </row>
    <row r="140" spans="1:17" ht="14.25" customHeight="1">
      <c r="A140" s="230"/>
      <c r="B140" s="231"/>
      <c r="C140" s="232"/>
      <c r="D140" s="232"/>
      <c r="E140" s="233"/>
      <c r="F140" s="232"/>
      <c r="G140" s="225"/>
      <c r="H140" s="225"/>
      <c r="I140" s="225"/>
      <c r="J140" s="225"/>
      <c r="K140" s="225"/>
      <c r="L140" s="225"/>
      <c r="M140" s="225"/>
      <c r="N140" s="225"/>
      <c r="O140" s="225"/>
      <c r="P140" s="225"/>
      <c r="Q140" s="225"/>
    </row>
    <row r="141" spans="1:17">
      <c r="A141" s="234" t="s">
        <v>563</v>
      </c>
      <c r="B141" s="227" t="s">
        <v>526</v>
      </c>
      <c r="C141" s="225"/>
      <c r="D141" s="225">
        <f>-F139</f>
        <v>-273.64999999999998</v>
      </c>
      <c r="E141" s="229"/>
      <c r="F141" s="225"/>
      <c r="G141" s="225"/>
      <c r="H141" s="225"/>
      <c r="I141" s="225"/>
      <c r="J141" s="225"/>
      <c r="K141" s="225"/>
      <c r="L141" s="225"/>
      <c r="M141" s="225"/>
      <c r="N141" s="225"/>
      <c r="O141" s="225"/>
      <c r="P141" s="225"/>
      <c r="Q141" s="225"/>
    </row>
    <row r="142" spans="1:17" hidden="1">
      <c r="A142" s="234" t="s">
        <v>564</v>
      </c>
      <c r="B142" s="227" t="s">
        <v>529</v>
      </c>
      <c r="C142" s="225"/>
      <c r="D142" s="232"/>
      <c r="E142" s="229"/>
      <c r="F142" s="225"/>
      <c r="G142" s="225"/>
      <c r="H142" s="225"/>
      <c r="I142" s="225"/>
      <c r="J142" s="225"/>
      <c r="K142" s="225"/>
      <c r="L142" s="225"/>
      <c r="M142" s="225"/>
      <c r="N142" s="225"/>
      <c r="O142" s="225"/>
      <c r="P142" s="225"/>
      <c r="Q142" s="225"/>
    </row>
    <row r="143" spans="1:17">
      <c r="A143" s="230"/>
      <c r="B143" s="237" t="s">
        <v>482</v>
      </c>
      <c r="C143" s="225"/>
      <c r="D143" s="239">
        <f>SUM(D139:D142)</f>
        <v>145306.24338652502</v>
      </c>
      <c r="E143" s="229">
        <f>E139-1</f>
        <v>531</v>
      </c>
      <c r="F143" s="225">
        <f>ROUND(+D143/E143,2)</f>
        <v>273.64999999999998</v>
      </c>
      <c r="G143" s="225"/>
      <c r="H143" s="225"/>
      <c r="I143" s="225"/>
      <c r="J143" s="225"/>
      <c r="K143" s="225"/>
      <c r="L143" s="225"/>
      <c r="M143" s="225"/>
      <c r="N143" s="225"/>
      <c r="O143" s="225"/>
      <c r="P143" s="225"/>
      <c r="Q143" s="225"/>
    </row>
    <row r="144" spans="1:17" ht="14.25" customHeight="1">
      <c r="A144" s="230"/>
      <c r="B144" s="231"/>
      <c r="C144" s="232"/>
      <c r="D144" s="232"/>
      <c r="E144" s="233"/>
      <c r="F144" s="232"/>
      <c r="G144" s="225"/>
      <c r="H144" s="225"/>
      <c r="I144" s="225"/>
      <c r="J144" s="225"/>
      <c r="K144" s="225"/>
      <c r="L144" s="225"/>
      <c r="M144" s="225"/>
      <c r="N144" s="225"/>
      <c r="O144" s="225"/>
      <c r="P144" s="225"/>
      <c r="Q144" s="225"/>
    </row>
    <row r="145" spans="1:17">
      <c r="A145" s="234" t="s">
        <v>564</v>
      </c>
      <c r="B145" s="227" t="s">
        <v>526</v>
      </c>
      <c r="C145" s="225"/>
      <c r="D145" s="225">
        <f>-F143</f>
        <v>-273.64999999999998</v>
      </c>
      <c r="E145" s="229"/>
      <c r="F145" s="225"/>
      <c r="G145" s="225"/>
      <c r="H145" s="225"/>
      <c r="I145" s="225"/>
      <c r="J145" s="225"/>
      <c r="K145" s="225"/>
      <c r="L145" s="225"/>
      <c r="M145" s="225"/>
      <c r="N145" s="225"/>
      <c r="O145" s="225"/>
      <c r="P145" s="225"/>
      <c r="Q145" s="225"/>
    </row>
    <row r="146" spans="1:17" hidden="1">
      <c r="A146" s="234" t="s">
        <v>565</v>
      </c>
      <c r="B146" s="227" t="s">
        <v>529</v>
      </c>
      <c r="C146" s="225"/>
      <c r="D146" s="232"/>
      <c r="E146" s="229"/>
      <c r="F146" s="225"/>
      <c r="G146" s="225"/>
      <c r="H146" s="225"/>
      <c r="I146" s="225"/>
      <c r="J146" s="225"/>
      <c r="K146" s="225"/>
      <c r="L146" s="225"/>
      <c r="M146" s="225"/>
      <c r="N146" s="225"/>
      <c r="O146" s="225"/>
      <c r="P146" s="225"/>
      <c r="Q146" s="225"/>
    </row>
    <row r="147" spans="1:17">
      <c r="A147" s="224"/>
      <c r="B147" s="237" t="s">
        <v>483</v>
      </c>
      <c r="C147" s="225"/>
      <c r="D147" s="239">
        <f>SUM(D143:D146)</f>
        <v>145032.59338652503</v>
      </c>
      <c r="E147" s="229">
        <f>E143-1</f>
        <v>530</v>
      </c>
      <c r="F147" s="225">
        <f>ROUND(+D147/E147,2)</f>
        <v>273.64999999999998</v>
      </c>
      <c r="G147" s="225"/>
      <c r="H147" s="225"/>
      <c r="I147" s="225"/>
      <c r="J147" s="225"/>
      <c r="K147" s="225"/>
      <c r="L147" s="225"/>
      <c r="M147" s="225"/>
      <c r="N147" s="225"/>
      <c r="O147" s="225"/>
      <c r="P147" s="225"/>
      <c r="Q147" s="225"/>
    </row>
    <row r="148" spans="1:17" ht="14.25" customHeight="1">
      <c r="A148" s="230"/>
      <c r="B148" s="231"/>
      <c r="C148" s="232"/>
      <c r="D148" s="232"/>
      <c r="E148" s="233"/>
      <c r="F148" s="232"/>
      <c r="G148" s="225"/>
      <c r="H148" s="225"/>
      <c r="I148" s="225"/>
      <c r="J148" s="225"/>
      <c r="K148" s="225"/>
      <c r="L148" s="225"/>
      <c r="M148" s="225"/>
      <c r="N148" s="225"/>
      <c r="O148" s="225"/>
      <c r="P148" s="225"/>
      <c r="Q148" s="225"/>
    </row>
    <row r="149" spans="1:17">
      <c r="A149" s="226" t="s">
        <v>565</v>
      </c>
      <c r="B149" s="227" t="s">
        <v>526</v>
      </c>
      <c r="C149" s="225"/>
      <c r="D149" s="225">
        <f>-F147</f>
        <v>-273.64999999999998</v>
      </c>
      <c r="E149" s="229"/>
      <c r="F149" s="225"/>
      <c r="G149" s="225"/>
      <c r="H149" s="225"/>
      <c r="I149" s="225"/>
      <c r="J149" s="225"/>
      <c r="K149" s="225"/>
      <c r="L149" s="225"/>
      <c r="M149" s="225"/>
      <c r="N149" s="225"/>
      <c r="O149" s="225"/>
      <c r="P149" s="225"/>
      <c r="Q149" s="225"/>
    </row>
    <row r="150" spans="1:17" hidden="1">
      <c r="A150" s="226" t="s">
        <v>566</v>
      </c>
      <c r="B150" s="227" t="s">
        <v>529</v>
      </c>
      <c r="C150" s="225"/>
      <c r="D150" s="232"/>
      <c r="E150" s="229"/>
      <c r="F150" s="225"/>
      <c r="G150" s="225"/>
      <c r="H150" s="225"/>
      <c r="I150" s="225"/>
      <c r="J150" s="225"/>
      <c r="K150" s="225"/>
      <c r="L150" s="225"/>
      <c r="M150" s="225"/>
      <c r="N150" s="225"/>
      <c r="O150" s="225"/>
      <c r="P150" s="225"/>
      <c r="Q150" s="225"/>
    </row>
    <row r="151" spans="1:17">
      <c r="A151" s="224"/>
      <c r="B151" s="237" t="s">
        <v>484</v>
      </c>
      <c r="C151" s="225"/>
      <c r="D151" s="239">
        <f>SUM(D147:D150)</f>
        <v>144758.94338652503</v>
      </c>
      <c r="E151" s="229">
        <f>E147-1</f>
        <v>529</v>
      </c>
      <c r="F151" s="225">
        <f>ROUND(+D151/E151,2)</f>
        <v>273.64999999999998</v>
      </c>
      <c r="G151" s="225"/>
      <c r="H151" s="225"/>
      <c r="I151" s="225"/>
      <c r="J151" s="225"/>
      <c r="K151" s="225"/>
      <c r="L151" s="225"/>
      <c r="M151" s="225"/>
      <c r="N151" s="225"/>
      <c r="O151" s="225"/>
      <c r="P151" s="225"/>
      <c r="Q151" s="225"/>
    </row>
    <row r="152" spans="1:17" ht="14.25" customHeight="1">
      <c r="A152" s="230"/>
      <c r="B152" s="231"/>
      <c r="C152" s="232"/>
      <c r="D152" s="232"/>
      <c r="E152" s="233"/>
      <c r="F152" s="232"/>
      <c r="G152" s="225"/>
      <c r="H152" s="225"/>
      <c r="I152" s="225"/>
      <c r="J152" s="225"/>
      <c r="K152" s="225"/>
      <c r="L152" s="225"/>
      <c r="M152" s="225"/>
      <c r="N152" s="225"/>
      <c r="O152" s="225"/>
      <c r="P152" s="225"/>
      <c r="Q152" s="225"/>
    </row>
    <row r="153" spans="1:17">
      <c r="A153" s="226" t="s">
        <v>566</v>
      </c>
      <c r="B153" s="227" t="s">
        <v>526</v>
      </c>
      <c r="C153" s="225"/>
      <c r="D153" s="225">
        <f>-F151</f>
        <v>-273.64999999999998</v>
      </c>
      <c r="E153" s="229"/>
      <c r="F153" s="225"/>
      <c r="G153" s="225"/>
      <c r="H153" s="225"/>
      <c r="I153" s="225"/>
      <c r="J153" s="225"/>
      <c r="K153" s="225"/>
      <c r="L153" s="225"/>
      <c r="M153" s="225"/>
      <c r="N153" s="225"/>
      <c r="O153" s="225"/>
      <c r="P153" s="225"/>
      <c r="Q153" s="225"/>
    </row>
    <row r="154" spans="1:17" hidden="1">
      <c r="A154" s="226" t="s">
        <v>567</v>
      </c>
      <c r="B154" s="227" t="s">
        <v>529</v>
      </c>
      <c r="C154" s="225"/>
      <c r="D154" s="232"/>
      <c r="E154" s="229"/>
      <c r="F154" s="225"/>
      <c r="G154" s="225"/>
      <c r="H154" s="225"/>
      <c r="I154" s="225"/>
      <c r="J154" s="225"/>
      <c r="K154" s="225"/>
      <c r="L154" s="225"/>
      <c r="M154" s="225"/>
      <c r="N154" s="225"/>
      <c r="O154" s="225"/>
      <c r="P154" s="225"/>
      <c r="Q154" s="225"/>
    </row>
    <row r="155" spans="1:17">
      <c r="A155" s="224"/>
      <c r="B155" s="237" t="s">
        <v>506</v>
      </c>
      <c r="C155" s="225"/>
      <c r="D155" s="239">
        <f>SUM(D151:D154)</f>
        <v>144485.29338652504</v>
      </c>
      <c r="E155" s="229">
        <f>E151-1</f>
        <v>528</v>
      </c>
      <c r="F155" s="225">
        <f>ROUND(+D155/E155,2)</f>
        <v>273.64999999999998</v>
      </c>
      <c r="G155" s="225"/>
      <c r="H155" s="225"/>
      <c r="I155" s="225"/>
      <c r="J155" s="225"/>
      <c r="K155" s="225"/>
      <c r="L155" s="225"/>
      <c r="M155" s="225"/>
      <c r="N155" s="225"/>
      <c r="O155" s="225"/>
      <c r="P155" s="225"/>
      <c r="Q155" s="225"/>
    </row>
    <row r="156" spans="1:17">
      <c r="A156" s="230"/>
      <c r="B156" s="231"/>
      <c r="C156" s="231"/>
      <c r="D156" s="231"/>
      <c r="E156" s="231"/>
      <c r="F156" s="231"/>
      <c r="G156" s="211"/>
      <c r="H156" s="211"/>
      <c r="I156" s="211"/>
      <c r="J156" s="211"/>
      <c r="K156" s="211"/>
      <c r="L156" s="211"/>
      <c r="M156" s="211"/>
      <c r="N156" s="211"/>
      <c r="O156" s="211"/>
      <c r="P156" s="211"/>
      <c r="Q156" s="211"/>
    </row>
    <row r="157" spans="1:17">
      <c r="A157" s="234" t="s">
        <v>567</v>
      </c>
      <c r="B157" s="235" t="s">
        <v>526</v>
      </c>
      <c r="C157" s="232"/>
      <c r="D157" s="232">
        <f>-F155</f>
        <v>-273.64999999999998</v>
      </c>
      <c r="E157" s="229"/>
      <c r="F157" s="225"/>
      <c r="G157" s="225"/>
      <c r="H157" s="225"/>
      <c r="I157" s="225"/>
      <c r="J157" s="225"/>
      <c r="K157" s="225"/>
      <c r="L157" s="225"/>
      <c r="M157" s="225"/>
      <c r="N157" s="225"/>
      <c r="O157" s="225"/>
      <c r="P157" s="225"/>
      <c r="Q157" s="225"/>
    </row>
    <row r="158" spans="1:17" hidden="1">
      <c r="A158" s="234" t="s">
        <v>568</v>
      </c>
      <c r="B158" s="235" t="s">
        <v>529</v>
      </c>
      <c r="C158" s="232"/>
      <c r="D158" s="232"/>
      <c r="E158" s="229"/>
      <c r="F158" s="225"/>
      <c r="G158" s="225"/>
      <c r="H158" s="225"/>
      <c r="I158" s="225"/>
      <c r="J158" s="225"/>
      <c r="K158" s="225"/>
      <c r="L158" s="225"/>
      <c r="M158" s="225"/>
      <c r="N158" s="225"/>
      <c r="O158" s="225"/>
      <c r="P158" s="225"/>
      <c r="Q158" s="225"/>
    </row>
    <row r="159" spans="1:17">
      <c r="A159" s="230"/>
      <c r="B159" s="237" t="s">
        <v>507</v>
      </c>
      <c r="C159" s="232"/>
      <c r="D159" s="239">
        <f>SUM(D155:D158)</f>
        <v>144211.64338652504</v>
      </c>
      <c r="E159" s="229">
        <f>E155-1</f>
        <v>527</v>
      </c>
      <c r="F159" s="225">
        <f>ROUND(+D159/E159,2)</f>
        <v>273.64999999999998</v>
      </c>
      <c r="G159" s="225"/>
      <c r="H159" s="225"/>
      <c r="I159" s="225"/>
      <c r="J159" s="225"/>
      <c r="K159" s="225"/>
      <c r="L159" s="225"/>
      <c r="M159" s="225"/>
      <c r="N159" s="225"/>
      <c r="O159" s="225"/>
      <c r="P159" s="225"/>
      <c r="Q159" s="225"/>
    </row>
    <row r="160" spans="1:17">
      <c r="A160" s="230"/>
      <c r="B160" s="231"/>
      <c r="C160" s="232"/>
      <c r="D160" s="232"/>
      <c r="E160" s="229"/>
      <c r="F160" s="225"/>
      <c r="G160" s="225"/>
      <c r="H160" s="225"/>
      <c r="I160" s="225"/>
      <c r="J160" s="225"/>
      <c r="K160" s="225"/>
      <c r="L160" s="225"/>
      <c r="M160" s="225"/>
      <c r="N160" s="225"/>
      <c r="O160" s="225"/>
      <c r="P160" s="225"/>
      <c r="Q160" s="225"/>
    </row>
    <row r="161" spans="1:17">
      <c r="A161" s="226" t="s">
        <v>568</v>
      </c>
      <c r="B161" s="227" t="s">
        <v>526</v>
      </c>
      <c r="C161" s="225"/>
      <c r="D161" s="225">
        <f>-F159</f>
        <v>-273.64999999999998</v>
      </c>
      <c r="E161" s="229"/>
      <c r="F161" s="225"/>
      <c r="G161" s="225"/>
      <c r="H161" s="225"/>
      <c r="I161" s="225"/>
      <c r="J161" s="225"/>
      <c r="K161" s="225"/>
      <c r="L161" s="225"/>
      <c r="M161" s="225"/>
      <c r="N161" s="225"/>
      <c r="O161" s="225"/>
      <c r="P161" s="225"/>
      <c r="Q161" s="225"/>
    </row>
    <row r="162" spans="1:17" hidden="1">
      <c r="A162" s="226" t="s">
        <v>569</v>
      </c>
      <c r="B162" s="227" t="s">
        <v>529</v>
      </c>
      <c r="C162" s="225"/>
      <c r="D162" s="232"/>
      <c r="E162" s="229"/>
      <c r="F162" s="225"/>
      <c r="G162" s="225"/>
      <c r="H162" s="225"/>
      <c r="I162" s="225"/>
      <c r="J162" s="225"/>
      <c r="K162" s="225"/>
      <c r="L162" s="225"/>
      <c r="M162" s="225"/>
      <c r="N162" s="225"/>
      <c r="O162" s="225"/>
      <c r="P162" s="225"/>
      <c r="Q162" s="225"/>
    </row>
    <row r="163" spans="1:17">
      <c r="A163" s="224"/>
      <c r="B163" s="237" t="s">
        <v>508</v>
      </c>
      <c r="C163" s="225"/>
      <c r="D163" s="239">
        <f>SUM(D159:D162)</f>
        <v>143937.99338652505</v>
      </c>
      <c r="E163" s="229">
        <f>E159-1</f>
        <v>526</v>
      </c>
      <c r="F163" s="225">
        <f>ROUND(+D163/E163,2)</f>
        <v>273.64999999999998</v>
      </c>
      <c r="G163" s="225"/>
      <c r="H163" s="225"/>
      <c r="I163" s="225"/>
      <c r="J163" s="225"/>
      <c r="K163" s="225"/>
      <c r="L163" s="225"/>
      <c r="M163" s="225"/>
      <c r="N163" s="225"/>
      <c r="O163" s="225"/>
      <c r="P163" s="225"/>
      <c r="Q163" s="225"/>
    </row>
    <row r="164" spans="1:17">
      <c r="A164" s="224"/>
      <c r="B164" s="211"/>
      <c r="C164" s="225"/>
      <c r="D164" s="225"/>
      <c r="E164" s="229"/>
      <c r="F164" s="225"/>
      <c r="G164" s="225"/>
      <c r="H164" s="225"/>
      <c r="I164" s="225"/>
      <c r="J164" s="225"/>
      <c r="K164" s="225"/>
      <c r="L164" s="225"/>
      <c r="M164" s="225"/>
      <c r="N164" s="225"/>
      <c r="O164" s="225"/>
      <c r="P164" s="225"/>
      <c r="Q164" s="225"/>
    </row>
    <row r="165" spans="1:17">
      <c r="A165" s="226" t="s">
        <v>569</v>
      </c>
      <c r="B165" s="227" t="s">
        <v>526</v>
      </c>
      <c r="C165" s="225"/>
      <c r="D165" s="225">
        <f>-F163</f>
        <v>-273.64999999999998</v>
      </c>
      <c r="E165" s="229"/>
      <c r="F165" s="225"/>
      <c r="G165" s="225"/>
      <c r="H165" s="225"/>
      <c r="I165" s="225"/>
      <c r="J165" s="225"/>
      <c r="K165" s="225"/>
      <c r="L165" s="225"/>
      <c r="M165" s="225"/>
      <c r="N165" s="225"/>
      <c r="O165" s="225"/>
      <c r="P165" s="225"/>
      <c r="Q165" s="225"/>
    </row>
    <row r="166" spans="1:17" hidden="1">
      <c r="A166" s="226" t="s">
        <v>570</v>
      </c>
      <c r="B166" s="227" t="s">
        <v>529</v>
      </c>
      <c r="C166" s="225"/>
      <c r="D166" s="232"/>
      <c r="E166" s="229"/>
      <c r="F166" s="225"/>
      <c r="G166" s="225"/>
      <c r="H166" s="225"/>
      <c r="I166" s="225"/>
      <c r="J166" s="225"/>
      <c r="K166" s="225"/>
      <c r="L166" s="225"/>
      <c r="M166" s="225"/>
      <c r="N166" s="225"/>
      <c r="O166" s="225"/>
      <c r="P166" s="225"/>
      <c r="Q166" s="225"/>
    </row>
    <row r="167" spans="1:17">
      <c r="A167" s="224"/>
      <c r="B167" s="237" t="s">
        <v>509</v>
      </c>
      <c r="C167" s="225"/>
      <c r="D167" s="239">
        <f>SUM(D163:D166)</f>
        <v>143664.34338652506</v>
      </c>
      <c r="E167" s="229">
        <f>E163-1</f>
        <v>525</v>
      </c>
      <c r="F167" s="225">
        <f>ROUND(+D167/E167,2)</f>
        <v>273.64999999999998</v>
      </c>
      <c r="G167" s="225"/>
      <c r="H167" s="225"/>
      <c r="I167" s="225"/>
      <c r="J167" s="225"/>
      <c r="K167" s="225"/>
      <c r="L167" s="225"/>
      <c r="M167" s="225"/>
      <c r="N167" s="225"/>
      <c r="O167" s="225"/>
      <c r="P167" s="225"/>
      <c r="Q167" s="225"/>
    </row>
    <row r="168" spans="1:17">
      <c r="A168" s="230"/>
      <c r="B168" s="231"/>
      <c r="C168" s="232"/>
      <c r="D168" s="232"/>
      <c r="E168" s="233"/>
      <c r="F168" s="232"/>
      <c r="G168" s="225"/>
      <c r="H168" s="225"/>
      <c r="I168" s="225"/>
      <c r="J168" s="225"/>
      <c r="K168" s="225"/>
      <c r="L168" s="225"/>
      <c r="M168" s="225"/>
      <c r="N168" s="225"/>
      <c r="O168" s="225"/>
      <c r="P168" s="225"/>
      <c r="Q168" s="225"/>
    </row>
    <row r="169" spans="1:17">
      <c r="A169" s="226" t="s">
        <v>570</v>
      </c>
      <c r="B169" s="227" t="s">
        <v>526</v>
      </c>
      <c r="C169" s="225"/>
      <c r="D169" s="225">
        <f>-F167</f>
        <v>-273.64999999999998</v>
      </c>
      <c r="E169" s="229"/>
      <c r="F169" s="225"/>
      <c r="G169" s="225"/>
      <c r="H169" s="225"/>
      <c r="I169" s="225"/>
      <c r="J169" s="225"/>
      <c r="K169" s="225"/>
      <c r="L169" s="225"/>
      <c r="M169" s="225"/>
      <c r="N169" s="225"/>
      <c r="O169" s="225"/>
      <c r="P169" s="225"/>
      <c r="Q169" s="225"/>
    </row>
    <row r="170" spans="1:17" hidden="1">
      <c r="A170" s="226" t="s">
        <v>571</v>
      </c>
      <c r="B170" s="227" t="s">
        <v>529</v>
      </c>
      <c r="C170" s="225"/>
      <c r="D170" s="232"/>
      <c r="E170" s="229"/>
      <c r="F170" s="225"/>
      <c r="G170" s="225"/>
      <c r="H170" s="225"/>
      <c r="I170" s="225"/>
      <c r="J170" s="225"/>
      <c r="K170" s="225"/>
      <c r="L170" s="225"/>
      <c r="M170" s="225"/>
      <c r="N170" s="225"/>
      <c r="O170" s="225"/>
      <c r="P170" s="225"/>
      <c r="Q170" s="225"/>
    </row>
    <row r="171" spans="1:17">
      <c r="A171" s="224"/>
      <c r="B171" s="237" t="s">
        <v>510</v>
      </c>
      <c r="C171" s="225"/>
      <c r="D171" s="239">
        <f>SUM(D167:D170)</f>
        <v>143390.69338652506</v>
      </c>
      <c r="E171" s="229">
        <f>E167-1</f>
        <v>524</v>
      </c>
      <c r="F171" s="225">
        <f>ROUND(+D171/E171,2)</f>
        <v>273.64999999999998</v>
      </c>
      <c r="G171" s="225"/>
      <c r="H171" s="225"/>
      <c r="I171" s="225"/>
      <c r="J171" s="225"/>
      <c r="K171" s="225"/>
      <c r="L171" s="225"/>
      <c r="M171" s="225"/>
      <c r="N171" s="225"/>
      <c r="O171" s="225"/>
      <c r="P171" s="225"/>
      <c r="Q171" s="225"/>
    </row>
    <row r="172" spans="1:17">
      <c r="A172" s="234"/>
      <c r="B172" s="235"/>
      <c r="C172" s="232"/>
      <c r="D172" s="232"/>
      <c r="E172" s="233"/>
      <c r="F172" s="232"/>
      <c r="G172" s="225"/>
      <c r="H172" s="225"/>
      <c r="I172" s="225"/>
      <c r="J172" s="225"/>
      <c r="K172" s="225"/>
      <c r="L172" s="225"/>
      <c r="M172" s="225"/>
      <c r="N172" s="225"/>
      <c r="O172" s="225"/>
      <c r="P172" s="225"/>
      <c r="Q172" s="225"/>
    </row>
    <row r="173" spans="1:17">
      <c r="A173" s="226" t="s">
        <v>571</v>
      </c>
      <c r="B173" s="227" t="s">
        <v>526</v>
      </c>
      <c r="C173" s="225"/>
      <c r="D173" s="225">
        <f>-F171</f>
        <v>-273.64999999999998</v>
      </c>
      <c r="E173" s="229"/>
      <c r="F173" s="225"/>
      <c r="G173" s="225"/>
      <c r="H173" s="225"/>
      <c r="I173" s="225"/>
      <c r="J173" s="225"/>
      <c r="K173" s="225"/>
      <c r="L173" s="225"/>
      <c r="M173" s="225"/>
      <c r="N173" s="225"/>
      <c r="O173" s="225"/>
      <c r="P173" s="225"/>
      <c r="Q173" s="225"/>
    </row>
    <row r="174" spans="1:17" hidden="1">
      <c r="A174" s="226" t="s">
        <v>572</v>
      </c>
      <c r="B174" s="227" t="s">
        <v>529</v>
      </c>
      <c r="C174" s="225"/>
      <c r="D174" s="232"/>
      <c r="E174" s="229"/>
      <c r="F174" s="225"/>
      <c r="G174" s="225"/>
      <c r="H174" s="225"/>
      <c r="I174" s="225"/>
      <c r="J174" s="225"/>
      <c r="K174" s="225"/>
      <c r="L174" s="225"/>
      <c r="M174" s="225"/>
      <c r="N174" s="225"/>
      <c r="O174" s="225"/>
      <c r="P174" s="225"/>
      <c r="Q174" s="225"/>
    </row>
    <row r="175" spans="1:17">
      <c r="A175" s="224"/>
      <c r="B175" s="237" t="s">
        <v>511</v>
      </c>
      <c r="C175" s="225"/>
      <c r="D175" s="239">
        <f>SUM(D171:D174)</f>
        <v>143117.04338652507</v>
      </c>
      <c r="E175" s="229">
        <f>E171-1</f>
        <v>523</v>
      </c>
      <c r="F175" s="225">
        <f>ROUND(+D175/E175,2)</f>
        <v>273.64999999999998</v>
      </c>
      <c r="G175" s="225"/>
      <c r="H175" s="225"/>
      <c r="I175" s="225"/>
      <c r="J175" s="225"/>
      <c r="K175" s="225"/>
      <c r="L175" s="225"/>
      <c r="M175" s="225"/>
      <c r="N175" s="225"/>
      <c r="O175" s="225"/>
      <c r="P175" s="225"/>
      <c r="Q175" s="225"/>
    </row>
    <row r="176" spans="1:17">
      <c r="A176" s="234"/>
      <c r="B176" s="235"/>
      <c r="C176" s="232"/>
      <c r="D176" s="232"/>
      <c r="E176" s="233"/>
      <c r="F176" s="232"/>
      <c r="G176" s="225"/>
      <c r="H176" s="225"/>
      <c r="I176" s="225"/>
      <c r="J176" s="225"/>
      <c r="K176" s="225"/>
      <c r="L176" s="225"/>
      <c r="M176" s="225"/>
      <c r="N176" s="225"/>
      <c r="O176" s="225"/>
      <c r="P176" s="225"/>
      <c r="Q176" s="225"/>
    </row>
    <row r="177" spans="1:17">
      <c r="A177" s="226" t="s">
        <v>572</v>
      </c>
      <c r="B177" s="227" t="s">
        <v>526</v>
      </c>
      <c r="C177" s="225"/>
      <c r="D177" s="225">
        <f>-F175</f>
        <v>-273.64999999999998</v>
      </c>
      <c r="E177" s="229"/>
      <c r="F177" s="225"/>
      <c r="G177" s="225"/>
      <c r="H177" s="225"/>
      <c r="I177" s="225"/>
      <c r="J177" s="225"/>
      <c r="K177" s="225"/>
      <c r="L177" s="225"/>
      <c r="M177" s="225"/>
      <c r="N177" s="225"/>
      <c r="O177" s="225"/>
      <c r="P177" s="225"/>
      <c r="Q177" s="225"/>
    </row>
    <row r="178" spans="1:17" hidden="1">
      <c r="A178" s="226" t="s">
        <v>573</v>
      </c>
      <c r="B178" s="227" t="s">
        <v>529</v>
      </c>
      <c r="C178" s="225"/>
      <c r="D178" s="232"/>
      <c r="E178" s="229"/>
      <c r="F178" s="225"/>
      <c r="G178" s="225"/>
      <c r="H178" s="225"/>
      <c r="I178" s="225"/>
      <c r="J178" s="225"/>
      <c r="K178" s="225"/>
      <c r="L178" s="225"/>
      <c r="M178" s="225"/>
      <c r="N178" s="225"/>
      <c r="O178" s="225"/>
      <c r="P178" s="225"/>
      <c r="Q178" s="225"/>
    </row>
    <row r="179" spans="1:17">
      <c r="A179" s="224"/>
      <c r="B179" s="237" t="s">
        <v>512</v>
      </c>
      <c r="C179" s="225"/>
      <c r="D179" s="239">
        <f>SUM(D175:D178)</f>
        <v>142843.39338652507</v>
      </c>
      <c r="E179" s="229">
        <f>E175-1</f>
        <v>522</v>
      </c>
      <c r="F179" s="225">
        <f>ROUND(+D179/E179,2)</f>
        <v>273.64999999999998</v>
      </c>
      <c r="G179" s="225"/>
      <c r="H179" s="225"/>
      <c r="I179" s="225"/>
      <c r="J179" s="225"/>
      <c r="K179" s="225"/>
      <c r="L179" s="225"/>
      <c r="M179" s="225"/>
      <c r="N179" s="225"/>
      <c r="O179" s="225"/>
      <c r="P179" s="225"/>
      <c r="Q179" s="225"/>
    </row>
    <row r="180" spans="1:17">
      <c r="A180" s="230"/>
      <c r="B180" s="231"/>
      <c r="C180" s="232"/>
      <c r="D180" s="232"/>
      <c r="E180" s="233"/>
      <c r="F180" s="232"/>
      <c r="G180" s="225"/>
      <c r="H180" s="225"/>
      <c r="I180" s="225"/>
      <c r="J180" s="225"/>
      <c r="K180" s="225"/>
      <c r="L180" s="225"/>
      <c r="M180" s="225"/>
      <c r="N180" s="225"/>
      <c r="O180" s="225"/>
      <c r="P180" s="225"/>
      <c r="Q180" s="225"/>
    </row>
    <row r="181" spans="1:17">
      <c r="A181" s="234" t="s">
        <v>573</v>
      </c>
      <c r="B181" s="235" t="s">
        <v>526</v>
      </c>
      <c r="C181" s="232"/>
      <c r="D181" s="232">
        <f>-F179</f>
        <v>-273.64999999999998</v>
      </c>
      <c r="E181" s="229"/>
      <c r="F181" s="225"/>
      <c r="G181" s="225"/>
      <c r="H181" s="225"/>
      <c r="I181" s="225"/>
      <c r="J181" s="225"/>
      <c r="K181" s="225"/>
      <c r="L181" s="225"/>
      <c r="M181" s="225"/>
      <c r="N181" s="225"/>
      <c r="O181" s="225"/>
      <c r="P181" s="225"/>
      <c r="Q181" s="225"/>
    </row>
    <row r="182" spans="1:17" hidden="1">
      <c r="A182" s="234" t="s">
        <v>574</v>
      </c>
      <c r="B182" s="235" t="s">
        <v>529</v>
      </c>
      <c r="C182" s="232"/>
      <c r="D182" s="232"/>
      <c r="E182" s="229"/>
      <c r="F182" s="225"/>
      <c r="G182" s="225"/>
      <c r="H182" s="225"/>
      <c r="I182" s="225"/>
      <c r="J182" s="225"/>
      <c r="K182" s="225"/>
      <c r="L182" s="225"/>
      <c r="M182" s="225"/>
      <c r="N182" s="225"/>
      <c r="O182" s="225"/>
      <c r="P182" s="225"/>
      <c r="Q182" s="225"/>
    </row>
    <row r="183" spans="1:17">
      <c r="A183" s="230"/>
      <c r="B183" s="237" t="s">
        <v>513</v>
      </c>
      <c r="C183" s="232"/>
      <c r="D183" s="232">
        <f>SUM(D179:D182)</f>
        <v>142569.74338652508</v>
      </c>
      <c r="E183" s="229">
        <f>E179-1</f>
        <v>521</v>
      </c>
      <c r="F183" s="225">
        <f>ROUND(+D183/E183,2)</f>
        <v>273.64999999999998</v>
      </c>
      <c r="G183" s="225"/>
      <c r="H183" s="225"/>
      <c r="I183" s="225"/>
      <c r="J183" s="225"/>
      <c r="K183" s="225"/>
      <c r="L183" s="225"/>
      <c r="M183" s="225"/>
      <c r="N183" s="225"/>
      <c r="O183" s="225"/>
      <c r="P183" s="225"/>
      <c r="Q183" s="225"/>
    </row>
    <row r="184" spans="1:17">
      <c r="A184" s="230"/>
      <c r="B184" s="231"/>
      <c r="C184" s="232"/>
      <c r="D184" s="232"/>
      <c r="E184" s="233"/>
      <c r="F184" s="232"/>
      <c r="G184" s="225"/>
      <c r="H184" s="225"/>
      <c r="I184" s="225"/>
      <c r="J184" s="225"/>
      <c r="K184" s="225"/>
      <c r="L184" s="225"/>
      <c r="M184" s="225"/>
      <c r="N184" s="225"/>
      <c r="O184" s="225"/>
      <c r="P184" s="225"/>
      <c r="Q184" s="225"/>
    </row>
    <row r="185" spans="1:17">
      <c r="A185" s="234" t="s">
        <v>574</v>
      </c>
      <c r="B185" s="227" t="s">
        <v>526</v>
      </c>
      <c r="C185" s="225"/>
      <c r="D185" s="225">
        <f>-F183</f>
        <v>-273.64999999999998</v>
      </c>
      <c r="E185" s="229"/>
      <c r="F185" s="225"/>
      <c r="G185" s="225"/>
      <c r="H185" s="225"/>
      <c r="I185" s="225"/>
      <c r="J185" s="225"/>
      <c r="K185" s="225"/>
      <c r="L185" s="225"/>
      <c r="M185" s="225"/>
      <c r="N185" s="225"/>
      <c r="O185" s="225"/>
      <c r="P185" s="225"/>
      <c r="Q185" s="225"/>
    </row>
    <row r="186" spans="1:17" hidden="1">
      <c r="A186" s="234" t="s">
        <v>575</v>
      </c>
      <c r="B186" s="227" t="s">
        <v>529</v>
      </c>
      <c r="C186" s="225"/>
      <c r="D186" s="232"/>
      <c r="E186" s="229"/>
      <c r="F186" s="225"/>
      <c r="G186" s="225"/>
      <c r="H186" s="225"/>
      <c r="I186" s="225"/>
      <c r="J186" s="225"/>
      <c r="K186" s="225"/>
      <c r="L186" s="225"/>
      <c r="M186" s="225"/>
      <c r="N186" s="225"/>
      <c r="O186" s="225"/>
      <c r="P186" s="225"/>
      <c r="Q186" s="225"/>
    </row>
    <row r="187" spans="1:17">
      <c r="A187" s="230"/>
      <c r="B187" s="237" t="s">
        <v>514</v>
      </c>
      <c r="C187" s="225"/>
      <c r="D187" s="239">
        <f>SUM(D183:D186)</f>
        <v>142296.09338652508</v>
      </c>
      <c r="E187" s="229">
        <f>E183-1</f>
        <v>520</v>
      </c>
      <c r="F187" s="225">
        <f>ROUND(+D187/E187,2)</f>
        <v>273.64999999999998</v>
      </c>
      <c r="G187" s="225"/>
      <c r="H187" s="225"/>
      <c r="I187" s="225"/>
      <c r="J187" s="225"/>
      <c r="K187" s="225"/>
      <c r="L187" s="225"/>
      <c r="M187" s="225"/>
      <c r="N187" s="225"/>
      <c r="O187" s="225"/>
      <c r="P187" s="225"/>
      <c r="Q187" s="225"/>
    </row>
    <row r="188" spans="1:17" ht="14.25" customHeight="1">
      <c r="A188" s="230"/>
      <c r="B188" s="231"/>
      <c r="C188" s="232"/>
      <c r="D188" s="232"/>
      <c r="E188" s="233"/>
      <c r="F188" s="232"/>
      <c r="G188" s="225"/>
      <c r="H188" s="225"/>
      <c r="I188" s="225"/>
      <c r="J188" s="225"/>
      <c r="K188" s="225"/>
      <c r="L188" s="225"/>
      <c r="M188" s="225"/>
      <c r="N188" s="225"/>
      <c r="O188" s="225"/>
      <c r="P188" s="225"/>
      <c r="Q188" s="225"/>
    </row>
    <row r="189" spans="1:17">
      <c r="A189" s="234" t="s">
        <v>575</v>
      </c>
      <c r="B189" s="235" t="s">
        <v>526</v>
      </c>
      <c r="C189" s="232"/>
      <c r="D189" s="232">
        <f>-F187</f>
        <v>-273.64999999999998</v>
      </c>
      <c r="E189" s="229"/>
      <c r="F189" s="225"/>
      <c r="G189" s="225"/>
      <c r="H189" s="225"/>
      <c r="I189" s="225"/>
      <c r="J189" s="225"/>
      <c r="K189" s="225"/>
      <c r="L189" s="225"/>
      <c r="M189" s="225"/>
      <c r="N189" s="225"/>
      <c r="O189" s="225"/>
      <c r="P189" s="225"/>
      <c r="Q189" s="225"/>
    </row>
    <row r="190" spans="1:17" hidden="1">
      <c r="A190" s="234" t="s">
        <v>576</v>
      </c>
      <c r="B190" s="235" t="s">
        <v>529</v>
      </c>
      <c r="C190" s="232"/>
      <c r="D190" s="232"/>
      <c r="E190" s="229"/>
      <c r="F190" s="225"/>
      <c r="G190" s="225"/>
      <c r="H190" s="225"/>
      <c r="I190" s="225"/>
      <c r="J190" s="225"/>
      <c r="K190" s="225"/>
      <c r="L190" s="225"/>
      <c r="M190" s="225"/>
      <c r="N190" s="225"/>
      <c r="O190" s="225"/>
      <c r="P190" s="225"/>
      <c r="Q190" s="225"/>
    </row>
    <row r="191" spans="1:17">
      <c r="A191" s="230"/>
      <c r="B191" s="237" t="s">
        <v>515</v>
      </c>
      <c r="C191" s="232"/>
      <c r="D191" s="232">
        <f>SUM(D187:D190)</f>
        <v>142022.44338652509</v>
      </c>
      <c r="E191" s="229">
        <f>E187-1</f>
        <v>519</v>
      </c>
      <c r="F191" s="225">
        <f>ROUND(+D191/E191,2)</f>
        <v>273.64999999999998</v>
      </c>
      <c r="G191" s="225"/>
      <c r="H191" s="225"/>
      <c r="I191" s="225"/>
      <c r="J191" s="225"/>
      <c r="K191" s="225"/>
      <c r="L191" s="225"/>
      <c r="M191" s="225"/>
      <c r="N191" s="225"/>
      <c r="O191" s="225"/>
      <c r="P191" s="225"/>
      <c r="Q191" s="225"/>
    </row>
    <row r="192" spans="1:17" ht="14.25" customHeight="1">
      <c r="A192" s="230"/>
      <c r="B192" s="231"/>
      <c r="C192" s="232"/>
      <c r="D192" s="232"/>
      <c r="E192" s="233"/>
      <c r="F192" s="232"/>
      <c r="G192" s="225"/>
      <c r="H192" s="225"/>
      <c r="I192" s="225"/>
      <c r="J192" s="225"/>
      <c r="K192" s="225"/>
      <c r="L192" s="225"/>
      <c r="M192" s="225"/>
      <c r="N192" s="225"/>
      <c r="O192" s="225"/>
      <c r="P192" s="225"/>
      <c r="Q192" s="225"/>
    </row>
    <row r="193" spans="1:17">
      <c r="A193" s="234" t="s">
        <v>576</v>
      </c>
      <c r="B193" s="227" t="s">
        <v>526</v>
      </c>
      <c r="C193" s="225"/>
      <c r="D193" s="225">
        <f>-F191</f>
        <v>-273.64999999999998</v>
      </c>
      <c r="E193" s="229"/>
      <c r="F193" s="225"/>
      <c r="G193" s="225"/>
      <c r="H193" s="225"/>
      <c r="I193" s="225"/>
      <c r="J193" s="225"/>
      <c r="K193" s="225"/>
      <c r="L193" s="225"/>
      <c r="M193" s="225"/>
      <c r="N193" s="225"/>
      <c r="O193" s="225"/>
      <c r="P193" s="225"/>
      <c r="Q193" s="225"/>
    </row>
    <row r="194" spans="1:17" hidden="1">
      <c r="A194" s="234" t="s">
        <v>577</v>
      </c>
      <c r="B194" s="227" t="s">
        <v>529</v>
      </c>
      <c r="C194" s="225"/>
      <c r="D194" s="232"/>
      <c r="E194" s="229"/>
      <c r="F194" s="225"/>
      <c r="G194" s="225"/>
      <c r="H194" s="225"/>
      <c r="I194" s="225"/>
      <c r="J194" s="225"/>
      <c r="K194" s="225"/>
      <c r="L194" s="225"/>
      <c r="M194" s="225"/>
      <c r="N194" s="225"/>
      <c r="O194" s="225"/>
      <c r="P194" s="225"/>
      <c r="Q194" s="225"/>
    </row>
    <row r="195" spans="1:17">
      <c r="A195" s="230"/>
      <c r="B195" s="237" t="s">
        <v>516</v>
      </c>
      <c r="C195" s="225"/>
      <c r="D195" s="239">
        <f>SUM(D191:D194)</f>
        <v>141748.7933865251</v>
      </c>
      <c r="E195" s="229">
        <f>E191-1</f>
        <v>518</v>
      </c>
      <c r="F195" s="225">
        <f>ROUND(+D195/E195,2)</f>
        <v>273.64999999999998</v>
      </c>
      <c r="G195" s="225"/>
      <c r="H195" s="225"/>
      <c r="I195" s="225"/>
      <c r="J195" s="225"/>
      <c r="K195" s="225"/>
      <c r="L195" s="225"/>
      <c r="M195" s="225"/>
      <c r="N195" s="225"/>
      <c r="O195" s="225"/>
      <c r="P195" s="225"/>
      <c r="Q195" s="225"/>
    </row>
    <row r="196" spans="1:17" ht="14.25" customHeight="1">
      <c r="A196" s="230"/>
      <c r="B196" s="231"/>
      <c r="C196" s="232"/>
      <c r="D196" s="232"/>
      <c r="E196" s="233"/>
      <c r="F196" s="232"/>
      <c r="G196" s="225"/>
      <c r="H196" s="225"/>
      <c r="I196" s="225"/>
      <c r="J196" s="225"/>
      <c r="K196" s="225"/>
      <c r="L196" s="225"/>
      <c r="M196" s="225"/>
      <c r="N196" s="225"/>
      <c r="O196" s="225"/>
      <c r="P196" s="225"/>
      <c r="Q196" s="225"/>
    </row>
    <row r="197" spans="1:17">
      <c r="A197" s="226" t="s">
        <v>577</v>
      </c>
      <c r="B197" s="227" t="s">
        <v>526</v>
      </c>
      <c r="C197" s="225"/>
      <c r="D197" s="225">
        <f>-F195</f>
        <v>-273.64999999999998</v>
      </c>
      <c r="E197" s="229"/>
      <c r="F197" s="225"/>
      <c r="G197" s="225"/>
      <c r="H197" s="225"/>
      <c r="I197" s="225"/>
      <c r="J197" s="225"/>
      <c r="K197" s="225"/>
      <c r="L197" s="225"/>
      <c r="M197" s="225"/>
      <c r="N197" s="225"/>
      <c r="O197" s="225"/>
      <c r="P197" s="225"/>
      <c r="Q197" s="225"/>
    </row>
    <row r="198" spans="1:17" hidden="1">
      <c r="A198" s="226" t="s">
        <v>578</v>
      </c>
      <c r="B198" s="227" t="s">
        <v>529</v>
      </c>
      <c r="C198" s="225"/>
      <c r="D198" s="232"/>
      <c r="E198" s="229"/>
      <c r="F198" s="225"/>
      <c r="G198" s="225"/>
      <c r="H198" s="225"/>
      <c r="I198" s="225"/>
      <c r="J198" s="225"/>
      <c r="K198" s="225"/>
      <c r="L198" s="225"/>
      <c r="M198" s="225"/>
      <c r="N198" s="225"/>
      <c r="O198" s="225"/>
      <c r="P198" s="225"/>
      <c r="Q198" s="225"/>
    </row>
    <row r="199" spans="1:17">
      <c r="A199" s="224"/>
      <c r="B199" s="237" t="s">
        <v>517</v>
      </c>
      <c r="C199" s="225"/>
      <c r="D199" s="239">
        <f>SUM(D195:D198)</f>
        <v>141475.1433865251</v>
      </c>
      <c r="E199" s="229">
        <f>E195-1</f>
        <v>517</v>
      </c>
      <c r="F199" s="225">
        <f>ROUND(+D199/E199,2)</f>
        <v>273.64999999999998</v>
      </c>
      <c r="G199" s="225"/>
      <c r="H199" s="225"/>
      <c r="I199" s="225"/>
      <c r="J199" s="225"/>
      <c r="K199" s="225"/>
      <c r="L199" s="225"/>
      <c r="M199" s="225"/>
      <c r="N199" s="225"/>
      <c r="O199" s="225"/>
      <c r="P199" s="225"/>
      <c r="Q199" s="225"/>
    </row>
    <row r="200" spans="1:17" ht="14.25" customHeight="1">
      <c r="A200" s="230"/>
      <c r="B200" s="231"/>
      <c r="C200" s="232"/>
      <c r="D200" s="232"/>
      <c r="E200" s="233"/>
      <c r="F200" s="232"/>
      <c r="G200" s="225"/>
      <c r="H200" s="225"/>
      <c r="I200" s="225"/>
      <c r="J200" s="225"/>
      <c r="K200" s="225"/>
      <c r="L200" s="225"/>
      <c r="M200" s="225"/>
      <c r="N200" s="225"/>
      <c r="O200" s="225"/>
      <c r="P200" s="225"/>
      <c r="Q200" s="225"/>
    </row>
    <row r="201" spans="1:17">
      <c r="A201" s="226" t="s">
        <v>578</v>
      </c>
      <c r="B201" s="227" t="s">
        <v>526</v>
      </c>
      <c r="C201" s="225"/>
      <c r="D201" s="225">
        <f>-F199</f>
        <v>-273.64999999999998</v>
      </c>
      <c r="E201" s="229"/>
      <c r="F201" s="225"/>
      <c r="G201" s="225"/>
      <c r="H201" s="225"/>
      <c r="I201" s="225"/>
      <c r="J201" s="225"/>
      <c r="K201" s="225"/>
      <c r="L201" s="225"/>
      <c r="M201" s="225"/>
      <c r="N201" s="225"/>
      <c r="O201" s="225"/>
      <c r="P201" s="225"/>
      <c r="Q201" s="225"/>
    </row>
    <row r="202" spans="1:17" hidden="1">
      <c r="A202" s="226" t="s">
        <v>579</v>
      </c>
      <c r="B202" s="227" t="s">
        <v>529</v>
      </c>
      <c r="C202" s="225"/>
      <c r="D202" s="232"/>
      <c r="E202" s="229"/>
      <c r="F202" s="225"/>
      <c r="G202" s="225"/>
      <c r="H202" s="225"/>
      <c r="I202" s="225"/>
      <c r="J202" s="225"/>
      <c r="K202" s="225"/>
      <c r="L202" s="225"/>
      <c r="M202" s="225"/>
      <c r="N202" s="225"/>
      <c r="O202" s="225"/>
      <c r="P202" s="225"/>
      <c r="Q202" s="225"/>
    </row>
    <row r="203" spans="1:17">
      <c r="A203" s="224"/>
      <c r="B203" s="237" t="s">
        <v>518</v>
      </c>
      <c r="C203" s="225"/>
      <c r="D203" s="239">
        <f>SUM(D199:D202)</f>
        <v>141201.49338652511</v>
      </c>
      <c r="E203" s="229">
        <f>E199-1</f>
        <v>516</v>
      </c>
      <c r="F203" s="225">
        <f>ROUND(+D203/E203,2)</f>
        <v>273.64999999999998</v>
      </c>
      <c r="G203" s="225"/>
      <c r="H203" s="225"/>
      <c r="I203" s="225"/>
      <c r="J203" s="225"/>
      <c r="K203" s="225"/>
      <c r="L203" s="225"/>
      <c r="M203" s="225"/>
      <c r="N203" s="225"/>
      <c r="O203" s="225"/>
      <c r="P203" s="225"/>
      <c r="Q203" s="225"/>
    </row>
    <row r="204" spans="1:17" hidden="1">
      <c r="A204" s="230"/>
      <c r="B204" s="211"/>
      <c r="C204" s="211"/>
      <c r="D204" s="211"/>
      <c r="E204" s="211"/>
      <c r="F204" s="211"/>
      <c r="G204" s="211"/>
      <c r="H204" s="211"/>
      <c r="I204" s="211"/>
      <c r="J204" s="211"/>
      <c r="K204" s="211"/>
      <c r="L204" s="211"/>
      <c r="M204" s="211"/>
      <c r="N204" s="211"/>
      <c r="O204" s="211"/>
      <c r="P204" s="211"/>
      <c r="Q204" s="211"/>
    </row>
    <row r="205" spans="1:17" hidden="1">
      <c r="A205" s="226" t="s">
        <v>579</v>
      </c>
      <c r="B205" s="227" t="s">
        <v>526</v>
      </c>
      <c r="C205" s="225"/>
      <c r="D205" s="225">
        <f>-F203</f>
        <v>-273.64999999999998</v>
      </c>
      <c r="E205" s="229"/>
      <c r="F205" s="225"/>
      <c r="G205" s="211"/>
      <c r="H205" s="211"/>
      <c r="I205" s="211"/>
      <c r="J205" s="211"/>
      <c r="K205" s="211"/>
      <c r="L205" s="211"/>
      <c r="M205" s="211"/>
      <c r="N205" s="211"/>
      <c r="O205" s="211"/>
      <c r="P205" s="211"/>
      <c r="Q205" s="211"/>
    </row>
    <row r="206" spans="1:17" hidden="1">
      <c r="A206" s="226" t="s">
        <v>580</v>
      </c>
      <c r="B206" s="227" t="s">
        <v>529</v>
      </c>
      <c r="C206" s="225"/>
      <c r="D206" s="232"/>
      <c r="E206" s="229"/>
      <c r="F206" s="225"/>
      <c r="G206" s="211"/>
      <c r="H206" s="211"/>
      <c r="I206" s="211"/>
      <c r="J206" s="211"/>
      <c r="K206" s="211"/>
      <c r="L206" s="211"/>
      <c r="M206" s="211"/>
      <c r="N206" s="211"/>
      <c r="O206" s="211"/>
      <c r="P206" s="211"/>
      <c r="Q206" s="211"/>
    </row>
    <row r="207" spans="1:17" hidden="1">
      <c r="A207" s="224"/>
      <c r="B207" s="237" t="s">
        <v>581</v>
      </c>
      <c r="C207" s="225"/>
      <c r="D207" s="239">
        <f>SUM(D203:D206)</f>
        <v>140927.84338652511</v>
      </c>
      <c r="E207" s="229">
        <f>E203-1</f>
        <v>515</v>
      </c>
      <c r="F207" s="225">
        <f>ROUND(+D207/E207,2)</f>
        <v>273.64999999999998</v>
      </c>
      <c r="G207" s="211"/>
      <c r="H207" s="211"/>
      <c r="I207" s="211"/>
      <c r="J207" s="211"/>
      <c r="K207" s="211"/>
      <c r="L207" s="211"/>
      <c r="M207" s="211"/>
      <c r="N207" s="211"/>
      <c r="O207" s="211"/>
      <c r="P207" s="211"/>
      <c r="Q207" s="211"/>
    </row>
    <row r="208" spans="1:17" hidden="1">
      <c r="A208" s="224"/>
      <c r="B208" s="211"/>
      <c r="C208" s="211"/>
      <c r="D208" s="211"/>
      <c r="E208" s="211"/>
      <c r="F208" s="211"/>
      <c r="G208" s="211"/>
      <c r="H208" s="211"/>
      <c r="I208" s="211"/>
      <c r="J208" s="211"/>
      <c r="K208" s="211"/>
      <c r="L208" s="211"/>
      <c r="M208" s="211"/>
      <c r="N208" s="211"/>
      <c r="O208" s="211"/>
      <c r="P208" s="211"/>
      <c r="Q208" s="211"/>
    </row>
    <row r="209" spans="1:6" hidden="1">
      <c r="A209" s="226" t="s">
        <v>580</v>
      </c>
      <c r="B209" s="227" t="s">
        <v>526</v>
      </c>
      <c r="C209" s="225"/>
      <c r="D209" s="225">
        <f>-F207</f>
        <v>-273.64999999999998</v>
      </c>
      <c r="E209" s="229"/>
      <c r="F209" s="225"/>
    </row>
    <row r="210" spans="1:6" hidden="1">
      <c r="A210" s="226" t="s">
        <v>582</v>
      </c>
      <c r="B210" s="227" t="s">
        <v>529</v>
      </c>
      <c r="C210" s="225"/>
      <c r="D210" s="232"/>
      <c r="E210" s="229"/>
      <c r="F210" s="225"/>
    </row>
    <row r="211" spans="1:6" hidden="1">
      <c r="A211" s="224"/>
      <c r="B211" s="237" t="s">
        <v>583</v>
      </c>
      <c r="C211" s="225"/>
      <c r="D211" s="239">
        <f>SUM(D207:D210)</f>
        <v>140654.19338652512</v>
      </c>
      <c r="E211" s="229">
        <f>E207-1</f>
        <v>514</v>
      </c>
      <c r="F211" s="225">
        <f>ROUND(+D211/E211,2)</f>
        <v>273.64999999999998</v>
      </c>
    </row>
    <row r="212" spans="1:6" hidden="1">
      <c r="A212" s="224"/>
      <c r="B212" s="211"/>
      <c r="C212" s="211"/>
      <c r="D212" s="211"/>
      <c r="E212" s="211"/>
      <c r="F212" s="211"/>
    </row>
    <row r="213" spans="1:6" hidden="1">
      <c r="A213" s="226" t="s">
        <v>582</v>
      </c>
      <c r="B213" s="227" t="s">
        <v>526</v>
      </c>
      <c r="C213" s="225"/>
      <c r="D213" s="225">
        <f>-F211</f>
        <v>-273.64999999999998</v>
      </c>
      <c r="E213" s="229"/>
      <c r="F213" s="225"/>
    </row>
    <row r="214" spans="1:6" hidden="1">
      <c r="A214" s="226" t="s">
        <v>584</v>
      </c>
      <c r="B214" s="227" t="s">
        <v>529</v>
      </c>
      <c r="C214" s="225"/>
      <c r="D214" s="232"/>
      <c r="E214" s="229"/>
      <c r="F214" s="225"/>
    </row>
    <row r="215" spans="1:6" hidden="1">
      <c r="A215" s="224"/>
      <c r="B215" s="237" t="s">
        <v>585</v>
      </c>
      <c r="C215" s="225"/>
      <c r="D215" s="239">
        <f>SUM(D211:D214)</f>
        <v>140380.54338652513</v>
      </c>
      <c r="E215" s="229">
        <f>E211-1</f>
        <v>513</v>
      </c>
      <c r="F215" s="225">
        <f>ROUND(+D215/E215,2)</f>
        <v>273.64999999999998</v>
      </c>
    </row>
    <row r="216" spans="1:6" hidden="1">
      <c r="A216" s="230"/>
      <c r="B216" s="211"/>
      <c r="C216" s="211"/>
      <c r="D216" s="211"/>
      <c r="E216" s="211"/>
      <c r="F216" s="211"/>
    </row>
    <row r="217" spans="1:6" hidden="1">
      <c r="A217" s="226" t="s">
        <v>584</v>
      </c>
      <c r="B217" s="227" t="s">
        <v>526</v>
      </c>
      <c r="C217" s="225"/>
      <c r="D217" s="225">
        <f>-F215</f>
        <v>-273.64999999999998</v>
      </c>
      <c r="E217" s="229"/>
      <c r="F217" s="225"/>
    </row>
    <row r="218" spans="1:6" hidden="1">
      <c r="A218" s="226" t="s">
        <v>586</v>
      </c>
      <c r="B218" s="227" t="s">
        <v>529</v>
      </c>
      <c r="C218" s="225"/>
      <c r="D218" s="232"/>
      <c r="E218" s="229"/>
      <c r="F218" s="225"/>
    </row>
    <row r="219" spans="1:6" hidden="1">
      <c r="A219" s="224"/>
      <c r="B219" s="237" t="s">
        <v>587</v>
      </c>
      <c r="C219" s="225"/>
      <c r="D219" s="239">
        <f>SUM(D215:D218)</f>
        <v>140106.89338652513</v>
      </c>
      <c r="E219" s="229">
        <f>E215-1</f>
        <v>512</v>
      </c>
      <c r="F219" s="225">
        <f>ROUND(+D219/E219,2)</f>
        <v>273.64999999999998</v>
      </c>
    </row>
    <row r="220" spans="1:6" hidden="1">
      <c r="A220" s="234"/>
      <c r="B220" s="211"/>
      <c r="C220" s="211"/>
      <c r="D220" s="211"/>
      <c r="E220" s="211"/>
      <c r="F220" s="211"/>
    </row>
    <row r="221" spans="1:6" hidden="1">
      <c r="A221" s="226" t="s">
        <v>586</v>
      </c>
      <c r="B221" s="227" t="s">
        <v>526</v>
      </c>
      <c r="C221" s="225"/>
      <c r="D221" s="225">
        <f>-F219</f>
        <v>-273.64999999999998</v>
      </c>
      <c r="E221" s="229"/>
      <c r="F221" s="225"/>
    </row>
    <row r="222" spans="1:6" hidden="1">
      <c r="A222" s="226" t="s">
        <v>588</v>
      </c>
      <c r="B222" s="227" t="s">
        <v>529</v>
      </c>
      <c r="C222" s="225"/>
      <c r="D222" s="228"/>
      <c r="E222" s="229"/>
      <c r="F222" s="225"/>
    </row>
    <row r="223" spans="1:6" hidden="1">
      <c r="A223" s="224"/>
      <c r="B223" s="237" t="s">
        <v>589</v>
      </c>
      <c r="C223" s="225"/>
      <c r="D223" s="225">
        <f>SUM(D219:D222)</f>
        <v>139833.24338652514</v>
      </c>
      <c r="E223" s="229">
        <f>E219-1</f>
        <v>511</v>
      </c>
      <c r="F223" s="225">
        <f>ROUND(+D223/E223,2)</f>
        <v>273.64999999999998</v>
      </c>
    </row>
    <row r="224" spans="1:6" hidden="1">
      <c r="A224" s="234"/>
      <c r="B224" s="211"/>
      <c r="C224" s="211"/>
      <c r="D224" s="211"/>
      <c r="E224" s="211"/>
      <c r="F224" s="211"/>
    </row>
    <row r="225" spans="1:6" hidden="1">
      <c r="A225" s="226" t="s">
        <v>588</v>
      </c>
      <c r="B225" s="227" t="s">
        <v>526</v>
      </c>
      <c r="C225" s="225"/>
      <c r="D225" s="225">
        <f>-F223</f>
        <v>-273.64999999999998</v>
      </c>
      <c r="E225" s="229"/>
      <c r="F225" s="225"/>
    </row>
    <row r="226" spans="1:6" hidden="1">
      <c r="A226" s="226" t="s">
        <v>590</v>
      </c>
      <c r="B226" s="227" t="s">
        <v>529</v>
      </c>
      <c r="C226" s="225"/>
      <c r="D226" s="228"/>
      <c r="E226" s="229"/>
      <c r="F226" s="225"/>
    </row>
    <row r="227" spans="1:6" hidden="1">
      <c r="A227" s="224"/>
      <c r="B227" s="237" t="s">
        <v>591</v>
      </c>
      <c r="C227" s="225"/>
      <c r="D227" s="225">
        <f>SUM(D223:D226)</f>
        <v>139559.59338652514</v>
      </c>
      <c r="E227" s="229">
        <f>E223-1</f>
        <v>510</v>
      </c>
      <c r="F227" s="225">
        <f>ROUND(+D227/E227,2)</f>
        <v>273.64999999999998</v>
      </c>
    </row>
    <row r="228" spans="1:6" hidden="1">
      <c r="A228" s="230"/>
      <c r="B228" s="211"/>
      <c r="C228" s="211"/>
      <c r="D228" s="211"/>
      <c r="E228" s="211"/>
      <c r="F228" s="211"/>
    </row>
    <row r="229" spans="1:6" hidden="1">
      <c r="A229" s="226" t="s">
        <v>590</v>
      </c>
      <c r="B229" s="227" t="s">
        <v>526</v>
      </c>
      <c r="C229" s="225"/>
      <c r="D229" s="225">
        <f>-F227</f>
        <v>-273.64999999999998</v>
      </c>
      <c r="E229" s="229"/>
      <c r="F229" s="225"/>
    </row>
    <row r="230" spans="1:6" hidden="1">
      <c r="A230" s="226" t="s">
        <v>592</v>
      </c>
      <c r="B230" s="227" t="s">
        <v>529</v>
      </c>
      <c r="C230" s="225"/>
      <c r="D230" s="228"/>
      <c r="E230" s="229"/>
      <c r="F230" s="225"/>
    </row>
    <row r="231" spans="1:6" hidden="1">
      <c r="A231" s="224"/>
      <c r="B231" s="211"/>
      <c r="C231" s="225"/>
      <c r="D231" s="225">
        <f>SUM(D227:D230)</f>
        <v>139285.94338652515</v>
      </c>
      <c r="E231" s="229">
        <f>E227-1</f>
        <v>509</v>
      </c>
      <c r="F231" s="225">
        <f>ROUND(+D231/E231,2)</f>
        <v>273.64999999999998</v>
      </c>
    </row>
    <row r="232" spans="1:6" hidden="1">
      <c r="A232" s="240"/>
      <c r="B232" s="211"/>
      <c r="C232" s="211"/>
      <c r="D232" s="211"/>
      <c r="E232" s="211"/>
      <c r="F232" s="211"/>
    </row>
    <row r="233" spans="1:6" hidden="1">
      <c r="A233" s="241" t="s">
        <v>592</v>
      </c>
      <c r="B233" s="227" t="s">
        <v>526</v>
      </c>
      <c r="C233" s="225"/>
      <c r="D233" s="225">
        <f>-F231</f>
        <v>-273.64999999999998</v>
      </c>
      <c r="E233" s="229"/>
      <c r="F233" s="225"/>
    </row>
    <row r="234" spans="1:6" hidden="1">
      <c r="A234" s="241" t="s">
        <v>593</v>
      </c>
      <c r="B234" s="227" t="s">
        <v>529</v>
      </c>
      <c r="C234" s="225"/>
      <c r="D234" s="228"/>
      <c r="E234" s="229"/>
      <c r="F234" s="225"/>
    </row>
    <row r="235" spans="1:6" hidden="1">
      <c r="A235" s="230"/>
      <c r="B235" s="211"/>
      <c r="C235" s="225"/>
      <c r="D235" s="225">
        <f>SUM(D231:D234)</f>
        <v>139012.29338652515</v>
      </c>
      <c r="E235" s="229">
        <f>E231-1</f>
        <v>508</v>
      </c>
      <c r="F235" s="225">
        <f>ROUND(+D235/E235,2)</f>
        <v>273.64999999999998</v>
      </c>
    </row>
    <row r="236" spans="1:6" hidden="1">
      <c r="A236" s="240"/>
      <c r="B236" s="211"/>
      <c r="C236" s="211"/>
      <c r="D236" s="211"/>
      <c r="E236" s="211"/>
      <c r="F236" s="211"/>
    </row>
    <row r="237" spans="1:6" hidden="1">
      <c r="A237" s="226" t="s">
        <v>593</v>
      </c>
      <c r="B237" s="227" t="s">
        <v>526</v>
      </c>
      <c r="C237" s="225"/>
      <c r="D237" s="225">
        <f>-F235</f>
        <v>-273.64999999999998</v>
      </c>
      <c r="E237" s="229"/>
      <c r="F237" s="225"/>
    </row>
    <row r="238" spans="1:6" hidden="1">
      <c r="A238" s="226" t="s">
        <v>594</v>
      </c>
      <c r="B238" s="227" t="s">
        <v>529</v>
      </c>
      <c r="C238" s="225"/>
      <c r="D238" s="228"/>
      <c r="E238" s="229"/>
      <c r="F238" s="225"/>
    </row>
    <row r="239" spans="1:6" hidden="1">
      <c r="A239" s="224"/>
      <c r="B239" s="211"/>
      <c r="C239" s="225"/>
      <c r="D239" s="225">
        <f>SUM(D235:D238)</f>
        <v>138738.64338652516</v>
      </c>
      <c r="E239" s="229">
        <f>E235-1</f>
        <v>507</v>
      </c>
      <c r="F239" s="225">
        <f>ROUND(+D239/E239,2)</f>
        <v>273.64999999999998</v>
      </c>
    </row>
    <row r="240" spans="1:6" hidden="1">
      <c r="A240" s="230"/>
      <c r="B240" s="211"/>
      <c r="C240" s="211"/>
      <c r="D240" s="211"/>
      <c r="E240" s="211"/>
      <c r="F240" s="211"/>
    </row>
    <row r="241" spans="1:6" hidden="1">
      <c r="A241" s="226" t="s">
        <v>594</v>
      </c>
      <c r="B241" s="227" t="s">
        <v>526</v>
      </c>
      <c r="C241" s="225"/>
      <c r="D241" s="225">
        <f>-F239</f>
        <v>-273.64999999999998</v>
      </c>
      <c r="E241" s="229"/>
      <c r="F241" s="225"/>
    </row>
    <row r="242" spans="1:6" hidden="1">
      <c r="A242" s="226" t="s">
        <v>595</v>
      </c>
      <c r="B242" s="227" t="s">
        <v>529</v>
      </c>
      <c r="C242" s="225"/>
      <c r="D242" s="228"/>
      <c r="E242" s="229"/>
      <c r="F242" s="225"/>
    </row>
    <row r="243" spans="1:6" hidden="1">
      <c r="A243" s="224"/>
      <c r="B243" s="211"/>
      <c r="C243" s="225"/>
      <c r="D243" s="225">
        <f>SUM(D239:D242)</f>
        <v>138464.99338652517</v>
      </c>
      <c r="E243" s="229">
        <f>E239-1</f>
        <v>506</v>
      </c>
      <c r="F243" s="225">
        <f>ROUND(+D243/E243,2)</f>
        <v>273.64999999999998</v>
      </c>
    </row>
    <row r="244" spans="1:6" hidden="1">
      <c r="A244" s="230"/>
      <c r="B244" s="211"/>
      <c r="C244" s="211"/>
      <c r="D244" s="211"/>
      <c r="E244" s="211"/>
      <c r="F244" s="211"/>
    </row>
    <row r="245" spans="1:6" hidden="1">
      <c r="A245" s="226" t="s">
        <v>595</v>
      </c>
      <c r="B245" s="227" t="s">
        <v>526</v>
      </c>
      <c r="C245" s="225"/>
      <c r="D245" s="225">
        <f>-F243</f>
        <v>-273.64999999999998</v>
      </c>
      <c r="E245" s="229"/>
      <c r="F245" s="225"/>
    </row>
    <row r="246" spans="1:6" hidden="1">
      <c r="A246" s="226" t="s">
        <v>596</v>
      </c>
      <c r="B246" s="227" t="s">
        <v>529</v>
      </c>
      <c r="C246" s="225"/>
      <c r="D246" s="228"/>
      <c r="E246" s="229"/>
      <c r="F246" s="225"/>
    </row>
    <row r="247" spans="1:6" hidden="1">
      <c r="A247" s="224"/>
      <c r="B247" s="211"/>
      <c r="C247" s="225"/>
      <c r="D247" s="225">
        <f>SUM(D243:D246)</f>
        <v>138191.34338652517</v>
      </c>
      <c r="E247" s="229">
        <f>E243-1</f>
        <v>505</v>
      </c>
      <c r="F247" s="225">
        <f>ROUND(+D247/E247,2)</f>
        <v>273.64999999999998</v>
      </c>
    </row>
    <row r="248" spans="1:6" hidden="1">
      <c r="A248" s="230"/>
      <c r="B248" s="211"/>
      <c r="C248" s="211"/>
      <c r="D248" s="211"/>
      <c r="E248" s="211"/>
      <c r="F248" s="211"/>
    </row>
    <row r="249" spans="1:6" hidden="1">
      <c r="A249" s="226" t="s">
        <v>596</v>
      </c>
      <c r="B249" s="227" t="s">
        <v>526</v>
      </c>
      <c r="C249" s="225"/>
      <c r="D249" s="225">
        <f>-F247</f>
        <v>-273.64999999999998</v>
      </c>
      <c r="E249" s="229"/>
      <c r="F249" s="225"/>
    </row>
    <row r="250" spans="1:6" hidden="1">
      <c r="A250" s="226" t="s">
        <v>597</v>
      </c>
      <c r="B250" s="227" t="s">
        <v>529</v>
      </c>
      <c r="C250" s="225"/>
      <c r="D250" s="228"/>
      <c r="E250" s="229"/>
      <c r="F250" s="225"/>
    </row>
    <row r="251" spans="1:6" hidden="1">
      <c r="A251" s="224"/>
      <c r="B251" s="211"/>
      <c r="C251" s="225"/>
      <c r="D251" s="225">
        <f>SUM(D247:D250)</f>
        <v>137917.69338652518</v>
      </c>
      <c r="E251" s="229">
        <f>E247-1</f>
        <v>504</v>
      </c>
      <c r="F251" s="225">
        <f>ROUND(+D251/E251,2)</f>
        <v>273.64999999999998</v>
      </c>
    </row>
    <row r="252" spans="1:6" hidden="1">
      <c r="A252" s="230"/>
      <c r="B252" s="211"/>
      <c r="C252" s="211"/>
      <c r="D252" s="211"/>
      <c r="E252" s="211"/>
      <c r="F252" s="211"/>
    </row>
    <row r="253" spans="1:6" hidden="1">
      <c r="A253" s="226" t="s">
        <v>597</v>
      </c>
      <c r="B253" s="227" t="s">
        <v>526</v>
      </c>
      <c r="C253" s="225"/>
      <c r="D253" s="225">
        <f>-F251</f>
        <v>-273.64999999999998</v>
      </c>
      <c r="E253" s="229"/>
      <c r="F253" s="225"/>
    </row>
    <row r="254" spans="1:6" hidden="1">
      <c r="A254" s="226" t="s">
        <v>598</v>
      </c>
      <c r="B254" s="227" t="s">
        <v>529</v>
      </c>
      <c r="C254" s="225"/>
      <c r="D254" s="228"/>
      <c r="E254" s="229"/>
      <c r="F254" s="225"/>
    </row>
    <row r="255" spans="1:6" hidden="1">
      <c r="A255" s="224"/>
      <c r="B255" s="211"/>
      <c r="C255" s="225"/>
      <c r="D255" s="225">
        <f>SUM(D251:D254)</f>
        <v>137644.04338652518</v>
      </c>
      <c r="E255" s="229">
        <f>E251-1</f>
        <v>503</v>
      </c>
      <c r="F255" s="225">
        <f>ROUND(+D255/E255,2)</f>
        <v>273.64999999999998</v>
      </c>
    </row>
    <row r="256" spans="1:6" hidden="1">
      <c r="A256" s="224"/>
      <c r="B256" s="211"/>
      <c r="C256" s="211"/>
      <c r="D256" s="211"/>
      <c r="E256" s="211"/>
      <c r="F256" s="211"/>
    </row>
    <row r="257" spans="1:6" hidden="1">
      <c r="A257" s="226" t="s">
        <v>598</v>
      </c>
      <c r="B257" s="227" t="s">
        <v>526</v>
      </c>
      <c r="C257" s="225"/>
      <c r="D257" s="225">
        <f>-F255</f>
        <v>-273.64999999999998</v>
      </c>
      <c r="E257" s="229"/>
      <c r="F257" s="225"/>
    </row>
    <row r="258" spans="1:6" hidden="1">
      <c r="A258" s="226" t="s">
        <v>599</v>
      </c>
      <c r="B258" s="227" t="s">
        <v>529</v>
      </c>
      <c r="C258" s="225"/>
      <c r="D258" s="228"/>
      <c r="E258" s="229"/>
      <c r="F258" s="225"/>
    </row>
    <row r="259" spans="1:6" hidden="1">
      <c r="A259" s="224"/>
      <c r="B259" s="211"/>
      <c r="C259" s="225"/>
      <c r="D259" s="225">
        <f>SUM(D255:D258)</f>
        <v>137370.39338652519</v>
      </c>
      <c r="E259" s="229">
        <f>E255-1</f>
        <v>502</v>
      </c>
      <c r="F259" s="225">
        <f>ROUND(+D259/E259,2)</f>
        <v>273.64999999999998</v>
      </c>
    </row>
    <row r="260" spans="1:6" hidden="1">
      <c r="A260" s="224"/>
      <c r="B260" s="211"/>
      <c r="C260" s="211"/>
      <c r="D260" s="211"/>
      <c r="E260" s="211"/>
      <c r="F260" s="211"/>
    </row>
    <row r="261" spans="1:6" hidden="1">
      <c r="A261" s="226" t="s">
        <v>599</v>
      </c>
      <c r="B261" s="227" t="s">
        <v>526</v>
      </c>
      <c r="C261" s="225"/>
      <c r="D261" s="225">
        <f>-F259</f>
        <v>-273.64999999999998</v>
      </c>
      <c r="E261" s="229"/>
      <c r="F261" s="225"/>
    </row>
    <row r="262" spans="1:6" hidden="1">
      <c r="A262" s="226" t="s">
        <v>600</v>
      </c>
      <c r="B262" s="227" t="s">
        <v>529</v>
      </c>
      <c r="C262" s="225"/>
      <c r="D262" s="228"/>
      <c r="E262" s="229"/>
      <c r="F262" s="225"/>
    </row>
    <row r="263" spans="1:6" hidden="1">
      <c r="A263" s="224"/>
      <c r="B263" s="211"/>
      <c r="C263" s="225"/>
      <c r="D263" s="225">
        <f>SUM(D259:D262)</f>
        <v>137096.7433865252</v>
      </c>
      <c r="E263" s="229">
        <f>E259-1</f>
        <v>501</v>
      </c>
      <c r="F263" s="225">
        <f>ROUND(+D263/E263,2)</f>
        <v>273.64999999999998</v>
      </c>
    </row>
    <row r="264" spans="1:6" hidden="1">
      <c r="A264" s="230"/>
      <c r="B264" s="211"/>
      <c r="C264" s="211"/>
      <c r="D264" s="211"/>
      <c r="E264" s="211"/>
      <c r="F264" s="211"/>
    </row>
    <row r="265" spans="1:6" hidden="1">
      <c r="A265" s="226" t="s">
        <v>600</v>
      </c>
      <c r="B265" s="227" t="s">
        <v>526</v>
      </c>
      <c r="C265" s="225"/>
      <c r="D265" s="225">
        <f>-F263</f>
        <v>-273.64999999999998</v>
      </c>
      <c r="E265" s="229"/>
      <c r="F265" s="225"/>
    </row>
    <row r="266" spans="1:6" hidden="1">
      <c r="A266" s="226" t="s">
        <v>601</v>
      </c>
      <c r="B266" s="227" t="s">
        <v>529</v>
      </c>
      <c r="C266" s="225"/>
      <c r="D266" s="228"/>
      <c r="E266" s="229"/>
      <c r="F266" s="225"/>
    </row>
    <row r="267" spans="1:6" hidden="1">
      <c r="A267" s="224"/>
      <c r="B267" s="211"/>
      <c r="C267" s="225"/>
      <c r="D267" s="225">
        <f>SUM(D263:D266)</f>
        <v>136823.0933865252</v>
      </c>
      <c r="E267" s="229">
        <f>E263-1</f>
        <v>500</v>
      </c>
      <c r="F267" s="225">
        <f>ROUND(+D267/E267,2)</f>
        <v>273.64999999999998</v>
      </c>
    </row>
    <row r="268" spans="1:6" hidden="1">
      <c r="A268" s="234"/>
      <c r="B268" s="211"/>
      <c r="C268" s="211"/>
      <c r="D268" s="211"/>
      <c r="E268" s="211"/>
      <c r="F268" s="211"/>
    </row>
    <row r="269" spans="1:6" hidden="1">
      <c r="A269" s="226" t="s">
        <v>601</v>
      </c>
      <c r="B269" s="227" t="s">
        <v>526</v>
      </c>
      <c r="C269" s="225"/>
      <c r="D269" s="225">
        <f>-F267</f>
        <v>-273.64999999999998</v>
      </c>
      <c r="E269" s="229"/>
      <c r="F269" s="225"/>
    </row>
    <row r="270" spans="1:6" hidden="1">
      <c r="A270" s="226" t="s">
        <v>602</v>
      </c>
      <c r="B270" s="227" t="s">
        <v>529</v>
      </c>
      <c r="C270" s="225"/>
      <c r="D270" s="228"/>
      <c r="E270" s="229"/>
      <c r="F270" s="225"/>
    </row>
    <row r="271" spans="1:6" hidden="1">
      <c r="A271" s="224"/>
      <c r="B271" s="211"/>
      <c r="C271" s="225"/>
      <c r="D271" s="225">
        <f>SUM(D267:D270)</f>
        <v>136549.44338652521</v>
      </c>
      <c r="E271" s="229">
        <f>E267-1</f>
        <v>499</v>
      </c>
      <c r="F271" s="225">
        <f>ROUND(+D271/E271,2)</f>
        <v>273.64999999999998</v>
      </c>
    </row>
    <row r="272" spans="1:6" hidden="1">
      <c r="A272" s="234"/>
      <c r="B272" s="211"/>
      <c r="C272" s="211"/>
      <c r="D272" s="211"/>
      <c r="E272" s="211"/>
      <c r="F272" s="211"/>
    </row>
    <row r="273" spans="1:6" hidden="1">
      <c r="A273" s="226" t="s">
        <v>602</v>
      </c>
      <c r="B273" s="227" t="s">
        <v>526</v>
      </c>
      <c r="C273" s="225"/>
      <c r="D273" s="225">
        <f>-F271</f>
        <v>-273.64999999999998</v>
      </c>
      <c r="E273" s="229"/>
      <c r="F273" s="225"/>
    </row>
    <row r="274" spans="1:6" hidden="1">
      <c r="A274" s="226" t="s">
        <v>603</v>
      </c>
      <c r="B274" s="227" t="s">
        <v>529</v>
      </c>
      <c r="C274" s="225"/>
      <c r="D274" s="228"/>
      <c r="E274" s="229"/>
      <c r="F274" s="225"/>
    </row>
    <row r="275" spans="1:6" hidden="1">
      <c r="A275" s="224"/>
      <c r="B275" s="211"/>
      <c r="C275" s="225"/>
      <c r="D275" s="225">
        <f>SUM(D271:D274)</f>
        <v>136275.79338652521</v>
      </c>
      <c r="E275" s="229">
        <f>E271-1</f>
        <v>498</v>
      </c>
      <c r="F275" s="225">
        <f>ROUND(+D275/E275,2)</f>
        <v>273.64999999999998</v>
      </c>
    </row>
    <row r="276" spans="1:6" hidden="1">
      <c r="A276" s="230"/>
      <c r="B276" s="211"/>
      <c r="C276" s="211"/>
      <c r="D276" s="211"/>
      <c r="E276" s="211"/>
      <c r="F276" s="211"/>
    </row>
    <row r="277" spans="1:6" hidden="1">
      <c r="A277" s="226" t="s">
        <v>603</v>
      </c>
      <c r="B277" s="227" t="s">
        <v>526</v>
      </c>
      <c r="C277" s="225"/>
      <c r="D277" s="225">
        <f>-F275</f>
        <v>-273.64999999999998</v>
      </c>
      <c r="E277" s="229"/>
      <c r="F277" s="225"/>
    </row>
    <row r="278" spans="1:6" hidden="1">
      <c r="A278" s="226" t="s">
        <v>604</v>
      </c>
      <c r="B278" s="227" t="s">
        <v>529</v>
      </c>
      <c r="C278" s="225"/>
      <c r="D278" s="228"/>
      <c r="E278" s="229"/>
      <c r="F278" s="225"/>
    </row>
    <row r="279" spans="1:6" hidden="1">
      <c r="A279" s="224"/>
      <c r="B279" s="211"/>
      <c r="C279" s="225"/>
      <c r="D279" s="225">
        <f>SUM(D275:D278)</f>
        <v>136002.14338652522</v>
      </c>
      <c r="E279" s="229">
        <f>E275-1</f>
        <v>497</v>
      </c>
      <c r="F279" s="225">
        <f>ROUND(+D279/E279,2)</f>
        <v>273.64999999999998</v>
      </c>
    </row>
    <row r="280" spans="1:6" hidden="1">
      <c r="A280" s="240"/>
      <c r="B280" s="211"/>
      <c r="C280" s="211"/>
      <c r="D280" s="211"/>
      <c r="E280" s="211"/>
      <c r="F280" s="211"/>
    </row>
    <row r="281" spans="1:6" hidden="1">
      <c r="A281" s="241" t="s">
        <v>604</v>
      </c>
      <c r="B281" s="227" t="s">
        <v>526</v>
      </c>
      <c r="C281" s="225"/>
      <c r="D281" s="225">
        <f>-F279</f>
        <v>-273.64999999999998</v>
      </c>
      <c r="E281" s="229"/>
      <c r="F281" s="225"/>
    </row>
    <row r="282" spans="1:6" hidden="1">
      <c r="A282" s="241" t="s">
        <v>605</v>
      </c>
      <c r="B282" s="227" t="s">
        <v>529</v>
      </c>
      <c r="C282" s="225"/>
      <c r="D282" s="228"/>
      <c r="E282" s="229"/>
      <c r="F282" s="225"/>
    </row>
    <row r="283" spans="1:6" hidden="1">
      <c r="A283" s="230"/>
      <c r="B283" s="211"/>
      <c r="C283" s="225"/>
      <c r="D283" s="225">
        <f>SUM(D279:D282)</f>
        <v>135728.49338652522</v>
      </c>
      <c r="E283" s="229">
        <f>E279-1</f>
        <v>496</v>
      </c>
      <c r="F283" s="225">
        <f>ROUND(+D283/E283,2)</f>
        <v>273.64999999999998</v>
      </c>
    </row>
    <row r="284" spans="1:6" hidden="1">
      <c r="A284" s="240"/>
      <c r="B284" s="211"/>
      <c r="C284" s="211"/>
      <c r="D284" s="211"/>
      <c r="E284" s="211"/>
      <c r="F284" s="211"/>
    </row>
    <row r="285" spans="1:6" hidden="1">
      <c r="A285" s="226" t="s">
        <v>605</v>
      </c>
      <c r="B285" s="227" t="s">
        <v>526</v>
      </c>
      <c r="C285" s="225"/>
      <c r="D285" s="225">
        <f>-F283</f>
        <v>-273.64999999999998</v>
      </c>
      <c r="E285" s="229"/>
      <c r="F285" s="225"/>
    </row>
    <row r="286" spans="1:6" hidden="1">
      <c r="A286" s="226" t="s">
        <v>606</v>
      </c>
      <c r="B286" s="227" t="s">
        <v>529</v>
      </c>
      <c r="C286" s="225"/>
      <c r="D286" s="228"/>
      <c r="E286" s="229"/>
      <c r="F286" s="225"/>
    </row>
    <row r="287" spans="1:6" hidden="1">
      <c r="A287" s="224"/>
      <c r="B287" s="211"/>
      <c r="C287" s="225"/>
      <c r="D287" s="225">
        <f>SUM(D283:D286)</f>
        <v>135454.84338652523</v>
      </c>
      <c r="E287" s="229">
        <f>E283-1</f>
        <v>495</v>
      </c>
      <c r="F287" s="225">
        <f>ROUND(+D287/E287,2)</f>
        <v>273.64999999999998</v>
      </c>
    </row>
    <row r="288" spans="1:6" hidden="1">
      <c r="A288" s="230"/>
      <c r="B288" s="211"/>
      <c r="C288" s="211"/>
      <c r="D288" s="211"/>
      <c r="E288" s="211"/>
      <c r="F288" s="211"/>
    </row>
    <row r="289" spans="1:6" hidden="1">
      <c r="A289" s="226" t="s">
        <v>606</v>
      </c>
      <c r="B289" s="227" t="s">
        <v>526</v>
      </c>
      <c r="C289" s="225"/>
      <c r="D289" s="225">
        <f>-F287</f>
        <v>-273.64999999999998</v>
      </c>
      <c r="E289" s="229"/>
      <c r="F289" s="225"/>
    </row>
    <row r="290" spans="1:6" hidden="1">
      <c r="A290" s="226" t="s">
        <v>607</v>
      </c>
      <c r="B290" s="227" t="s">
        <v>529</v>
      </c>
      <c r="C290" s="225"/>
      <c r="D290" s="228"/>
      <c r="E290" s="229"/>
      <c r="F290" s="225"/>
    </row>
    <row r="291" spans="1:6" hidden="1">
      <c r="A291" s="224"/>
      <c r="B291" s="211"/>
      <c r="C291" s="225"/>
      <c r="D291" s="225">
        <f>SUM(D287:D290)</f>
        <v>135181.19338652524</v>
      </c>
      <c r="E291" s="229">
        <f>E287-1</f>
        <v>494</v>
      </c>
      <c r="F291" s="225">
        <f>ROUND(+D291/E291,2)</f>
        <v>273.64999999999998</v>
      </c>
    </row>
    <row r="292" spans="1:6" hidden="1">
      <c r="A292" s="230"/>
      <c r="B292" s="211"/>
      <c r="C292" s="211"/>
      <c r="D292" s="211"/>
      <c r="E292" s="211"/>
      <c r="F292" s="211"/>
    </row>
    <row r="293" spans="1:6" hidden="1">
      <c r="A293" s="226" t="s">
        <v>607</v>
      </c>
      <c r="B293" s="227" t="s">
        <v>526</v>
      </c>
      <c r="C293" s="225"/>
      <c r="D293" s="225">
        <f>-F291</f>
        <v>-273.64999999999998</v>
      </c>
      <c r="E293" s="229"/>
      <c r="F293" s="225"/>
    </row>
    <row r="294" spans="1:6" hidden="1">
      <c r="A294" s="226" t="s">
        <v>608</v>
      </c>
      <c r="B294" s="227" t="s">
        <v>529</v>
      </c>
      <c r="C294" s="225"/>
      <c r="D294" s="228"/>
      <c r="E294" s="229"/>
      <c r="F294" s="225"/>
    </row>
    <row r="295" spans="1:6" hidden="1">
      <c r="A295" s="224"/>
      <c r="B295" s="211"/>
      <c r="C295" s="225"/>
      <c r="D295" s="225">
        <f>SUM(D291:D294)</f>
        <v>134907.54338652524</v>
      </c>
      <c r="E295" s="229">
        <f>E291-1</f>
        <v>493</v>
      </c>
      <c r="F295" s="225">
        <f>ROUND(+D295/E295,2)</f>
        <v>273.64999999999998</v>
      </c>
    </row>
    <row r="296" spans="1:6" hidden="1">
      <c r="A296" s="230"/>
      <c r="B296" s="211"/>
      <c r="C296" s="211"/>
      <c r="D296" s="211"/>
      <c r="E296" s="211"/>
      <c r="F296" s="211"/>
    </row>
    <row r="297" spans="1:6" hidden="1">
      <c r="A297" s="226" t="s">
        <v>608</v>
      </c>
      <c r="B297" s="227" t="s">
        <v>526</v>
      </c>
      <c r="C297" s="225"/>
      <c r="D297" s="225">
        <f>-F295</f>
        <v>-273.64999999999998</v>
      </c>
      <c r="E297" s="229"/>
      <c r="F297" s="225"/>
    </row>
    <row r="298" spans="1:6" hidden="1">
      <c r="A298" s="226" t="s">
        <v>609</v>
      </c>
      <c r="B298" s="227" t="s">
        <v>529</v>
      </c>
      <c r="C298" s="225"/>
      <c r="D298" s="228"/>
      <c r="E298" s="229"/>
      <c r="F298" s="225"/>
    </row>
    <row r="299" spans="1:6" hidden="1">
      <c r="A299" s="224"/>
      <c r="B299" s="211"/>
      <c r="C299" s="225"/>
      <c r="D299" s="225">
        <f>SUM(D295:D298)</f>
        <v>134633.89338652525</v>
      </c>
      <c r="E299" s="229">
        <f>E295-1</f>
        <v>492</v>
      </c>
      <c r="F299" s="225">
        <f>ROUND(+D299/E299,2)</f>
        <v>273.64999999999998</v>
      </c>
    </row>
    <row r="300" spans="1:6" hidden="1">
      <c r="A300" s="230"/>
      <c r="B300" s="211"/>
      <c r="C300" s="211"/>
      <c r="D300" s="211"/>
      <c r="E300" s="211"/>
      <c r="F300" s="211"/>
    </row>
    <row r="301" spans="1:6" hidden="1">
      <c r="A301" s="226" t="s">
        <v>609</v>
      </c>
      <c r="B301" s="227" t="s">
        <v>526</v>
      </c>
      <c r="C301" s="225"/>
      <c r="D301" s="225">
        <f>-F299</f>
        <v>-273.64999999999998</v>
      </c>
      <c r="E301" s="229"/>
      <c r="F301" s="225"/>
    </row>
    <row r="302" spans="1:6" hidden="1">
      <c r="A302" s="226" t="s">
        <v>610</v>
      </c>
      <c r="B302" s="227" t="s">
        <v>529</v>
      </c>
      <c r="C302" s="225"/>
      <c r="D302" s="228"/>
      <c r="E302" s="229"/>
      <c r="F302" s="225"/>
    </row>
    <row r="303" spans="1:6" hidden="1">
      <c r="A303" s="224"/>
      <c r="B303" s="211"/>
      <c r="C303" s="225"/>
      <c r="D303" s="225">
        <f>SUM(D299:D302)</f>
        <v>134360.24338652525</v>
      </c>
      <c r="E303" s="229">
        <f>E299-1</f>
        <v>491</v>
      </c>
      <c r="F303" s="225">
        <f>ROUND(+D303/E303,2)</f>
        <v>273.64999999999998</v>
      </c>
    </row>
    <row r="304" spans="1:6" hidden="1">
      <c r="A304" s="224"/>
      <c r="B304" s="211"/>
      <c r="C304" s="211"/>
      <c r="D304" s="211"/>
      <c r="E304" s="211"/>
      <c r="F304" s="211"/>
    </row>
    <row r="305" spans="1:6" hidden="1">
      <c r="A305" s="226" t="s">
        <v>610</v>
      </c>
      <c r="B305" s="227" t="s">
        <v>526</v>
      </c>
      <c r="C305" s="225"/>
      <c r="D305" s="225">
        <f>-F303</f>
        <v>-273.64999999999998</v>
      </c>
      <c r="E305" s="229"/>
      <c r="F305" s="225"/>
    </row>
    <row r="306" spans="1:6" hidden="1">
      <c r="A306" s="226" t="s">
        <v>611</v>
      </c>
      <c r="B306" s="227" t="s">
        <v>529</v>
      </c>
      <c r="C306" s="225"/>
      <c r="D306" s="228"/>
      <c r="E306" s="229"/>
      <c r="F306" s="225"/>
    </row>
    <row r="307" spans="1:6" hidden="1">
      <c r="A307" s="224"/>
      <c r="B307" s="211"/>
      <c r="C307" s="225"/>
      <c r="D307" s="225">
        <f>SUM(D303:D306)</f>
        <v>134086.59338652526</v>
      </c>
      <c r="E307" s="229">
        <f>E303-1</f>
        <v>490</v>
      </c>
      <c r="F307" s="225">
        <f>ROUND(+D307/E307,2)</f>
        <v>273.64999999999998</v>
      </c>
    </row>
    <row r="308" spans="1:6" hidden="1">
      <c r="A308" s="224"/>
      <c r="B308" s="211"/>
      <c r="C308" s="211"/>
      <c r="D308" s="211"/>
      <c r="E308" s="211"/>
      <c r="F308" s="211"/>
    </row>
    <row r="309" spans="1:6" hidden="1">
      <c r="A309" s="226" t="s">
        <v>611</v>
      </c>
      <c r="B309" s="227" t="s">
        <v>526</v>
      </c>
      <c r="C309" s="225"/>
      <c r="D309" s="225">
        <f>-F307</f>
        <v>-273.64999999999998</v>
      </c>
      <c r="E309" s="229"/>
      <c r="F309" s="225"/>
    </row>
    <row r="310" spans="1:6" hidden="1">
      <c r="A310" s="226" t="s">
        <v>612</v>
      </c>
      <c r="B310" s="227" t="s">
        <v>529</v>
      </c>
      <c r="C310" s="225"/>
      <c r="D310" s="228"/>
      <c r="E310" s="229"/>
      <c r="F310" s="225"/>
    </row>
    <row r="311" spans="1:6" hidden="1">
      <c r="A311" s="224"/>
      <c r="B311" s="211"/>
      <c r="C311" s="225"/>
      <c r="D311" s="225">
        <f>SUM(D307:D310)</f>
        <v>133812.94338652526</v>
      </c>
      <c r="E311" s="229">
        <f>E307-1</f>
        <v>489</v>
      </c>
      <c r="F311" s="225">
        <f>ROUND(+D311/E311,2)</f>
        <v>273.64999999999998</v>
      </c>
    </row>
    <row r="312" spans="1:6" hidden="1">
      <c r="A312" s="230"/>
      <c r="B312" s="211"/>
      <c r="C312" s="211"/>
      <c r="D312" s="211"/>
      <c r="E312" s="211"/>
      <c r="F312" s="211"/>
    </row>
    <row r="313" spans="1:6" hidden="1">
      <c r="A313" s="226" t="s">
        <v>612</v>
      </c>
      <c r="B313" s="227" t="s">
        <v>526</v>
      </c>
      <c r="C313" s="225"/>
      <c r="D313" s="225">
        <f>-F311</f>
        <v>-273.64999999999998</v>
      </c>
      <c r="E313" s="229"/>
      <c r="F313" s="225"/>
    </row>
    <row r="314" spans="1:6" hidden="1">
      <c r="A314" s="226" t="s">
        <v>613</v>
      </c>
      <c r="B314" s="227" t="s">
        <v>529</v>
      </c>
      <c r="C314" s="225"/>
      <c r="D314" s="228"/>
      <c r="E314" s="229"/>
      <c r="F314" s="225"/>
    </row>
    <row r="315" spans="1:6" hidden="1">
      <c r="A315" s="224"/>
      <c r="B315" s="211"/>
      <c r="C315" s="225"/>
      <c r="D315" s="225">
        <f>SUM(D311:D314)</f>
        <v>133539.29338652527</v>
      </c>
      <c r="E315" s="229">
        <f>E311-1</f>
        <v>488</v>
      </c>
      <c r="F315" s="225">
        <f>ROUND(+D315/E315,2)</f>
        <v>273.64999999999998</v>
      </c>
    </row>
    <row r="316" spans="1:6" hidden="1">
      <c r="A316" s="234"/>
      <c r="B316" s="211"/>
      <c r="C316" s="211"/>
      <c r="D316" s="211"/>
      <c r="E316" s="211"/>
      <c r="F316" s="211"/>
    </row>
    <row r="317" spans="1:6" hidden="1">
      <c r="A317" s="226" t="s">
        <v>613</v>
      </c>
      <c r="B317" s="227" t="s">
        <v>526</v>
      </c>
      <c r="C317" s="225"/>
      <c r="D317" s="225">
        <f>-F315</f>
        <v>-273.64999999999998</v>
      </c>
      <c r="E317" s="229"/>
      <c r="F317" s="225"/>
    </row>
    <row r="318" spans="1:6" hidden="1">
      <c r="A318" s="226" t="s">
        <v>614</v>
      </c>
      <c r="B318" s="227" t="s">
        <v>529</v>
      </c>
      <c r="C318" s="225"/>
      <c r="D318" s="228"/>
      <c r="E318" s="229"/>
      <c r="F318" s="225"/>
    </row>
    <row r="319" spans="1:6" hidden="1">
      <c r="A319" s="224"/>
      <c r="B319" s="211"/>
      <c r="C319" s="225"/>
      <c r="D319" s="225">
        <f>SUM(D315:D318)</f>
        <v>133265.64338652528</v>
      </c>
      <c r="E319" s="229">
        <f>E315-1</f>
        <v>487</v>
      </c>
      <c r="F319" s="225">
        <f>ROUND(+D319/E319,2)</f>
        <v>273.64999999999998</v>
      </c>
    </row>
    <row r="320" spans="1:6" hidden="1">
      <c r="A320" s="234"/>
      <c r="B320" s="211"/>
      <c r="C320" s="211"/>
      <c r="D320" s="211"/>
      <c r="E320" s="211"/>
      <c r="F320" s="211"/>
    </row>
    <row r="321" spans="1:6" hidden="1">
      <c r="A321" s="226" t="s">
        <v>614</v>
      </c>
      <c r="B321" s="227" t="s">
        <v>526</v>
      </c>
      <c r="C321" s="225"/>
      <c r="D321" s="225">
        <f>-F319</f>
        <v>-273.64999999999998</v>
      </c>
      <c r="E321" s="229"/>
      <c r="F321" s="225"/>
    </row>
    <row r="322" spans="1:6" hidden="1">
      <c r="A322" s="226" t="s">
        <v>615</v>
      </c>
      <c r="B322" s="227" t="s">
        <v>529</v>
      </c>
      <c r="C322" s="225"/>
      <c r="D322" s="228"/>
      <c r="E322" s="229"/>
      <c r="F322" s="225"/>
    </row>
    <row r="323" spans="1:6" hidden="1">
      <c r="A323" s="224"/>
      <c r="B323" s="211"/>
      <c r="C323" s="225"/>
      <c r="D323" s="225">
        <f>SUM(D319:D322)</f>
        <v>132991.99338652528</v>
      </c>
      <c r="E323" s="229">
        <f>E319-1</f>
        <v>486</v>
      </c>
      <c r="F323" s="225">
        <f>ROUND(+D323/E323,2)</f>
        <v>273.64999999999998</v>
      </c>
    </row>
    <row r="324" spans="1:6" hidden="1">
      <c r="A324" s="230"/>
      <c r="B324" s="211"/>
      <c r="C324" s="211"/>
      <c r="D324" s="211"/>
      <c r="E324" s="211"/>
      <c r="F324" s="211"/>
    </row>
    <row r="325" spans="1:6" hidden="1">
      <c r="A325" s="226" t="s">
        <v>615</v>
      </c>
      <c r="B325" s="227" t="s">
        <v>526</v>
      </c>
      <c r="C325" s="225"/>
      <c r="D325" s="225">
        <f>-F323</f>
        <v>-273.64999999999998</v>
      </c>
      <c r="E325" s="229"/>
      <c r="F325" s="225"/>
    </row>
    <row r="326" spans="1:6" hidden="1">
      <c r="A326" s="226" t="s">
        <v>616</v>
      </c>
      <c r="B326" s="227" t="s">
        <v>529</v>
      </c>
      <c r="C326" s="225"/>
      <c r="D326" s="228"/>
      <c r="E326" s="229"/>
      <c r="F326" s="225"/>
    </row>
    <row r="327" spans="1:6" hidden="1">
      <c r="A327" s="224"/>
      <c r="B327" s="211"/>
      <c r="C327" s="225"/>
      <c r="D327" s="225">
        <f>SUM(D323:D326)</f>
        <v>132718.34338652529</v>
      </c>
      <c r="E327" s="229">
        <f>E323-1</f>
        <v>485</v>
      </c>
      <c r="F327" s="225">
        <f>ROUND(+D327/E327,2)</f>
        <v>273.64999999999998</v>
      </c>
    </row>
    <row r="328" spans="1:6" hidden="1">
      <c r="A328" s="240"/>
      <c r="B328" s="211"/>
      <c r="C328" s="211"/>
      <c r="D328" s="211"/>
      <c r="E328" s="211"/>
      <c r="F328" s="211"/>
    </row>
    <row r="329" spans="1:6" hidden="1">
      <c r="A329" s="241" t="s">
        <v>616</v>
      </c>
      <c r="B329" s="211"/>
      <c r="C329" s="211"/>
      <c r="D329" s="211"/>
      <c r="E329" s="211"/>
      <c r="F329" s="211"/>
    </row>
    <row r="330" spans="1:6" hidden="1">
      <c r="A330" s="241" t="s">
        <v>617</v>
      </c>
      <c r="B330" s="211"/>
      <c r="C330" s="211"/>
      <c r="D330" s="211"/>
      <c r="E330" s="211"/>
      <c r="F330" s="211"/>
    </row>
    <row r="331" spans="1:6" hidden="1">
      <c r="A331" s="230"/>
      <c r="B331" s="211"/>
      <c r="C331" s="211"/>
      <c r="D331" s="211"/>
      <c r="E331" s="211"/>
      <c r="F331" s="211"/>
    </row>
    <row r="332" spans="1:6" hidden="1">
      <c r="A332" s="240"/>
      <c r="B332" s="211"/>
      <c r="C332" s="211"/>
      <c r="D332" s="211"/>
      <c r="E332" s="211"/>
      <c r="F332" s="211"/>
    </row>
    <row r="333" spans="1:6" hidden="1">
      <c r="A333" s="226" t="s">
        <v>617</v>
      </c>
      <c r="B333" s="211"/>
      <c r="C333" s="211"/>
      <c r="D333" s="211"/>
      <c r="E333" s="211"/>
      <c r="F333" s="211"/>
    </row>
    <row r="334" spans="1:6" hidden="1">
      <c r="A334" s="226" t="s">
        <v>618</v>
      </c>
      <c r="B334" s="211"/>
      <c r="C334" s="211"/>
      <c r="D334" s="211"/>
      <c r="E334" s="211"/>
      <c r="F334" s="211"/>
    </row>
    <row r="335" spans="1:6" hidden="1">
      <c r="A335" s="224"/>
      <c r="B335" s="211"/>
      <c r="C335" s="211"/>
      <c r="D335" s="211"/>
      <c r="E335" s="211"/>
      <c r="F335" s="211"/>
    </row>
    <row r="336" spans="1:6" hidden="1">
      <c r="A336" s="230"/>
      <c r="B336" s="211"/>
      <c r="C336" s="211"/>
      <c r="D336" s="211"/>
      <c r="E336" s="211"/>
      <c r="F336" s="211"/>
    </row>
    <row r="337" spans="1:1" hidden="1">
      <c r="A337" s="226" t="s">
        <v>618</v>
      </c>
    </row>
    <row r="338" spans="1:1" hidden="1">
      <c r="A338" s="226" t="s">
        <v>619</v>
      </c>
    </row>
    <row r="339" spans="1:1" hidden="1">
      <c r="A339" s="224"/>
    </row>
    <row r="340" spans="1:1" hidden="1">
      <c r="A340" s="230"/>
    </row>
    <row r="341" spans="1:1" hidden="1">
      <c r="A341" s="226" t="s">
        <v>619</v>
      </c>
    </row>
    <row r="342" spans="1:1" hidden="1">
      <c r="A342" s="226" t="s">
        <v>620</v>
      </c>
    </row>
    <row r="343" spans="1:1" hidden="1">
      <c r="A343" s="224"/>
    </row>
    <row r="344" spans="1:1" hidden="1">
      <c r="A344" s="224"/>
    </row>
    <row r="345" spans="1:1" hidden="1">
      <c r="A345" s="226" t="s">
        <v>621</v>
      </c>
    </row>
    <row r="346" spans="1:1" hidden="1">
      <c r="A346" s="226" t="s">
        <v>622</v>
      </c>
    </row>
    <row r="347" spans="1:1" hidden="1">
      <c r="A347" s="224"/>
    </row>
    <row r="348" spans="1:1" hidden="1">
      <c r="A348" s="230"/>
    </row>
    <row r="349" spans="1:1" hidden="1">
      <c r="A349" s="226" t="s">
        <v>622</v>
      </c>
    </row>
    <row r="350" spans="1:1" hidden="1">
      <c r="A350" s="226" t="s">
        <v>623</v>
      </c>
    </row>
    <row r="351" spans="1:1" hidden="1">
      <c r="A351" s="224"/>
    </row>
    <row r="352" spans="1:1" hidden="1">
      <c r="A352" s="224"/>
    </row>
    <row r="353" spans="1:1" hidden="1">
      <c r="A353" s="226" t="s">
        <v>623</v>
      </c>
    </row>
    <row r="354" spans="1:1" hidden="1">
      <c r="A354" s="226" t="s">
        <v>624</v>
      </c>
    </row>
    <row r="355" spans="1:1" hidden="1">
      <c r="A355" s="224"/>
    </row>
    <row r="356" spans="1:1" hidden="1">
      <c r="A356" s="224"/>
    </row>
    <row r="357" spans="1:1" hidden="1">
      <c r="A357" s="226" t="s">
        <v>624</v>
      </c>
    </row>
    <row r="358" spans="1:1" hidden="1">
      <c r="A358" s="226" t="s">
        <v>625</v>
      </c>
    </row>
    <row r="359" spans="1:1" hidden="1">
      <c r="A359" s="224"/>
    </row>
    <row r="360" spans="1:1" hidden="1">
      <c r="A360" s="230"/>
    </row>
    <row r="361" spans="1:1" hidden="1">
      <c r="A361" s="226" t="s">
        <v>625</v>
      </c>
    </row>
    <row r="362" spans="1:1" hidden="1">
      <c r="A362" s="226" t="s">
        <v>74</v>
      </c>
    </row>
    <row r="363" spans="1:1" hidden="1">
      <c r="A363" s="224"/>
    </row>
    <row r="364" spans="1:1" hidden="1">
      <c r="A364" s="234"/>
    </row>
    <row r="365" spans="1:1" hidden="1">
      <c r="A365" s="226" t="s">
        <v>74</v>
      </c>
    </row>
    <row r="366" spans="1:1" hidden="1">
      <c r="A366" s="226" t="s">
        <v>626</v>
      </c>
    </row>
    <row r="367" spans="1:1" hidden="1">
      <c r="A367" s="224"/>
    </row>
    <row r="368" spans="1:1" hidden="1">
      <c r="A368" s="234"/>
    </row>
    <row r="369" spans="1:1" hidden="1">
      <c r="A369" s="226" t="s">
        <v>626</v>
      </c>
    </row>
    <row r="370" spans="1:1" hidden="1">
      <c r="A370" s="226" t="s">
        <v>627</v>
      </c>
    </row>
    <row r="371" spans="1:1" hidden="1">
      <c r="A371" s="224"/>
    </row>
    <row r="372" spans="1:1" hidden="1">
      <c r="A372" s="230"/>
    </row>
    <row r="373" spans="1:1" hidden="1">
      <c r="A373" s="226" t="s">
        <v>627</v>
      </c>
    </row>
    <row r="374" spans="1:1" hidden="1">
      <c r="A374" s="226" t="s">
        <v>628</v>
      </c>
    </row>
    <row r="375" spans="1:1" hidden="1">
      <c r="A375" s="224"/>
    </row>
    <row r="376" spans="1:1" hidden="1">
      <c r="A376" s="240"/>
    </row>
    <row r="377" spans="1:1" hidden="1">
      <c r="A377" s="241" t="s">
        <v>628</v>
      </c>
    </row>
    <row r="378" spans="1:1" hidden="1">
      <c r="A378" s="241" t="s">
        <v>629</v>
      </c>
    </row>
    <row r="379" spans="1:1" hidden="1">
      <c r="A379" s="230"/>
    </row>
    <row r="380" spans="1:1" hidden="1">
      <c r="A380" s="240"/>
    </row>
    <row r="381" spans="1:1" hidden="1">
      <c r="A381" s="226" t="s">
        <v>629</v>
      </c>
    </row>
    <row r="382" spans="1:1" hidden="1">
      <c r="A382" s="226" t="s">
        <v>630</v>
      </c>
    </row>
    <row r="383" spans="1:1" hidden="1">
      <c r="A383" s="224"/>
    </row>
    <row r="384" spans="1:1" hidden="1">
      <c r="A384" s="230"/>
    </row>
    <row r="385" spans="1:1" hidden="1">
      <c r="A385" s="226" t="s">
        <v>630</v>
      </c>
    </row>
    <row r="386" spans="1:1" hidden="1">
      <c r="A386" s="226" t="s">
        <v>631</v>
      </c>
    </row>
    <row r="387" spans="1:1" hidden="1">
      <c r="A387" s="224"/>
    </row>
    <row r="388" spans="1:1" hidden="1">
      <c r="A388" s="230"/>
    </row>
    <row r="389" spans="1:1" hidden="1">
      <c r="A389" s="226" t="s">
        <v>631</v>
      </c>
    </row>
    <row r="390" spans="1:1" hidden="1">
      <c r="A390" s="226" t="s">
        <v>621</v>
      </c>
    </row>
    <row r="391" spans="1:1" hidden="1">
      <c r="A391" s="224"/>
    </row>
    <row r="392" spans="1:1" hidden="1">
      <c r="A392" s="224"/>
    </row>
    <row r="393" spans="1:1" hidden="1">
      <c r="A393" s="224"/>
    </row>
    <row r="394" spans="1:1" hidden="1">
      <c r="A394" s="224"/>
    </row>
    <row r="395" spans="1:1" hidden="1">
      <c r="A395" s="224"/>
    </row>
    <row r="396" spans="1:1" hidden="1">
      <c r="A396" s="224"/>
    </row>
    <row r="397" spans="1:1" hidden="1">
      <c r="A397" s="224"/>
    </row>
    <row r="398" spans="1:1" hidden="1">
      <c r="A398" s="224"/>
    </row>
    <row r="399" spans="1:1" hidden="1">
      <c r="A399" s="224"/>
    </row>
    <row r="400" spans="1:1" hidden="1">
      <c r="A400" s="224"/>
    </row>
    <row r="401" spans="1:1" hidden="1">
      <c r="A401" s="224"/>
    </row>
    <row r="402" spans="1:1" hidden="1">
      <c r="A402" s="224"/>
    </row>
    <row r="403" spans="1:1" hidden="1">
      <c r="A403" s="224"/>
    </row>
    <row r="404" spans="1:1" hidden="1">
      <c r="A404" s="224"/>
    </row>
    <row r="405" spans="1:1" hidden="1">
      <c r="A405" s="224"/>
    </row>
    <row r="406" spans="1:1" hidden="1">
      <c r="A406" s="224"/>
    </row>
    <row r="407" spans="1:1" hidden="1">
      <c r="A407" s="224"/>
    </row>
    <row r="408" spans="1:1" hidden="1">
      <c r="A408" s="224"/>
    </row>
    <row r="409" spans="1:1">
      <c r="A409" s="224"/>
    </row>
  </sheetData>
  <printOptions horizontalCentered="1"/>
  <pageMargins left="0.25" right="0.25" top="0.75" bottom="0.75" header="0.3" footer="0.3"/>
  <pageSetup scale="87" fitToHeight="2" orientation="portrait" r:id="rId1"/>
  <headerFooter>
    <oddFooter>&amp;C&amp;Z&amp;F&amp;R&amp;D</oddFooter>
  </headerFooter>
  <rowBreaks count="1" manualBreakCount="1">
    <brk id="1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33</vt:i4>
      </vt:variant>
    </vt:vector>
  </HeadingPairs>
  <TitlesOfParts>
    <vt:vector size="48" baseType="lpstr">
      <vt:lpstr>Prepayments 2015-2016</vt:lpstr>
      <vt:lpstr>165100-2016</vt:lpstr>
      <vt:lpstr>165100-2015</vt:lpstr>
      <vt:lpstr>165200-2016</vt:lpstr>
      <vt:lpstr>165200-2015</vt:lpstr>
      <vt:lpstr>165300</vt:lpstr>
      <vt:lpstr>165350</vt:lpstr>
      <vt:lpstr>165351</vt:lpstr>
      <vt:lpstr>165352</vt:lpstr>
      <vt:lpstr>165400-2016</vt:lpstr>
      <vt:lpstr>165400-2015</vt:lpstr>
      <vt:lpstr>165600</vt:lpstr>
      <vt:lpstr>165800-2016</vt:lpstr>
      <vt:lpstr>165800-2015</vt:lpstr>
      <vt:lpstr>165900</vt:lpstr>
      <vt:lpstr>'165200-2016'!BEGIN</vt:lpstr>
      <vt:lpstr>BEGIN</vt:lpstr>
      <vt:lpstr>'165200-2016'!END</vt:lpstr>
      <vt:lpstr>END</vt:lpstr>
      <vt:lpstr>'165100-2015'!INTBOOK</vt:lpstr>
      <vt:lpstr>INTBOOK</vt:lpstr>
      <vt:lpstr>'165200-2016'!INTP</vt:lpstr>
      <vt:lpstr>INTP</vt:lpstr>
      <vt:lpstr>'165200-2016'!MAT</vt:lpstr>
      <vt:lpstr>MAT</vt:lpstr>
      <vt:lpstr>'165100-2015'!Print_Area</vt:lpstr>
      <vt:lpstr>'165100-2016'!Print_Area</vt:lpstr>
      <vt:lpstr>'165200-2015'!Print_Area</vt:lpstr>
      <vt:lpstr>'165200-2016'!Print_Area</vt:lpstr>
      <vt:lpstr>'165352'!Print_Area</vt:lpstr>
      <vt:lpstr>'165600'!Print_Area</vt:lpstr>
      <vt:lpstr>'165900'!Print_Area</vt:lpstr>
      <vt:lpstr>'165100-2015'!Print_Area_MI</vt:lpstr>
      <vt:lpstr>'165100-2016'!Print_Area_MI</vt:lpstr>
      <vt:lpstr>'165200-2016'!Print_Area_MI</vt:lpstr>
      <vt:lpstr>Print_Area_MI</vt:lpstr>
      <vt:lpstr>'165200-2015'!Print_Titles</vt:lpstr>
      <vt:lpstr>'165200-2016'!Print_Titles</vt:lpstr>
      <vt:lpstr>'165352'!Print_Titles</vt:lpstr>
      <vt:lpstr>'165600'!Print_Titles</vt:lpstr>
      <vt:lpstr>'165200-2015'!Print_Titles_MI</vt:lpstr>
      <vt:lpstr>'165200-2016'!Print_Titles_MI</vt:lpstr>
      <vt:lpstr>'165200-2016'!SALES</vt:lpstr>
      <vt:lpstr>SALES</vt:lpstr>
      <vt:lpstr>'165100-2015'!SUMM</vt:lpstr>
      <vt:lpstr>SUMM</vt:lpstr>
      <vt:lpstr>'165200-2016'!YTDA</vt:lpstr>
      <vt:lpstr>YTDA</vt:lpstr>
    </vt:vector>
  </TitlesOfParts>
  <Company>Empire District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Roets</dc:creator>
  <cp:lastModifiedBy>Jeff Lee</cp:lastModifiedBy>
  <cp:lastPrinted>2017-08-15T14:49:28Z</cp:lastPrinted>
  <dcterms:created xsi:type="dcterms:W3CDTF">2017-08-10T14:45:32Z</dcterms:created>
  <dcterms:modified xsi:type="dcterms:W3CDTF">2017-08-16T13:14:02Z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