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B\MISO\Attachment O\2018 Attachment O filing\Data Request\"/>
    </mc:Choice>
  </mc:AlternateContent>
  <bookViews>
    <workbookView xWindow="90" yWindow="150" windowWidth="22635" windowHeight="10815" tabRatio="811"/>
  </bookViews>
  <sheets>
    <sheet name="Nonlevelized-IOU" sheetId="1" r:id="rId1"/>
    <sheet name="1 - ADIT  Page 2" sheetId="4" r:id="rId2"/>
    <sheet name="2 - Mat.&amp;Supplies  P. 2" sheetId="5" r:id="rId3"/>
    <sheet name="3 - Regulatory Exp. P. 3" sheetId="6" r:id="rId4"/>
    <sheet name="4 - Taxes P. 3" sheetId="7" r:id="rId5"/>
    <sheet name="5 - Advertising Exp. P. 3" sheetId="8" r:id="rId6"/>
    <sheet name="6 - Excluded Assets P. 4" sheetId="9" r:id="rId7"/>
    <sheet name="7 - Excluded MISO Int Costs" sheetId="10" r:id="rId8"/>
    <sheet name="8 - Excluded ARO" sheetId="11" r:id="rId9"/>
    <sheet name="9 - Adjustment and Interest" sheetId="3" r:id="rId10"/>
    <sheet name="10 - Radial Lines" sheetId="13" r:id="rId11"/>
    <sheet name="2016 TP Peak p400" sheetId="12" r:id="rId12"/>
  </sheets>
  <definedNames>
    <definedName name="_xlnm.Print_Area" localSheetId="4">'4 - Taxes P. 3'!$A$1:$H$30</definedName>
    <definedName name="_xlnm.Print_Area" localSheetId="0">'Nonlevelized-IOU'!$A$1:$K$319</definedName>
  </definedNames>
  <calcPr calcId="162913"/>
</workbook>
</file>

<file path=xl/calcChain.xml><?xml version="1.0" encoding="utf-8"?>
<calcChain xmlns="http://schemas.openxmlformats.org/spreadsheetml/2006/main">
  <c r="B19" i="3" l="1"/>
  <c r="B18" i="3"/>
  <c r="B17" i="3"/>
  <c r="C35" i="13" l="1"/>
  <c r="B35" i="13"/>
  <c r="I212" i="1" l="1"/>
  <c r="G30" i="7"/>
  <c r="D171" i="1" s="1"/>
  <c r="G16" i="7"/>
  <c r="E28" i="8" l="1"/>
  <c r="E27" i="8"/>
  <c r="E26" i="8"/>
  <c r="E25" i="8"/>
  <c r="E24" i="8"/>
  <c r="E23" i="8"/>
  <c r="E22" i="8"/>
  <c r="E30" i="8" l="1"/>
  <c r="N37" i="1"/>
  <c r="K22" i="12"/>
  <c r="I22" i="12"/>
  <c r="G22" i="12"/>
  <c r="F22" i="12"/>
  <c r="C22" i="12"/>
  <c r="K18" i="12"/>
  <c r="J18" i="12"/>
  <c r="I18" i="12"/>
  <c r="H18" i="12"/>
  <c r="G18" i="12"/>
  <c r="F18" i="12"/>
  <c r="C18" i="12"/>
  <c r="K14" i="12"/>
  <c r="J14" i="12"/>
  <c r="I14" i="12"/>
  <c r="H14" i="12"/>
  <c r="G14" i="12"/>
  <c r="F14" i="12"/>
  <c r="C14" i="12"/>
  <c r="K10" i="12"/>
  <c r="J10" i="12"/>
  <c r="J23" i="12" s="1"/>
  <c r="I10" i="12"/>
  <c r="H10" i="12"/>
  <c r="G10" i="12"/>
  <c r="F10" i="12"/>
  <c r="F23" i="12" s="1"/>
  <c r="F27" i="12" s="1"/>
  <c r="C10" i="12"/>
  <c r="C23" i="12" l="1"/>
  <c r="C27" i="12" s="1"/>
  <c r="I23" i="12"/>
  <c r="I27" i="12" s="1"/>
  <c r="G23" i="12"/>
  <c r="G27" i="12" s="1"/>
  <c r="K23" i="12"/>
  <c r="K27" i="12" s="1"/>
  <c r="H23" i="12"/>
  <c r="I242" i="1"/>
  <c r="C15" i="8" l="1"/>
  <c r="C18" i="6" s="1"/>
  <c r="D151" i="1"/>
  <c r="D84" i="1"/>
  <c r="D232" i="1" l="1"/>
  <c r="I220" i="1" l="1"/>
  <c r="D160" i="1"/>
  <c r="C29" i="6"/>
  <c r="C30" i="6" s="1"/>
  <c r="B27" i="5" l="1"/>
  <c r="D46" i="1" l="1"/>
  <c r="D169" i="1" l="1"/>
  <c r="D253" i="1" l="1"/>
  <c r="D153" i="1" l="1"/>
  <c r="D108" i="1"/>
  <c r="C15" i="4"/>
  <c r="D106" i="1" s="1"/>
  <c r="D92" i="1"/>
  <c r="D89" i="1" l="1"/>
  <c r="C10" i="11"/>
  <c r="D81" i="1" s="1"/>
  <c r="B20" i="10"/>
  <c r="D147" i="1" s="1"/>
  <c r="C12" i="8"/>
  <c r="C30" i="7"/>
  <c r="C16" i="7"/>
  <c r="D166" i="1" s="1"/>
  <c r="C17" i="6"/>
  <c r="C20" i="6" s="1"/>
  <c r="C16" i="5"/>
  <c r="D15" i="5" s="1"/>
  <c r="E15" i="5" s="1"/>
  <c r="D14" i="5"/>
  <c r="E14" i="5" s="1"/>
  <c r="E20" i="5" s="1"/>
  <c r="I213" i="1" l="1"/>
  <c r="D152" i="1"/>
  <c r="D16" i="5"/>
  <c r="E16" i="5"/>
  <c r="B16" i="3" l="1"/>
  <c r="G255" i="1" l="1"/>
  <c r="I219" i="1" l="1"/>
  <c r="I272" i="1"/>
  <c r="D15" i="1" s="1"/>
  <c r="D156" i="1"/>
  <c r="D115" i="1" s="1"/>
  <c r="I211" i="1"/>
  <c r="D14" i="1"/>
  <c r="D86" i="1"/>
  <c r="G229" i="1"/>
  <c r="G231" i="1"/>
  <c r="G232" i="1"/>
  <c r="D239" i="1"/>
  <c r="G237" i="1" s="1"/>
  <c r="D97" i="1"/>
  <c r="D98" i="1"/>
  <c r="D99" i="1"/>
  <c r="D100" i="1"/>
  <c r="G253" i="1"/>
  <c r="I248" i="1"/>
  <c r="I250" i="1" s="1"/>
  <c r="D255" i="1" s="1"/>
  <c r="D256" i="1" s="1"/>
  <c r="E254" i="1" s="1"/>
  <c r="G254" i="1"/>
  <c r="D176" i="1"/>
  <c r="D180" i="1" s="1"/>
  <c r="D184" i="1" s="1"/>
  <c r="I34" i="1"/>
  <c r="O31" i="1" s="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F112" i="1" s="1"/>
  <c r="D207" i="1"/>
  <c r="D142" i="1"/>
  <c r="C171" i="1"/>
  <c r="F167" i="1"/>
  <c r="C167" i="1"/>
  <c r="B161" i="1"/>
  <c r="B159" i="1"/>
  <c r="C154" i="1"/>
  <c r="F151" i="1"/>
  <c r="F152" i="1" s="1"/>
  <c r="B93" i="1"/>
  <c r="B101" i="1" s="1"/>
  <c r="B92" i="1"/>
  <c r="B100" i="1"/>
  <c r="B91" i="1"/>
  <c r="B99" i="1" s="1"/>
  <c r="B90" i="1"/>
  <c r="B98" i="1" s="1"/>
  <c r="B89" i="1"/>
  <c r="B97" i="1" s="1"/>
  <c r="D94" i="1"/>
  <c r="F93" i="1"/>
  <c r="F92" i="1"/>
  <c r="G91" i="1"/>
  <c r="F91" i="1"/>
  <c r="G89" i="1"/>
  <c r="O32" i="1" l="1"/>
  <c r="O24" i="1"/>
  <c r="I254" i="1"/>
  <c r="N36" i="1"/>
  <c r="I221" i="1"/>
  <c r="I223" i="1" s="1"/>
  <c r="I214" i="1"/>
  <c r="I216" i="1" s="1"/>
  <c r="N38" i="1"/>
  <c r="E255" i="1"/>
  <c r="I255" i="1" s="1"/>
  <c r="E253" i="1"/>
  <c r="I253" i="1" s="1"/>
  <c r="D102" i="1"/>
  <c r="G14" i="1" l="1"/>
  <c r="I14" i="1" s="1"/>
  <c r="E230" i="1"/>
  <c r="G230" i="1" s="1"/>
  <c r="G233" i="1" s="1"/>
  <c r="I233" i="1" s="1"/>
  <c r="I237" i="1" s="1"/>
  <c r="K237" i="1" s="1"/>
  <c r="G85" i="1" s="1"/>
  <c r="G93" i="1" s="1"/>
  <c r="I224" i="1"/>
  <c r="I225" i="1" s="1"/>
  <c r="G116" i="1" s="1"/>
  <c r="B28" i="5" s="1"/>
  <c r="B29" i="5" s="1"/>
  <c r="G82" i="1"/>
  <c r="G90" i="1" s="1"/>
  <c r="G15" i="1"/>
  <c r="I15" i="1" s="1"/>
  <c r="I256" i="1"/>
  <c r="D177" i="1" s="1"/>
  <c r="I82" i="1" l="1"/>
  <c r="I85" i="1"/>
  <c r="G84" i="1"/>
  <c r="I84" i="1" s="1"/>
  <c r="G147" i="1"/>
  <c r="G149" i="1" s="1"/>
  <c r="I149" i="1" s="1"/>
  <c r="G16" i="1"/>
  <c r="I16" i="1" s="1"/>
  <c r="I90" i="1"/>
  <c r="G112" i="1"/>
  <c r="I93" i="1"/>
  <c r="G154" i="1"/>
  <c r="N85" i="1" l="1"/>
  <c r="O85" i="1" s="1"/>
  <c r="I86" i="1"/>
  <c r="G86" i="1" s="1"/>
  <c r="G169" i="1" s="1"/>
  <c r="I98" i="1"/>
  <c r="G92" i="1"/>
  <c r="I92" i="1" s="1"/>
  <c r="I100" i="1" s="1"/>
  <c r="G153" i="1"/>
  <c r="I153" i="1" s="1"/>
  <c r="I147" i="1"/>
  <c r="I101" i="1"/>
  <c r="O87" i="1"/>
  <c r="O86" i="1"/>
  <c r="G17" i="1"/>
  <c r="I17" i="1" s="1"/>
  <c r="I18" i="1" s="1"/>
  <c r="G159" i="1"/>
  <c r="I159" i="1" s="1"/>
  <c r="I112" i="1"/>
  <c r="G161" i="1"/>
  <c r="I161" i="1" s="1"/>
  <c r="I154" i="1"/>
  <c r="I94" i="1" l="1"/>
  <c r="N91" i="1"/>
  <c r="N93" i="1" s="1"/>
  <c r="G150" i="1"/>
  <c r="G151" i="1" s="1"/>
  <c r="I151" i="1" s="1"/>
  <c r="G117" i="1"/>
  <c r="I117" i="1" s="1"/>
  <c r="I102" i="1"/>
  <c r="G102" i="1" s="1"/>
  <c r="G106" i="1" s="1"/>
  <c r="O91" i="1"/>
  <c r="I150" i="1"/>
  <c r="G171" i="1"/>
  <c r="I171" i="1" s="1"/>
  <c r="I169" i="1"/>
  <c r="G172" i="1"/>
  <c r="I172" i="1" s="1"/>
  <c r="G152" i="1" l="1"/>
  <c r="I152" i="1" s="1"/>
  <c r="G160" i="1"/>
  <c r="I160" i="1" s="1"/>
  <c r="I162" i="1" s="1"/>
  <c r="G184" i="1"/>
  <c r="I184" i="1" s="1"/>
  <c r="I156" i="1"/>
  <c r="I115" i="1" s="1"/>
  <c r="G107" i="1"/>
  <c r="I106" i="1"/>
  <c r="G166" i="1" l="1"/>
  <c r="I166" i="1" s="1"/>
  <c r="G167" i="1"/>
  <c r="I167" i="1" s="1"/>
  <c r="I173" i="1" s="1"/>
  <c r="G108" i="1"/>
  <c r="I108" i="1" s="1"/>
  <c r="I107" i="1"/>
  <c r="G109" i="1"/>
  <c r="I109" i="1" s="1"/>
  <c r="I110" i="1" l="1"/>
  <c r="D116" i="1"/>
  <c r="D118" i="1" s="1"/>
  <c r="D120" i="1" s="1"/>
  <c r="D187" i="1" s="1"/>
  <c r="D183" i="1" l="1"/>
  <c r="D185" i="1" s="1"/>
  <c r="D190" i="1" s="1"/>
  <c r="D199" i="1" s="1"/>
  <c r="I116" i="1"/>
  <c r="I118" i="1" s="1"/>
  <c r="I120" i="1" s="1"/>
  <c r="I187" i="1" s="1"/>
  <c r="I183" i="1" l="1"/>
  <c r="I185" i="1" s="1"/>
  <c r="I190" i="1" s="1"/>
  <c r="I199" i="1" s="1"/>
  <c r="I11" i="1" s="1"/>
  <c r="E8" i="3"/>
  <c r="C15" i="3" l="1"/>
  <c r="D15" i="3" l="1"/>
  <c r="E15" i="3" l="1"/>
  <c r="C16" i="3" s="1"/>
  <c r="D16" i="3" l="1"/>
  <c r="E16" i="3"/>
  <c r="C17" i="3" s="1"/>
  <c r="D17" i="3" l="1"/>
  <c r="E17" i="3"/>
  <c r="C18" i="3" s="1"/>
  <c r="D18" i="3" l="1"/>
  <c r="E18" i="3" l="1"/>
  <c r="C19" i="3" s="1"/>
  <c r="D19" i="3" l="1"/>
  <c r="D20" i="3" s="1"/>
  <c r="I22" i="1" s="1"/>
  <c r="I24" i="1" s="1"/>
  <c r="N25" i="1" l="1"/>
  <c r="N24" i="1"/>
  <c r="N26" i="1"/>
  <c r="D36" i="1"/>
  <c r="N32" i="1"/>
  <c r="E19" i="3"/>
  <c r="M36" i="1" l="1"/>
  <c r="N31" i="1"/>
  <c r="D40" i="1"/>
  <c r="I40" i="1"/>
  <c r="D42" i="1"/>
  <c r="I41" i="1"/>
  <c r="I42" i="1"/>
  <c r="D37" i="1"/>
  <c r="D41" i="1"/>
</calcChain>
</file>

<file path=xl/comments1.xml><?xml version="1.0" encoding="utf-8"?>
<comments xmlns="http://schemas.openxmlformats.org/spreadsheetml/2006/main">
  <authors>
    <author>bvinson</author>
  </authors>
  <commentList>
    <comment ref="N84" authorId="0" shape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<sst xmlns="http://schemas.openxmlformats.org/spreadsheetml/2006/main" count="819" uniqueCount="606">
  <si>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</si>
  <si>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</si>
  <si>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</si>
  <si>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</si>
  <si>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</si>
  <si>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</si>
  <si>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</si>
  <si>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</si>
  <si>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</si>
  <si>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</si>
  <si>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</si>
  <si>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</si>
  <si>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</si>
  <si>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</si>
  <si>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</si>
  <si>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</si>
  <si>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</si>
  <si>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</si>
  <si>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</si>
  <si>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</si>
  <si>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</si>
  <si>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</si>
  <si>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</si>
  <si>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</si>
  <si>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</si>
  <si>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</si>
  <si>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</si>
  <si>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</si>
  <si>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</si>
  <si>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</si>
  <si>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</si>
  <si>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</si>
  <si>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</si>
  <si>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</si>
  <si>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</si>
  <si>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</si>
  <si>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</si>
  <si>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</si>
  <si>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</si>
  <si>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</si>
  <si>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</si>
  <si>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</si>
  <si>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</si>
  <si>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</si>
  <si>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</si>
  <si>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</si>
  <si>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</si>
  <si>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</si>
  <si>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</si>
  <si>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</si>
  <si>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</si>
  <si>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</si>
  <si>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</si>
  <si>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</si>
  <si>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</si>
  <si>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</si>
  <si>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</si>
  <si>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</si>
  <si>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</si>
  <si>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</si>
  <si>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</si>
  <si>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</si>
  <si>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</si>
  <si>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</si>
  <si>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</si>
  <si>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</si>
  <si>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</si>
  <si>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</si>
  <si>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</si>
  <si>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</si>
  <si>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</si>
  <si>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</si>
  <si>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</si>
  <si>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</si>
  <si>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</si>
  <si>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</si>
  <si>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</si>
  <si>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</si>
  <si>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</si>
  <si>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</si>
  <si>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</si>
  <si>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</si>
  <si>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</si>
  <si>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</si>
  <si>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</si>
  <si>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</si>
  <si>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</si>
  <si>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</si>
  <si>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</si>
  <si>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</si>
  <si>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</si>
  <si>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</si>
  <si>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</si>
  <si>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</si>
  <si>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</si>
  <si>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</si>
  <si>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</si>
  <si>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</si>
  <si>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</si>
  <si>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</si>
  <si>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</si>
  <si>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</si>
  <si>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</si>
  <si>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</si>
  <si>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</si>
  <si>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</si>
  <si>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</si>
  <si>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</si>
  <si>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</si>
  <si>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</si>
  <si>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</si>
  <si>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</si>
  <si>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</si>
  <si>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</si>
  <si>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</si>
  <si>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</si>
  <si>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</si>
  <si>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</si>
  <si>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</si>
  <si>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</si>
  <si>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</si>
  <si>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</si>
  <si>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</si>
  <si>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</si>
  <si>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</si>
  <si>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</si>
  <si>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</si>
  <si>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</si>
  <si>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</si>
  <si>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</si>
  <si>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</si>
  <si>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</si>
  <si>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</si>
  <si>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</si>
  <si>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</si>
  <si>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</si>
  <si>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</si>
  <si>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</si>
  <si>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</si>
  <si>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</si>
  <si>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</si>
  <si>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</si>
  <si>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</si>
  <si>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</si>
  <si>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</si>
  <si>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</si>
  <si>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</si>
  <si>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</si>
  <si>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</si>
  <si>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</si>
  <si>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</si>
  <si>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</si>
  <si>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</si>
  <si>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</si>
  <si>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</si>
  <si>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</si>
  <si>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</si>
  <si>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</si>
  <si>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</si>
  <si>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</si>
  <si>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</si>
  <si>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</si>
  <si>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</si>
  <si>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</si>
  <si>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</si>
  <si>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</si>
  <si>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</si>
  <si>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</si>
  <si>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</si>
  <si>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</si>
  <si>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</si>
  <si>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</si>
  <si>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</si>
  <si>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</si>
  <si>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</si>
  <si>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</si>
  <si>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</si>
  <si>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</si>
  <si>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</si>
  <si>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</si>
  <si>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</si>
  <si>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</si>
  <si>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</si>
  <si>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</si>
  <si>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</si>
  <si>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</si>
  <si>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</si>
  <si>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</si>
  <si>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</si>
  <si>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</si>
  <si>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</si>
  <si>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</si>
  <si>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</si>
  <si>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</si>
  <si>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</si>
  <si>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</si>
  <si>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</si>
  <si>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</si>
  <si>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</si>
  <si>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</si>
  <si>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</si>
  <si>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</si>
  <si>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</si>
  <si>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</si>
  <si>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</si>
  <si>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</si>
  <si>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</si>
  <si>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</si>
  <si>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</si>
  <si>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</si>
  <si>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</si>
  <si>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</si>
  <si>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</si>
  <si>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</si>
  <si>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</si>
  <si>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</si>
  <si>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</si>
  <si>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</si>
  <si>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</si>
  <si>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</si>
  <si>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</si>
  <si>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</si>
  <si>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</si>
  <si>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</si>
  <si>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</si>
  <si>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</si>
  <si>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</si>
  <si>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</si>
  <si>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</si>
  <si>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</si>
  <si>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</si>
  <si>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</si>
  <si>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</si>
  <si>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</si>
  <si>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</si>
  <si>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</si>
  <si>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</si>
  <si>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</si>
  <si>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</si>
  <si>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</si>
  <si>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</si>
  <si>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</si>
  <si>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</si>
  <si>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</si>
  <si>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</si>
  <si>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</si>
  <si>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</si>
  <si>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</si>
  <si>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</si>
  <si>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</si>
  <si>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</si>
  <si>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</si>
  <si>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</si>
  <si>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</si>
  <si>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</si>
  <si>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</si>
  <si>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</si>
  <si>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</si>
  <si>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</si>
  <si>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</si>
  <si>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</si>
  <si>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</si>
  <si>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</si>
  <si>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</si>
  <si>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</si>
  <si>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</si>
  <si>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</si>
  <si>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</si>
  <si>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</si>
  <si>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</si>
  <si>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</si>
  <si>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</si>
  <si>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</si>
  <si>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</si>
  <si>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</si>
  <si>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</si>
  <si>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</si>
  <si>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</si>
  <si>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</si>
  <si>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</si>
  <si>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</si>
  <si>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</si>
  <si>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</si>
  <si>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</si>
  <si>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</si>
  <si>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</si>
  <si>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</si>
  <si>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</si>
  <si>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</si>
  <si>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</si>
  <si>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</si>
  <si>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</si>
  <si>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</si>
  <si>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</si>
  <si>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</si>
  <si>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</si>
  <si>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</si>
  <si>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</si>
  <si>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</si>
  <si>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</si>
  <si>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</si>
  <si>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</si>
  <si>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</si>
  <si>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</si>
  <si>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</si>
  <si>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</si>
  <si>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</si>
  <si>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</si>
  <si>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</si>
  <si>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</si>
  <si>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</si>
  <si>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</si>
  <si>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</si>
  <si>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</si>
  <si>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</si>
  <si>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</si>
  <si>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</si>
  <si>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</si>
  <si>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</si>
  <si>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</si>
  <si>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</si>
  <si>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</si>
  <si>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</si>
  <si>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</si>
  <si>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</si>
  <si>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</si>
  <si>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</si>
  <si>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</si>
  <si>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</si>
  <si>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</si>
  <si>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</si>
  <si>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</si>
  <si>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</si>
  <si>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</si>
  <si>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</si>
  <si>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</si>
  <si>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</si>
  <si>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</si>
  <si>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</si>
  <si>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</si>
  <si>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</si>
  <si>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DEMCO</t>
  </si>
  <si>
    <t>CLECO Gross Transmission Plant by Transmission Pricing Zone</t>
  </si>
  <si>
    <t>CLECO Gross Transmission Plant - All Zones</t>
  </si>
  <si>
    <t>Entergy Louisiana - St. Martinville</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</si>
  <si>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</si>
  <si>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</si>
  <si>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</si>
  <si>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</si>
  <si>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</si>
  <si>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</si>
  <si>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</si>
  <si>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</si>
  <si>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t>
  </si>
  <si>
    <t>reduce the 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</si>
  <si>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</si>
  <si>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</si>
  <si>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</si>
  <si>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</si>
  <si>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 xml:space="preserve">ROE Determination </t>
  </si>
  <si>
    <t>ROE per EL14-12, Effective 9-28-2016</t>
  </si>
  <si>
    <t>RTO Adder per ER15-358, Effective January 6, 2015</t>
  </si>
  <si>
    <t>For the 12 months ended 12/31/16</t>
  </si>
  <si>
    <t>Entergy Louisiana - Erath</t>
  </si>
  <si>
    <t>Entergy Louisiana - Gueydan</t>
  </si>
  <si>
    <t>Entergy Mississippi-MDEA</t>
  </si>
  <si>
    <t xml:space="preserve"> This load is already included in the ELL divisor and will not be used in order to prevent the duplication of load. </t>
  </si>
  <si>
    <t xml:space="preserve"> This load is already included in the EMTO divisor and will not be used in order to prevent the duplication of load. </t>
  </si>
  <si>
    <t>Original Net Revenue Requirment</t>
  </si>
  <si>
    <t>Adjusted Net Revenue Requirement</t>
  </si>
  <si>
    <t>FERC Interest Rate</t>
  </si>
  <si>
    <t>Balance</t>
  </si>
  <si>
    <t>Interest</t>
  </si>
  <si>
    <t>New balance</t>
  </si>
  <si>
    <t xml:space="preserve">ADIT </t>
  </si>
  <si>
    <t>Account 282</t>
  </si>
  <si>
    <t>FERC Form 1</t>
  </si>
  <si>
    <t xml:space="preserve">Page 275.2.k </t>
  </si>
  <si>
    <t>Page 275.Footnote Data</t>
  </si>
  <si>
    <t>Page 2 of 5 (line 20)</t>
  </si>
  <si>
    <t>Account 190</t>
  </si>
  <si>
    <t xml:space="preserve">Page 234.8.c </t>
  </si>
  <si>
    <t>Page 2 of 5 (line 22)</t>
  </si>
  <si>
    <t xml:space="preserve">Materials &amp; Supplies Alloaction </t>
  </si>
  <si>
    <t>Amount to Allocate</t>
  </si>
  <si>
    <t>Percentage</t>
  </si>
  <si>
    <t>Amounts</t>
  </si>
  <si>
    <t>Stores Expense (Account 163)</t>
  </si>
  <si>
    <t xml:space="preserve">Transmission </t>
  </si>
  <si>
    <t>Page 227.8.c</t>
  </si>
  <si>
    <t>Distribution</t>
  </si>
  <si>
    <t>Page 227.9.c</t>
  </si>
  <si>
    <t>Subtotal</t>
  </si>
  <si>
    <t>Page 2 of 5 (line 27)</t>
  </si>
  <si>
    <t xml:space="preserve">Regulatory Commission Expense </t>
  </si>
  <si>
    <t>Page 3 of 5 (line 4)</t>
  </si>
  <si>
    <t>Included on page 3 of 5 (line 4)</t>
  </si>
  <si>
    <t>Advertising Expense Tab</t>
  </si>
  <si>
    <t>Page 3 of 5 (line 5)</t>
  </si>
  <si>
    <t xml:space="preserve">Page 350.25.h </t>
  </si>
  <si>
    <t xml:space="preserve">Page 350.30.h </t>
  </si>
  <si>
    <t>Page 3 of 5 (line 5a)</t>
  </si>
  <si>
    <t xml:space="preserve">Taxes Other Than Income Taxes </t>
  </si>
  <si>
    <t xml:space="preserve">Page 263.2.i </t>
  </si>
  <si>
    <t xml:space="preserve">Page 263.11.i </t>
  </si>
  <si>
    <t xml:space="preserve">Page 263.12.i </t>
  </si>
  <si>
    <t>Page 3 of 5 (line 13)</t>
  </si>
  <si>
    <t xml:space="preserve">Page 263.17.i </t>
  </si>
  <si>
    <t>Page 3 of 5 (line 16)</t>
  </si>
  <si>
    <t xml:space="preserve">Page 263.4.i </t>
  </si>
  <si>
    <t xml:space="preserve">Page 263.6.i </t>
  </si>
  <si>
    <t xml:space="preserve">Page 263.16.i </t>
  </si>
  <si>
    <t xml:space="preserve">Page 263.18.i </t>
  </si>
  <si>
    <t xml:space="preserve">Page 263.22.i </t>
  </si>
  <si>
    <t>Page 263.7.i</t>
  </si>
  <si>
    <t>Page 3 of 5 (line 18)</t>
  </si>
  <si>
    <t>Safety</t>
  </si>
  <si>
    <t>Community</t>
  </si>
  <si>
    <t xml:space="preserve">Conservation </t>
  </si>
  <si>
    <t>Image</t>
  </si>
  <si>
    <t>Non-Safety Expenses</t>
  </si>
  <si>
    <t>Source:  Company Records</t>
  </si>
  <si>
    <t>Excluded  Assets from Attachment O</t>
  </si>
  <si>
    <t>FF1 Page 207</t>
  </si>
  <si>
    <t>Less: Distribution Underbuilds</t>
  </si>
  <si>
    <t>Less: Generator Step ups</t>
  </si>
  <si>
    <t>Page 4 of 5 (line 3)</t>
  </si>
  <si>
    <t>Less: Distribution Assets</t>
  </si>
  <si>
    <t>Subtotal Transmission Assets</t>
  </si>
  <si>
    <t>Less: Radial Lines</t>
  </si>
  <si>
    <t>Total in Attachment O</t>
  </si>
  <si>
    <t>Excluded  from Transmission Assets</t>
  </si>
  <si>
    <t>Page 4 of 5 (line 2)</t>
  </si>
  <si>
    <t>Description of Cost Item</t>
  </si>
  <si>
    <t xml:space="preserve">Amount </t>
  </si>
  <si>
    <t>AMORTIZE MISO INTEGRATION COSTS; C5564 D EXE</t>
  </si>
  <si>
    <t>Less: ARO Amount</t>
  </si>
  <si>
    <t>Net Production Plant</t>
  </si>
  <si>
    <t xml:space="preserve">Exclude ARO Amount in FF1 Page 205 Line 15 </t>
  </si>
  <si>
    <t xml:space="preserve">Page 227.16.c Footnote </t>
  </si>
  <si>
    <t xml:space="preserve">Page 350.1.d </t>
  </si>
  <si>
    <t xml:space="preserve">Page 350.46.d </t>
  </si>
  <si>
    <t xml:space="preserve">Page 350.8.d </t>
  </si>
  <si>
    <t>Less: Acct. 908 (P.350.6.d)</t>
  </si>
  <si>
    <t xml:space="preserve">Page 350.12.d </t>
  </si>
  <si>
    <t>FF1 227.8.c</t>
  </si>
  <si>
    <t>Total  P.2of5 I.116</t>
  </si>
  <si>
    <t>Cell I 116</t>
  </si>
  <si>
    <t xml:space="preserve">Check: </t>
  </si>
  <si>
    <t>(Use Goal Seek Function in Excel)</t>
  </si>
  <si>
    <t>Gross-up of Trans. M&amp;S</t>
  </si>
  <si>
    <t>100% Trans. M&amp;S</t>
  </si>
  <si>
    <t>Allocated to Trans.</t>
  </si>
  <si>
    <t>Check to P.2of5 cell I 116</t>
  </si>
  <si>
    <t>Safety 323.169.b</t>
  </si>
  <si>
    <t>Acct 909000   FF1 323.169.b</t>
  </si>
  <si>
    <t>Check</t>
  </si>
  <si>
    <t>EX - End of Month Accrual</t>
  </si>
  <si>
    <t>Expense Reports</t>
  </si>
  <si>
    <t>Activity</t>
  </si>
  <si>
    <t>00001</t>
  </si>
  <si>
    <t>CCADMAR</t>
  </si>
  <si>
    <t>CCCONSERVADV</t>
  </si>
  <si>
    <t>CCCUST</t>
  </si>
  <si>
    <t>CCHOT</t>
  </si>
  <si>
    <t>CCSAFE</t>
  </si>
  <si>
    <t>CCWEB</t>
  </si>
  <si>
    <t>(b)</t>
  </si>
  <si>
    <t>(d)</t>
  </si>
  <si>
    <t>(f)</t>
  </si>
  <si>
    <t>(g)</t>
  </si>
  <si>
    <t>(h)</t>
  </si>
  <si>
    <t>(i)</t>
  </si>
  <si>
    <t>(j)</t>
  </si>
  <si>
    <t>January</t>
  </si>
  <si>
    <t>February</t>
  </si>
  <si>
    <t>March</t>
  </si>
  <si>
    <t>Total for Quarter</t>
  </si>
  <si>
    <t>April</t>
  </si>
  <si>
    <t xml:space="preserve">May </t>
  </si>
  <si>
    <t>June</t>
  </si>
  <si>
    <t>July</t>
  </si>
  <si>
    <t>August</t>
  </si>
  <si>
    <t>September</t>
  </si>
  <si>
    <t>October</t>
  </si>
  <si>
    <t>November</t>
  </si>
  <si>
    <t>December</t>
  </si>
  <si>
    <t>Total for Year</t>
  </si>
  <si>
    <t>Column:</t>
  </si>
  <si>
    <t xml:space="preserve">Note: In January 2010 made correction that column e should be Gross Load (which includes wholesale) versus Gross Native Load which does not.  </t>
  </si>
  <si>
    <t>Note:  On January 2011, we will start reporting Madisonville Distribution Nits in column (j) and remove it from the Entergy load being reported in column f</t>
  </si>
  <si>
    <t>Footnote:  Removed Madisonville 4017 from column (f) and now report it in column (j)</t>
  </si>
  <si>
    <t>Note: MISO requires the input of a loss factor for billing beginning June 1, 2015.  I will manually adjust the load data to match the actual load reported to MISO.</t>
  </si>
  <si>
    <t>GFA Transmission (h)</t>
  </si>
  <si>
    <t>2017 MISO Attachment O</t>
  </si>
  <si>
    <t>Functional Costs
FF1 Page 227</t>
  </si>
  <si>
    <t>FERC Form 1
Page, Line, Column</t>
  </si>
  <si>
    <t>SAFETY</t>
  </si>
  <si>
    <t>Line Description</t>
  </si>
  <si>
    <t>AP Accurals</t>
  </si>
  <si>
    <t>TOTAL</t>
  </si>
  <si>
    <t>2016 Advertising Costs</t>
  </si>
  <si>
    <t>Calendar Year
2015</t>
  </si>
  <si>
    <t>Calendar Year
2016</t>
  </si>
  <si>
    <t>Excluded MISO Integration Costs</t>
  </si>
  <si>
    <t>Excluded ARO Amounts</t>
  </si>
  <si>
    <t>Balance at 
End of Year</t>
  </si>
  <si>
    <t>Gross Production Plant</t>
  </si>
  <si>
    <t>P 205.46.g</t>
  </si>
  <si>
    <t>P 205.15.g</t>
  </si>
  <si>
    <t>Interest on Adjustments</t>
  </si>
  <si>
    <t>2016 Monthly Transmission System Peak Load</t>
  </si>
  <si>
    <t>Line
No.</t>
  </si>
  <si>
    <t>Month
(a)</t>
  </si>
  <si>
    <t>Monthly Peak
MW-Total
(b)</t>
  </si>
  <si>
    <t xml:space="preserve">Day of
Monthly
Peak
(c) </t>
  </si>
  <si>
    <t>Hour of
Monthly
Peak
(d)</t>
  </si>
  <si>
    <t>Firm Network
Service for Self
(e)</t>
  </si>
  <si>
    <t>Firm Network
Service for
Others
(f)</t>
  </si>
  <si>
    <t>Long-Term Firm
Point-to-Point
Reservations
(g)</t>
  </si>
  <si>
    <t>Other
Long-Term
Firm Service
(h)</t>
  </si>
  <si>
    <t>Short-Term Firm 
Point-to-Point Reservations
(i)</t>
  </si>
  <si>
    <t>Other Service
(j)</t>
  </si>
  <si>
    <t xml:space="preserve">(c) </t>
  </si>
  <si>
    <t xml:space="preserve">(e) </t>
  </si>
  <si>
    <t>Monthly Peak MW – Total:  This load is the value found in the “Total trans Demand” column of the MISO Transmission Demand Summary.</t>
  </si>
  <si>
    <t>Day of Monthly Peak: This date is the date listed in the “Sys Peak Date” column of the Network Service Billing Worksheet.</t>
  </si>
  <si>
    <t>Hour of Monthly Peak: This is the hour listed in the “Sys Peak Hour (HE)” column of the Network Service Billing Worksheet.</t>
  </si>
  <si>
    <t>Firm Network Service – For Self: This is the MW value found in the “Gross Load” column of the Transmission Demand Summary (hdB) (beginning June 2015, transmission losses are removed from this number manually)</t>
  </si>
  <si>
    <t>Firm Network Service – For Others: This value is the total of non- Cleco load points with NITS.  (EES, Alex and LAGN from Trans Demand Summary sheet) (+ transmission losses for billing beginning June 1 2015)</t>
  </si>
  <si>
    <t>Other Long-Term Firm Service: This value is in the “Total GrandFathered” column of the Transmission Demand Summary (+transmission losses for billing beginning June 1, 2015)</t>
  </si>
  <si>
    <t>Other Service: Madisonville distribution NITS service.  Not part of transmission calculation.</t>
  </si>
  <si>
    <r>
      <t xml:space="preserve">Yearly Report </t>
    </r>
    <r>
      <rPr>
        <sz val="12"/>
        <rFont val="Arial"/>
        <family val="2"/>
      </rPr>
      <t>(page 400)</t>
    </r>
  </si>
  <si>
    <r>
      <t xml:space="preserve">Short-Term Firm Point-to-Point Reservations: Any STF PTP reservations in place at time of peak.
      </t>
    </r>
    <r>
      <rPr>
        <sz val="9"/>
        <rFont val="Arial"/>
        <family val="2"/>
      </rPr>
      <t>OASIS query: Incr: Monthly, Daily, Weekly, Class: FIRM; Type: POINT_TO_POINT, Status: Confirmed, Time: Active, User Range = Date of Peak (for each month),ReqType=Original</t>
    </r>
  </si>
  <si>
    <r>
      <t xml:space="preserve">Long-Term Firm Point to Point Reservations:  Any LTF PTP reservations in place at time of peak.  
       </t>
    </r>
    <r>
      <rPr>
        <sz val="9"/>
        <rFont val="Arial"/>
        <family val="2"/>
      </rPr>
      <t>OASIS query: Incr: YEARLY, Class: FIRM; Type: POINT_TO_POINT, Status: Confirmed, Time: Active, User Range = Date of Peak (for each month)</t>
    </r>
  </si>
  <si>
    <t>Wholesale customers are service for self.</t>
  </si>
  <si>
    <t>Original</t>
  </si>
  <si>
    <t>Revised formula for Attachment B</t>
  </si>
  <si>
    <t>Less: GIA Assets</t>
  </si>
  <si>
    <t>Per customer call, excluded GIA assets</t>
  </si>
  <si>
    <t>Value increased.</t>
  </si>
  <si>
    <t>Radial Transmission</t>
  </si>
  <si>
    <t>Book Cost</t>
  </si>
  <si>
    <t xml:space="preserve">L124 - Grolee to South Park       *Opelousas* </t>
  </si>
  <si>
    <t>L130 - Plaisance to Veazie</t>
  </si>
  <si>
    <t>L131 - Van Ply Tap</t>
  </si>
  <si>
    <t>L133 - Clarence to Dixie Street</t>
  </si>
  <si>
    <t>L140 - Elks to Nickerson</t>
  </si>
  <si>
    <t>L143 - Bayou Sale to North Bend</t>
  </si>
  <si>
    <t xml:space="preserve">L145 - Ramos to Morgan City Tie         </t>
  </si>
  <si>
    <t>L148 - Cooper to Boise #1</t>
  </si>
  <si>
    <t>L149 - Cooper to Boise #2</t>
  </si>
  <si>
    <t>L150 - Marksville to Yellow Bayou</t>
  </si>
  <si>
    <t>L155 - LIG Tap Patterson           RETIRED</t>
  </si>
  <si>
    <t>L163 - Guidry to South Park       *Opelousas*</t>
  </si>
  <si>
    <t xml:space="preserve">L169 - Ramos to Sleca(Cajun) Tie       </t>
  </si>
  <si>
    <t>L170 - Julien Tap</t>
  </si>
  <si>
    <t>L174 - Dolet to Mine</t>
  </si>
  <si>
    <t>L180 - Nickerson to Breaux Bridge</t>
  </si>
  <si>
    <t xml:space="preserve">L185 - Darnell Tap                    </t>
  </si>
  <si>
    <t>L188 - Pineville Kraft Sub</t>
  </si>
  <si>
    <t>L189 - Breaux Bridge to GSU</t>
  </si>
  <si>
    <t>L192 - Veazie to Guidry</t>
  </si>
  <si>
    <t xml:space="preserve">L193 - West Fork to Guidry      </t>
  </si>
  <si>
    <t>L198 - Grolee to Guidry             *Opelousas*</t>
  </si>
  <si>
    <t>L206 - Oakdale to Lyles 138KV</t>
  </si>
  <si>
    <t>L208 - Clarence to St. Maurice</t>
  </si>
  <si>
    <t>L218 - Pine Prairie Energy Center Kv Line</t>
  </si>
  <si>
    <t xml:space="preserve">Adjustment </t>
  </si>
  <si>
    <t>Correction in Franchise Tax, removal of GIA Assets</t>
  </si>
  <si>
    <t>Applicable Annual</t>
  </si>
  <si>
    <t>Annual</t>
  </si>
  <si>
    <t>Monthly Rate</t>
  </si>
  <si>
    <t>Quarter</t>
  </si>
  <si>
    <t>Rate</t>
  </si>
  <si>
    <t>(Annual % / 365X# days in month)</t>
  </si>
  <si>
    <t>(Annual Rate/12</t>
  </si>
  <si>
    <t>Months)</t>
  </si>
  <si>
    <t>Second Quarter 2018</t>
  </si>
  <si>
    <t>May</t>
  </si>
  <si>
    <t xml:space="preserve">April </t>
  </si>
  <si>
    <t>First Quarter 2018</t>
  </si>
  <si>
    <t>Feb</t>
  </si>
  <si>
    <t>Jan</t>
  </si>
  <si>
    <t>Fourth Quarter 2017</t>
  </si>
  <si>
    <t>Dec</t>
  </si>
  <si>
    <t>Nov</t>
  </si>
  <si>
    <t>Oct</t>
  </si>
  <si>
    <t>Third Quarter 2017</t>
  </si>
  <si>
    <t>Sep</t>
  </si>
  <si>
    <t>Aug</t>
  </si>
  <si>
    <t>Second Quarter 2017</t>
  </si>
  <si>
    <t>Second Quarter 2019</t>
  </si>
  <si>
    <t>First Quarter 2019</t>
  </si>
  <si>
    <t>Fourth Quarter 2018</t>
  </si>
  <si>
    <t>Third Quarter 2018</t>
  </si>
  <si>
    <t>3Q2017</t>
  </si>
  <si>
    <t>4Q2017</t>
  </si>
  <si>
    <t>1Q2018</t>
  </si>
  <si>
    <t>Apr/May 2018</t>
  </si>
  <si>
    <t>Removed</t>
  </si>
  <si>
    <t>Updated</t>
  </si>
  <si>
    <t>Tab added on 7-18-2017</t>
  </si>
  <si>
    <t>Radial Lines</t>
  </si>
  <si>
    <t>Quarterly Rate</t>
  </si>
  <si>
    <t>To be included in 2018 MISO Attachment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</si>
</sst>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0.000000"/>
    <numFmt numFmtId="177" formatCode="#,###,##0.00;\(#,###,##0.00\)"/>
    <numFmt numFmtId="178" formatCode="0.00_)"/>
    <numFmt numFmtId="179" formatCode="[$-409]h:mm\ AM/PM;@"/>
    <numFmt numFmtId="180" formatCode="#,##0.000_);\(#,##0.000\)"/>
  </numFmts>
  <fonts count="6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rgb="FF0000FF"/>
      <name val="Times New Roman"/>
      <family val="1"/>
    </font>
    <font>
      <sz val="12"/>
      <color rgb="FF0070C0"/>
      <name val="Times New Roman"/>
      <family val="1"/>
    </font>
    <font>
      <sz val="11"/>
      <color theme="0"/>
      <name val="Calibri"/>
      <family val="2"/>
      <scheme val="minor"/>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1"/>
      <color theme="1"/>
      <name val="Calibri"/>
      <family val="2"/>
    </font>
    <font>
      <sz val="10"/>
      <color indexed="0"/>
      <name val="Arial"/>
      <family val="2"/>
    </font>
    <font>
      <b/>
      <sz val="18"/>
      <name val="Arial"/>
      <family val="2"/>
    </font>
    <font>
      <b/>
      <sz val="14"/>
      <name val="Book Antiqua"/>
      <family val="1"/>
    </font>
    <font>
      <i/>
      <sz val="10"/>
      <name val="Book Antiqua"/>
      <family val="1"/>
    </font>
    <font>
      <b/>
      <i/>
      <sz val="16"/>
      <name val="Helv"/>
    </font>
    <font>
      <sz val="8"/>
      <name val="Tms Rmn"/>
    </font>
    <font>
      <sz val="10"/>
      <color theme="1"/>
      <name val="Arial"/>
      <family val="2"/>
    </font>
    <font>
      <sz val="12"/>
      <color indexed="8"/>
      <name val="Arial MT"/>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family val="2"/>
    </font>
    <font>
      <sz val="12"/>
      <color theme="1"/>
      <name val="Arial"/>
      <family val="2"/>
    </font>
    <font>
      <b/>
      <sz val="12"/>
      <color theme="1"/>
      <name val="Arial"/>
      <family val="2"/>
    </font>
    <font>
      <sz val="12"/>
      <color rgb="FFFF0000"/>
      <name val="Arial"/>
      <family val="2"/>
    </font>
    <font>
      <b/>
      <sz val="12"/>
      <color rgb="FFFF0000"/>
      <name val="Arial"/>
      <family val="2"/>
    </font>
    <font>
      <b/>
      <sz val="14"/>
      <color theme="1"/>
      <name val="Calibri"/>
      <family val="2"/>
      <scheme val="minor"/>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40">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style="thin">
        <color auto="1"/>
      </top>
      <bottom style="double">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330">
    <xf numFmtId="173" fontId="0" fillId="0" borderId="0" applyProtection="0"/>
    <xf numFmtId="44" fontId="11" fillId="0" borderId="0" applyFont="0" applyFill="0" applyBorder="0" applyAlignment="0" applyProtection="0"/>
    <xf numFmtId="173" fontId="15" fillId="0" borderId="0" applyProtection="0"/>
    <xf numFmtId="43" fontId="15" fillId="0" borderId="0" applyFont="0" applyFill="0" applyBorder="0" applyAlignment="0" applyProtection="0"/>
    <xf numFmtId="9" fontId="15" fillId="0" borderId="0" applyFont="0" applyFill="0" applyBorder="0" applyAlignment="0" applyProtection="0"/>
    <xf numFmtId="0" fontId="18" fillId="0" borderId="0"/>
    <xf numFmtId="0" fontId="11" fillId="0" borderId="0"/>
    <xf numFmtId="0" fontId="11" fillId="0" borderId="0"/>
    <xf numFmtId="0" fontId="5" fillId="0" borderId="0"/>
    <xf numFmtId="0" fontId="5" fillId="0" borderId="0"/>
    <xf numFmtId="43" fontId="5" fillId="0" borderId="0" applyFont="0" applyFill="0" applyBorder="0" applyAlignment="0" applyProtection="0"/>
    <xf numFmtId="0" fontId="25" fillId="6" borderId="0" applyNumberFormat="0" applyBorder="0" applyAlignment="0" applyProtection="0"/>
    <xf numFmtId="173" fontId="26" fillId="0" borderId="0" applyFill="0"/>
    <xf numFmtId="173" fontId="26" fillId="0" borderId="0">
      <alignment horizontal="center"/>
    </xf>
    <xf numFmtId="0" fontId="26" fillId="0" borderId="0" applyFill="0">
      <alignment horizontal="center"/>
    </xf>
    <xf numFmtId="173" fontId="27" fillId="0" borderId="13" applyFill="0"/>
    <xf numFmtId="0" fontId="11" fillId="0" borderId="0" applyFont="0" applyAlignment="0"/>
    <xf numFmtId="0" fontId="28" fillId="0" borderId="0" applyFill="0">
      <alignment vertical="top"/>
    </xf>
    <xf numFmtId="0" fontId="27" fillId="0" borderId="0" applyFill="0">
      <alignment horizontal="left" vertical="top"/>
    </xf>
    <xf numFmtId="173" fontId="29" fillId="0" borderId="7" applyFill="0"/>
    <xf numFmtId="0" fontId="11" fillId="0" borderId="0" applyNumberFormat="0" applyFont="0" applyAlignment="0"/>
    <xf numFmtId="0" fontId="28" fillId="0" borderId="0" applyFill="0">
      <alignment wrapText="1"/>
    </xf>
    <xf numFmtId="0" fontId="27" fillId="0" borderId="0" applyFill="0">
      <alignment horizontal="left" vertical="top" wrapText="1"/>
    </xf>
    <xf numFmtId="173" fontId="30" fillId="0" borderId="0" applyFill="0"/>
    <xf numFmtId="0" fontId="31" fillId="0" borderId="0" applyNumberFormat="0" applyFont="0" applyAlignment="0">
      <alignment horizontal="center"/>
    </xf>
    <xf numFmtId="0" fontId="32" fillId="0" borderId="0" applyFill="0">
      <alignment vertical="top" wrapText="1"/>
    </xf>
    <xf numFmtId="0" fontId="29" fillId="0" borderId="0" applyFill="0">
      <alignment horizontal="left" vertical="top" wrapText="1"/>
    </xf>
    <xf numFmtId="173" fontId="11" fillId="0" borderId="0" applyFill="0"/>
    <xf numFmtId="0" fontId="31" fillId="0" borderId="0" applyNumberFormat="0" applyFont="0" applyAlignment="0">
      <alignment horizontal="center"/>
    </xf>
    <xf numFmtId="0" fontId="33" fillId="0" borderId="0" applyFill="0">
      <alignment vertical="center" wrapText="1"/>
    </xf>
    <xf numFmtId="0" fontId="19" fillId="0" borderId="0">
      <alignment horizontal="left" vertical="center" wrapText="1"/>
    </xf>
    <xf numFmtId="173" fontId="34" fillId="0" borderId="0" applyFill="0"/>
    <xf numFmtId="0" fontId="31" fillId="0" borderId="0" applyNumberFormat="0" applyFont="0" applyAlignment="0">
      <alignment horizontal="center"/>
    </xf>
    <xf numFmtId="0" fontId="35" fillId="0" borderId="0" applyFill="0">
      <alignment horizontal="center" vertical="center" wrapText="1"/>
    </xf>
    <xf numFmtId="0" fontId="11" fillId="0" borderId="0" applyFill="0">
      <alignment horizontal="center" vertical="center" wrapText="1"/>
    </xf>
    <xf numFmtId="0" fontId="11" fillId="0" borderId="0" applyFill="0">
      <alignment horizontal="center" vertical="center" wrapText="1"/>
    </xf>
    <xf numFmtId="173" fontId="36" fillId="0" borderId="0" applyFill="0"/>
    <xf numFmtId="0" fontId="31"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3" fontId="39" fillId="0" borderId="0" applyFill="0"/>
    <xf numFmtId="0" fontId="31" fillId="0" borderId="0" applyNumberFormat="0" applyFont="0" applyAlignment="0">
      <alignment horizontal="center"/>
    </xf>
    <xf numFmtId="0" fontId="40" fillId="0" borderId="0">
      <alignment horizontal="center" wrapText="1"/>
    </xf>
    <xf numFmtId="0" fontId="36" fillId="0" borderId="0" applyFill="0">
      <alignment horizontal="center" wrapText="1"/>
    </xf>
    <xf numFmtId="39" fontId="1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1" fontId="11" fillId="0" borderId="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0" fontId="42"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11" fillId="0" borderId="0" applyFont="0" applyFill="0" applyBorder="0" applyAlignment="0" applyProtection="0"/>
    <xf numFmtId="7" fontId="11" fillId="0" borderId="0" applyFont="0" applyFill="0" applyBorder="0" applyAlignment="0" applyProtection="0"/>
    <xf numFmtId="8" fontId="42"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41"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177" fontId="44" fillId="0" borderId="0"/>
    <xf numFmtId="38" fontId="26" fillId="7" borderId="0" applyNumberFormat="0" applyBorder="0" applyAlignment="0" applyProtection="0"/>
    <xf numFmtId="0" fontId="4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6" fillId="0" borderId="1"/>
    <xf numFmtId="0" fontId="47" fillId="0" borderId="0"/>
    <xf numFmtId="10" fontId="26" fillId="8" borderId="4" applyNumberFormat="0" applyBorder="0" applyAlignment="0" applyProtection="0"/>
    <xf numFmtId="178" fontId="48" fillId="0" borderId="0"/>
    <xf numFmtId="0" fontId="43" fillId="0" borderId="0"/>
    <xf numFmtId="0" fontId="5" fillId="0" borderId="0"/>
    <xf numFmtId="0" fontId="5" fillId="0" borderId="0"/>
    <xf numFmtId="0" fontId="4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5" fillId="0" borderId="0"/>
    <xf numFmtId="0" fontId="5" fillId="0" borderId="0"/>
    <xf numFmtId="0" fontId="42" fillId="0" borderId="0"/>
    <xf numFmtId="173" fontId="15" fillId="0" borderId="0" applyProtection="0"/>
    <xf numFmtId="0" fontId="11" fillId="0" borderId="0"/>
    <xf numFmtId="0" fontId="11" fillId="0" borderId="0"/>
    <xf numFmtId="0" fontId="11" fillId="0" borderId="0"/>
    <xf numFmtId="0" fontId="5" fillId="0" borderId="0"/>
    <xf numFmtId="173" fontId="15" fillId="0" borderId="0" applyProtection="0"/>
    <xf numFmtId="0" fontId="5" fillId="0" borderId="0"/>
    <xf numFmtId="0" fontId="5" fillId="0" borderId="0"/>
    <xf numFmtId="0" fontId="11" fillId="0" borderId="0"/>
    <xf numFmtId="0" fontId="5" fillId="0" borderId="0"/>
    <xf numFmtId="0" fontId="5" fillId="0" borderId="0"/>
    <xf numFmtId="0" fontId="11" fillId="0" borderId="0"/>
    <xf numFmtId="0" fontId="41" fillId="0" borderId="0"/>
    <xf numFmtId="0" fontId="41" fillId="0" borderId="0"/>
    <xf numFmtId="0" fontId="5" fillId="0" borderId="0"/>
    <xf numFmtId="0" fontId="11" fillId="0" borderId="0"/>
    <xf numFmtId="173" fontId="15" fillId="0" borderId="0" applyProtection="0"/>
    <xf numFmtId="0" fontId="11" fillId="0" borderId="0"/>
    <xf numFmtId="0" fontId="49" fillId="0" borderId="0"/>
    <xf numFmtId="0" fontId="11"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1" fillId="0" borderId="0"/>
    <xf numFmtId="0" fontId="15" fillId="0" borderId="0"/>
    <xf numFmtId="0" fontId="5" fillId="0" borderId="0"/>
    <xf numFmtId="0" fontId="15" fillId="0" borderId="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11" fillId="0" borderId="0">
      <alignment horizontal="left" vertical="top"/>
    </xf>
    <xf numFmtId="0" fontId="52" fillId="0" borderId="1">
      <alignment horizontal="center"/>
    </xf>
    <xf numFmtId="3" fontId="42" fillId="0" borderId="0" applyFont="0" applyFill="0" applyBorder="0" applyAlignment="0" applyProtection="0"/>
    <xf numFmtId="0" fontId="42" fillId="9" borderId="0" applyNumberFormat="0" applyFont="0" applyBorder="0" applyAlignment="0" applyProtection="0"/>
    <xf numFmtId="3" fontId="11" fillId="0" borderId="0">
      <alignment horizontal="right" vertical="top"/>
    </xf>
    <xf numFmtId="41" fontId="19" fillId="7" borderId="14" applyFill="0"/>
    <xf numFmtId="0" fontId="53" fillId="0" borderId="0">
      <alignment horizontal="left" indent="7"/>
    </xf>
    <xf numFmtId="41" fontId="19" fillId="0" borderId="14" applyFill="0">
      <alignment horizontal="left" indent="2"/>
    </xf>
    <xf numFmtId="173" fontId="54" fillId="0" borderId="3" applyFill="0">
      <alignment horizontal="right"/>
    </xf>
    <xf numFmtId="0" fontId="20" fillId="0" borderId="4" applyNumberFormat="0" applyFont="0" applyBorder="0">
      <alignment horizontal="right"/>
    </xf>
    <xf numFmtId="0" fontId="55" fillId="0" borderId="0" applyFill="0"/>
    <xf numFmtId="0" fontId="29" fillId="0" borderId="0" applyFill="0"/>
    <xf numFmtId="4" fontId="54" fillId="0" borderId="3" applyFill="0"/>
    <xf numFmtId="0" fontId="11" fillId="0" borderId="0" applyNumberFormat="0" applyFont="0" applyBorder="0" applyAlignment="0"/>
    <xf numFmtId="0" fontId="32" fillId="0" borderId="0" applyFill="0">
      <alignment horizontal="left" indent="1"/>
    </xf>
    <xf numFmtId="0" fontId="56" fillId="0" borderId="0" applyFill="0">
      <alignment horizontal="left" indent="1"/>
    </xf>
    <xf numFmtId="4" fontId="34" fillId="0" borderId="0" applyFill="0"/>
    <xf numFmtId="0" fontId="11" fillId="0" borderId="0" applyNumberFormat="0" applyFont="0" applyFill="0" applyBorder="0" applyAlignment="0"/>
    <xf numFmtId="0" fontId="32" fillId="0" borderId="0" applyFill="0">
      <alignment horizontal="left" indent="2"/>
    </xf>
    <xf numFmtId="0" fontId="29" fillId="0" borderId="0" applyFill="0">
      <alignment horizontal="left" indent="2"/>
    </xf>
    <xf numFmtId="4" fontId="34" fillId="0" borderId="0" applyFill="0"/>
    <xf numFmtId="0" fontId="11" fillId="0" borderId="0" applyNumberFormat="0" applyFont="0" applyBorder="0" applyAlignment="0"/>
    <xf numFmtId="0" fontId="57" fillId="0" borderId="0">
      <alignment horizontal="left" indent="3"/>
    </xf>
    <xf numFmtId="0" fontId="58" fillId="0" borderId="0" applyFill="0">
      <alignment horizontal="left" indent="3"/>
    </xf>
    <xf numFmtId="4" fontId="34" fillId="0" borderId="0" applyFill="0"/>
    <xf numFmtId="0" fontId="11" fillId="0" borderId="0" applyNumberFormat="0" applyFont="0" applyBorder="0" applyAlignment="0"/>
    <xf numFmtId="0" fontId="35" fillId="0" borderId="0">
      <alignment horizontal="left" indent="4"/>
    </xf>
    <xf numFmtId="0" fontId="11" fillId="0" borderId="0" applyFill="0">
      <alignment horizontal="left" indent="4"/>
    </xf>
    <xf numFmtId="0" fontId="11" fillId="0" borderId="0" applyFill="0">
      <alignment horizontal="left" indent="4"/>
    </xf>
    <xf numFmtId="4" fontId="36" fillId="0" borderId="0" applyFill="0"/>
    <xf numFmtId="0" fontId="11"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1"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18" fillId="0" borderId="0" applyNumberFormat="0" applyBorder="0" applyAlignment="0"/>
    <xf numFmtId="0" fontId="59" fillId="0" borderId="0" applyNumberFormat="0" applyBorder="0" applyAlignment="0"/>
    <xf numFmtId="0" fontId="60" fillId="0" borderId="0" applyNumberFormat="0" applyBorder="0" applyAlignment="0"/>
    <xf numFmtId="0" fontId="18" fillId="0" borderId="0" applyNumberFormat="0" applyBorder="0" applyAlignment="0"/>
    <xf numFmtId="0" fontId="11" fillId="0" borderId="0" applyFont="0" applyFill="0" applyBorder="0" applyAlignment="0" applyProtection="0"/>
    <xf numFmtId="0" fontId="4" fillId="0" borderId="0"/>
    <xf numFmtId="44" fontId="4" fillId="0" borderId="0" applyFont="0" applyFill="0" applyBorder="0" applyAlignment="0" applyProtection="0"/>
    <xf numFmtId="0" fontId="61" fillId="0" borderId="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3" fillId="0" borderId="0"/>
    <xf numFmtId="0" fontId="2" fillId="0" borderId="0"/>
    <xf numFmtId="0" fontId="2" fillId="0" borderId="0"/>
  </cellStyleXfs>
  <cellXfs count="368">
    <xf numFmtId="173" fontId="0" fillId="0" borderId="0" xfId="0" applyAlignment="1"/>
    <xf numFmtId="172" fontId="6" fillId="2" borderId="0" xfId="0" applyNumberFormat="1" applyFont="1" applyFill="1" applyProtection="1">
      <protection locked="0"/>
    </xf>
    <xf numFmtId="173" fontId="6" fillId="0" borderId="0" xfId="0" applyFont="1" applyFill="1" applyAlignment="1" applyProtection="1"/>
    <xf numFmtId="38" fontId="6" fillId="2" borderId="0" xfId="0" applyNumberFormat="1" applyFont="1" applyFill="1" applyBorder="1" applyProtection="1">
      <protection locked="0"/>
    </xf>
    <xf numFmtId="38" fontId="6" fillId="0" borderId="0" xfId="0" applyNumberFormat="1" applyFont="1" applyAlignment="1" applyProtection="1"/>
    <xf numFmtId="38" fontId="6" fillId="2" borderId="1" xfId="0" applyNumberFormat="1" applyFont="1" applyFill="1" applyBorder="1" applyProtection="1">
      <protection locked="0"/>
    </xf>
    <xf numFmtId="38" fontId="6" fillId="0" borderId="0" xfId="0" applyNumberFormat="1" applyFont="1" applyFill="1" applyBorder="1" applyProtection="1"/>
    <xf numFmtId="170" fontId="6" fillId="0" borderId="0" xfId="0" applyNumberFormat="1" applyFont="1" applyFill="1" applyBorder="1" applyProtection="1"/>
    <xf numFmtId="1" fontId="6" fillId="0" borderId="0" xfId="0" applyNumberFormat="1" applyFont="1" applyFill="1" applyProtection="1"/>
    <xf numFmtId="1" fontId="6" fillId="0" borderId="0" xfId="0" applyNumberFormat="1" applyFont="1" applyFill="1" applyAlignment="1" applyProtection="1"/>
    <xf numFmtId="170" fontId="6" fillId="2" borderId="0" xfId="0" applyNumberFormat="1" applyFont="1" applyFill="1" applyBorder="1" applyAlignment="1" applyProtection="1">
      <protection locked="0"/>
    </xf>
    <xf numFmtId="3" fontId="6" fillId="0" borderId="0" xfId="0" applyNumberFormat="1" applyFont="1" applyAlignment="1" applyProtection="1"/>
    <xf numFmtId="170" fontId="6" fillId="0" borderId="0" xfId="0" applyNumberFormat="1" applyFont="1" applyFill="1" applyBorder="1" applyAlignment="1" applyProtection="1"/>
    <xf numFmtId="3" fontId="6" fillId="0" borderId="0" xfId="0" applyNumberFormat="1" applyFont="1" applyFill="1" applyAlignment="1" applyProtection="1"/>
    <xf numFmtId="0" fontId="6" fillId="2" borderId="0" xfId="0" applyNumberFormat="1" applyFont="1" applyFill="1" applyAlignment="1" applyProtection="1">
      <alignment horizontal="right"/>
      <protection locked="0"/>
    </xf>
    <xf numFmtId="10" fontId="6" fillId="2" borderId="0" xfId="0" applyNumberFormat="1" applyFont="1" applyFill="1" applyAlignment="1" applyProtection="1">
      <alignment vertical="top" wrapText="1"/>
      <protection locked="0"/>
    </xf>
    <xf numFmtId="170" fontId="6" fillId="2" borderId="1" xfId="0" applyNumberFormat="1" applyFont="1" applyFill="1" applyBorder="1" applyAlignment="1" applyProtection="1">
      <protection locked="0"/>
    </xf>
    <xf numFmtId="173" fontId="6" fillId="0" borderId="0" xfId="0" applyFont="1" applyAlignment="1" applyProtection="1"/>
    <xf numFmtId="0" fontId="6" fillId="0" borderId="0" xfId="0" applyNumberFormat="1" applyFont="1" applyAlignment="1" applyProtection="1"/>
    <xf numFmtId="0" fontId="6" fillId="0" borderId="0" xfId="0" applyNumberFormat="1" applyFont="1" applyAlignment="1" applyProtection="1">
      <alignment horizontal="left"/>
    </xf>
    <xf numFmtId="0" fontId="6" fillId="0" borderId="0" xfId="0" applyNumberFormat="1" applyFont="1" applyProtection="1"/>
    <xf numFmtId="0" fontId="6" fillId="0" borderId="0" xfId="0" applyNumberFormat="1" applyFont="1" applyAlignment="1" applyProtection="1">
      <alignment horizontal="right"/>
    </xf>
    <xf numFmtId="0" fontId="6" fillId="0" borderId="0" xfId="0" applyNumberFormat="1" applyFont="1" applyFill="1" applyAlignment="1" applyProtection="1">
      <alignment horizontal="right"/>
    </xf>
    <xf numFmtId="0" fontId="6" fillId="0" borderId="0" xfId="0" applyNumberFormat="1" applyFont="1" applyFill="1" applyProtection="1"/>
    <xf numFmtId="0" fontId="6" fillId="2" borderId="0" xfId="0" applyNumberFormat="1" applyFont="1" applyFill="1" applyProtection="1"/>
    <xf numFmtId="173" fontId="6" fillId="2" borderId="0" xfId="0" applyFont="1" applyFill="1" applyAlignment="1" applyProtection="1"/>
    <xf numFmtId="0" fontId="6" fillId="0" borderId="0" xfId="0" applyNumberFormat="1" applyFont="1" applyAlignment="1" applyProtection="1">
      <alignment horizontal="center"/>
    </xf>
    <xf numFmtId="49" fontId="6" fillId="2" borderId="0" xfId="0" applyNumberFormat="1" applyFont="1" applyFill="1" applyProtection="1"/>
    <xf numFmtId="173" fontId="23" fillId="0" borderId="0" xfId="0" applyFont="1" applyBorder="1" applyAlignment="1" applyProtection="1">
      <alignment vertical="center" wrapText="1"/>
    </xf>
    <xf numFmtId="49" fontId="6" fillId="0" borderId="0" xfId="0" applyNumberFormat="1" applyFont="1" applyProtection="1"/>
    <xf numFmtId="0" fontId="6" fillId="0" borderId="1" xfId="0" applyNumberFormat="1" applyFont="1" applyBorder="1" applyAlignment="1" applyProtection="1">
      <alignment horizontal="center"/>
    </xf>
    <xf numFmtId="3" fontId="6" fillId="0" borderId="0" xfId="0" applyNumberFormat="1" applyFont="1" applyProtection="1"/>
    <xf numFmtId="42" fontId="6" fillId="0" borderId="0" xfId="0" applyNumberFormat="1" applyFont="1" applyFill="1" applyProtection="1"/>
    <xf numFmtId="0" fontId="6" fillId="0" borderId="1" xfId="0" applyNumberFormat="1" applyFont="1" applyBorder="1" applyAlignment="1" applyProtection="1">
      <alignment horizontal="centerContinuous"/>
    </xf>
    <xf numFmtId="166" fontId="6" fillId="0" borderId="0" xfId="0" applyNumberFormat="1" applyFont="1" applyAlignment="1" applyProtection="1"/>
    <xf numFmtId="3" fontId="6" fillId="0" borderId="0" xfId="0" applyNumberFormat="1" applyFont="1" applyFill="1" applyBorder="1" applyProtection="1"/>
    <xf numFmtId="3" fontId="6" fillId="0" borderId="1" xfId="0" applyNumberFormat="1" applyFont="1" applyBorder="1" applyAlignment="1" applyProtection="1"/>
    <xf numFmtId="3" fontId="6" fillId="0" borderId="0" xfId="0" applyNumberFormat="1" applyFont="1" applyAlignment="1" applyProtection="1">
      <alignment horizontal="fill"/>
    </xf>
    <xf numFmtId="173" fontId="6" fillId="0" borderId="0" xfId="0" applyFont="1" applyBorder="1" applyAlignment="1" applyProtection="1"/>
    <xf numFmtId="0" fontId="19" fillId="0" borderId="0" xfId="5" applyFont="1" applyBorder="1" applyAlignment="1" applyProtection="1">
      <alignment horizontal="center" wrapText="1"/>
    </xf>
    <xf numFmtId="170" fontId="19" fillId="0" borderId="0" xfId="5" applyNumberFormat="1" applyFont="1" applyBorder="1" applyAlignment="1" applyProtection="1">
      <alignment horizontal="center" wrapText="1"/>
    </xf>
    <xf numFmtId="3" fontId="6" fillId="0" borderId="5" xfId="0" applyNumberFormat="1" applyFont="1" applyBorder="1" applyAlignment="1" applyProtection="1"/>
    <xf numFmtId="42" fontId="6" fillId="0" borderId="2" xfId="0" applyNumberFormat="1" applyFont="1" applyBorder="1" applyAlignment="1" applyProtection="1">
      <alignment horizontal="right"/>
    </xf>
    <xf numFmtId="168" fontId="6" fillId="0" borderId="0" xfId="0" applyNumberFormat="1" applyFont="1" applyProtection="1"/>
    <xf numFmtId="168" fontId="6" fillId="0" borderId="0" xfId="0" applyNumberFormat="1" applyFont="1" applyAlignment="1" applyProtection="1">
      <alignment horizontal="center"/>
    </xf>
    <xf numFmtId="173" fontId="6" fillId="0" borderId="0" xfId="0" applyFont="1" applyAlignment="1" applyProtection="1">
      <alignment horizontal="center"/>
    </xf>
    <xf numFmtId="172" fontId="6" fillId="0" borderId="0" xfId="0" applyNumberFormat="1" applyFont="1" applyAlignment="1" applyProtection="1"/>
    <xf numFmtId="0" fontId="6" fillId="0" borderId="0" xfId="0" applyNumberFormat="1" applyFont="1" applyFill="1" applyAlignment="1" applyProtection="1">
      <alignment horizontal="left"/>
    </xf>
    <xf numFmtId="172" fontId="6" fillId="0" borderId="0" xfId="0" applyNumberFormat="1" applyFont="1" applyFill="1" applyAlignment="1" applyProtection="1"/>
    <xf numFmtId="172" fontId="6" fillId="0" borderId="0" xfId="0" applyNumberFormat="1" applyFont="1" applyProtection="1"/>
    <xf numFmtId="0" fontId="6" fillId="0" borderId="0" xfId="0" applyNumberFormat="1" applyFont="1" applyFill="1" applyAlignment="1" applyProtection="1">
      <alignment horizontal="center"/>
    </xf>
    <xf numFmtId="0" fontId="6" fillId="0" borderId="0" xfId="0" applyNumberFormat="1" applyFont="1" applyFill="1" applyAlignment="1" applyProtection="1"/>
    <xf numFmtId="172" fontId="6" fillId="0" borderId="0" xfId="0" applyNumberFormat="1" applyFont="1" applyFill="1" applyProtection="1"/>
    <xf numFmtId="49" fontId="6" fillId="0" borderId="0" xfId="0" applyNumberFormat="1" applyFont="1" applyAlignment="1" applyProtection="1">
      <alignment horizontal="left"/>
    </xf>
    <xf numFmtId="49" fontId="6" fillId="0" borderId="0" xfId="0" applyNumberFormat="1" applyFont="1" applyAlignment="1" applyProtection="1">
      <alignment horizontal="center"/>
    </xf>
    <xf numFmtId="3" fontId="7" fillId="0" borderId="0" xfId="0" applyNumberFormat="1" applyFont="1" applyAlignment="1" applyProtection="1">
      <alignment horizontal="center"/>
    </xf>
    <xf numFmtId="0" fontId="7" fillId="0" borderId="0" xfId="0" applyNumberFormat="1" applyFont="1" applyAlignment="1" applyProtection="1">
      <alignment horizontal="center"/>
    </xf>
    <xf numFmtId="173" fontId="7" fillId="0" borderId="0" xfId="0" applyFont="1" applyAlignment="1" applyProtection="1">
      <alignment horizontal="center"/>
    </xf>
    <xf numFmtId="3" fontId="7" fillId="0" borderId="0" xfId="0" applyNumberFormat="1" applyFont="1" applyAlignment="1" applyProtection="1"/>
    <xf numFmtId="0" fontId="7" fillId="0" borderId="0" xfId="0" applyNumberFormat="1" applyFont="1" applyAlignment="1" applyProtection="1"/>
    <xf numFmtId="165" fontId="6" fillId="0" borderId="0" xfId="0" applyNumberFormat="1" applyFont="1" applyAlignment="1" applyProtection="1"/>
    <xf numFmtId="164" fontId="6" fillId="0" borderId="0" xfId="0" applyNumberFormat="1" applyFont="1" applyAlignment="1" applyProtection="1">
      <alignment horizontal="center"/>
    </xf>
    <xf numFmtId="164" fontId="6" fillId="0" borderId="0" xfId="0" applyNumberFormat="1" applyFont="1" applyFill="1" applyAlignment="1" applyProtection="1">
      <alignment horizontal="center"/>
    </xf>
    <xf numFmtId="165" fontId="6" fillId="0" borderId="0" xfId="0" applyNumberFormat="1" applyFont="1" applyFill="1" applyAlignment="1" applyProtection="1">
      <alignment horizontal="right"/>
    </xf>
    <xf numFmtId="173" fontId="16" fillId="0" borderId="0" xfId="0" applyFont="1" applyAlignment="1" applyProtection="1"/>
    <xf numFmtId="173" fontId="6" fillId="0" borderId="1" xfId="0" applyFont="1" applyBorder="1" applyAlignment="1" applyProtection="1"/>
    <xf numFmtId="3" fontId="6" fillId="0" borderId="2" xfId="0" applyNumberFormat="1" applyFont="1" applyBorder="1" applyAlignment="1" applyProtection="1"/>
    <xf numFmtId="3" fontId="6" fillId="0" borderId="0" xfId="0" applyNumberFormat="1" applyFont="1" applyBorder="1" applyAlignment="1" applyProtection="1"/>
    <xf numFmtId="0" fontId="7" fillId="0" borderId="0" xfId="0" applyNumberFormat="1" applyFont="1" applyFill="1" applyAlignment="1" applyProtection="1">
      <alignment horizontal="center"/>
    </xf>
    <xf numFmtId="3" fontId="9" fillId="0" borderId="0" xfId="0" applyNumberFormat="1" applyFont="1" applyAlignment="1" applyProtection="1"/>
    <xf numFmtId="171" fontId="6" fillId="0" borderId="0" xfId="0" applyNumberFormat="1" applyFont="1" applyFill="1" applyAlignment="1" applyProtection="1">
      <alignment horizontal="left"/>
    </xf>
    <xf numFmtId="165" fontId="6" fillId="0" borderId="0" xfId="0" applyNumberFormat="1" applyFont="1" applyFill="1" applyAlignment="1" applyProtection="1"/>
    <xf numFmtId="166" fontId="6" fillId="0" borderId="0" xfId="0" applyNumberFormat="1" applyFont="1" applyFill="1" applyAlignment="1" applyProtection="1">
      <alignment horizontal="right"/>
    </xf>
    <xf numFmtId="166" fontId="6" fillId="0" borderId="0" xfId="0" applyNumberFormat="1" applyFont="1" applyAlignment="1" applyProtection="1">
      <alignment horizontal="center"/>
    </xf>
    <xf numFmtId="164" fontId="6" fillId="0" borderId="0" xfId="0" applyNumberFormat="1" applyFont="1" applyAlignment="1" applyProtection="1">
      <alignment horizontal="left"/>
    </xf>
    <xf numFmtId="10" fontId="6" fillId="0" borderId="0" xfId="0" applyNumberFormat="1" applyFont="1" applyFill="1" applyAlignment="1" applyProtection="1">
      <alignment horizontal="right"/>
    </xf>
    <xf numFmtId="169" fontId="6" fillId="0" borderId="0" xfId="0" applyNumberFormat="1" applyFont="1" applyFill="1" applyAlignment="1" applyProtection="1">
      <alignment horizontal="right"/>
    </xf>
    <xf numFmtId="10" fontId="6" fillId="0" borderId="0" xfId="0" applyNumberFormat="1" applyFont="1" applyAlignment="1" applyProtection="1">
      <alignment horizontal="left"/>
    </xf>
    <xf numFmtId="3" fontId="6" fillId="0" borderId="0" xfId="0" applyNumberFormat="1" applyFont="1" applyFill="1" applyAlignment="1" applyProtection="1">
      <alignment horizontal="left"/>
    </xf>
    <xf numFmtId="3" fontId="6" fillId="0" borderId="0" xfId="0" applyNumberFormat="1" applyFont="1" applyFill="1" applyAlignment="1" applyProtection="1">
      <alignment horizontal="right"/>
    </xf>
    <xf numFmtId="167" fontId="6" fillId="0" borderId="0" xfId="0" applyNumberFormat="1" applyFont="1" applyAlignment="1" applyProtection="1"/>
    <xf numFmtId="3" fontId="6" fillId="0" borderId="0" xfId="0" applyNumberFormat="1" applyFont="1" applyFill="1" applyBorder="1" applyAlignment="1" applyProtection="1"/>
    <xf numFmtId="3" fontId="6" fillId="0" borderId="2" xfId="0" applyNumberFormat="1" applyFont="1" applyFill="1" applyBorder="1" applyAlignment="1" applyProtection="1"/>
    <xf numFmtId="173" fontId="6" fillId="0" borderId="0" xfId="0" applyFont="1" applyFill="1" applyBorder="1" applyAlignment="1" applyProtection="1"/>
    <xf numFmtId="0" fontId="6" fillId="0" borderId="1" xfId="0" applyNumberFormat="1" applyFont="1" applyFill="1" applyBorder="1" applyProtection="1"/>
    <xf numFmtId="3" fontId="6" fillId="0" borderId="0" xfId="0" applyNumberFormat="1" applyFont="1" applyFill="1" applyAlignment="1" applyProtection="1">
      <alignment horizontal="center"/>
    </xf>
    <xf numFmtId="49" fontId="6" fillId="0" borderId="0" xfId="0" applyNumberFormat="1" applyFont="1" applyFill="1" applyProtection="1"/>
    <xf numFmtId="49" fontId="6" fillId="0" borderId="0" xfId="0" applyNumberFormat="1" applyFont="1" applyFill="1" applyBorder="1" applyAlignment="1" applyProtection="1"/>
    <xf numFmtId="49" fontId="6" fillId="0" borderId="0" xfId="0" applyNumberFormat="1" applyFont="1" applyFill="1" applyAlignment="1" applyProtection="1"/>
    <xf numFmtId="49" fontId="6" fillId="0" borderId="0" xfId="0" applyNumberFormat="1" applyFont="1" applyFill="1" applyAlignment="1" applyProtection="1">
      <alignment horizontal="center"/>
    </xf>
    <xf numFmtId="173" fontId="10" fillId="0" borderId="0" xfId="0" applyFont="1" applyFill="1" applyBorder="1" applyAlignment="1" applyProtection="1"/>
    <xf numFmtId="0" fontId="6" fillId="0" borderId="0" xfId="0" applyNumberFormat="1" applyFont="1" applyFill="1" applyBorder="1" applyProtection="1"/>
    <xf numFmtId="0" fontId="0" fillId="0" borderId="0" xfId="0" applyNumberFormat="1" applyFont="1" applyFill="1" applyBorder="1" applyAlignment="1" applyProtection="1"/>
    <xf numFmtId="173" fontId="0" fillId="0" borderId="0" xfId="0" applyFont="1" applyFill="1" applyBorder="1" applyAlignment="1" applyProtection="1"/>
    <xf numFmtId="3" fontId="0" fillId="0" borderId="0" xfId="0" applyNumberFormat="1" applyFont="1" applyFill="1" applyBorder="1" applyAlignment="1" applyProtection="1"/>
    <xf numFmtId="0" fontId="0" fillId="0" borderId="0" xfId="0" applyNumberFormat="1" applyFill="1" applyBorder="1" applyAlignment="1" applyProtection="1">
      <alignment horizontal="left"/>
    </xf>
    <xf numFmtId="0" fontId="0" fillId="0" borderId="0" xfId="0" applyNumberFormat="1" applyFont="1" applyFill="1" applyBorder="1" applyAlignment="1" applyProtection="1">
      <alignment horizontal="center"/>
    </xf>
    <xf numFmtId="173" fontId="0" fillId="0" borderId="0" xfId="0" applyFill="1" applyBorder="1" applyAlignment="1" applyProtection="1"/>
    <xf numFmtId="174" fontId="0" fillId="0" borderId="0" xfId="1" applyNumberFormat="1" applyFont="1" applyFill="1" applyBorder="1" applyAlignment="1" applyProtection="1"/>
    <xf numFmtId="3" fontId="12" fillId="0" borderId="0" xfId="0" applyNumberFormat="1" applyFont="1" applyFill="1" applyBorder="1" applyAlignment="1" applyProtection="1"/>
    <xf numFmtId="170" fontId="0" fillId="0" borderId="0" xfId="0" applyNumberFormat="1" applyFill="1" applyBorder="1" applyAlignment="1" applyProtection="1"/>
    <xf numFmtId="173" fontId="12" fillId="0" borderId="0" xfId="0" applyFont="1" applyFill="1" applyBorder="1" applyAlignment="1" applyProtection="1"/>
    <xf numFmtId="173" fontId="13" fillId="0" borderId="0" xfId="0" applyFont="1" applyFill="1" applyBorder="1" applyAlignment="1" applyProtection="1"/>
    <xf numFmtId="165" fontId="6" fillId="0" borderId="0" xfId="0" applyNumberFormat="1" applyFont="1" applyFill="1" applyProtection="1"/>
    <xf numFmtId="166" fontId="6" fillId="0" borderId="0" xfId="0" applyNumberFormat="1" applyFont="1" applyFill="1" applyProtection="1"/>
    <xf numFmtId="173" fontId="14" fillId="0" borderId="0" xfId="0" applyFont="1" applyFill="1" applyBorder="1" applyProtection="1"/>
    <xf numFmtId="173" fontId="12" fillId="0" borderId="0" xfId="0" applyFont="1" applyFill="1" applyBorder="1" applyProtection="1"/>
    <xf numFmtId="3" fontId="6" fillId="0" borderId="0" xfId="0" applyNumberFormat="1" applyFont="1" applyAlignment="1" applyProtection="1">
      <alignment horizontal="center"/>
    </xf>
    <xf numFmtId="174" fontId="15" fillId="0" borderId="0" xfId="1" applyNumberFormat="1" applyFont="1" applyFill="1" applyBorder="1" applyAlignment="1" applyProtection="1"/>
    <xf numFmtId="3" fontId="6" fillId="0" borderId="1" xfId="0" applyNumberFormat="1" applyFont="1" applyBorder="1" applyAlignment="1" applyProtection="1">
      <alignment horizontal="center"/>
    </xf>
    <xf numFmtId="173" fontId="12" fillId="0" borderId="0" xfId="0" applyFont="1" applyFill="1" applyBorder="1" applyAlignment="1" applyProtection="1">
      <alignment horizontal="left" wrapText="1"/>
    </xf>
    <xf numFmtId="4" fontId="6" fillId="0" borderId="0" xfId="0" applyNumberFormat="1" applyFont="1" applyAlignment="1" applyProtection="1"/>
    <xf numFmtId="170" fontId="0" fillId="0" borderId="0" xfId="0" applyNumberFormat="1" applyFont="1" applyFill="1" applyBorder="1" applyAlignment="1" applyProtection="1"/>
    <xf numFmtId="3" fontId="6" fillId="0" borderId="0" xfId="0" applyNumberFormat="1" applyFont="1" applyBorder="1" applyAlignment="1" applyProtection="1">
      <alignment horizontal="center"/>
    </xf>
    <xf numFmtId="166" fontId="6" fillId="0" borderId="0" xfId="0" applyNumberFormat="1" applyFont="1" applyFill="1" applyAlignment="1" applyProtection="1"/>
    <xf numFmtId="0" fontId="6" fillId="0" borderId="1" xfId="0" applyNumberFormat="1" applyFont="1" applyBorder="1" applyAlignment="1" applyProtection="1"/>
    <xf numFmtId="9" fontId="6" fillId="0" borderId="0" xfId="0" applyNumberFormat="1" applyFont="1" applyAlignment="1" applyProtection="1"/>
    <xf numFmtId="169" fontId="6" fillId="0" borderId="0" xfId="0" applyNumberFormat="1" applyFont="1" applyAlignment="1" applyProtection="1"/>
    <xf numFmtId="3" fontId="6" fillId="0" borderId="0" xfId="0" quotePrefix="1" applyNumberFormat="1" applyFont="1" applyAlignment="1" applyProtection="1"/>
    <xf numFmtId="169" fontId="6" fillId="0" borderId="1" xfId="0" applyNumberFormat="1" applyFont="1" applyBorder="1" applyAlignment="1" applyProtection="1"/>
    <xf numFmtId="0" fontId="6" fillId="0" borderId="0" xfId="0" applyNumberFormat="1" applyFont="1" applyBorder="1" applyAlignment="1" applyProtection="1">
      <alignment horizontal="center"/>
    </xf>
    <xf numFmtId="0" fontId="8" fillId="0" borderId="0" xfId="0" applyNumberFormat="1" applyFont="1" applyProtection="1"/>
    <xf numFmtId="173" fontId="8" fillId="0" borderId="0" xfId="0" applyFont="1" applyAlignment="1" applyProtection="1"/>
    <xf numFmtId="0" fontId="6" fillId="0" borderId="1" xfId="0" applyNumberFormat="1" applyFont="1" applyBorder="1" applyProtection="1"/>
    <xf numFmtId="0" fontId="6" fillId="0" borderId="0" xfId="0" applyNumberFormat="1" applyFont="1" applyBorder="1" applyProtection="1"/>
    <xf numFmtId="0" fontId="6" fillId="0" borderId="0" xfId="0" applyNumberFormat="1" applyFont="1" applyBorder="1" applyAlignment="1" applyProtection="1"/>
    <xf numFmtId="0" fontId="6" fillId="0" borderId="0" xfId="0" applyNumberFormat="1" applyFont="1" applyFill="1" applyBorder="1" applyAlignment="1" applyProtection="1"/>
    <xf numFmtId="0" fontId="6" fillId="0" borderId="1" xfId="0" applyNumberFormat="1" applyFont="1" applyFill="1" applyBorder="1" applyAlignment="1" applyProtection="1"/>
    <xf numFmtId="173" fontId="6" fillId="0" borderId="0" xfId="0" applyNumberFormat="1" applyFont="1" applyAlignment="1" applyProtection="1"/>
    <xf numFmtId="170" fontId="6" fillId="0" borderId="0" xfId="0" applyNumberFormat="1" applyFont="1" applyProtection="1"/>
    <xf numFmtId="0" fontId="6" fillId="0" borderId="0" xfId="0" applyNumberFormat="1" applyFont="1" applyAlignment="1" applyProtection="1">
      <alignment horizontal="left" indent="8"/>
    </xf>
    <xf numFmtId="0" fontId="6" fillId="0" borderId="0" xfId="0" applyNumberFormat="1" applyFont="1" applyAlignment="1" applyProtection="1">
      <alignment horizontal="center" vertical="top" wrapText="1"/>
    </xf>
    <xf numFmtId="0" fontId="6" fillId="0" borderId="0" xfId="0" applyNumberFormat="1" applyFont="1" applyFill="1" applyAlignment="1" applyProtection="1">
      <alignment horizontal="left" vertical="top" wrapText="1" indent="8"/>
    </xf>
    <xf numFmtId="0" fontId="6" fillId="0" borderId="0" xfId="0" applyNumberFormat="1" applyFont="1" applyFill="1" applyAlignment="1" applyProtection="1">
      <alignment vertical="top" wrapText="1"/>
    </xf>
    <xf numFmtId="173" fontId="6" fillId="0" borderId="0" xfId="0" applyFont="1" applyAlignment="1" applyProtection="1">
      <alignment horizontal="center" vertical="top" wrapText="1"/>
    </xf>
    <xf numFmtId="173" fontId="6" fillId="0" borderId="0" xfId="0" applyFont="1" applyFill="1" applyAlignment="1" applyProtection="1">
      <alignment horizontal="center" vertical="top" wrapText="1"/>
    </xf>
    <xf numFmtId="0" fontId="6" fillId="0" borderId="0" xfId="2" applyNumberFormat="1" applyFont="1" applyFill="1" applyProtection="1"/>
    <xf numFmtId="0" fontId="6" fillId="0" borderId="0" xfId="2" applyNumberFormat="1" applyFont="1" applyProtection="1"/>
    <xf numFmtId="173" fontId="0" fillId="0" borderId="0" xfId="0" applyFont="1" applyAlignment="1" applyProtection="1">
      <alignment horizontal="center"/>
    </xf>
    <xf numFmtId="0" fontId="19" fillId="0" borderId="0" xfId="5" applyFont="1" applyBorder="1" applyAlignment="1" applyProtection="1">
      <alignment horizontal="center" wrapText="1"/>
      <protection locked="0"/>
    </xf>
    <xf numFmtId="170" fontId="19" fillId="0" borderId="0" xfId="5" applyNumberFormat="1" applyFont="1" applyBorder="1" applyAlignment="1" applyProtection="1">
      <alignment horizontal="center" wrapText="1"/>
      <protection locked="0"/>
    </xf>
    <xf numFmtId="173" fontId="6" fillId="0" borderId="0" xfId="0" applyFont="1" applyAlignment="1" applyProtection="1">
      <protection locked="0"/>
    </xf>
    <xf numFmtId="0" fontId="17" fillId="0" borderId="3" xfId="0" applyNumberFormat="1" applyFont="1" applyBorder="1" applyProtection="1">
      <protection locked="0"/>
    </xf>
    <xf numFmtId="0" fontId="15" fillId="0" borderId="3" xfId="0" applyNumberFormat="1" applyFont="1" applyBorder="1" applyAlignment="1" applyProtection="1">
      <protection locked="0"/>
    </xf>
    <xf numFmtId="0" fontId="15" fillId="0" borderId="3" xfId="0" applyNumberFormat="1" applyFont="1" applyBorder="1" applyProtection="1">
      <protection locked="0"/>
    </xf>
    <xf numFmtId="0" fontId="20" fillId="0" borderId="4" xfId="0" applyNumberFormat="1" applyFont="1" applyBorder="1" applyAlignment="1" applyProtection="1">
      <alignment horizontal="left"/>
      <protection locked="0"/>
    </xf>
    <xf numFmtId="0" fontId="20" fillId="0" borderId="4" xfId="0" applyNumberFormat="1" applyFont="1" applyFill="1" applyBorder="1" applyAlignment="1" applyProtection="1">
      <alignment horizontal="left"/>
      <protection locked="0"/>
    </xf>
    <xf numFmtId="170" fontId="11" fillId="0" borderId="4" xfId="0" applyNumberFormat="1" applyFont="1" applyBorder="1" applyProtection="1">
      <protection locked="0"/>
    </xf>
    <xf numFmtId="3" fontId="6" fillId="2" borderId="0" xfId="0" applyNumberFormat="1" applyFont="1" applyFill="1" applyAlignment="1" applyProtection="1">
      <protection locked="0"/>
    </xf>
    <xf numFmtId="3" fontId="6" fillId="5" borderId="0" xfId="0" applyNumberFormat="1" applyFont="1" applyFill="1" applyAlignment="1" applyProtection="1">
      <protection locked="0"/>
    </xf>
    <xf numFmtId="3" fontId="6" fillId="2" borderId="1" xfId="0" applyNumberFormat="1" applyFont="1" applyFill="1" applyBorder="1" applyProtection="1">
      <protection locked="0"/>
    </xf>
    <xf numFmtId="3" fontId="6" fillId="2" borderId="0" xfId="0" applyNumberFormat="1" applyFont="1" applyFill="1" applyBorder="1" applyProtection="1">
      <protection locked="0"/>
    </xf>
    <xf numFmtId="3" fontId="6" fillId="2" borderId="0" xfId="0" applyNumberFormat="1" applyFont="1" applyFill="1" applyProtection="1">
      <protection locked="0"/>
    </xf>
    <xf numFmtId="3" fontId="6" fillId="2" borderId="1" xfId="0" applyNumberFormat="1" applyFont="1" applyFill="1" applyBorder="1" applyAlignment="1" applyProtection="1">
      <protection locked="0"/>
    </xf>
    <xf numFmtId="3" fontId="6" fillId="2" borderId="0" xfId="0" applyNumberFormat="1" applyFont="1" applyFill="1" applyBorder="1" applyAlignment="1" applyProtection="1">
      <protection locked="0"/>
    </xf>
    <xf numFmtId="170" fontId="6" fillId="2" borderId="0" xfId="0" applyNumberFormat="1" applyFont="1" applyFill="1" applyAlignment="1" applyProtection="1">
      <protection locked="0"/>
    </xf>
    <xf numFmtId="42" fontId="6" fillId="2" borderId="0" xfId="0" applyNumberFormat="1" applyFont="1" applyFill="1" applyAlignment="1" applyProtection="1">
      <protection locked="0"/>
    </xf>
    <xf numFmtId="170" fontId="6" fillId="2" borderId="0" xfId="0" applyNumberFormat="1" applyFont="1" applyFill="1" applyBorder="1" applyProtection="1">
      <protection locked="0"/>
    </xf>
    <xf numFmtId="173" fontId="6" fillId="0" borderId="0" xfId="0" applyFont="1" applyBorder="1" applyAlignment="1" applyProtection="1">
      <protection locked="0"/>
    </xf>
    <xf numFmtId="173" fontId="7" fillId="0" borderId="3" xfId="0" applyFont="1" applyBorder="1" applyAlignment="1" applyProtection="1">
      <protection locked="0"/>
    </xf>
    <xf numFmtId="173" fontId="6" fillId="0" borderId="3" xfId="0" applyFont="1" applyBorder="1" applyAlignment="1" applyProtection="1">
      <protection locked="0"/>
    </xf>
    <xf numFmtId="170" fontId="11" fillId="0" borderId="0" xfId="7" applyNumberFormat="1" applyBorder="1" applyProtection="1">
      <protection locked="0"/>
    </xf>
    <xf numFmtId="10" fontId="11" fillId="0" borderId="0" xfId="7" applyNumberFormat="1" applyBorder="1" applyProtection="1">
      <protection locked="0"/>
    </xf>
    <xf numFmtId="0" fontId="19" fillId="0" borderId="0" xfId="5" applyFont="1" applyBorder="1" applyAlignment="1" applyProtection="1">
      <alignment horizontal="right"/>
      <protection locked="0"/>
    </xf>
    <xf numFmtId="10" fontId="19" fillId="0" borderId="0" xfId="4" applyNumberFormat="1" applyFont="1" applyBorder="1" applyProtection="1">
      <protection locked="0"/>
    </xf>
    <xf numFmtId="175" fontId="19" fillId="0" borderId="0" xfId="3" applyNumberFormat="1" applyFont="1" applyBorder="1" applyProtection="1">
      <protection locked="0"/>
    </xf>
    <xf numFmtId="170" fontId="11" fillId="3" borderId="4" xfId="0" applyNumberFormat="1" applyFont="1" applyFill="1" applyBorder="1" applyProtection="1">
      <protection locked="0"/>
    </xf>
    <xf numFmtId="0" fontId="20" fillId="0" borderId="4" xfId="0" applyNumberFormat="1" applyFont="1" applyBorder="1" applyAlignment="1" applyProtection="1">
      <alignment horizontal="left" vertical="center"/>
      <protection locked="0"/>
    </xf>
    <xf numFmtId="10" fontId="11" fillId="0" borderId="4" xfId="0" applyNumberFormat="1" applyFont="1" applyBorder="1" applyProtection="1"/>
    <xf numFmtId="9" fontId="11" fillId="0" borderId="4" xfId="0" applyNumberFormat="1" applyFont="1" applyBorder="1" applyProtection="1"/>
    <xf numFmtId="3" fontId="11" fillId="4" borderId="4" xfId="0" applyNumberFormat="1" applyFont="1" applyFill="1" applyBorder="1" applyProtection="1"/>
    <xf numFmtId="3" fontId="11" fillId="3" borderId="4" xfId="0" applyNumberFormat="1" applyFont="1" applyFill="1" applyBorder="1" applyProtection="1"/>
    <xf numFmtId="3" fontId="11" fillId="4" borderId="4" xfId="6" applyNumberFormat="1" applyFont="1" applyFill="1" applyBorder="1" applyProtection="1"/>
    <xf numFmtId="175" fontId="6" fillId="0" borderId="0" xfId="3" applyNumberFormat="1" applyFont="1" applyAlignment="1" applyProtection="1"/>
    <xf numFmtId="173" fontId="6" fillId="0" borderId="6" xfId="0" applyFont="1" applyBorder="1" applyAlignment="1"/>
    <xf numFmtId="173" fontId="6" fillId="0" borderId="7" xfId="0" applyFont="1" applyBorder="1" applyAlignment="1"/>
    <xf numFmtId="173" fontId="6" fillId="0" borderId="8" xfId="0" applyFont="1" applyBorder="1" applyAlignment="1"/>
    <xf numFmtId="173" fontId="6" fillId="0" borderId="9" xfId="0" applyFont="1" applyBorder="1" applyAlignment="1"/>
    <xf numFmtId="173" fontId="6" fillId="0" borderId="0" xfId="0" applyFont="1" applyBorder="1" applyAlignment="1"/>
    <xf numFmtId="173" fontId="6" fillId="0" borderId="10" xfId="0" applyFont="1" applyBorder="1" applyAlignment="1"/>
    <xf numFmtId="173" fontId="6" fillId="0" borderId="11" xfId="0" applyFont="1" applyBorder="1" applyAlignment="1"/>
    <xf numFmtId="173" fontId="6" fillId="0" borderId="3" xfId="0" applyFont="1" applyBorder="1" applyAlignment="1"/>
    <xf numFmtId="173" fontId="6" fillId="0" borderId="12" xfId="0" applyFont="1" applyBorder="1" applyAlignment="1"/>
    <xf numFmtId="169" fontId="6" fillId="2" borderId="0" xfId="0" applyNumberFormat="1" applyFont="1" applyFill="1" applyAlignment="1" applyProtection="1"/>
    <xf numFmtId="10" fontId="24" fillId="3" borderId="10" xfId="4" applyNumberFormat="1" applyFont="1" applyFill="1" applyBorder="1" applyAlignment="1" applyProtection="1">
      <protection locked="0"/>
    </xf>
    <xf numFmtId="44" fontId="11" fillId="0" borderId="4" xfId="0" applyNumberFormat="1" applyFont="1" applyBorder="1" applyProtection="1"/>
    <xf numFmtId="170" fontId="11" fillId="0" borderId="4" xfId="0" applyNumberFormat="1" applyFont="1" applyBorder="1" applyProtection="1"/>
    <xf numFmtId="0" fontId="15" fillId="0" borderId="0" xfId="0" applyNumberFormat="1" applyFont="1" applyBorder="1" applyProtection="1">
      <protection locked="0"/>
    </xf>
    <xf numFmtId="0" fontId="15" fillId="0" borderId="0" xfId="0" applyNumberFormat="1" applyFont="1" applyBorder="1" applyAlignment="1" applyProtection="1">
      <protection locked="0"/>
    </xf>
    <xf numFmtId="170" fontId="0" fillId="0" borderId="0" xfId="0" applyNumberFormat="1" applyAlignment="1"/>
    <xf numFmtId="170" fontId="0" fillId="0" borderId="15" xfId="0" applyNumberFormat="1" applyBorder="1" applyAlignment="1"/>
    <xf numFmtId="170" fontId="0" fillId="0" borderId="3" xfId="0" applyNumberFormat="1" applyBorder="1" applyAlignment="1"/>
    <xf numFmtId="173" fontId="0" fillId="0" borderId="0" xfId="0" applyAlignment="1">
      <alignment horizontal="center"/>
    </xf>
    <xf numFmtId="170" fontId="17" fillId="0" borderId="0" xfId="0" applyNumberFormat="1" applyFont="1" applyAlignment="1"/>
    <xf numFmtId="170" fontId="0" fillId="0" borderId="0" xfId="0" applyNumberFormat="1" applyFill="1" applyAlignment="1"/>
    <xf numFmtId="170" fontId="17" fillId="0" borderId="15" xfId="0" applyNumberFormat="1" applyFont="1" applyBorder="1" applyAlignment="1"/>
    <xf numFmtId="173" fontId="19" fillId="0" borderId="0" xfId="0" applyFont="1" applyAlignment="1"/>
    <xf numFmtId="170" fontId="19" fillId="0" borderId="0" xfId="0" applyNumberFormat="1" applyFont="1" applyAlignment="1"/>
    <xf numFmtId="170" fontId="19" fillId="0" borderId="15" xfId="0" applyNumberFormat="1" applyFont="1" applyBorder="1" applyAlignment="1"/>
    <xf numFmtId="173" fontId="19" fillId="0" borderId="3" xfId="0" applyFont="1" applyBorder="1" applyAlignment="1"/>
    <xf numFmtId="170" fontId="19" fillId="0" borderId="3" xfId="0" applyNumberFormat="1" applyFont="1" applyBorder="1" applyAlignment="1"/>
    <xf numFmtId="10" fontId="19" fillId="0" borderId="0" xfId="4" applyNumberFormat="1" applyFont="1" applyAlignment="1"/>
    <xf numFmtId="170" fontId="19" fillId="3" borderId="0" xfId="0" applyNumberFormat="1" applyFont="1" applyFill="1" applyAlignment="1"/>
    <xf numFmtId="10" fontId="19" fillId="0" borderId="3" xfId="4" applyNumberFormat="1" applyFont="1" applyBorder="1" applyAlignment="1"/>
    <xf numFmtId="9" fontId="19" fillId="0" borderId="0" xfId="4" applyFont="1" applyAlignment="1"/>
    <xf numFmtId="173" fontId="19" fillId="0" borderId="15" xfId="0" applyFont="1" applyBorder="1" applyAlignment="1"/>
    <xf numFmtId="173" fontId="29" fillId="0" borderId="3" xfId="0" applyFont="1" applyBorder="1" applyAlignment="1">
      <alignment horizontal="center"/>
    </xf>
    <xf numFmtId="173" fontId="29" fillId="0" borderId="3" xfId="0" applyFont="1" applyBorder="1" applyAlignment="1">
      <alignment horizontal="center" wrapText="1"/>
    </xf>
    <xf numFmtId="173" fontId="29" fillId="0" borderId="0" xfId="0" applyFont="1" applyAlignment="1">
      <alignment horizontal="center" wrapText="1"/>
    </xf>
    <xf numFmtId="173" fontId="29" fillId="0" borderId="0" xfId="0" applyFont="1" applyAlignment="1">
      <alignment horizontal="center"/>
    </xf>
    <xf numFmtId="173" fontId="17" fillId="0" borderId="3" xfId="0" applyFont="1" applyBorder="1" applyAlignment="1">
      <alignment horizontal="center" wrapText="1"/>
    </xf>
    <xf numFmtId="173" fontId="17" fillId="0" borderId="3" xfId="0" applyFont="1" applyBorder="1" applyAlignment="1">
      <alignment horizontal="center"/>
    </xf>
    <xf numFmtId="3" fontId="19" fillId="0" borderId="0" xfId="281" applyFont="1" applyBorder="1"/>
    <xf numFmtId="3" fontId="19" fillId="0" borderId="0" xfId="281" applyFont="1"/>
    <xf numFmtId="6" fontId="19" fillId="0" borderId="0" xfId="163" applyNumberFormat="1" applyFont="1"/>
    <xf numFmtId="15" fontId="19" fillId="0" borderId="0" xfId="277" applyFont="1"/>
    <xf numFmtId="0" fontId="19" fillId="0" borderId="0" xfId="214" applyFont="1"/>
    <xf numFmtId="6" fontId="19" fillId="0" borderId="3" xfId="163" applyNumberFormat="1" applyFont="1" applyBorder="1"/>
    <xf numFmtId="6" fontId="29" fillId="0" borderId="0" xfId="163" applyNumberFormat="1" applyFont="1"/>
    <xf numFmtId="0" fontId="29" fillId="0" borderId="0" xfId="280" applyFont="1" applyBorder="1" applyAlignment="1">
      <alignment horizontal="center" wrapText="1"/>
    </xf>
    <xf numFmtId="0" fontId="29" fillId="0" borderId="0" xfId="280" applyFont="1" applyFill="1" applyBorder="1" applyAlignment="1">
      <alignment horizontal="center" wrapText="1"/>
    </xf>
    <xf numFmtId="0" fontId="19" fillId="0" borderId="0" xfId="214" applyFont="1" applyBorder="1"/>
    <xf numFmtId="174" fontId="19" fillId="0" borderId="0" xfId="1" applyNumberFormat="1" applyFont="1"/>
    <xf numFmtId="0" fontId="29" fillId="0" borderId="20" xfId="214" applyFont="1" applyBorder="1"/>
    <xf numFmtId="0" fontId="19" fillId="0" borderId="21" xfId="214" applyFont="1" applyBorder="1"/>
    <xf numFmtId="0" fontId="29" fillId="0" borderId="20" xfId="214" applyFont="1" applyBorder="1" applyAlignment="1">
      <alignment horizontal="center"/>
    </xf>
    <xf numFmtId="0" fontId="29" fillId="0" borderId="0" xfId="214" applyFont="1" applyBorder="1" applyAlignment="1">
      <alignment horizontal="center" wrapText="1"/>
    </xf>
    <xf numFmtId="0" fontId="19" fillId="0" borderId="20" xfId="214" quotePrefix="1" applyFont="1" applyBorder="1"/>
    <xf numFmtId="174" fontId="19" fillId="0" borderId="0" xfId="1" applyNumberFormat="1" applyFont="1" applyBorder="1"/>
    <xf numFmtId="0" fontId="19" fillId="0" borderId="20" xfId="214" applyFont="1" applyBorder="1"/>
    <xf numFmtId="0" fontId="19" fillId="0" borderId="22" xfId="214" applyFont="1" applyBorder="1"/>
    <xf numFmtId="174" fontId="19" fillId="0" borderId="1" xfId="1" applyNumberFormat="1" applyFont="1" applyBorder="1"/>
    <xf numFmtId="0" fontId="19" fillId="3" borderId="20" xfId="214" applyFont="1" applyFill="1" applyBorder="1"/>
    <xf numFmtId="174" fontId="19" fillId="3" borderId="0" xfId="1" applyNumberFormat="1" applyFont="1" applyFill="1" applyBorder="1"/>
    <xf numFmtId="174" fontId="19" fillId="0" borderId="21" xfId="214" applyNumberFormat="1" applyFont="1" applyBorder="1"/>
    <xf numFmtId="174" fontId="19" fillId="3" borderId="21" xfId="214" applyNumberFormat="1" applyFont="1" applyFill="1" applyBorder="1"/>
    <xf numFmtId="0" fontId="19" fillId="0" borderId="23" xfId="214" applyFont="1" applyBorder="1" applyAlignment="1">
      <alignment horizontal="right"/>
    </xf>
    <xf numFmtId="174" fontId="19" fillId="0" borderId="0" xfId="322" applyNumberFormat="1" applyFont="1"/>
    <xf numFmtId="174" fontId="19" fillId="0" borderId="0" xfId="322" applyNumberFormat="1" applyFont="1" applyFill="1"/>
    <xf numFmtId="0" fontId="62" fillId="0" borderId="0" xfId="321" applyFont="1"/>
    <xf numFmtId="0" fontId="63" fillId="0" borderId="0" xfId="321" applyFont="1" applyAlignment="1">
      <alignment horizontal="center"/>
    </xf>
    <xf numFmtId="0" fontId="62" fillId="0" borderId="0" xfId="321" applyFont="1" applyFill="1"/>
    <xf numFmtId="174" fontId="62" fillId="0" borderId="0" xfId="321" applyNumberFormat="1" applyFont="1"/>
    <xf numFmtId="0" fontId="62" fillId="0" borderId="0" xfId="321" applyFont="1" applyAlignment="1">
      <alignment horizontal="right"/>
    </xf>
    <xf numFmtId="3" fontId="62" fillId="0" borderId="0" xfId="321" applyNumberFormat="1" applyFont="1"/>
    <xf numFmtId="0" fontId="63" fillId="0" borderId="3" xfId="321" applyFont="1" applyBorder="1" applyAlignment="1">
      <alignment horizontal="center" wrapText="1"/>
    </xf>
    <xf numFmtId="0" fontId="62" fillId="0" borderId="0" xfId="8" applyFont="1"/>
    <xf numFmtId="0" fontId="63" fillId="0" borderId="0" xfId="8" applyFont="1"/>
    <xf numFmtId="0" fontId="62" fillId="0" borderId="0" xfId="9" applyFont="1"/>
    <xf numFmtId="0" fontId="62" fillId="0" borderId="0" xfId="9" applyFont="1" applyBorder="1"/>
    <xf numFmtId="43" fontId="62" fillId="0" borderId="0" xfId="10" applyFont="1" applyBorder="1"/>
    <xf numFmtId="17" fontId="62" fillId="0" borderId="0" xfId="9" applyNumberFormat="1" applyFont="1"/>
    <xf numFmtId="0" fontId="64" fillId="0" borderId="0" xfId="9" applyFont="1"/>
    <xf numFmtId="173" fontId="62" fillId="0" borderId="0" xfId="9" applyNumberFormat="1" applyFont="1"/>
    <xf numFmtId="176" fontId="64" fillId="0" borderId="0" xfId="9" applyNumberFormat="1" applyFont="1"/>
    <xf numFmtId="17" fontId="62" fillId="0" borderId="0" xfId="8" applyNumberFormat="1" applyFont="1" applyBorder="1"/>
    <xf numFmtId="0" fontId="62" fillId="0" borderId="0" xfId="8" applyFont="1" applyBorder="1"/>
    <xf numFmtId="173" fontId="62" fillId="0" borderId="0" xfId="8" applyNumberFormat="1" applyFont="1" applyBorder="1"/>
    <xf numFmtId="170" fontId="62" fillId="0" borderId="0" xfId="10" applyNumberFormat="1" applyFont="1"/>
    <xf numFmtId="170" fontId="62" fillId="0" borderId="3" xfId="10" applyNumberFormat="1" applyFont="1" applyBorder="1"/>
    <xf numFmtId="170" fontId="62" fillId="0" borderId="0" xfId="9" applyNumberFormat="1" applyFont="1"/>
    <xf numFmtId="170" fontId="62" fillId="0" borderId="3" xfId="9" applyNumberFormat="1" applyFont="1" applyBorder="1"/>
    <xf numFmtId="170" fontId="65" fillId="0" borderId="0" xfId="9" applyNumberFormat="1" applyFont="1"/>
    <xf numFmtId="0" fontId="19" fillId="0" borderId="0" xfId="323" applyFont="1" applyAlignment="1">
      <alignment horizontal="left" indent="2"/>
    </xf>
    <xf numFmtId="0" fontId="19" fillId="0" borderId="0" xfId="323" applyFont="1"/>
    <xf numFmtId="0" fontId="29" fillId="3" borderId="0" xfId="323" applyFont="1" applyFill="1"/>
    <xf numFmtId="0" fontId="19" fillId="3" borderId="0" xfId="323" applyFont="1" applyFill="1"/>
    <xf numFmtId="0" fontId="19" fillId="0" borderId="16" xfId="323" applyFont="1" applyBorder="1" applyAlignment="1">
      <alignment horizontal="center" wrapText="1"/>
    </xf>
    <xf numFmtId="0" fontId="19" fillId="3" borderId="16" xfId="323" applyFont="1" applyFill="1" applyBorder="1" applyAlignment="1">
      <alignment horizontal="center" wrapText="1"/>
    </xf>
    <xf numFmtId="0" fontId="19" fillId="0" borderId="0" xfId="323" applyFont="1" applyFill="1" applyBorder="1" applyAlignment="1">
      <alignment horizontal="center"/>
    </xf>
    <xf numFmtId="0" fontId="19" fillId="0" borderId="0" xfId="323" applyFont="1" applyFill="1" applyBorder="1" applyAlignment="1">
      <alignment horizontal="left"/>
    </xf>
    <xf numFmtId="0" fontId="19" fillId="0" borderId="24" xfId="323" applyFont="1" applyBorder="1" applyAlignment="1">
      <alignment horizontal="center"/>
    </xf>
    <xf numFmtId="0" fontId="19" fillId="0" borderId="4" xfId="323" applyFont="1" applyBorder="1"/>
    <xf numFmtId="1" fontId="19" fillId="0" borderId="4" xfId="323" applyNumberFormat="1" applyFont="1" applyBorder="1"/>
    <xf numFmtId="179" fontId="19" fillId="0" borderId="4" xfId="323" applyNumberFormat="1" applyFont="1" applyBorder="1" applyAlignment="1">
      <alignment horizontal="center"/>
    </xf>
    <xf numFmtId="0" fontId="19" fillId="0" borderId="4" xfId="323" applyFont="1" applyFill="1" applyBorder="1"/>
    <xf numFmtId="0" fontId="19" fillId="3" borderId="4" xfId="323" applyFont="1" applyFill="1" applyBorder="1"/>
    <xf numFmtId="0" fontId="19" fillId="0" borderId="25" xfId="323" applyFont="1" applyFill="1" applyBorder="1"/>
    <xf numFmtId="180" fontId="19" fillId="0" borderId="0" xfId="323" applyNumberFormat="1" applyFont="1"/>
    <xf numFmtId="0" fontId="19" fillId="0" borderId="24" xfId="323" applyFont="1" applyFill="1" applyBorder="1" applyAlignment="1">
      <alignment horizontal="center"/>
    </xf>
    <xf numFmtId="1" fontId="19" fillId="0" borderId="4" xfId="323" applyNumberFormat="1" applyFont="1" applyFill="1" applyBorder="1"/>
    <xf numFmtId="179" fontId="19" fillId="0" borderId="4" xfId="323" applyNumberFormat="1" applyFont="1" applyFill="1" applyBorder="1" applyAlignment="1">
      <alignment horizontal="center"/>
    </xf>
    <xf numFmtId="1" fontId="19" fillId="0" borderId="0" xfId="323" applyNumberFormat="1" applyFont="1" applyBorder="1"/>
    <xf numFmtId="0" fontId="19" fillId="0" borderId="25" xfId="323" applyFont="1" applyBorder="1"/>
    <xf numFmtId="0" fontId="19" fillId="0" borderId="24" xfId="323" applyFont="1" applyBorder="1"/>
    <xf numFmtId="0" fontId="19" fillId="0" borderId="4" xfId="323" applyFont="1" applyBorder="1" applyAlignment="1">
      <alignment horizontal="center"/>
    </xf>
    <xf numFmtId="0" fontId="19" fillId="0" borderId="26" xfId="323" applyFont="1" applyBorder="1"/>
    <xf numFmtId="0" fontId="19" fillId="0" borderId="27" xfId="323" applyFont="1" applyBorder="1"/>
    <xf numFmtId="0" fontId="19" fillId="0" borderId="27" xfId="323" applyFont="1" applyBorder="1" applyAlignment="1">
      <alignment horizontal="center"/>
    </xf>
    <xf numFmtId="0" fontId="19" fillId="3" borderId="27" xfId="323" applyFont="1" applyFill="1" applyBorder="1"/>
    <xf numFmtId="0" fontId="19" fillId="0" borderId="28" xfId="323" applyFont="1" applyBorder="1"/>
    <xf numFmtId="0" fontId="19" fillId="0" borderId="0" xfId="323" applyFont="1" applyFill="1"/>
    <xf numFmtId="0" fontId="29" fillId="0" borderId="0" xfId="323" applyFont="1" applyAlignment="1">
      <alignment horizontal="left" indent="2"/>
    </xf>
    <xf numFmtId="0" fontId="19" fillId="0" borderId="0" xfId="323" applyFont="1" applyAlignment="1">
      <alignment horizontal="center" vertical="center"/>
    </xf>
    <xf numFmtId="174" fontId="19" fillId="3" borderId="0" xfId="322" applyNumberFormat="1" applyFont="1" applyFill="1"/>
    <xf numFmtId="0" fontId="62" fillId="3" borderId="0" xfId="321" applyFont="1" applyFill="1"/>
    <xf numFmtId="173" fontId="0" fillId="0" borderId="0" xfId="0"/>
    <xf numFmtId="173" fontId="0" fillId="0" borderId="29" xfId="0" applyBorder="1"/>
    <xf numFmtId="173" fontId="66" fillId="0" borderId="29" xfId="0" applyFont="1" applyBorder="1" applyAlignment="1">
      <alignment horizontal="center"/>
    </xf>
    <xf numFmtId="173" fontId="66" fillId="0" borderId="30" xfId="0" applyFont="1" applyBorder="1" applyAlignment="1">
      <alignment horizontal="center"/>
    </xf>
    <xf numFmtId="173" fontId="66" fillId="0" borderId="31" xfId="0" applyFont="1" applyBorder="1" applyAlignment="1">
      <alignment horizontal="center"/>
    </xf>
    <xf numFmtId="173" fontId="66" fillId="0" borderId="32" xfId="0" applyFont="1" applyBorder="1" applyAlignment="1">
      <alignment horizontal="center"/>
    </xf>
    <xf numFmtId="173" fontId="0" fillId="0" borderId="33" xfId="0" applyBorder="1" applyAlignment="1">
      <alignment horizontal="left"/>
    </xf>
    <xf numFmtId="173" fontId="0" fillId="0" borderId="30" xfId="0" applyBorder="1" applyAlignment="1">
      <alignment horizontal="center"/>
    </xf>
    <xf numFmtId="173" fontId="0" fillId="0" borderId="34" xfId="0" applyNumberFormat="1" applyBorder="1" applyAlignment="1">
      <alignment horizontal="center"/>
    </xf>
    <xf numFmtId="173" fontId="0" fillId="0" borderId="33" xfId="0" applyBorder="1" applyAlignment="1">
      <alignment horizontal="center"/>
    </xf>
    <xf numFmtId="173" fontId="0" fillId="0" borderId="33" xfId="0" applyNumberFormat="1" applyBorder="1" applyAlignment="1">
      <alignment horizontal="center"/>
    </xf>
    <xf numFmtId="173" fontId="0" fillId="0" borderId="34" xfId="0" applyBorder="1" applyAlignment="1">
      <alignment horizontal="center"/>
    </xf>
    <xf numFmtId="173" fontId="66" fillId="0" borderId="32" xfId="0" applyFont="1" applyBorder="1" applyAlignment="1">
      <alignment horizontal="left"/>
    </xf>
    <xf numFmtId="173" fontId="66" fillId="0" borderId="32" xfId="0" applyNumberFormat="1" applyFont="1" applyFill="1" applyBorder="1" applyAlignment="1">
      <alignment horizontal="center"/>
    </xf>
    <xf numFmtId="173" fontId="66" fillId="0" borderId="35" xfId="0" applyNumberFormat="1" applyFont="1" applyFill="1" applyBorder="1" applyAlignment="1">
      <alignment horizontal="center"/>
    </xf>
    <xf numFmtId="0" fontId="2" fillId="0" borderId="0" xfId="329"/>
    <xf numFmtId="0" fontId="2" fillId="0" borderId="16" xfId="329" applyBorder="1"/>
    <xf numFmtId="0" fontId="2" fillId="0" borderId="36" xfId="329" applyBorder="1"/>
    <xf numFmtId="0" fontId="2" fillId="0" borderId="37" xfId="329" applyBorder="1"/>
    <xf numFmtId="0" fontId="2" fillId="0" borderId="38" xfId="329" applyBorder="1"/>
    <xf numFmtId="169" fontId="2" fillId="0" borderId="16" xfId="329" applyNumberFormat="1" applyBorder="1"/>
    <xf numFmtId="169" fontId="2" fillId="0" borderId="36" xfId="329" applyNumberFormat="1" applyBorder="1"/>
    <xf numFmtId="169" fontId="2" fillId="0" borderId="37" xfId="329" applyNumberFormat="1" applyBorder="1"/>
    <xf numFmtId="169" fontId="2" fillId="0" borderId="38" xfId="329" applyNumberFormat="1" applyBorder="1"/>
    <xf numFmtId="2" fontId="2" fillId="0" borderId="16" xfId="329" applyNumberFormat="1" applyBorder="1"/>
    <xf numFmtId="2" fontId="2" fillId="0" borderId="38" xfId="329" applyNumberFormat="1" applyBorder="1"/>
    <xf numFmtId="173" fontId="29" fillId="0" borderId="0" xfId="0" applyFont="1" applyAlignment="1">
      <alignment horizontal="center"/>
    </xf>
    <xf numFmtId="173" fontId="11" fillId="0" borderId="0" xfId="0" applyFont="1" applyAlignment="1"/>
    <xf numFmtId="173" fontId="20" fillId="0" borderId="3" xfId="0" applyFont="1" applyBorder="1" applyAlignment="1">
      <alignment horizontal="center"/>
    </xf>
    <xf numFmtId="170" fontId="20" fillId="0" borderId="15" xfId="0" applyNumberFormat="1" applyFont="1" applyBorder="1" applyAlignment="1"/>
    <xf numFmtId="170" fontId="20" fillId="0" borderId="0" xfId="0" applyNumberFormat="1" applyFont="1" applyBorder="1" applyAlignment="1"/>
    <xf numFmtId="173" fontId="11" fillId="0" borderId="17" xfId="0" applyFont="1" applyBorder="1" applyAlignment="1">
      <alignment horizontal="center"/>
    </xf>
    <xf numFmtId="173" fontId="11" fillId="0" borderId="18" xfId="0" applyFont="1" applyBorder="1" applyAlignment="1"/>
    <xf numFmtId="173" fontId="11" fillId="0" borderId="19" xfId="0" applyFont="1" applyBorder="1" applyAlignment="1"/>
    <xf numFmtId="173" fontId="20" fillId="0" borderId="39" xfId="0" applyFont="1" applyBorder="1" applyAlignment="1">
      <alignment horizontal="center" wrapText="1"/>
    </xf>
    <xf numFmtId="173" fontId="11" fillId="0" borderId="21" xfId="0" applyFont="1" applyBorder="1" applyAlignment="1"/>
    <xf numFmtId="173" fontId="11" fillId="0" borderId="20" xfId="0" applyFont="1" applyBorder="1" applyAlignment="1"/>
    <xf numFmtId="173" fontId="11" fillId="0" borderId="0" xfId="0" applyFont="1" applyBorder="1" applyAlignment="1"/>
    <xf numFmtId="170" fontId="11" fillId="0" borderId="0" xfId="0" applyNumberFormat="1" applyFont="1" applyBorder="1" applyAlignment="1"/>
    <xf numFmtId="173" fontId="11" fillId="0" borderId="22" xfId="0" applyFont="1" applyBorder="1" applyAlignment="1"/>
    <xf numFmtId="170" fontId="20" fillId="0" borderId="5" xfId="0" applyNumberFormat="1" applyFont="1" applyBorder="1" applyAlignment="1"/>
    <xf numFmtId="173" fontId="11" fillId="0" borderId="23" xfId="0" applyFont="1" applyBorder="1" applyAlignment="1"/>
    <xf numFmtId="173" fontId="11" fillId="3" borderId="20" xfId="0" applyFont="1" applyFill="1" applyBorder="1" applyAlignment="1"/>
    <xf numFmtId="170" fontId="11" fillId="3" borderId="0" xfId="0" applyNumberFormat="1" applyFont="1" applyFill="1" applyBorder="1" applyAlignment="1"/>
    <xf numFmtId="170" fontId="20" fillId="3" borderId="5" xfId="0" applyNumberFormat="1" applyFont="1" applyFill="1" applyBorder="1" applyAlignment="1"/>
    <xf numFmtId="173" fontId="11" fillId="3" borderId="17" xfId="0" applyFont="1" applyFill="1" applyBorder="1" applyAlignment="1">
      <alignment horizontal="center"/>
    </xf>
    <xf numFmtId="173" fontId="29" fillId="0" borderId="0" xfId="0" applyFont="1" applyAlignment="1"/>
    <xf numFmtId="0" fontId="1" fillId="0" borderId="16" xfId="329" applyFont="1" applyBorder="1"/>
    <xf numFmtId="0" fontId="6" fillId="0" borderId="0" xfId="0" applyNumberFormat="1" applyFont="1" applyFill="1" applyAlignment="1" applyProtection="1">
      <alignment horizontal="left" wrapText="1"/>
    </xf>
    <xf numFmtId="0" fontId="6" fillId="0" borderId="0" xfId="0" applyNumberFormat="1" applyFont="1" applyFill="1" applyAlignment="1" applyProtection="1">
      <alignment horizontal="right"/>
    </xf>
    <xf numFmtId="0" fontId="6" fillId="0" borderId="0" xfId="0" applyNumberFormat="1" applyFont="1" applyFill="1" applyAlignment="1" applyProtection="1">
      <alignment vertical="top" wrapText="1"/>
    </xf>
    <xf numFmtId="173" fontId="29" fillId="0" borderId="0" xfId="0" applyFont="1" applyAlignment="1">
      <alignment horizontal="center"/>
    </xf>
    <xf numFmtId="173" fontId="17" fillId="0" borderId="0" xfId="0" applyFont="1" applyAlignment="1">
      <alignment horizontal="center"/>
    </xf>
    <xf numFmtId="173" fontId="20" fillId="0" borderId="0" xfId="0" applyFont="1" applyAlignment="1">
      <alignment horizontal="center"/>
    </xf>
    <xf numFmtId="0" fontId="29" fillId="0" borderId="0" xfId="214" applyFont="1" applyBorder="1" applyAlignment="1">
      <alignment horizontal="center"/>
    </xf>
    <xf numFmtId="0" fontId="29" fillId="0" borderId="17" xfId="214" applyFont="1" applyBorder="1" applyAlignment="1">
      <alignment horizontal="center"/>
    </xf>
    <xf numFmtId="0" fontId="29" fillId="0" borderId="18" xfId="214" applyFont="1" applyBorder="1" applyAlignment="1">
      <alignment horizontal="center"/>
    </xf>
    <xf numFmtId="0" fontId="29" fillId="0" borderId="19" xfId="214" applyFont="1" applyBorder="1" applyAlignment="1">
      <alignment horizontal="center"/>
    </xf>
    <xf numFmtId="0" fontId="19" fillId="0" borderId="0" xfId="214" applyFont="1" applyAlignment="1">
      <alignment horizontal="center"/>
    </xf>
    <xf numFmtId="0" fontId="29" fillId="0" borderId="0" xfId="280" applyFont="1" applyBorder="1" applyAlignment="1">
      <alignment horizontal="center" wrapText="1"/>
    </xf>
    <xf numFmtId="0" fontId="29" fillId="0" borderId="0" xfId="276" applyFont="1" applyBorder="1" applyAlignment="1">
      <alignment horizontal="center"/>
    </xf>
    <xf numFmtId="0" fontId="29" fillId="0" borderId="0" xfId="276" applyFont="1" applyAlignment="1">
      <alignment horizontal="center"/>
    </xf>
    <xf numFmtId="0" fontId="63" fillId="0" borderId="0" xfId="321" applyFont="1" applyAlignment="1">
      <alignment horizontal="center"/>
    </xf>
    <xf numFmtId="173" fontId="29" fillId="3" borderId="0" xfId="0" applyFont="1" applyFill="1" applyAlignment="1">
      <alignment horizontal="center"/>
    </xf>
    <xf numFmtId="0" fontId="19" fillId="3" borderId="0" xfId="323" applyFont="1" applyFill="1" applyAlignment="1">
      <alignment horizontal="left"/>
    </xf>
    <xf numFmtId="0" fontId="19" fillId="4" borderId="0" xfId="323" applyFont="1" applyFill="1" applyAlignment="1">
      <alignment horizontal="left" wrapText="1"/>
    </xf>
    <xf numFmtId="0" fontId="19" fillId="0" borderId="0" xfId="323" applyFont="1" applyAlignment="1">
      <alignment horizontal="left" vertical="center" wrapText="1"/>
    </xf>
    <xf numFmtId="0" fontId="19" fillId="0" borderId="0" xfId="323" applyFont="1" applyAlignment="1">
      <alignment horizontal="left"/>
    </xf>
    <xf numFmtId="0" fontId="19" fillId="0" borderId="0" xfId="323" applyFont="1" applyAlignment="1">
      <alignment horizontal="left" wrapText="1"/>
    </xf>
    <xf numFmtId="0" fontId="19" fillId="3" borderId="0" xfId="323" applyFont="1" applyFill="1" applyAlignment="1">
      <alignment horizontal="left" wrapText="1"/>
    </xf>
    <xf numFmtId="0" fontId="29" fillId="0" borderId="0" xfId="323" applyFont="1" applyAlignment="1">
      <alignment horizontal="center"/>
    </xf>
    <xf numFmtId="0" fontId="19" fillId="0" borderId="0" xfId="323" applyFont="1" applyAlignment="1">
      <alignment horizontal="left" vertical="center"/>
    </xf>
  </cellXfs>
  <cellStyles count="330">
    <cellStyle name="Accent4 2" xfId="11"/>
    <cellStyle name="C00A" xfId="12"/>
    <cellStyle name="C00B" xfId="13"/>
    <cellStyle name="C00L" xfId="14"/>
    <cellStyle name="C01A" xfId="15"/>
    <cellStyle name="C01B" xfId="16"/>
    <cellStyle name="C01H" xfId="17"/>
    <cellStyle name="C01L" xfId="18"/>
    <cellStyle name="C02A" xfId="19"/>
    <cellStyle name="C02B" xfId="20"/>
    <cellStyle name="C02H" xfId="21"/>
    <cellStyle name="C02L" xfId="22"/>
    <cellStyle name="C03A" xfId="23"/>
    <cellStyle name="C03B" xfId="24"/>
    <cellStyle name="C03H" xfId="25"/>
    <cellStyle name="C03L" xfId="26"/>
    <cellStyle name="C04A" xfId="27"/>
    <cellStyle name="C04B" xfId="28"/>
    <cellStyle name="C04H" xfId="29"/>
    <cellStyle name="C04L" xfId="30"/>
    <cellStyle name="C05A" xfId="31"/>
    <cellStyle name="C05B" xfId="32"/>
    <cellStyle name="C05H" xfId="33"/>
    <cellStyle name="C05L" xfId="34"/>
    <cellStyle name="C05L 2" xfId="35"/>
    <cellStyle name="C06A" xfId="36"/>
    <cellStyle name="C06B" xfId="37"/>
    <cellStyle name="C06H" xfId="38"/>
    <cellStyle name="C06L" xfId="39"/>
    <cellStyle name="C07A" xfId="40"/>
    <cellStyle name="C07B" xfId="41"/>
    <cellStyle name="C07H" xfId="42"/>
    <cellStyle name="C07L" xfId="43"/>
    <cellStyle name="Comma" xfId="3" builtinId="3"/>
    <cellStyle name="Comma [2]" xfId="44"/>
    <cellStyle name="Comma 10" xfId="45"/>
    <cellStyle name="Comma 10 2" xfId="46"/>
    <cellStyle name="Comma 10 2 2" xfId="324"/>
    <cellStyle name="Comma 10 3" xfId="47"/>
    <cellStyle name="Comma 11" xfId="48"/>
    <cellStyle name="Comma 11 2" xfId="49"/>
    <cellStyle name="Comma 11 3" xfId="50"/>
    <cellStyle name="Comma 11 3 2" xfId="325"/>
    <cellStyle name="Comma 11 4" xfId="51"/>
    <cellStyle name="Comma 12" xfId="52"/>
    <cellStyle name="Comma 12 2" xfId="53"/>
    <cellStyle name="Comma 13" xfId="54"/>
    <cellStyle name="Comma 14" xfId="55"/>
    <cellStyle name="Comma 15" xfId="56"/>
    <cellStyle name="Comma 16" xfId="57"/>
    <cellStyle name="Comma 17" xfId="58"/>
    <cellStyle name="Comma 18" xfId="59"/>
    <cellStyle name="Comma 19" xfId="60"/>
    <cellStyle name="Comma 2" xfId="61"/>
    <cellStyle name="Comma 2 2" xfId="62"/>
    <cellStyle name="Comma 2 3" xfId="63"/>
    <cellStyle name="Comma 2 3 2" xfId="64"/>
    <cellStyle name="Comma 2 3 3" xfId="65"/>
    <cellStyle name="Comma 20" xfId="66"/>
    <cellStyle name="Comma 21" xfId="67"/>
    <cellStyle name="Comma 22" xfId="68"/>
    <cellStyle name="Comma 23" xfId="69"/>
    <cellStyle name="Comma 24" xfId="70"/>
    <cellStyle name="Comma 25" xfId="71"/>
    <cellStyle name="Comma 26" xfId="72"/>
    <cellStyle name="Comma 27" xfId="73"/>
    <cellStyle name="Comma 28" xfId="74"/>
    <cellStyle name="Comma 29" xfId="75"/>
    <cellStyle name="Comma 3" xfId="76"/>
    <cellStyle name="Comma 3 2" xfId="77"/>
    <cellStyle name="Comma 3 3" xfId="78"/>
    <cellStyle name="Comma 30" xfId="79"/>
    <cellStyle name="Comma 31" xfId="80"/>
    <cellStyle name="Comma 32" xfId="81"/>
    <cellStyle name="Comma 33" xfId="82"/>
    <cellStyle name="Comma 34" xfId="83"/>
    <cellStyle name="Comma 35" xfId="84"/>
    <cellStyle name="Comma 36" xfId="85"/>
    <cellStyle name="Comma 37" xfId="86"/>
    <cellStyle name="Comma 38" xfId="87"/>
    <cellStyle name="Comma 39" xfId="88"/>
    <cellStyle name="Comma 4" xfId="89"/>
    <cellStyle name="Comma 4 2" xfId="90"/>
    <cellStyle name="Comma 40" xfId="91"/>
    <cellStyle name="Comma 41" xfId="92"/>
    <cellStyle name="Comma 42" xfId="93"/>
    <cellStyle name="Comma 43" xfId="94"/>
    <cellStyle name="Comma 44" xfId="95"/>
    <cellStyle name="Comma 45" xfId="96"/>
    <cellStyle name="Comma 46" xfId="97"/>
    <cellStyle name="Comma 47" xfId="98"/>
    <cellStyle name="Comma 48" xfId="99"/>
    <cellStyle name="Comma 49" xfId="100"/>
    <cellStyle name="Comma 5" xfId="101"/>
    <cellStyle name="Comma 5 2" xfId="102"/>
    <cellStyle name="Comma 50" xfId="103"/>
    <cellStyle name="Comma 51" xfId="104"/>
    <cellStyle name="Comma 52" xfId="105"/>
    <cellStyle name="Comma 53" xfId="106"/>
    <cellStyle name="Comma 54" xfId="107"/>
    <cellStyle name="Comma 55" xfId="108"/>
    <cellStyle name="Comma 56" xfId="109"/>
    <cellStyle name="Comma 57" xfId="110"/>
    <cellStyle name="Comma 58" xfId="111"/>
    <cellStyle name="Comma 59" xfId="112"/>
    <cellStyle name="Comma 6" xfId="113"/>
    <cellStyle name="Comma 6 2" xfId="114"/>
    <cellStyle name="Comma 60" xfId="115"/>
    <cellStyle name="Comma 61" xfId="116"/>
    <cellStyle name="Comma 62" xfId="117"/>
    <cellStyle name="Comma 63" xfId="118"/>
    <cellStyle name="Comma 64" xfId="119"/>
    <cellStyle name="Comma 65" xfId="120"/>
    <cellStyle name="Comma 66" xfId="121"/>
    <cellStyle name="Comma 67" xfId="122"/>
    <cellStyle name="Comma 68" xfId="123"/>
    <cellStyle name="Comma 69" xfId="124"/>
    <cellStyle name="Comma 7" xfId="125"/>
    <cellStyle name="Comma 7 2" xfId="126"/>
    <cellStyle name="Comma 70" xfId="127"/>
    <cellStyle name="Comma 71" xfId="128"/>
    <cellStyle name="Comma 72" xfId="129"/>
    <cellStyle name="Comma 73" xfId="130"/>
    <cellStyle name="Comma 74" xfId="131"/>
    <cellStyle name="Comma 75" xfId="132"/>
    <cellStyle name="Comma 76" xfId="133"/>
    <cellStyle name="Comma 77" xfId="134"/>
    <cellStyle name="Comma 78" xfId="135"/>
    <cellStyle name="Comma 79" xfId="136"/>
    <cellStyle name="Comma 8" xfId="137"/>
    <cellStyle name="Comma 8 2" xfId="138"/>
    <cellStyle name="Comma 80" xfId="139"/>
    <cellStyle name="Comma 81" xfId="140"/>
    <cellStyle name="Comma 82" xfId="141"/>
    <cellStyle name="Comma 83" xfId="142"/>
    <cellStyle name="Comma 84" xfId="143"/>
    <cellStyle name="Comma 85" xfId="144"/>
    <cellStyle name="Comma 86" xfId="145"/>
    <cellStyle name="Comma 87" xfId="146"/>
    <cellStyle name="Comma 87 2" xfId="147"/>
    <cellStyle name="Comma 88" xfId="148"/>
    <cellStyle name="Comma 89" xfId="149"/>
    <cellStyle name="Comma 9" xfId="150"/>
    <cellStyle name="Comma 9 2" xfId="151"/>
    <cellStyle name="Comma 90" xfId="152"/>
    <cellStyle name="Comma 91" xfId="153"/>
    <cellStyle name="Comma 92" xfId="154"/>
    <cellStyle name="Comma 93" xfId="155"/>
    <cellStyle name="Comma 94" xfId="156"/>
    <cellStyle name="Comma 95" xfId="157"/>
    <cellStyle name="Comma 96" xfId="158"/>
    <cellStyle name="Comma 97" xfId="159"/>
    <cellStyle name="Comma 98" xfId="160"/>
    <cellStyle name="Comma 99" xfId="10"/>
    <cellStyle name="Comma0" xfId="161"/>
    <cellStyle name="Currency" xfId="1" builtinId="4"/>
    <cellStyle name="Currency [2]" xfId="162"/>
    <cellStyle name="Currency 2" xfId="163"/>
    <cellStyle name="Currency 2 2" xfId="164"/>
    <cellStyle name="Currency 3" xfId="165"/>
    <cellStyle name="Currency 3 2" xfId="166"/>
    <cellStyle name="Currency 3 3" xfId="167"/>
    <cellStyle name="Currency 3 3 2" xfId="168"/>
    <cellStyle name="Currency 3 4" xfId="169"/>
    <cellStyle name="Currency 3 5" xfId="170"/>
    <cellStyle name="Currency 3 6" xfId="322"/>
    <cellStyle name="Currency 4" xfId="171"/>
    <cellStyle name="Currency 4 2" xfId="172"/>
    <cellStyle name="Currency 4 2 2" xfId="173"/>
    <cellStyle name="Currency 4 3" xfId="174"/>
    <cellStyle name="Currency 5" xfId="175"/>
    <cellStyle name="Currency 5 2" xfId="176"/>
    <cellStyle name="Currency 5 3" xfId="177"/>
    <cellStyle name="Currency 5 3 2" xfId="326"/>
    <cellStyle name="Currency 5 4" xfId="178"/>
    <cellStyle name="Currency 6" xfId="179"/>
    <cellStyle name="Currency 6 2" xfId="180"/>
    <cellStyle name="Currency 7" xfId="181"/>
    <cellStyle name="Currency 7 2" xfId="182"/>
    <cellStyle name="Currency 7 2 2" xfId="183"/>
    <cellStyle name="Currency 7 3" xfId="184"/>
    <cellStyle name="Currency 8" xfId="185"/>
    <cellStyle name="Currency 8 2" xfId="186"/>
    <cellStyle name="Currency 9" xfId="187"/>
    <cellStyle name="Currency 9 2" xfId="188"/>
    <cellStyle name="Currency0" xfId="189"/>
    <cellStyle name="Date" xfId="190"/>
    <cellStyle name="Fixed" xfId="191"/>
    <cellStyle name="FRxAmtStyle" xfId="192"/>
    <cellStyle name="Grey" xfId="193"/>
    <cellStyle name="Heading 1 2" xfId="194"/>
    <cellStyle name="Heading 2 2" xfId="195"/>
    <cellStyle name="Heading 2 3" xfId="196"/>
    <cellStyle name="Heading1" xfId="197"/>
    <cellStyle name="Heading2" xfId="198"/>
    <cellStyle name="Input [yellow]" xfId="199"/>
    <cellStyle name="Normal" xfId="0" builtinId="0"/>
    <cellStyle name="Normal - Style1" xfId="200"/>
    <cellStyle name="Normal 10" xfId="201"/>
    <cellStyle name="Normal 10 2" xfId="202"/>
    <cellStyle name="Normal 10 2 2" xfId="203"/>
    <cellStyle name="Normal 11" xfId="204"/>
    <cellStyle name="Normal 12" xfId="205"/>
    <cellStyle name="Normal 13" xfId="206"/>
    <cellStyle name="Normal 13 2" xfId="207"/>
    <cellStyle name="Normal 14" xfId="208"/>
    <cellStyle name="Normal 14 2" xfId="209"/>
    <cellStyle name="Normal 15" xfId="210"/>
    <cellStyle name="Normal 16" xfId="211"/>
    <cellStyle name="Normal 17" xfId="8"/>
    <cellStyle name="Normal 18" xfId="212"/>
    <cellStyle name="Normal 19" xfId="213"/>
    <cellStyle name="Normal 2" xfId="214"/>
    <cellStyle name="Normal 2 2" xfId="215"/>
    <cellStyle name="Normal 2 2 2" xfId="216"/>
    <cellStyle name="Normal 2 3" xfId="217"/>
    <cellStyle name="Normal 2 3 2" xfId="218"/>
    <cellStyle name="Normal 2 3 3" xfId="219"/>
    <cellStyle name="Normal 2 4" xfId="220"/>
    <cellStyle name="Normal 2 5" xfId="221"/>
    <cellStyle name="Normal 20" xfId="222"/>
    <cellStyle name="Normal 21" xfId="9"/>
    <cellStyle name="Normal 22" xfId="323"/>
    <cellStyle name="Normal 23" xfId="328"/>
    <cellStyle name="Normal 24" xfId="329"/>
    <cellStyle name="Normal 3" xfId="7"/>
    <cellStyle name="Normal 3 2" xfId="223"/>
    <cellStyle name="Normal 3 3" xfId="224"/>
    <cellStyle name="Normal 3 3 2" xfId="225"/>
    <cellStyle name="Normal 3_Attach O, GG, Support -New Method 2-14-11" xfId="226"/>
    <cellStyle name="Normal 33" xfId="227"/>
    <cellStyle name="Normal 34" xfId="228"/>
    <cellStyle name="Normal 4" xfId="229"/>
    <cellStyle name="Normal 4 2" xfId="230"/>
    <cellStyle name="Normal 4 3" xfId="231"/>
    <cellStyle name="Normal 4 3 2" xfId="232"/>
    <cellStyle name="Normal 4 4" xfId="233"/>
    <cellStyle name="Normal 4 5" xfId="234"/>
    <cellStyle name="Normal 4 6" xfId="235"/>
    <cellStyle name="Normal 4 7" xfId="321"/>
    <cellStyle name="Normal 5" xfId="236"/>
    <cellStyle name="Normal 5 2" xfId="237"/>
    <cellStyle name="Normal 5 2 2" xfId="327"/>
    <cellStyle name="Normal 5 3" xfId="238"/>
    <cellStyle name="Normal 6" xfId="239"/>
    <cellStyle name="Normal 6 2" xfId="240"/>
    <cellStyle name="Normal 6 2 2" xfId="241"/>
    <cellStyle name="Normal 6 2 2 2" xfId="242"/>
    <cellStyle name="Normal 6 2 3" xfId="243"/>
    <cellStyle name="Normal 6 3" xfId="244"/>
    <cellStyle name="Normal 6 3 2" xfId="245"/>
    <cellStyle name="Normal 6 4" xfId="246"/>
    <cellStyle name="Normal 6 5" xfId="247"/>
    <cellStyle name="Normal 7" xfId="248"/>
    <cellStyle name="Normal 7 2" xfId="249"/>
    <cellStyle name="Normal 7 2 2" xfId="250"/>
    <cellStyle name="Normal 7 3" xfId="251"/>
    <cellStyle name="Normal 7 4" xfId="252"/>
    <cellStyle name="Normal 8" xfId="253"/>
    <cellStyle name="Normal 8 2" xfId="254"/>
    <cellStyle name="Normal 9" xfId="255"/>
    <cellStyle name="Normal_Attachment O &amp; GG Final 11_11_09" xfId="2"/>
    <cellStyle name="Normal_GRE_Rate_Zones_Allocation_11042004" xfId="5"/>
    <cellStyle name="Normal_Rate Zone Allocation" xfId="6"/>
    <cellStyle name="Percent" xfId="4" builtinId="5"/>
    <cellStyle name="Percent [2]" xfId="256"/>
    <cellStyle name="Percent 10" xfId="257"/>
    <cellStyle name="Percent 11" xfId="258"/>
    <cellStyle name="Percent 12" xfId="259"/>
    <cellStyle name="Percent 13" xfId="260"/>
    <cellStyle name="Percent 14" xfId="261"/>
    <cellStyle name="Percent 15" xfId="262"/>
    <cellStyle name="Percent 16" xfId="263"/>
    <cellStyle name="Percent 17" xfId="264"/>
    <cellStyle name="Percent 2" xfId="265"/>
    <cellStyle name="Percent 2 2" xfId="266"/>
    <cellStyle name="Percent 3" xfId="267"/>
    <cellStyle name="Percent 3 2" xfId="268"/>
    <cellStyle name="Percent 4" xfId="269"/>
    <cellStyle name="Percent 5" xfId="270"/>
    <cellStyle name="Percent 6" xfId="271"/>
    <cellStyle name="Percent 7" xfId="272"/>
    <cellStyle name="Percent 7 2" xfId="273"/>
    <cellStyle name="Percent 8" xfId="274"/>
    <cellStyle name="Percent 9" xfId="275"/>
    <cellStyle name="PSChar" xfId="276"/>
    <cellStyle name="PSDate" xfId="277"/>
    <cellStyle name="PSDec" xfId="278"/>
    <cellStyle name="PSdesc" xfId="279"/>
    <cellStyle name="PSHeading" xfId="280"/>
    <cellStyle name="PSInt" xfId="281"/>
    <cellStyle name="PSSpacer" xfId="282"/>
    <cellStyle name="PStest" xfId="283"/>
    <cellStyle name="R00A" xfId="284"/>
    <cellStyle name="R00B" xfId="285"/>
    <cellStyle name="R00L" xfId="286"/>
    <cellStyle name="R01A" xfId="287"/>
    <cellStyle name="R01B" xfId="288"/>
    <cellStyle name="R01H" xfId="289"/>
    <cellStyle name="R01L" xfId="290"/>
    <cellStyle name="R02A" xfId="291"/>
    <cellStyle name="R02B" xfId="292"/>
    <cellStyle name="R02H" xfId="293"/>
    <cellStyle name="R02L" xfId="294"/>
    <cellStyle name="R03A" xfId="295"/>
    <cellStyle name="R03B" xfId="296"/>
    <cellStyle name="R03H" xfId="297"/>
    <cellStyle name="R03L" xfId="298"/>
    <cellStyle name="R04A" xfId="299"/>
    <cellStyle name="R04B" xfId="300"/>
    <cellStyle name="R04H" xfId="301"/>
    <cellStyle name="R04L" xfId="302"/>
    <cellStyle name="R05A" xfId="303"/>
    <cellStyle name="R05B" xfId="304"/>
    <cellStyle name="R05H" xfId="305"/>
    <cellStyle name="R05L" xfId="306"/>
    <cellStyle name="R05L 2" xfId="307"/>
    <cellStyle name="R06A" xfId="308"/>
    <cellStyle name="R06B" xfId="309"/>
    <cellStyle name="R06H" xfId="310"/>
    <cellStyle name="R06L" xfId="311"/>
    <cellStyle name="R07A" xfId="312"/>
    <cellStyle name="R07B" xfId="313"/>
    <cellStyle name="R07H" xfId="314"/>
    <cellStyle name="R07L" xfId="315"/>
    <cellStyle name="STYLE1" xfId="316"/>
    <cellStyle name="STYLE2" xfId="317"/>
    <cellStyle name="STYLE3" xfId="318"/>
    <cellStyle name="STYLE4" xfId="319"/>
    <cellStyle name="Total 2" xfId="3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561975</xdr:colOff>
      <xdr:row>36</xdr:row>
      <xdr:rowOff>182880</xdr:rowOff>
    </xdr:from>
    <xdr:to>
      <xdr:col>5</xdr:col>
      <xdr:colOff>5715</xdr:colOff>
      <xdr:row>38</xdr:row>
      <xdr:rowOff>91440</xdr:rowOff>
    </xdr:to>
    <xdr:sp macro="" textlink="">
      <xdr:nvSpPr>
        <xdr:cNvPr id="3" name="Oval 2"/>
        <xdr:cNvSpPr/>
      </xdr:nvSpPr>
      <xdr:spPr>
        <a:xfrm>
          <a:off x="5419725" y="7279005"/>
          <a:ext cx="662940" cy="32766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990600</xdr:colOff>
      <xdr:row>33</xdr:row>
      <xdr:rowOff>188595</xdr:rowOff>
    </xdr:from>
    <xdr:to>
      <xdr:col>2</xdr:col>
      <xdr:colOff>104775</xdr:colOff>
      <xdr:row>35</xdr:row>
      <xdr:rowOff>66675</xdr:rowOff>
    </xdr:to>
    <xdr:sp macro="" textlink="">
      <xdr:nvSpPr>
        <xdr:cNvPr id="4" name="Oval 3"/>
        <xdr:cNvSpPr/>
      </xdr:nvSpPr>
      <xdr:spPr>
        <a:xfrm>
          <a:off x="2152650" y="6675120"/>
          <a:ext cx="914400" cy="287655"/>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942974</xdr:colOff>
      <xdr:row>30</xdr:row>
      <xdr:rowOff>180975</xdr:rowOff>
    </xdr:from>
    <xdr:to>
      <xdr:col>2</xdr:col>
      <xdr:colOff>55244</xdr:colOff>
      <xdr:row>32</xdr:row>
      <xdr:rowOff>114300</xdr:rowOff>
    </xdr:to>
    <xdr:sp macro="" textlink="">
      <xdr:nvSpPr>
        <xdr:cNvPr id="5" name="Oval 4"/>
        <xdr:cNvSpPr/>
      </xdr:nvSpPr>
      <xdr:spPr>
        <a:xfrm>
          <a:off x="2105024" y="6057900"/>
          <a:ext cx="912495" cy="34290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1000124</xdr:colOff>
      <xdr:row>28</xdr:row>
      <xdr:rowOff>20954</xdr:rowOff>
    </xdr:from>
    <xdr:to>
      <xdr:col>2</xdr:col>
      <xdr:colOff>100964</xdr:colOff>
      <xdr:row>29</xdr:row>
      <xdr:rowOff>114300</xdr:rowOff>
    </xdr:to>
    <xdr:sp macro="" textlink="">
      <xdr:nvSpPr>
        <xdr:cNvPr id="6" name="Oval 5"/>
        <xdr:cNvSpPr/>
      </xdr:nvSpPr>
      <xdr:spPr>
        <a:xfrm>
          <a:off x="2162174" y="5497829"/>
          <a:ext cx="901065" cy="293371"/>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990600</xdr:colOff>
      <xdr:row>25</xdr:row>
      <xdr:rowOff>28575</xdr:rowOff>
    </xdr:from>
    <xdr:to>
      <xdr:col>2</xdr:col>
      <xdr:colOff>87630</xdr:colOff>
      <xdr:row>26</xdr:row>
      <xdr:rowOff>114299</xdr:rowOff>
    </xdr:to>
    <xdr:sp macro="" textlink="">
      <xdr:nvSpPr>
        <xdr:cNvPr id="7" name="Oval 6"/>
        <xdr:cNvSpPr/>
      </xdr:nvSpPr>
      <xdr:spPr>
        <a:xfrm>
          <a:off x="2152650" y="4895850"/>
          <a:ext cx="897255" cy="285749"/>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9"/>
  <sheetViews>
    <sheetView tabSelected="1" zoomScale="75" zoomScaleNormal="75" zoomScaleSheetLayoutView="75" workbookViewId="0">
      <selection activeCell="K23" sqref="K23"/>
    </sheetView>
  </sheetViews>
  <sheetFormatPr defaultColWidth="8.88671875" defaultRowHeight="15.75"/>
  <cols>
    <col min="1" max="1" width="4.21875" style="17" customWidth="1"/>
    <col min="2" max="2" width="28.5546875" style="17" customWidth="1"/>
    <col min="3" max="3" width="33.6640625" style="17" customWidth="1"/>
    <col min="4" max="4" width="11.5546875" style="17" customWidth="1"/>
    <col min="5" max="5" width="4.77734375" style="17" customWidth="1"/>
    <col min="6" max="6" width="4.6640625" style="17" customWidth="1"/>
    <col min="7" max="7" width="10.21875" style="17" customWidth="1"/>
    <col min="8" max="8" width="3.77734375" style="17" customWidth="1"/>
    <col min="9" max="9" width="12.44140625" style="17" customWidth="1"/>
    <col min="10" max="10" width="1.44140625" style="17" customWidth="1"/>
    <col min="11" max="11" width="8.77734375" style="2" customWidth="1"/>
    <col min="12" max="12" width="9.88671875" style="17" bestFit="1" customWidth="1"/>
    <col min="13" max="13" width="38.33203125" style="17" customWidth="1"/>
    <col min="14" max="14" width="14.21875" style="17" customWidth="1"/>
    <col min="15" max="15" width="11.88671875" style="17" customWidth="1"/>
    <col min="16" max="16" width="8.88671875" style="17"/>
    <col min="17" max="17" width="10.33203125" style="17" customWidth="1"/>
    <col min="18" max="18" width="10.21875" style="17" bestFit="1" customWidth="1"/>
    <col min="19" max="19" width="10.21875" style="17" customWidth="1"/>
    <col min="20" max="16384" width="8.88671875" style="17"/>
  </cols>
  <sheetData>
    <row r="1" spans="1:15">
      <c r="B1" s="18"/>
      <c r="C1" s="18"/>
      <c r="D1" s="19"/>
      <c r="E1" s="18"/>
      <c r="F1" s="18"/>
      <c r="G1" s="18"/>
      <c r="H1" s="20"/>
      <c r="I1" s="21"/>
      <c r="J1" s="21"/>
      <c r="K1" s="22"/>
    </row>
    <row r="2" spans="1:15">
      <c r="B2" s="18"/>
      <c r="C2" s="18"/>
      <c r="D2" s="19"/>
      <c r="E2" s="18"/>
      <c r="F2" s="18"/>
      <c r="G2" s="18"/>
      <c r="H2" s="20"/>
      <c r="I2" s="20"/>
      <c r="J2" s="20"/>
      <c r="K2" s="22" t="s">
        <v>200</v>
      </c>
    </row>
    <row r="3" spans="1:15">
      <c r="B3" s="18"/>
      <c r="C3" s="18"/>
      <c r="D3" s="19"/>
      <c r="E3" s="18"/>
      <c r="F3" s="18"/>
      <c r="G3" s="18"/>
      <c r="H3" s="20"/>
      <c r="I3" s="20"/>
      <c r="J3" s="20"/>
      <c r="K3" s="23"/>
    </row>
    <row r="4" spans="1:15">
      <c r="B4" s="18" t="s">
        <v>0</v>
      </c>
      <c r="C4" s="18"/>
      <c r="D4" s="19" t="s">
        <v>281</v>
      </c>
      <c r="E4" s="18"/>
      <c r="F4" s="18"/>
      <c r="G4" s="18"/>
      <c r="H4" s="24"/>
      <c r="I4" s="25"/>
      <c r="J4" s="24"/>
      <c r="K4" s="14" t="s">
        <v>362</v>
      </c>
    </row>
    <row r="5" spans="1:15">
      <c r="B5" s="18"/>
      <c r="C5" s="11" t="s">
        <v>2</v>
      </c>
      <c r="D5" s="11" t="s">
        <v>282</v>
      </c>
      <c r="E5" s="11"/>
      <c r="F5" s="11"/>
      <c r="G5" s="11"/>
      <c r="H5" s="20"/>
      <c r="I5" s="20"/>
      <c r="J5" s="20"/>
      <c r="K5" s="23"/>
    </row>
    <row r="6" spans="1:15">
      <c r="B6" s="20"/>
      <c r="C6" s="20"/>
      <c r="D6" s="20"/>
      <c r="E6" s="20"/>
      <c r="F6" s="20"/>
      <c r="G6" s="20"/>
      <c r="H6" s="20"/>
      <c r="I6" s="20"/>
      <c r="J6" s="20"/>
      <c r="K6" s="23"/>
    </row>
    <row r="7" spans="1:15">
      <c r="A7" s="26"/>
      <c r="B7" s="20"/>
      <c r="C7" s="20"/>
      <c r="D7" s="27" t="s">
        <v>327</v>
      </c>
      <c r="E7" s="20"/>
      <c r="F7" s="20"/>
      <c r="G7" s="20"/>
      <c r="H7" s="20"/>
      <c r="I7" s="20"/>
      <c r="J7" s="20"/>
      <c r="K7" s="23"/>
      <c r="M7" s="28"/>
      <c r="N7" s="28"/>
    </row>
    <row r="8" spans="1:15">
      <c r="A8" s="26"/>
      <c r="B8" s="20"/>
      <c r="C8" s="20"/>
      <c r="D8" s="29"/>
      <c r="E8" s="20"/>
      <c r="F8" s="20"/>
      <c r="G8" s="20"/>
      <c r="H8" s="20"/>
      <c r="I8" s="20"/>
      <c r="J8" s="20"/>
      <c r="K8" s="23"/>
      <c r="M8" s="28"/>
      <c r="N8" s="28"/>
    </row>
    <row r="9" spans="1:15">
      <c r="A9" s="26" t="s">
        <v>4</v>
      </c>
      <c r="B9" s="20"/>
      <c r="C9" s="20"/>
      <c r="D9" s="29"/>
      <c r="E9" s="20"/>
      <c r="F9" s="20"/>
      <c r="G9" s="20"/>
      <c r="H9" s="20"/>
      <c r="I9" s="26" t="s">
        <v>5</v>
      </c>
      <c r="J9" s="20"/>
      <c r="K9" s="23"/>
      <c r="M9" s="28"/>
      <c r="N9" s="28"/>
    </row>
    <row r="10" spans="1:15" ht="16.5" thickBot="1">
      <c r="A10" s="30" t="s">
        <v>6</v>
      </c>
      <c r="B10" s="20"/>
      <c r="C10" s="20"/>
      <c r="D10" s="20"/>
      <c r="E10" s="20"/>
      <c r="F10" s="20"/>
      <c r="G10" s="20"/>
      <c r="H10" s="20"/>
      <c r="I10" s="30" t="s">
        <v>7</v>
      </c>
      <c r="J10" s="20"/>
      <c r="K10" s="23"/>
      <c r="M10" s="28"/>
      <c r="N10" s="28"/>
    </row>
    <row r="11" spans="1:15">
      <c r="A11" s="26">
        <v>1</v>
      </c>
      <c r="B11" s="20" t="s">
        <v>290</v>
      </c>
      <c r="C11" s="20"/>
      <c r="D11" s="31"/>
      <c r="E11" s="20"/>
      <c r="F11" s="20"/>
      <c r="G11" s="20"/>
      <c r="H11" s="20"/>
      <c r="I11" s="32">
        <f>+I199</f>
        <v>63866968.015359834</v>
      </c>
      <c r="J11" s="20"/>
      <c r="K11" s="23"/>
    </row>
    <row r="12" spans="1:15">
      <c r="A12" s="26"/>
      <c r="B12" s="20"/>
      <c r="C12" s="20"/>
      <c r="D12" s="20"/>
      <c r="E12" s="20"/>
      <c r="F12" s="20"/>
      <c r="G12" s="20"/>
      <c r="H12" s="20"/>
      <c r="I12" s="31"/>
      <c r="J12" s="20"/>
      <c r="K12" s="23"/>
    </row>
    <row r="13" spans="1:15" ht="16.5" thickBot="1">
      <c r="A13" s="26" t="s">
        <v>2</v>
      </c>
      <c r="B13" s="18" t="s">
        <v>8</v>
      </c>
      <c r="C13" s="13" t="s">
        <v>197</v>
      </c>
      <c r="D13" s="30" t="s">
        <v>9</v>
      </c>
      <c r="E13" s="11"/>
      <c r="F13" s="33" t="s">
        <v>10</v>
      </c>
      <c r="G13" s="33"/>
      <c r="H13" s="20"/>
      <c r="I13" s="31"/>
      <c r="J13" s="20"/>
      <c r="K13" s="23"/>
    </row>
    <row r="14" spans="1:15">
      <c r="A14" s="26">
        <v>2</v>
      </c>
      <c r="B14" s="18" t="s">
        <v>12</v>
      </c>
      <c r="C14" s="11" t="s">
        <v>165</v>
      </c>
      <c r="D14" s="11">
        <f>I265</f>
        <v>0</v>
      </c>
      <c r="E14" s="11"/>
      <c r="F14" s="11" t="s">
        <v>11</v>
      </c>
      <c r="G14" s="34">
        <f>I216</f>
        <v>0.81319620667250847</v>
      </c>
      <c r="H14" s="11"/>
      <c r="I14" s="11">
        <f>+G14*D14</f>
        <v>0</v>
      </c>
      <c r="J14" s="20"/>
      <c r="K14" s="23"/>
    </row>
    <row r="15" spans="1:15">
      <c r="A15" s="26">
        <v>3</v>
      </c>
      <c r="B15" s="18" t="s">
        <v>222</v>
      </c>
      <c r="C15" s="11" t="s">
        <v>166</v>
      </c>
      <c r="D15" s="11">
        <f>I272</f>
        <v>1468943</v>
      </c>
      <c r="E15" s="11"/>
      <c r="F15" s="11" t="str">
        <f t="shared" ref="F15:G17" si="0">+F14</f>
        <v>TP</v>
      </c>
      <c r="G15" s="34">
        <f t="shared" si="0"/>
        <v>0.81319620667250847</v>
      </c>
      <c r="H15" s="11"/>
      <c r="I15" s="11">
        <f>+G15*D15</f>
        <v>1194538.8754181345</v>
      </c>
      <c r="J15" s="20"/>
      <c r="K15" s="23"/>
    </row>
    <row r="16" spans="1:15">
      <c r="A16" s="26">
        <v>4</v>
      </c>
      <c r="B16" s="35" t="s">
        <v>155</v>
      </c>
      <c r="C16" s="11"/>
      <c r="D16" s="148">
        <v>15333563</v>
      </c>
      <c r="E16" s="11"/>
      <c r="F16" s="11" t="str">
        <f t="shared" si="0"/>
        <v>TP</v>
      </c>
      <c r="G16" s="34">
        <f t="shared" si="0"/>
        <v>0.81319620667250847</v>
      </c>
      <c r="H16" s="11"/>
      <c r="I16" s="11">
        <f>+G16*D16</f>
        <v>12469195.266373929</v>
      </c>
      <c r="J16" s="20"/>
      <c r="K16" s="23"/>
      <c r="M16" s="141"/>
      <c r="N16" s="141"/>
      <c r="O16" s="141"/>
    </row>
    <row r="17" spans="1:19" ht="16.5" thickBot="1">
      <c r="A17" s="26">
        <v>5</v>
      </c>
      <c r="B17" s="35" t="s">
        <v>156</v>
      </c>
      <c r="C17" s="11"/>
      <c r="D17" s="148">
        <v>0</v>
      </c>
      <c r="E17" s="11"/>
      <c r="F17" s="11" t="str">
        <f t="shared" si="0"/>
        <v>TP</v>
      </c>
      <c r="G17" s="34">
        <f t="shared" si="0"/>
        <v>0.81319620667250847</v>
      </c>
      <c r="H17" s="11"/>
      <c r="I17" s="36">
        <f>+G17*D17</f>
        <v>0</v>
      </c>
      <c r="J17" s="20"/>
      <c r="K17" s="23"/>
      <c r="M17" s="141"/>
      <c r="N17" s="141"/>
      <c r="O17" s="141"/>
    </row>
    <row r="18" spans="1:19">
      <c r="A18" s="26">
        <v>6</v>
      </c>
      <c r="B18" s="18" t="s">
        <v>145</v>
      </c>
      <c r="C18" s="20"/>
      <c r="D18" s="37" t="s">
        <v>2</v>
      </c>
      <c r="E18" s="11"/>
      <c r="F18" s="11"/>
      <c r="G18" s="34"/>
      <c r="H18" s="11"/>
      <c r="I18" s="11">
        <f>SUM(I14:I17)</f>
        <v>13663734.141792063</v>
      </c>
      <c r="J18" s="20"/>
      <c r="K18" s="23"/>
      <c r="M18" s="187"/>
      <c r="N18" s="188"/>
      <c r="O18" s="187"/>
    </row>
    <row r="19" spans="1:19">
      <c r="A19" s="26"/>
      <c r="B19" s="18"/>
      <c r="C19" s="20"/>
      <c r="I19" s="11"/>
      <c r="J19" s="20"/>
      <c r="K19" s="23"/>
      <c r="M19" s="141"/>
      <c r="N19" s="141"/>
      <c r="O19" s="141"/>
      <c r="P19" s="38"/>
      <c r="Q19" s="38"/>
      <c r="R19" s="38"/>
      <c r="S19" s="38"/>
    </row>
    <row r="20" spans="1:19">
      <c r="A20" s="26" t="s">
        <v>345</v>
      </c>
      <c r="B20" s="18" t="s">
        <v>346</v>
      </c>
      <c r="C20" s="18"/>
      <c r="I20" s="149">
        <v>806613</v>
      </c>
      <c r="J20" s="20"/>
      <c r="K20" s="23"/>
      <c r="M20" s="139"/>
      <c r="N20" s="140"/>
      <c r="O20" s="139"/>
    </row>
    <row r="21" spans="1:19">
      <c r="A21" s="26" t="s">
        <v>347</v>
      </c>
      <c r="B21" s="18" t="s">
        <v>348</v>
      </c>
      <c r="C21" s="18"/>
      <c r="I21" s="149">
        <v>28895</v>
      </c>
      <c r="J21" s="20"/>
      <c r="K21" s="23"/>
      <c r="M21" s="139"/>
      <c r="N21" s="140"/>
      <c r="O21" s="139"/>
      <c r="P21" s="141"/>
      <c r="Q21" s="141"/>
      <c r="R21" s="141"/>
    </row>
    <row r="22" spans="1:19" ht="16.5" thickBot="1">
      <c r="A22" s="26" t="s">
        <v>349</v>
      </c>
      <c r="B22" s="18" t="s">
        <v>350</v>
      </c>
      <c r="C22" s="18"/>
      <c r="I22" s="41">
        <f>I20+I21</f>
        <v>835508</v>
      </c>
      <c r="J22" s="20"/>
      <c r="K22" s="23"/>
      <c r="M22" s="142" t="s">
        <v>329</v>
      </c>
      <c r="N22" s="143"/>
      <c r="O22" s="144"/>
      <c r="P22" s="141"/>
      <c r="Q22" s="141"/>
      <c r="R22" s="141"/>
    </row>
    <row r="23" spans="1:19">
      <c r="A23" s="26"/>
      <c r="B23" s="18"/>
      <c r="C23" s="20"/>
      <c r="I23" s="11"/>
      <c r="J23" s="20"/>
      <c r="K23" s="23"/>
      <c r="M23" s="139" t="s">
        <v>337</v>
      </c>
      <c r="N23" s="40" t="s">
        <v>330</v>
      </c>
      <c r="O23" s="39" t="s">
        <v>331</v>
      </c>
      <c r="P23" s="141"/>
      <c r="Q23" s="141"/>
      <c r="R23" s="141"/>
    </row>
    <row r="24" spans="1:19" ht="16.5" thickBot="1">
      <c r="A24" s="26">
        <v>7</v>
      </c>
      <c r="B24" s="18" t="s">
        <v>13</v>
      </c>
      <c r="C24" s="20" t="s">
        <v>357</v>
      </c>
      <c r="D24" s="37" t="s">
        <v>2</v>
      </c>
      <c r="E24" s="11"/>
      <c r="F24" s="11"/>
      <c r="G24" s="11"/>
      <c r="H24" s="11"/>
      <c r="I24" s="42">
        <f>+I11-I18+I22</f>
        <v>51038741.873567775</v>
      </c>
      <c r="J24" s="20"/>
      <c r="K24" s="23"/>
      <c r="M24" s="145" t="s">
        <v>339</v>
      </c>
      <c r="N24" s="185">
        <f>O85*$I$24</f>
        <v>48181446.151936367</v>
      </c>
      <c r="O24" s="170">
        <f>SUM(O31-(O25+O26+O27+O28+O29+O30))</f>
        <v>1624749</v>
      </c>
      <c r="P24" s="141"/>
      <c r="Q24" s="141"/>
      <c r="R24" s="141"/>
    </row>
    <row r="25" spans="1:19" ht="16.5" thickTop="1">
      <c r="A25" s="26"/>
      <c r="C25" s="20"/>
      <c r="D25" s="37"/>
      <c r="E25" s="11"/>
      <c r="F25" s="11"/>
      <c r="G25" s="11"/>
      <c r="H25" s="11"/>
      <c r="J25" s="20"/>
      <c r="K25" s="23"/>
      <c r="M25" s="145" t="s">
        <v>340</v>
      </c>
      <c r="N25" s="185">
        <f>O86*$I$24</f>
        <v>2857295.721631411</v>
      </c>
      <c r="O25" s="171">
        <v>434167</v>
      </c>
      <c r="P25" s="141" t="s">
        <v>366</v>
      </c>
      <c r="Q25" s="141"/>
      <c r="R25" s="141"/>
    </row>
    <row r="26" spans="1:19">
      <c r="A26" s="26"/>
      <c r="B26" s="18" t="s">
        <v>14</v>
      </c>
      <c r="C26" s="20"/>
      <c r="D26" s="31"/>
      <c r="E26" s="20"/>
      <c r="F26" s="20"/>
      <c r="G26" s="20"/>
      <c r="H26" s="20"/>
      <c r="I26" s="31"/>
      <c r="J26" s="20"/>
      <c r="K26" s="23"/>
      <c r="M26" s="145" t="s">
        <v>341</v>
      </c>
      <c r="N26" s="185">
        <f>O87*$I$24</f>
        <v>0</v>
      </c>
      <c r="O26" s="172">
        <v>431750</v>
      </c>
      <c r="P26" s="141" t="s">
        <v>366</v>
      </c>
      <c r="Q26" s="141"/>
      <c r="R26" s="141"/>
    </row>
    <row r="27" spans="1:19">
      <c r="A27" s="26">
        <v>8</v>
      </c>
      <c r="B27" s="18" t="s">
        <v>15</v>
      </c>
      <c r="D27" s="31"/>
      <c r="E27" s="20"/>
      <c r="F27" s="20"/>
      <c r="G27" s="23" t="s">
        <v>16</v>
      </c>
      <c r="H27" s="20"/>
      <c r="I27" s="152">
        <v>2956833</v>
      </c>
      <c r="J27" s="20"/>
      <c r="K27" s="23"/>
      <c r="M27" s="145" t="s">
        <v>364</v>
      </c>
      <c r="N27" s="185"/>
      <c r="O27" s="171">
        <v>2583</v>
      </c>
      <c r="P27" s="141" t="s">
        <v>366</v>
      </c>
      <c r="Q27" s="141"/>
      <c r="R27" s="141"/>
    </row>
    <row r="28" spans="1:19">
      <c r="A28" s="26">
        <v>9</v>
      </c>
      <c r="B28" s="18" t="s">
        <v>167</v>
      </c>
      <c r="C28" s="11"/>
      <c r="D28" s="11"/>
      <c r="E28" s="11"/>
      <c r="F28" s="11"/>
      <c r="G28" s="13" t="s">
        <v>17</v>
      </c>
      <c r="H28" s="11"/>
      <c r="I28" s="152">
        <v>0</v>
      </c>
      <c r="J28" s="20"/>
      <c r="K28" s="23"/>
      <c r="M28" s="145" t="s">
        <v>363</v>
      </c>
      <c r="N28" s="185"/>
      <c r="O28" s="170">
        <v>2250</v>
      </c>
      <c r="P28" s="141" t="s">
        <v>366</v>
      </c>
      <c r="Q28" s="141"/>
      <c r="R28" s="141"/>
    </row>
    <row r="29" spans="1:19">
      <c r="A29" s="26">
        <v>10</v>
      </c>
      <c r="B29" s="35" t="s">
        <v>168</v>
      </c>
      <c r="C29" s="20"/>
      <c r="D29" s="20"/>
      <c r="E29" s="20"/>
      <c r="G29" s="23" t="s">
        <v>18</v>
      </c>
      <c r="H29" s="20"/>
      <c r="I29" s="152">
        <v>0</v>
      </c>
      <c r="J29" s="20"/>
      <c r="K29" s="23"/>
      <c r="M29" s="145" t="s">
        <v>344</v>
      </c>
      <c r="N29" s="185"/>
      <c r="O29" s="170">
        <v>11000</v>
      </c>
      <c r="P29" s="141" t="s">
        <v>366</v>
      </c>
      <c r="Q29" s="141"/>
      <c r="R29" s="141"/>
    </row>
    <row r="30" spans="1:19">
      <c r="A30" s="26">
        <v>11</v>
      </c>
      <c r="B30" s="18" t="s">
        <v>157</v>
      </c>
      <c r="C30" s="20"/>
      <c r="D30" s="20"/>
      <c r="E30" s="20"/>
      <c r="G30" s="23" t="s">
        <v>19</v>
      </c>
      <c r="H30" s="20"/>
      <c r="I30" s="151">
        <v>0</v>
      </c>
      <c r="J30" s="20"/>
      <c r="K30" s="23"/>
      <c r="M30" s="146" t="s">
        <v>365</v>
      </c>
      <c r="N30" s="186"/>
      <c r="O30" s="170">
        <v>43667</v>
      </c>
      <c r="P30" s="141" t="s">
        <v>367</v>
      </c>
      <c r="Q30" s="141"/>
      <c r="R30" s="141"/>
    </row>
    <row r="31" spans="1:19">
      <c r="A31" s="26">
        <v>12</v>
      </c>
      <c r="B31" s="35" t="s">
        <v>144</v>
      </c>
      <c r="C31" s="20"/>
      <c r="D31" s="20"/>
      <c r="E31" s="20"/>
      <c r="F31" s="20"/>
      <c r="G31" s="20"/>
      <c r="H31" s="20"/>
      <c r="I31" s="151">
        <v>0</v>
      </c>
      <c r="J31" s="20"/>
      <c r="K31" s="23"/>
      <c r="M31" s="145" t="s">
        <v>338</v>
      </c>
      <c r="N31" s="185">
        <f>SUM(N24:N30)</f>
        <v>51038741.873567775</v>
      </c>
      <c r="O31" s="170">
        <f>I34</f>
        <v>2550166</v>
      </c>
      <c r="P31" s="141"/>
      <c r="Q31" s="141"/>
      <c r="R31" s="141"/>
    </row>
    <row r="32" spans="1:19">
      <c r="A32" s="26">
        <v>13</v>
      </c>
      <c r="B32" s="35" t="s">
        <v>254</v>
      </c>
      <c r="C32" s="20"/>
      <c r="D32" s="20"/>
      <c r="E32" s="20"/>
      <c r="F32" s="20"/>
      <c r="G32" s="23"/>
      <c r="H32" s="20"/>
      <c r="I32" s="151">
        <v>-406667</v>
      </c>
      <c r="J32" s="20"/>
      <c r="K32" s="23"/>
      <c r="M32" s="141" t="s">
        <v>332</v>
      </c>
      <c r="N32" s="17">
        <f>I24-N30</f>
        <v>51038741.873567775</v>
      </c>
      <c r="O32" s="173">
        <f>O31-I34</f>
        <v>0</v>
      </c>
      <c r="P32" s="141"/>
      <c r="Q32" s="141"/>
      <c r="R32" s="141"/>
    </row>
    <row r="33" spans="1:18" ht="16.5" thickBot="1">
      <c r="A33" s="26">
        <v>14</v>
      </c>
      <c r="B33" s="35" t="s">
        <v>184</v>
      </c>
      <c r="C33" s="20"/>
      <c r="D33" s="20"/>
      <c r="E33" s="20"/>
      <c r="F33" s="20"/>
      <c r="G33" s="20"/>
      <c r="H33" s="20"/>
      <c r="I33" s="150">
        <v>0</v>
      </c>
      <c r="J33" s="20"/>
      <c r="K33" s="23"/>
      <c r="M33" s="141"/>
      <c r="P33" s="141"/>
      <c r="Q33" s="141"/>
      <c r="R33" s="141"/>
    </row>
    <row r="34" spans="1:18">
      <c r="A34" s="26">
        <v>15</v>
      </c>
      <c r="B34" s="18" t="s">
        <v>158</v>
      </c>
      <c r="C34" s="20"/>
      <c r="D34" s="20"/>
      <c r="E34" s="20"/>
      <c r="F34" s="20"/>
      <c r="G34" s="20"/>
      <c r="H34" s="20"/>
      <c r="I34" s="31">
        <f>SUM(I27:I33)</f>
        <v>2550166</v>
      </c>
      <c r="J34" s="20"/>
      <c r="K34" s="23"/>
      <c r="M34" s="141" t="s">
        <v>333</v>
      </c>
      <c r="P34" s="141"/>
      <c r="Q34" s="141"/>
      <c r="R34" s="141"/>
    </row>
    <row r="35" spans="1:18">
      <c r="A35" s="26"/>
      <c r="B35" s="18"/>
      <c r="C35" s="20"/>
      <c r="D35" s="20"/>
      <c r="E35" s="20"/>
      <c r="F35" s="20"/>
      <c r="G35" s="20"/>
      <c r="H35" s="20"/>
      <c r="I35" s="31"/>
      <c r="J35" s="20"/>
      <c r="K35" s="23"/>
      <c r="M35" s="141"/>
      <c r="P35" s="141"/>
      <c r="Q35" s="141"/>
      <c r="R35" s="141"/>
    </row>
    <row r="36" spans="1:18">
      <c r="A36" s="26">
        <v>16</v>
      </c>
      <c r="B36" s="18" t="s">
        <v>20</v>
      </c>
      <c r="C36" s="20" t="s">
        <v>159</v>
      </c>
      <c r="D36" s="43">
        <f>IF(I34&gt;0,I24/I34,0)</f>
        <v>20.013890026597394</v>
      </c>
      <c r="E36" s="20"/>
      <c r="F36" s="20"/>
      <c r="G36" s="20"/>
      <c r="H36" s="20"/>
      <c r="J36" s="20"/>
      <c r="K36" s="23"/>
      <c r="M36" s="141">
        <f>N24/O24</f>
        <v>29.654701219656925</v>
      </c>
      <c r="N36" s="173">
        <f>I34</f>
        <v>2550166</v>
      </c>
      <c r="P36" s="141"/>
      <c r="Q36" s="141"/>
      <c r="R36" s="141"/>
    </row>
    <row r="37" spans="1:18">
      <c r="A37" s="26">
        <v>17</v>
      </c>
      <c r="B37" s="18" t="s">
        <v>146</v>
      </c>
      <c r="C37" s="20" t="s">
        <v>160</v>
      </c>
      <c r="D37" s="43">
        <f>+D36/12</f>
        <v>1.6678241688831161</v>
      </c>
      <c r="E37" s="20"/>
      <c r="F37" s="20"/>
      <c r="G37" s="20"/>
      <c r="H37" s="20"/>
      <c r="J37" s="20"/>
      <c r="K37" s="23"/>
      <c r="M37" s="141"/>
      <c r="N37" s="173">
        <f>SUM(O25:O30)</f>
        <v>925417</v>
      </c>
      <c r="P37" s="141"/>
      <c r="Q37" s="141"/>
      <c r="R37" s="141"/>
    </row>
    <row r="38" spans="1:18">
      <c r="A38" s="26"/>
      <c r="B38" s="18"/>
      <c r="C38" s="20"/>
      <c r="D38" s="43"/>
      <c r="E38" s="20"/>
      <c r="F38" s="20"/>
      <c r="G38" s="20"/>
      <c r="H38" s="20"/>
      <c r="J38" s="20"/>
      <c r="K38" s="23"/>
      <c r="M38" s="141"/>
      <c r="N38" s="173">
        <f>SUM(N36-N37)</f>
        <v>1624749</v>
      </c>
      <c r="P38" s="141"/>
      <c r="Q38" s="141"/>
      <c r="R38" s="141"/>
    </row>
    <row r="39" spans="1:18">
      <c r="A39" s="26"/>
      <c r="B39" s="18"/>
      <c r="C39" s="20"/>
      <c r="D39" s="44" t="s">
        <v>21</v>
      </c>
      <c r="E39" s="20"/>
      <c r="F39" s="20"/>
      <c r="G39" s="20"/>
      <c r="H39" s="20"/>
      <c r="I39" s="45" t="s">
        <v>22</v>
      </c>
      <c r="J39" s="20"/>
      <c r="K39" s="23"/>
    </row>
    <row r="40" spans="1:18">
      <c r="A40" s="26">
        <v>18</v>
      </c>
      <c r="B40" s="18" t="s">
        <v>23</v>
      </c>
      <c r="C40" s="19" t="s">
        <v>161</v>
      </c>
      <c r="D40" s="43">
        <f>+D36/52</f>
        <v>0.38488250051148837</v>
      </c>
      <c r="E40" s="20"/>
      <c r="F40" s="20"/>
      <c r="G40" s="20"/>
      <c r="H40" s="20"/>
      <c r="I40" s="46">
        <f>+D36/52</f>
        <v>0.38488250051148837</v>
      </c>
      <c r="J40" s="20"/>
      <c r="K40" s="23"/>
    </row>
    <row r="41" spans="1:18">
      <c r="A41" s="26">
        <v>19</v>
      </c>
      <c r="B41" s="18" t="s">
        <v>24</v>
      </c>
      <c r="C41" s="47" t="s">
        <v>291</v>
      </c>
      <c r="D41" s="43">
        <f>+D36/260</f>
        <v>7.6976500102297674E-2</v>
      </c>
      <c r="E41" s="20" t="s">
        <v>25</v>
      </c>
      <c r="G41" s="20"/>
      <c r="H41" s="20"/>
      <c r="I41" s="46">
        <f>+D36/365</f>
        <v>5.483257541533533E-2</v>
      </c>
      <c r="J41" s="20"/>
      <c r="K41" s="23"/>
    </row>
    <row r="42" spans="1:18">
      <c r="A42" s="26">
        <v>20</v>
      </c>
      <c r="B42" s="18" t="s">
        <v>26</v>
      </c>
      <c r="C42" s="47" t="s">
        <v>292</v>
      </c>
      <c r="D42" s="43">
        <f>+D36/4160*1000</f>
        <v>4.8110312563936048</v>
      </c>
      <c r="E42" s="20" t="s">
        <v>27</v>
      </c>
      <c r="G42" s="20"/>
      <c r="H42" s="20"/>
      <c r="I42" s="48">
        <f>+D36/8760*1000</f>
        <v>2.2846906423056388</v>
      </c>
      <c r="J42" s="20"/>
      <c r="K42" s="23" t="s">
        <v>2</v>
      </c>
    </row>
    <row r="43" spans="1:18">
      <c r="A43" s="26"/>
      <c r="B43" s="18"/>
      <c r="C43" s="20" t="s">
        <v>28</v>
      </c>
      <c r="D43" s="20"/>
      <c r="E43" s="20" t="s">
        <v>29</v>
      </c>
      <c r="G43" s="20"/>
      <c r="H43" s="20"/>
      <c r="J43" s="20"/>
      <c r="K43" s="23" t="s">
        <v>2</v>
      </c>
    </row>
    <row r="44" spans="1:18">
      <c r="A44" s="26"/>
      <c r="B44" s="18"/>
      <c r="C44" s="20"/>
      <c r="D44" s="20"/>
      <c r="E44" s="20"/>
      <c r="G44" s="20"/>
      <c r="H44" s="20"/>
      <c r="J44" s="20"/>
      <c r="K44" s="23" t="s">
        <v>2</v>
      </c>
    </row>
    <row r="45" spans="1:18">
      <c r="A45" s="26">
        <v>21</v>
      </c>
      <c r="B45" s="18" t="s">
        <v>247</v>
      </c>
      <c r="C45" s="20" t="s">
        <v>245</v>
      </c>
      <c r="D45" s="1">
        <v>6.4692E-2</v>
      </c>
      <c r="E45" s="49" t="s">
        <v>30</v>
      </c>
      <c r="F45" s="49"/>
      <c r="G45" s="49"/>
      <c r="H45" s="49"/>
      <c r="I45" s="49">
        <f>D45</f>
        <v>6.4692E-2</v>
      </c>
      <c r="J45" s="49" t="s">
        <v>30</v>
      </c>
      <c r="K45" s="23"/>
    </row>
    <row r="46" spans="1:18">
      <c r="A46" s="26">
        <v>22</v>
      </c>
      <c r="B46" s="18"/>
      <c r="C46" s="20"/>
      <c r="D46" s="1">
        <f>D45</f>
        <v>6.4692E-2</v>
      </c>
      <c r="E46" s="49" t="s">
        <v>31</v>
      </c>
      <c r="F46" s="49"/>
      <c r="G46" s="49"/>
      <c r="H46" s="49"/>
      <c r="I46" s="49">
        <f>D46</f>
        <v>6.4692E-2</v>
      </c>
      <c r="J46" s="49" t="s">
        <v>31</v>
      </c>
      <c r="K46" s="23"/>
    </row>
    <row r="47" spans="1:18" s="2" customFormat="1">
      <c r="A47" s="50"/>
      <c r="B47" s="51"/>
      <c r="C47" s="23"/>
      <c r="D47" s="52"/>
      <c r="E47" s="52"/>
      <c r="F47" s="52"/>
      <c r="G47" s="52"/>
      <c r="H47" s="52"/>
      <c r="I47" s="52"/>
      <c r="J47" s="52"/>
      <c r="K47" s="23"/>
      <c r="M47" s="17"/>
      <c r="N47" s="17"/>
      <c r="O47" s="17"/>
    </row>
    <row r="48" spans="1:18" s="2" customFormat="1">
      <c r="A48" s="50"/>
      <c r="B48" s="51"/>
      <c r="C48" s="23"/>
      <c r="D48" s="52"/>
      <c r="E48" s="52"/>
      <c r="F48" s="52"/>
      <c r="G48" s="52"/>
      <c r="H48" s="52"/>
      <c r="I48" s="52"/>
      <c r="J48" s="52"/>
      <c r="K48" s="23"/>
    </row>
    <row r="49" spans="1:11" s="2" customFormat="1">
      <c r="A49" s="50"/>
      <c r="B49" s="51"/>
      <c r="C49" s="23"/>
      <c r="D49" s="52"/>
      <c r="E49" s="52"/>
      <c r="F49" s="52"/>
      <c r="G49" s="52"/>
      <c r="H49" s="52"/>
      <c r="I49" s="52"/>
      <c r="J49" s="52"/>
      <c r="K49" s="23"/>
    </row>
    <row r="50" spans="1:11" s="2" customFormat="1">
      <c r="A50" s="50"/>
      <c r="B50" s="51"/>
      <c r="C50" s="23"/>
      <c r="D50" s="52"/>
      <c r="E50" s="52"/>
      <c r="F50" s="52"/>
      <c r="G50" s="52"/>
      <c r="H50" s="52"/>
      <c r="I50" s="52"/>
      <c r="J50" s="52"/>
      <c r="K50" s="23"/>
    </row>
    <row r="51" spans="1:11" s="2" customFormat="1">
      <c r="A51" s="50"/>
      <c r="B51" s="51"/>
      <c r="C51" s="23"/>
      <c r="D51" s="52"/>
      <c r="E51" s="52"/>
      <c r="F51" s="52"/>
      <c r="G51" s="52"/>
      <c r="H51" s="52"/>
      <c r="I51" s="52"/>
      <c r="J51" s="52"/>
      <c r="K51" s="23"/>
    </row>
    <row r="52" spans="1:11" s="2" customFormat="1">
      <c r="A52" s="50"/>
      <c r="B52" s="51"/>
      <c r="C52" s="23"/>
      <c r="D52" s="52"/>
      <c r="E52" s="52"/>
      <c r="F52" s="52"/>
      <c r="G52" s="52"/>
      <c r="H52" s="52"/>
      <c r="I52" s="52"/>
      <c r="J52" s="52"/>
      <c r="K52" s="23"/>
    </row>
    <row r="53" spans="1:11" s="2" customFormat="1">
      <c r="A53" s="50"/>
      <c r="B53" s="51"/>
      <c r="C53" s="23"/>
      <c r="D53" s="52"/>
      <c r="E53" s="52"/>
      <c r="F53" s="52"/>
      <c r="G53" s="52"/>
      <c r="H53" s="52"/>
      <c r="I53" s="52"/>
      <c r="J53" s="52"/>
      <c r="K53" s="23"/>
    </row>
    <row r="54" spans="1:11" s="2" customFormat="1">
      <c r="A54" s="50"/>
      <c r="B54" s="51"/>
      <c r="C54" s="23"/>
      <c r="D54" s="52"/>
      <c r="E54" s="52"/>
      <c r="F54" s="52"/>
      <c r="G54" s="52"/>
      <c r="H54" s="52"/>
      <c r="I54" s="52"/>
      <c r="J54" s="52"/>
      <c r="K54" s="23"/>
    </row>
    <row r="55" spans="1:11" s="2" customFormat="1">
      <c r="A55" s="50"/>
      <c r="B55" s="51"/>
      <c r="C55" s="23"/>
      <c r="D55" s="52"/>
      <c r="E55" s="52"/>
      <c r="F55" s="52"/>
      <c r="G55" s="52"/>
      <c r="H55" s="52"/>
      <c r="I55" s="52"/>
      <c r="J55" s="52"/>
      <c r="K55" s="23"/>
    </row>
    <row r="56" spans="1:11" s="2" customFormat="1">
      <c r="A56" s="50"/>
      <c r="B56" s="51"/>
      <c r="C56" s="23"/>
      <c r="D56" s="52"/>
      <c r="E56" s="52"/>
      <c r="F56" s="52"/>
      <c r="G56" s="52"/>
      <c r="H56" s="52"/>
      <c r="I56" s="52"/>
      <c r="J56" s="52"/>
      <c r="K56" s="23"/>
    </row>
    <row r="57" spans="1:11" s="2" customFormat="1">
      <c r="A57" s="50"/>
      <c r="B57" s="51"/>
      <c r="C57" s="23"/>
      <c r="D57" s="52"/>
      <c r="E57" s="52"/>
      <c r="F57" s="52"/>
      <c r="G57" s="52"/>
      <c r="H57" s="52"/>
      <c r="I57" s="52"/>
      <c r="J57" s="52"/>
      <c r="K57" s="23"/>
    </row>
    <row r="58" spans="1:11" s="2" customFormat="1">
      <c r="A58" s="50"/>
      <c r="B58" s="51"/>
      <c r="C58" s="23"/>
      <c r="D58" s="52"/>
      <c r="E58" s="52"/>
      <c r="F58" s="52"/>
      <c r="G58" s="52"/>
      <c r="H58" s="52"/>
      <c r="I58" s="52"/>
      <c r="J58" s="52"/>
      <c r="K58" s="23"/>
    </row>
    <row r="59" spans="1:11" s="2" customFormat="1">
      <c r="A59" s="50"/>
      <c r="B59" s="51"/>
      <c r="C59" s="23"/>
      <c r="D59" s="52"/>
      <c r="E59" s="52"/>
      <c r="F59" s="52"/>
      <c r="G59" s="52"/>
      <c r="H59" s="52"/>
      <c r="I59" s="52"/>
      <c r="J59" s="52"/>
      <c r="K59" s="23"/>
    </row>
    <row r="60" spans="1:11" s="2" customFormat="1">
      <c r="A60" s="50"/>
      <c r="B60" s="51"/>
      <c r="C60" s="23"/>
      <c r="D60" s="52"/>
      <c r="E60" s="52"/>
      <c r="F60" s="52"/>
      <c r="G60" s="52"/>
      <c r="H60" s="52"/>
      <c r="I60" s="52"/>
      <c r="J60" s="52"/>
      <c r="K60" s="23"/>
    </row>
    <row r="61" spans="1:11" s="2" customFormat="1">
      <c r="A61" s="50"/>
      <c r="B61" s="51"/>
      <c r="C61" s="23"/>
      <c r="D61" s="52"/>
      <c r="E61" s="52"/>
      <c r="F61" s="52"/>
      <c r="G61" s="52"/>
      <c r="H61" s="52"/>
      <c r="I61" s="52"/>
      <c r="J61" s="52"/>
      <c r="K61" s="23"/>
    </row>
    <row r="62" spans="1:11" s="2" customFormat="1">
      <c r="A62" s="50"/>
      <c r="B62" s="51"/>
      <c r="C62" s="23"/>
      <c r="D62" s="52"/>
      <c r="E62" s="52"/>
      <c r="F62" s="52"/>
      <c r="G62" s="52"/>
      <c r="H62" s="52"/>
      <c r="I62" s="52"/>
      <c r="J62" s="52"/>
      <c r="K62" s="23"/>
    </row>
    <row r="63" spans="1:11" s="2" customFormat="1">
      <c r="A63" s="50"/>
      <c r="B63" s="51"/>
      <c r="C63" s="23"/>
      <c r="D63" s="52"/>
      <c r="E63" s="52"/>
      <c r="F63" s="52"/>
      <c r="G63" s="52"/>
      <c r="H63" s="52"/>
      <c r="I63" s="52"/>
      <c r="J63" s="52"/>
      <c r="K63" s="23"/>
    </row>
    <row r="64" spans="1:11" s="2" customFormat="1">
      <c r="A64" s="50"/>
      <c r="B64" s="51"/>
      <c r="C64" s="23"/>
      <c r="D64" s="52"/>
      <c r="E64" s="52"/>
      <c r="F64" s="52"/>
      <c r="G64" s="52"/>
      <c r="H64" s="52"/>
      <c r="I64" s="52"/>
      <c r="J64" s="52"/>
      <c r="K64" s="23"/>
    </row>
    <row r="65" spans="1:15" s="2" customFormat="1">
      <c r="A65" s="50"/>
      <c r="B65" s="51"/>
      <c r="C65" s="23"/>
      <c r="D65" s="52"/>
      <c r="E65" s="52"/>
      <c r="F65" s="52"/>
      <c r="G65" s="52"/>
      <c r="H65" s="52"/>
      <c r="I65" s="52"/>
      <c r="J65" s="52"/>
      <c r="K65" s="23"/>
    </row>
    <row r="66" spans="1:15" s="2" customFormat="1">
      <c r="A66" s="50"/>
      <c r="B66" s="51"/>
      <c r="C66" s="23"/>
      <c r="D66" s="52"/>
      <c r="E66" s="52"/>
      <c r="F66" s="52"/>
      <c r="G66" s="52"/>
      <c r="H66" s="52"/>
      <c r="I66" s="52"/>
      <c r="J66" s="52"/>
      <c r="K66" s="23"/>
    </row>
    <row r="67" spans="1:15" s="2" customFormat="1">
      <c r="A67" s="50"/>
      <c r="B67" s="51"/>
      <c r="C67" s="23"/>
      <c r="D67" s="52"/>
      <c r="E67" s="52"/>
      <c r="F67" s="52"/>
      <c r="G67" s="52"/>
      <c r="H67" s="52"/>
      <c r="I67" s="52"/>
      <c r="J67" s="52"/>
      <c r="K67" s="23"/>
    </row>
    <row r="68" spans="1:15" s="2" customFormat="1">
      <c r="A68" s="50"/>
      <c r="B68" s="51"/>
      <c r="C68" s="23"/>
      <c r="D68" s="52"/>
      <c r="E68" s="52"/>
      <c r="F68" s="52"/>
      <c r="G68" s="52"/>
      <c r="H68" s="52"/>
      <c r="I68" s="52"/>
      <c r="J68" s="52"/>
      <c r="K68" s="23"/>
    </row>
    <row r="69" spans="1:15" s="2" customFormat="1">
      <c r="A69" s="50"/>
      <c r="B69" s="51"/>
      <c r="C69" s="23"/>
      <c r="D69" s="52"/>
      <c r="E69" s="52"/>
      <c r="F69" s="52"/>
      <c r="G69" s="52"/>
      <c r="H69" s="52"/>
      <c r="I69" s="52"/>
      <c r="J69" s="52"/>
      <c r="K69" s="23"/>
    </row>
    <row r="70" spans="1:15">
      <c r="B70" s="18"/>
      <c r="C70" s="18"/>
      <c r="D70" s="19"/>
      <c r="E70" s="18"/>
      <c r="F70" s="18"/>
      <c r="G70" s="18"/>
      <c r="H70" s="20"/>
      <c r="I70" s="20"/>
      <c r="J70" s="345" t="s">
        <v>201</v>
      </c>
      <c r="K70" s="345"/>
      <c r="M70" s="2"/>
      <c r="N70" s="2"/>
      <c r="O70" s="2"/>
    </row>
    <row r="71" spans="1:15">
      <c r="B71" s="18"/>
      <c r="C71" s="18"/>
      <c r="D71" s="19"/>
      <c r="E71" s="18"/>
      <c r="F71" s="18"/>
      <c r="G71" s="18"/>
      <c r="H71" s="20"/>
      <c r="I71" s="20"/>
      <c r="J71" s="20"/>
      <c r="K71" s="22"/>
    </row>
    <row r="72" spans="1:15">
      <c r="B72" s="18" t="s">
        <v>0</v>
      </c>
      <c r="C72" s="18"/>
      <c r="D72" s="19" t="s">
        <v>281</v>
      </c>
      <c r="E72" s="18"/>
      <c r="F72" s="18"/>
      <c r="G72" s="18"/>
      <c r="H72" s="20"/>
      <c r="I72" s="20"/>
      <c r="J72" s="20"/>
      <c r="K72" s="22" t="str">
        <f>K4</f>
        <v>For the 12 months ended 12/31/16</v>
      </c>
    </row>
    <row r="73" spans="1:15">
      <c r="B73" s="18"/>
      <c r="C73" s="11" t="s">
        <v>2</v>
      </c>
      <c r="D73" s="11" t="s">
        <v>282</v>
      </c>
      <c r="E73" s="11"/>
      <c r="F73" s="11"/>
      <c r="G73" s="11"/>
      <c r="H73" s="20"/>
      <c r="I73" s="20"/>
      <c r="J73" s="20"/>
      <c r="K73" s="23"/>
    </row>
    <row r="74" spans="1:15">
      <c r="B74" s="18"/>
      <c r="C74" s="11"/>
      <c r="D74" s="11"/>
      <c r="E74" s="11"/>
      <c r="F74" s="11"/>
      <c r="G74" s="11"/>
      <c r="H74" s="20"/>
      <c r="I74" s="20"/>
      <c r="J74" s="20"/>
      <c r="K74" s="23"/>
    </row>
    <row r="75" spans="1:15">
      <c r="B75" s="18"/>
      <c r="C75" s="20"/>
      <c r="D75" s="11" t="str">
        <f>D7</f>
        <v>Cleco Power LLC</v>
      </c>
      <c r="E75" s="11"/>
      <c r="F75" s="11"/>
      <c r="G75" s="11"/>
      <c r="H75" s="11"/>
      <c r="I75" s="11"/>
      <c r="J75" s="11"/>
      <c r="K75" s="13"/>
    </row>
    <row r="76" spans="1:15">
      <c r="B76" s="26" t="s">
        <v>32</v>
      </c>
      <c r="C76" s="26" t="s">
        <v>33</v>
      </c>
      <c r="D76" s="26" t="s">
        <v>34</v>
      </c>
      <c r="E76" s="11" t="s">
        <v>2</v>
      </c>
      <c r="F76" s="11"/>
      <c r="G76" s="53" t="s">
        <v>35</v>
      </c>
      <c r="H76" s="11"/>
      <c r="I76" s="54" t="s">
        <v>36</v>
      </c>
      <c r="J76" s="11"/>
      <c r="K76" s="50"/>
    </row>
    <row r="77" spans="1:15">
      <c r="B77" s="18"/>
      <c r="C77" s="55" t="s">
        <v>37</v>
      </c>
      <c r="D77" s="11"/>
      <c r="E77" s="11"/>
      <c r="F77" s="11"/>
      <c r="G77" s="26"/>
      <c r="H77" s="11"/>
      <c r="I77" s="56" t="s">
        <v>38</v>
      </c>
      <c r="J77" s="11"/>
      <c r="K77" s="50"/>
    </row>
    <row r="78" spans="1:15">
      <c r="A78" s="26" t="s">
        <v>4</v>
      </c>
      <c r="B78" s="18"/>
      <c r="C78" s="57" t="s">
        <v>39</v>
      </c>
      <c r="D78" s="56" t="s">
        <v>40</v>
      </c>
      <c r="E78" s="58"/>
      <c r="F78" s="56" t="s">
        <v>41</v>
      </c>
      <c r="H78" s="58"/>
      <c r="I78" s="26" t="s">
        <v>42</v>
      </c>
      <c r="J78" s="11"/>
      <c r="K78" s="50"/>
    </row>
    <row r="79" spans="1:15" ht="16.5" thickBot="1">
      <c r="A79" s="30" t="s">
        <v>6</v>
      </c>
      <c r="B79" s="59" t="s">
        <v>43</v>
      </c>
      <c r="C79" s="11"/>
      <c r="D79" s="11"/>
      <c r="E79" s="11"/>
      <c r="F79" s="11"/>
      <c r="G79" s="11"/>
      <c r="H79" s="11"/>
      <c r="I79" s="11"/>
      <c r="J79" s="11"/>
      <c r="K79" s="13"/>
    </row>
    <row r="80" spans="1:15">
      <c r="A80" s="26"/>
      <c r="B80" s="18" t="s">
        <v>307</v>
      </c>
      <c r="C80" s="11"/>
      <c r="D80" s="11"/>
      <c r="E80" s="11"/>
      <c r="F80" s="11"/>
      <c r="G80" s="11"/>
      <c r="H80" s="11"/>
      <c r="I80" s="11"/>
      <c r="J80" s="11"/>
      <c r="K80" s="13"/>
    </row>
    <row r="81" spans="1:17">
      <c r="A81" s="26">
        <v>1</v>
      </c>
      <c r="B81" s="18" t="s">
        <v>44</v>
      </c>
      <c r="C81" s="13" t="s">
        <v>226</v>
      </c>
      <c r="D81" s="148">
        <f>'8 - Excluded ARO'!C10</f>
        <v>2283658354</v>
      </c>
      <c r="E81" s="11"/>
      <c r="F81" s="11" t="s">
        <v>45</v>
      </c>
      <c r="G81" s="60" t="s">
        <v>2</v>
      </c>
      <c r="H81" s="11"/>
      <c r="I81" s="11" t="s">
        <v>2</v>
      </c>
      <c r="J81" s="11"/>
      <c r="K81" s="13"/>
    </row>
    <row r="82" spans="1:17">
      <c r="A82" s="26">
        <v>2</v>
      </c>
      <c r="B82" s="18" t="s">
        <v>46</v>
      </c>
      <c r="C82" s="13" t="s">
        <v>219</v>
      </c>
      <c r="D82" s="148">
        <v>716205523</v>
      </c>
      <c r="E82" s="11"/>
      <c r="F82" s="11" t="s">
        <v>11</v>
      </c>
      <c r="G82" s="60">
        <f>I216</f>
        <v>0.81319620667250847</v>
      </c>
      <c r="H82" s="11"/>
      <c r="I82" s="11">
        <f>+G82*D82</f>
        <v>582415614.50150001</v>
      </c>
      <c r="J82" s="11"/>
      <c r="K82" s="13"/>
      <c r="M82" s="159" t="s">
        <v>342</v>
      </c>
      <c r="N82" s="160"/>
      <c r="O82" s="160"/>
      <c r="P82" s="141"/>
      <c r="Q82" s="141"/>
    </row>
    <row r="83" spans="1:17">
      <c r="A83" s="26">
        <v>3</v>
      </c>
      <c r="B83" s="18" t="s">
        <v>47</v>
      </c>
      <c r="C83" s="13" t="s">
        <v>220</v>
      </c>
      <c r="D83" s="148">
        <v>1399418068</v>
      </c>
      <c r="E83" s="11"/>
      <c r="F83" s="11" t="s">
        <v>45</v>
      </c>
      <c r="G83" s="60" t="s">
        <v>2</v>
      </c>
      <c r="H83" s="11"/>
      <c r="I83" s="11" t="s">
        <v>2</v>
      </c>
      <c r="J83" s="11"/>
      <c r="K83" s="13"/>
      <c r="M83" s="139"/>
      <c r="N83" s="161"/>
      <c r="O83" s="162"/>
      <c r="P83" s="141"/>
      <c r="Q83" s="141"/>
    </row>
    <row r="84" spans="1:17">
      <c r="A84" s="26">
        <v>4</v>
      </c>
      <c r="B84" s="18" t="s">
        <v>48</v>
      </c>
      <c r="C84" s="13" t="s">
        <v>227</v>
      </c>
      <c r="D84" s="148">
        <f>67191316+190972206</f>
        <v>258163522</v>
      </c>
      <c r="E84" s="11"/>
      <c r="F84" s="11" t="s">
        <v>49</v>
      </c>
      <c r="G84" s="60">
        <f>I233</f>
        <v>4.0485581704651184E-2</v>
      </c>
      <c r="H84" s="11"/>
      <c r="I84" s="11">
        <f>+G84*D84</f>
        <v>10451900.363091514</v>
      </c>
      <c r="J84" s="11"/>
      <c r="K84" s="13"/>
      <c r="M84" s="163"/>
      <c r="N84" s="164" t="s">
        <v>334</v>
      </c>
      <c r="O84" s="165" t="s">
        <v>5</v>
      </c>
      <c r="P84" s="141"/>
      <c r="Q84" s="141"/>
    </row>
    <row r="85" spans="1:17" ht="16.5" thickBot="1">
      <c r="A85" s="26">
        <v>5</v>
      </c>
      <c r="B85" s="18" t="s">
        <v>50</v>
      </c>
      <c r="C85" s="13" t="s">
        <v>51</v>
      </c>
      <c r="D85" s="153"/>
      <c r="E85" s="11"/>
      <c r="F85" s="11" t="s">
        <v>100</v>
      </c>
      <c r="G85" s="60">
        <f>K237</f>
        <v>4.0485581704651184E-2</v>
      </c>
      <c r="H85" s="11"/>
      <c r="I85" s="36">
        <f>+G85*D85</f>
        <v>0</v>
      </c>
      <c r="J85" s="11"/>
      <c r="K85" s="13"/>
      <c r="M85" s="145" t="s">
        <v>339</v>
      </c>
      <c r="N85" s="166">
        <f>I82-N86</f>
        <v>549810311.50150001</v>
      </c>
      <c r="O85" s="168">
        <f>N85/SUM($N$85:$N$90)</f>
        <v>0.94401712078425737</v>
      </c>
      <c r="P85" s="141"/>
      <c r="Q85" s="141"/>
    </row>
    <row r="86" spans="1:17">
      <c r="A86" s="26">
        <v>6</v>
      </c>
      <c r="B86" s="18" t="s">
        <v>278</v>
      </c>
      <c r="C86" s="13"/>
      <c r="D86" s="11">
        <f>SUM(D81:D85)</f>
        <v>4657445467</v>
      </c>
      <c r="E86" s="11"/>
      <c r="F86" s="11" t="s">
        <v>52</v>
      </c>
      <c r="G86" s="61">
        <f>IF(I86&gt;0,I86/D86,0)</f>
        <v>0.12729456932245634</v>
      </c>
      <c r="H86" s="11"/>
      <c r="I86" s="11">
        <f>SUM(I81:I85)</f>
        <v>592867514.86459148</v>
      </c>
      <c r="J86" s="11"/>
      <c r="K86" s="62"/>
      <c r="M86" s="145" t="s">
        <v>340</v>
      </c>
      <c r="N86" s="166">
        <v>32605303</v>
      </c>
      <c r="O86" s="168">
        <f>N86/SUM($N$85:$N$90)</f>
        <v>5.5982879215742638E-2</v>
      </c>
      <c r="P86" s="141"/>
      <c r="Q86" s="141"/>
    </row>
    <row r="87" spans="1:17">
      <c r="B87" s="18"/>
      <c r="C87" s="13"/>
      <c r="D87" s="11"/>
      <c r="E87" s="11"/>
      <c r="F87" s="11"/>
      <c r="G87" s="61"/>
      <c r="H87" s="11"/>
      <c r="I87" s="11"/>
      <c r="J87" s="11"/>
      <c r="K87" s="62"/>
      <c r="M87" s="145" t="s">
        <v>341</v>
      </c>
      <c r="N87" s="166">
        <v>0</v>
      </c>
      <c r="O87" s="168">
        <f>N87/SUM($N$85:$N$90)</f>
        <v>0</v>
      </c>
      <c r="P87" s="141"/>
      <c r="Q87" s="141"/>
    </row>
    <row r="88" spans="1:17">
      <c r="B88" s="18" t="s">
        <v>308</v>
      </c>
      <c r="C88" s="13"/>
      <c r="D88" s="11"/>
      <c r="E88" s="11"/>
      <c r="F88" s="11"/>
      <c r="G88" s="11"/>
      <c r="H88" s="11"/>
      <c r="I88" s="11"/>
      <c r="J88" s="11"/>
      <c r="K88" s="13"/>
      <c r="M88" s="145"/>
      <c r="N88" s="166"/>
      <c r="O88" s="168"/>
      <c r="P88" s="141"/>
      <c r="Q88" s="141"/>
    </row>
    <row r="89" spans="1:17">
      <c r="A89" s="26">
        <v>7</v>
      </c>
      <c r="B89" s="18" t="str">
        <f>+B81</f>
        <v xml:space="preserve">  Production</v>
      </c>
      <c r="C89" s="13" t="s">
        <v>205</v>
      </c>
      <c r="D89" s="148">
        <f>779270391+7814680</f>
        <v>787085071</v>
      </c>
      <c r="E89" s="11"/>
      <c r="F89" s="11" t="str">
        <f>+F81</f>
        <v>NA</v>
      </c>
      <c r="G89" s="60" t="str">
        <f>+G81</f>
        <v xml:space="preserve"> </v>
      </c>
      <c r="H89" s="11"/>
      <c r="I89" s="11" t="s">
        <v>2</v>
      </c>
      <c r="J89" s="11"/>
      <c r="K89" s="13"/>
      <c r="M89" s="145"/>
      <c r="N89" s="166"/>
      <c r="O89" s="168"/>
      <c r="P89" s="141"/>
      <c r="Q89" s="141"/>
    </row>
    <row r="90" spans="1:17">
      <c r="A90" s="26">
        <v>8</v>
      </c>
      <c r="B90" s="18" t="str">
        <f>+B82</f>
        <v xml:space="preserve">  Transmission</v>
      </c>
      <c r="C90" s="13" t="s">
        <v>206</v>
      </c>
      <c r="D90" s="148">
        <v>222220439</v>
      </c>
      <c r="E90" s="11"/>
      <c r="F90" s="11" t="str">
        <f t="shared" ref="F90:G93" si="1">+F82</f>
        <v>TP</v>
      </c>
      <c r="G90" s="60">
        <f t="shared" si="1"/>
        <v>0.81319620667250847</v>
      </c>
      <c r="H90" s="11"/>
      <c r="I90" s="11">
        <f>+G90*D90</f>
        <v>180708818.03989956</v>
      </c>
      <c r="J90" s="11"/>
      <c r="K90" s="13"/>
      <c r="M90" s="145"/>
      <c r="N90" s="166"/>
      <c r="O90" s="168"/>
      <c r="P90" s="141"/>
      <c r="Q90" s="141"/>
    </row>
    <row r="91" spans="1:17">
      <c r="A91" s="26">
        <v>9</v>
      </c>
      <c r="B91" s="18" t="str">
        <f>+B83</f>
        <v xml:space="preserve">  Distribution</v>
      </c>
      <c r="C91" s="13" t="s">
        <v>207</v>
      </c>
      <c r="D91" s="148">
        <v>467244831</v>
      </c>
      <c r="E91" s="11"/>
      <c r="F91" s="11" t="str">
        <f t="shared" si="1"/>
        <v>NA</v>
      </c>
      <c r="G91" s="60" t="str">
        <f t="shared" si="1"/>
        <v xml:space="preserve"> </v>
      </c>
      <c r="H91" s="11"/>
      <c r="I91" s="11" t="s">
        <v>2</v>
      </c>
      <c r="J91" s="11"/>
      <c r="K91" s="13"/>
      <c r="M91" s="167" t="s">
        <v>343</v>
      </c>
      <c r="N91" s="147">
        <f>SUM(N85:N90)</f>
        <v>582415614.50150001</v>
      </c>
      <c r="O91" s="169">
        <f>SUM(O85:O90)</f>
        <v>1</v>
      </c>
      <c r="P91" s="141"/>
      <c r="Q91" s="141"/>
    </row>
    <row r="92" spans="1:17">
      <c r="A92" s="26">
        <v>10</v>
      </c>
      <c r="B92" s="18" t="str">
        <f>+B84</f>
        <v xml:space="preserve">  General &amp; Intangible</v>
      </c>
      <c r="C92" s="13" t="s">
        <v>309</v>
      </c>
      <c r="D92" s="148">
        <f>45941665+69060086</f>
        <v>115001751</v>
      </c>
      <c r="E92" s="11"/>
      <c r="F92" s="11" t="str">
        <f t="shared" si="1"/>
        <v>W/S</v>
      </c>
      <c r="G92" s="60">
        <f t="shared" si="1"/>
        <v>4.0485581704651184E-2</v>
      </c>
      <c r="H92" s="11"/>
      <c r="I92" s="11">
        <f>+G92*D92</f>
        <v>4655912.7862884514</v>
      </c>
      <c r="J92" s="11"/>
      <c r="K92" s="13"/>
      <c r="P92" s="141"/>
      <c r="Q92" s="141"/>
    </row>
    <row r="93" spans="1:17" ht="16.5" thickBot="1">
      <c r="A93" s="26">
        <v>11</v>
      </c>
      <c r="B93" s="18" t="str">
        <f>+B85</f>
        <v xml:space="preserve">  Common</v>
      </c>
      <c r="C93" s="13" t="s">
        <v>51</v>
      </c>
      <c r="D93" s="153"/>
      <c r="E93" s="11"/>
      <c r="F93" s="11" t="str">
        <f t="shared" si="1"/>
        <v>CE</v>
      </c>
      <c r="G93" s="60">
        <f t="shared" si="1"/>
        <v>4.0485581704651184E-2</v>
      </c>
      <c r="H93" s="11"/>
      <c r="I93" s="36">
        <f>+G93*D93</f>
        <v>0</v>
      </c>
      <c r="J93" s="11"/>
      <c r="K93" s="13"/>
      <c r="M93" s="17" t="s">
        <v>335</v>
      </c>
      <c r="N93" s="17">
        <f>I82-N91</f>
        <v>0</v>
      </c>
      <c r="P93" s="141"/>
      <c r="Q93" s="141"/>
    </row>
    <row r="94" spans="1:17">
      <c r="A94" s="26">
        <v>12</v>
      </c>
      <c r="B94" s="18" t="s">
        <v>279</v>
      </c>
      <c r="C94" s="11"/>
      <c r="D94" s="11">
        <f>SUM(D89:D93)</f>
        <v>1591552092</v>
      </c>
      <c r="E94" s="11"/>
      <c r="F94" s="11"/>
      <c r="G94" s="11"/>
      <c r="H94" s="11"/>
      <c r="I94" s="11">
        <f>SUM(I89:I93)</f>
        <v>185364730.826188</v>
      </c>
      <c r="J94" s="11"/>
      <c r="K94" s="13"/>
      <c r="P94" s="141"/>
      <c r="Q94" s="141"/>
    </row>
    <row r="95" spans="1:17">
      <c r="A95" s="26"/>
      <c r="C95" s="11" t="s">
        <v>2</v>
      </c>
      <c r="E95" s="11"/>
      <c r="F95" s="11"/>
      <c r="G95" s="61"/>
      <c r="H95" s="11"/>
      <c r="J95" s="11"/>
      <c r="K95" s="62"/>
      <c r="M95" s="17" t="s">
        <v>336</v>
      </c>
      <c r="P95" s="141"/>
      <c r="Q95" s="141"/>
    </row>
    <row r="96" spans="1:17">
      <c r="A96" s="26"/>
      <c r="B96" s="18" t="s">
        <v>53</v>
      </c>
      <c r="C96" s="11"/>
      <c r="D96" s="11"/>
      <c r="E96" s="11"/>
      <c r="F96" s="11"/>
      <c r="G96" s="11"/>
      <c r="H96" s="11"/>
      <c r="I96" s="11"/>
      <c r="J96" s="11"/>
      <c r="K96" s="13"/>
    </row>
    <row r="97" spans="1:12">
      <c r="A97" s="26">
        <v>13</v>
      </c>
      <c r="B97" s="18" t="str">
        <f>+B89</f>
        <v xml:space="preserve">  Production</v>
      </c>
      <c r="C97" s="11" t="s">
        <v>248</v>
      </c>
      <c r="D97" s="11">
        <f>D81-D89</f>
        <v>1496573283</v>
      </c>
      <c r="E97" s="11"/>
      <c r="F97" s="11"/>
      <c r="G97" s="61"/>
      <c r="H97" s="11"/>
      <c r="I97" s="11" t="s">
        <v>2</v>
      </c>
      <c r="J97" s="11"/>
      <c r="K97" s="62"/>
    </row>
    <row r="98" spans="1:12">
      <c r="A98" s="26">
        <v>14</v>
      </c>
      <c r="B98" s="18" t="str">
        <f>+B90</f>
        <v xml:space="preserve">  Transmission</v>
      </c>
      <c r="C98" s="11" t="s">
        <v>249</v>
      </c>
      <c r="D98" s="11">
        <f>D82-D90</f>
        <v>493985084</v>
      </c>
      <c r="E98" s="11"/>
      <c r="F98" s="11"/>
      <c r="G98" s="60"/>
      <c r="H98" s="11"/>
      <c r="I98" s="11">
        <f>I82-I90</f>
        <v>401706796.46160042</v>
      </c>
      <c r="J98" s="11"/>
      <c r="K98" s="62"/>
    </row>
    <row r="99" spans="1:12">
      <c r="A99" s="26">
        <v>15</v>
      </c>
      <c r="B99" s="18" t="str">
        <f>+B91</f>
        <v xml:space="preserve">  Distribution</v>
      </c>
      <c r="C99" s="11" t="s">
        <v>250</v>
      </c>
      <c r="D99" s="11">
        <f>D83-D91</f>
        <v>932173237</v>
      </c>
      <c r="E99" s="11"/>
      <c r="F99" s="11"/>
      <c r="G99" s="61"/>
      <c r="H99" s="11"/>
      <c r="I99" s="11" t="s">
        <v>2</v>
      </c>
      <c r="J99" s="11"/>
      <c r="K99" s="62"/>
    </row>
    <row r="100" spans="1:12">
      <c r="A100" s="26">
        <v>16</v>
      </c>
      <c r="B100" s="18" t="str">
        <f>+B92</f>
        <v xml:space="preserve">  General &amp; Intangible</v>
      </c>
      <c r="C100" s="11" t="s">
        <v>251</v>
      </c>
      <c r="D100" s="11">
        <f>D84-D92</f>
        <v>143161771</v>
      </c>
      <c r="E100" s="11"/>
      <c r="F100" s="11"/>
      <c r="G100" s="61"/>
      <c r="H100" s="11"/>
      <c r="I100" s="11">
        <f>I84-I92</f>
        <v>5795987.5768030621</v>
      </c>
      <c r="J100" s="11"/>
      <c r="K100" s="62"/>
    </row>
    <row r="101" spans="1:12" ht="16.5" thickBot="1">
      <c r="A101" s="26">
        <v>17</v>
      </c>
      <c r="B101" s="18" t="str">
        <f>+B93</f>
        <v xml:space="preserve">  Common</v>
      </c>
      <c r="C101" s="11" t="s">
        <v>252</v>
      </c>
      <c r="D101" s="36">
        <f>D85-D93</f>
        <v>0</v>
      </c>
      <c r="E101" s="11"/>
      <c r="F101" s="11"/>
      <c r="G101" s="61"/>
      <c r="H101" s="11"/>
      <c r="I101" s="36">
        <f>I85-I93</f>
        <v>0</v>
      </c>
      <c r="J101" s="11"/>
      <c r="K101" s="62"/>
    </row>
    <row r="102" spans="1:12">
      <c r="A102" s="26">
        <v>18</v>
      </c>
      <c r="B102" s="18" t="s">
        <v>277</v>
      </c>
      <c r="C102" s="11"/>
      <c r="D102" s="11">
        <f>SUM(D97:D101)</f>
        <v>3065893375</v>
      </c>
      <c r="E102" s="11"/>
      <c r="F102" s="11" t="s">
        <v>54</v>
      </c>
      <c r="G102" s="61">
        <f>IF(I102&gt;0,I102/D102,0)</f>
        <v>0.13291485847527346</v>
      </c>
      <c r="H102" s="11"/>
      <c r="I102" s="11">
        <f>SUM(I97:I101)</f>
        <v>407502784.03840351</v>
      </c>
      <c r="J102" s="11"/>
      <c r="K102" s="13"/>
    </row>
    <row r="103" spans="1:12">
      <c r="A103" s="26"/>
      <c r="C103" s="11"/>
      <c r="E103" s="11"/>
      <c r="H103" s="11"/>
      <c r="J103" s="11"/>
      <c r="K103" s="62"/>
    </row>
    <row r="104" spans="1:12">
      <c r="A104" s="26"/>
      <c r="B104" s="18" t="s">
        <v>253</v>
      </c>
      <c r="C104" s="11"/>
      <c r="D104" s="11"/>
      <c r="E104" s="11"/>
      <c r="F104" s="11"/>
      <c r="G104" s="11"/>
      <c r="H104" s="11"/>
      <c r="I104" s="11"/>
      <c r="J104" s="11"/>
      <c r="K104" s="13"/>
    </row>
    <row r="105" spans="1:12">
      <c r="A105" s="26">
        <v>19</v>
      </c>
      <c r="B105" s="18" t="s">
        <v>147</v>
      </c>
      <c r="C105" s="11" t="s">
        <v>55</v>
      </c>
      <c r="D105" s="148"/>
      <c r="E105" s="13"/>
      <c r="F105" s="13" t="str">
        <f>+F89</f>
        <v>NA</v>
      </c>
      <c r="G105" s="63" t="s">
        <v>194</v>
      </c>
      <c r="H105" s="11"/>
      <c r="I105" s="11">
        <v>0</v>
      </c>
      <c r="J105" s="11"/>
      <c r="K105" s="62"/>
    </row>
    <row r="106" spans="1:12">
      <c r="A106" s="26">
        <v>20</v>
      </c>
      <c r="B106" s="18" t="s">
        <v>148</v>
      </c>
      <c r="C106" s="11" t="s">
        <v>57</v>
      </c>
      <c r="D106" s="148">
        <f>'1 - ADIT  Page 2'!C15</f>
        <v>-915055187</v>
      </c>
      <c r="E106" s="11"/>
      <c r="F106" s="11" t="s">
        <v>56</v>
      </c>
      <c r="G106" s="60">
        <f>+G102</f>
        <v>0.13291485847527346</v>
      </c>
      <c r="H106" s="11"/>
      <c r="I106" s="11">
        <f>D106*G106</f>
        <v>-121624430.67716989</v>
      </c>
      <c r="J106" s="11"/>
      <c r="K106" s="62"/>
      <c r="L106" s="64"/>
    </row>
    <row r="107" spans="1:12">
      <c r="A107" s="26">
        <v>21</v>
      </c>
      <c r="B107" s="18" t="s">
        <v>149</v>
      </c>
      <c r="C107" s="11" t="s">
        <v>58</v>
      </c>
      <c r="D107" s="154"/>
      <c r="E107" s="11"/>
      <c r="F107" s="11" t="s">
        <v>56</v>
      </c>
      <c r="G107" s="60">
        <f>+G106</f>
        <v>0.13291485847527346</v>
      </c>
      <c r="H107" s="11"/>
      <c r="I107" s="11">
        <f>D107*G107</f>
        <v>0</v>
      </c>
      <c r="J107" s="11"/>
      <c r="K107" s="62"/>
    </row>
    <row r="108" spans="1:12">
      <c r="A108" s="26">
        <v>22</v>
      </c>
      <c r="B108" s="18" t="s">
        <v>151</v>
      </c>
      <c r="C108" s="11" t="s">
        <v>59</v>
      </c>
      <c r="D108" s="154">
        <f>'1 - ADIT  Page 2'!C20</f>
        <v>72088581</v>
      </c>
      <c r="E108" s="11"/>
      <c r="F108" s="11" t="str">
        <f>+F107</f>
        <v>NP</v>
      </c>
      <c r="G108" s="60">
        <f>+G107</f>
        <v>0.13291485847527346</v>
      </c>
      <c r="H108" s="11"/>
      <c r="I108" s="11">
        <f>D108*G108</f>
        <v>9581643.541298287</v>
      </c>
      <c r="J108" s="11"/>
      <c r="K108" s="62"/>
    </row>
    <row r="109" spans="1:12" ht="16.5" thickBot="1">
      <c r="A109" s="26">
        <v>23</v>
      </c>
      <c r="B109" s="17" t="s">
        <v>150</v>
      </c>
      <c r="C109" s="17" t="s">
        <v>213</v>
      </c>
      <c r="D109" s="153"/>
      <c r="E109" s="11"/>
      <c r="F109" s="11" t="s">
        <v>56</v>
      </c>
      <c r="G109" s="60">
        <f>+G107</f>
        <v>0.13291485847527346</v>
      </c>
      <c r="H109" s="11"/>
      <c r="I109" s="36">
        <f>D109*G109</f>
        <v>0</v>
      </c>
      <c r="J109" s="11"/>
      <c r="K109" s="62"/>
    </row>
    <row r="110" spans="1:12">
      <c r="A110" s="26">
        <v>24</v>
      </c>
      <c r="B110" s="18" t="s">
        <v>275</v>
      </c>
      <c r="C110" s="11"/>
      <c r="D110" s="11">
        <f>SUM(D105:D109)</f>
        <v>-842966606</v>
      </c>
      <c r="E110" s="11"/>
      <c r="F110" s="11"/>
      <c r="G110" s="11"/>
      <c r="H110" s="11"/>
      <c r="I110" s="11">
        <f>SUM(I105:I109)</f>
        <v>-112042787.1358716</v>
      </c>
      <c r="J110" s="11"/>
      <c r="K110" s="13"/>
    </row>
    <row r="111" spans="1:12">
      <c r="A111" s="26"/>
      <c r="C111" s="11"/>
      <c r="E111" s="11"/>
      <c r="F111" s="11"/>
      <c r="G111" s="61"/>
      <c r="H111" s="11"/>
      <c r="J111" s="11"/>
      <c r="K111" s="62"/>
    </row>
    <row r="112" spans="1:12">
      <c r="A112" s="26">
        <v>25</v>
      </c>
      <c r="B112" s="18" t="s">
        <v>60</v>
      </c>
      <c r="C112" s="13" t="s">
        <v>61</v>
      </c>
      <c r="D112" s="148">
        <v>309996</v>
      </c>
      <c r="E112" s="11"/>
      <c r="F112" s="11" t="str">
        <f>+F90</f>
        <v>TP</v>
      </c>
      <c r="G112" s="60">
        <f>+G90</f>
        <v>0.81319620667250847</v>
      </c>
      <c r="H112" s="11"/>
      <c r="I112" s="11">
        <f>+G112*D112</f>
        <v>252087.57128365093</v>
      </c>
      <c r="J112" s="11"/>
      <c r="K112" s="13"/>
    </row>
    <row r="113" spans="1:11">
      <c r="A113" s="26"/>
      <c r="B113" s="18"/>
      <c r="C113" s="11"/>
      <c r="D113" s="11"/>
      <c r="E113" s="11"/>
      <c r="F113" s="11"/>
      <c r="G113" s="11"/>
      <c r="H113" s="11"/>
      <c r="I113" s="11"/>
      <c r="J113" s="11"/>
      <c r="K113" s="13"/>
    </row>
    <row r="114" spans="1:11">
      <c r="A114" s="26"/>
      <c r="B114" s="18" t="s">
        <v>185</v>
      </c>
      <c r="C114" s="11" t="s">
        <v>2</v>
      </c>
      <c r="D114" s="11"/>
      <c r="E114" s="11"/>
      <c r="F114" s="11"/>
      <c r="G114" s="11"/>
      <c r="H114" s="11"/>
      <c r="I114" s="11"/>
      <c r="J114" s="11"/>
      <c r="K114" s="13"/>
    </row>
    <row r="115" spans="1:11">
      <c r="A115" s="26">
        <v>26</v>
      </c>
      <c r="B115" s="18" t="s">
        <v>186</v>
      </c>
      <c r="C115" s="17" t="s">
        <v>182</v>
      </c>
      <c r="D115" s="11">
        <f>+D156/8</f>
        <v>7852937.4112499999</v>
      </c>
      <c r="E115" s="11"/>
      <c r="F115" s="11"/>
      <c r="G115" s="61"/>
      <c r="H115" s="11"/>
      <c r="I115" s="11">
        <f>+I156/8</f>
        <v>1177216.9376794295</v>
      </c>
      <c r="J115" s="20"/>
      <c r="K115" s="62"/>
    </row>
    <row r="116" spans="1:11">
      <c r="A116" s="26">
        <v>27</v>
      </c>
      <c r="B116" s="18" t="s">
        <v>62</v>
      </c>
      <c r="C116" s="11" t="s">
        <v>235</v>
      </c>
      <c r="D116" s="148">
        <f>37198+'2 - Mat.&amp;Supplies  P. 2'!E20+'2 - Mat.&amp;Supplies  P. 2'!B23</f>
        <v>148491.78876563918</v>
      </c>
      <c r="E116" s="11"/>
      <c r="F116" s="11" t="s">
        <v>63</v>
      </c>
      <c r="G116" s="60">
        <f>I225</f>
        <v>0.76361651601819991</v>
      </c>
      <c r="H116" s="11"/>
      <c r="I116" s="11">
        <f>+G116*D116</f>
        <v>113390.78239452787</v>
      </c>
      <c r="J116" s="11" t="s">
        <v>2</v>
      </c>
      <c r="K116" s="62"/>
    </row>
    <row r="117" spans="1:11" ht="16.5" thickBot="1">
      <c r="A117" s="26">
        <v>28</v>
      </c>
      <c r="B117" s="18" t="s">
        <v>153</v>
      </c>
      <c r="C117" s="11" t="s">
        <v>218</v>
      </c>
      <c r="D117" s="153">
        <v>10622603</v>
      </c>
      <c r="E117" s="11"/>
      <c r="F117" s="11" t="s">
        <v>64</v>
      </c>
      <c r="G117" s="60">
        <f>+G86</f>
        <v>0.12729456932245634</v>
      </c>
      <c r="H117" s="11"/>
      <c r="I117" s="36">
        <f>+G117*D117</f>
        <v>1352199.6739684327</v>
      </c>
      <c r="J117" s="11"/>
      <c r="K117" s="62"/>
    </row>
    <row r="118" spans="1:11">
      <c r="A118" s="26">
        <v>29</v>
      </c>
      <c r="B118" s="18" t="s">
        <v>276</v>
      </c>
      <c r="C118" s="20"/>
      <c r="D118" s="11">
        <f>D115+D116+D117</f>
        <v>18624032.200015638</v>
      </c>
      <c r="E118" s="20"/>
      <c r="F118" s="20"/>
      <c r="G118" s="20"/>
      <c r="H118" s="20"/>
      <c r="I118" s="11">
        <f>I115+I116+I117</f>
        <v>2642807.3940423904</v>
      </c>
      <c r="J118" s="20"/>
      <c r="K118" s="23"/>
    </row>
    <row r="119" spans="1:11" ht="16.5" thickBot="1">
      <c r="C119" s="11"/>
      <c r="D119" s="65"/>
      <c r="E119" s="11"/>
      <c r="F119" s="11"/>
      <c r="G119" s="11"/>
      <c r="H119" s="11"/>
      <c r="I119" s="65"/>
      <c r="J119" s="11"/>
      <c r="K119" s="13"/>
    </row>
    <row r="120" spans="1:11" ht="16.5" thickBot="1">
      <c r="A120" s="26">
        <v>30</v>
      </c>
      <c r="B120" s="18" t="s">
        <v>152</v>
      </c>
      <c r="C120" s="11"/>
      <c r="D120" s="66">
        <f>+D118+D112+D110+D102</f>
        <v>2241860797.2000155</v>
      </c>
      <c r="E120" s="11"/>
      <c r="F120" s="11"/>
      <c r="G120" s="61"/>
      <c r="H120" s="11"/>
      <c r="I120" s="66">
        <f>+I118+I112+I110+I102</f>
        <v>298354891.86785793</v>
      </c>
      <c r="J120" s="11"/>
      <c r="K120" s="62"/>
    </row>
    <row r="121" spans="1:11" ht="16.5" thickTop="1">
      <c r="A121" s="26"/>
      <c r="B121" s="18"/>
      <c r="C121" s="11"/>
      <c r="D121" s="67"/>
      <c r="E121" s="11"/>
      <c r="F121" s="11"/>
      <c r="G121" s="61"/>
      <c r="H121" s="11"/>
      <c r="I121" s="67"/>
      <c r="J121" s="11"/>
      <c r="K121" s="62"/>
    </row>
    <row r="122" spans="1:11">
      <c r="A122" s="26"/>
      <c r="B122" s="18"/>
      <c r="C122" s="11"/>
      <c r="D122" s="67"/>
      <c r="E122" s="11"/>
      <c r="F122" s="11"/>
      <c r="G122" s="61"/>
      <c r="H122" s="11"/>
      <c r="I122" s="67"/>
      <c r="J122" s="11"/>
      <c r="K122" s="62"/>
    </row>
    <row r="123" spans="1:11">
      <c r="A123" s="26"/>
      <c r="B123" s="18"/>
      <c r="C123" s="11"/>
      <c r="D123" s="67"/>
      <c r="E123" s="11"/>
      <c r="F123" s="11"/>
      <c r="G123" s="61"/>
      <c r="H123" s="11"/>
      <c r="I123" s="67"/>
      <c r="J123" s="11"/>
      <c r="K123" s="62"/>
    </row>
    <row r="124" spans="1:11">
      <c r="A124" s="26"/>
      <c r="B124" s="18"/>
      <c r="C124" s="11"/>
      <c r="D124" s="67"/>
      <c r="E124" s="11"/>
      <c r="F124" s="11"/>
      <c r="G124" s="61"/>
      <c r="H124" s="11"/>
      <c r="I124" s="67"/>
      <c r="J124" s="11"/>
      <c r="K124" s="62"/>
    </row>
    <row r="125" spans="1:11">
      <c r="A125" s="26"/>
      <c r="B125" s="18"/>
      <c r="C125" s="11"/>
      <c r="D125" s="67"/>
      <c r="E125" s="11"/>
      <c r="F125" s="11"/>
      <c r="G125" s="61"/>
      <c r="H125" s="11"/>
      <c r="I125" s="67"/>
      <c r="J125" s="11"/>
      <c r="K125" s="62"/>
    </row>
    <row r="126" spans="1:11">
      <c r="A126" s="26"/>
      <c r="B126" s="18"/>
      <c r="C126" s="11"/>
      <c r="D126" s="67"/>
      <c r="E126" s="11"/>
      <c r="F126" s="11"/>
      <c r="G126" s="61"/>
      <c r="H126" s="11"/>
      <c r="I126" s="67"/>
      <c r="J126" s="11"/>
      <c r="K126" s="62"/>
    </row>
    <row r="127" spans="1:11">
      <c r="A127" s="26"/>
      <c r="B127" s="18"/>
      <c r="C127" s="11"/>
      <c r="D127" s="67"/>
      <c r="E127" s="11"/>
      <c r="F127" s="11"/>
      <c r="G127" s="61"/>
      <c r="H127" s="11"/>
      <c r="I127" s="67"/>
      <c r="J127" s="11"/>
      <c r="K127" s="62"/>
    </row>
    <row r="128" spans="1:11">
      <c r="A128" s="26"/>
      <c r="B128" s="18"/>
      <c r="C128" s="11"/>
      <c r="D128" s="67"/>
      <c r="E128" s="11"/>
      <c r="F128" s="11"/>
      <c r="G128" s="61"/>
      <c r="H128" s="11"/>
      <c r="I128" s="67"/>
      <c r="J128" s="11"/>
      <c r="K128" s="62"/>
    </row>
    <row r="129" spans="1:11">
      <c r="A129" s="26"/>
      <c r="B129" s="18"/>
      <c r="C129" s="11"/>
      <c r="D129" s="67"/>
      <c r="E129" s="11"/>
      <c r="F129" s="11"/>
      <c r="G129" s="61"/>
      <c r="H129" s="11"/>
      <c r="I129" s="67"/>
      <c r="J129" s="11"/>
      <c r="K129" s="62"/>
    </row>
    <row r="130" spans="1:11">
      <c r="A130" s="26"/>
      <c r="B130" s="18"/>
      <c r="C130" s="11"/>
      <c r="D130" s="67"/>
      <c r="E130" s="11"/>
      <c r="F130" s="11"/>
      <c r="G130" s="61"/>
      <c r="H130" s="11"/>
      <c r="I130" s="67"/>
      <c r="J130" s="11"/>
      <c r="K130" s="62"/>
    </row>
    <row r="131" spans="1:11">
      <c r="A131" s="26"/>
      <c r="B131" s="18"/>
      <c r="C131" s="11"/>
      <c r="D131" s="67"/>
      <c r="E131" s="11"/>
      <c r="F131" s="11"/>
      <c r="G131" s="61"/>
      <c r="H131" s="11"/>
      <c r="I131" s="67"/>
      <c r="J131" s="11"/>
      <c r="K131" s="62"/>
    </row>
    <row r="132" spans="1:11">
      <c r="A132" s="26"/>
      <c r="B132" s="18"/>
      <c r="C132" s="11"/>
      <c r="D132" s="67"/>
      <c r="E132" s="11"/>
      <c r="F132" s="11"/>
      <c r="G132" s="61"/>
      <c r="H132" s="11"/>
      <c r="I132" s="67"/>
      <c r="J132" s="11"/>
      <c r="K132" s="62"/>
    </row>
    <row r="133" spans="1:11">
      <c r="A133" s="26"/>
      <c r="B133" s="18"/>
      <c r="C133" s="11"/>
      <c r="D133" s="67"/>
      <c r="E133" s="11"/>
      <c r="F133" s="11"/>
      <c r="G133" s="61"/>
      <c r="H133" s="11"/>
      <c r="I133" s="67"/>
      <c r="J133" s="11"/>
      <c r="K133" s="62"/>
    </row>
    <row r="134" spans="1:11">
      <c r="A134" s="26"/>
      <c r="B134" s="18"/>
      <c r="C134" s="11"/>
      <c r="D134" s="67"/>
      <c r="E134" s="11"/>
      <c r="F134" s="11"/>
      <c r="G134" s="61"/>
      <c r="H134" s="11"/>
      <c r="I134" s="67"/>
      <c r="J134" s="11"/>
      <c r="K134" s="62"/>
    </row>
    <row r="135" spans="1:11">
      <c r="A135" s="26"/>
      <c r="B135" s="18"/>
      <c r="C135" s="11"/>
      <c r="D135" s="67"/>
      <c r="E135" s="11"/>
      <c r="F135" s="11"/>
      <c r="G135" s="61"/>
      <c r="H135" s="11"/>
      <c r="I135" s="67"/>
      <c r="J135" s="11"/>
      <c r="K135" s="62"/>
    </row>
    <row r="136" spans="1:11">
      <c r="A136" s="26"/>
      <c r="B136" s="18"/>
      <c r="C136" s="11"/>
      <c r="D136" s="67"/>
      <c r="E136" s="11"/>
      <c r="F136" s="11"/>
      <c r="G136" s="61"/>
      <c r="H136" s="11"/>
      <c r="I136" s="67"/>
      <c r="J136" s="11"/>
      <c r="K136" s="62"/>
    </row>
    <row r="137" spans="1:11">
      <c r="B137" s="18"/>
      <c r="C137" s="18"/>
      <c r="D137" s="19"/>
      <c r="E137" s="18"/>
      <c r="F137" s="18"/>
      <c r="G137" s="18"/>
      <c r="H137" s="20"/>
      <c r="I137" s="20"/>
      <c r="J137" s="345" t="s">
        <v>202</v>
      </c>
      <c r="K137" s="345"/>
    </row>
    <row r="138" spans="1:11">
      <c r="B138" s="18"/>
      <c r="C138" s="18"/>
      <c r="D138" s="19"/>
      <c r="E138" s="18"/>
      <c r="F138" s="18"/>
      <c r="G138" s="18"/>
      <c r="H138" s="20"/>
      <c r="I138" s="20"/>
      <c r="J138" s="20"/>
      <c r="K138" s="22"/>
    </row>
    <row r="139" spans="1:11">
      <c r="B139" s="18" t="s">
        <v>0</v>
      </c>
      <c r="C139" s="18"/>
      <c r="D139" s="19" t="s">
        <v>1</v>
      </c>
      <c r="E139" s="18"/>
      <c r="F139" s="18"/>
      <c r="G139" s="18"/>
      <c r="H139" s="20"/>
      <c r="I139" s="20"/>
      <c r="J139" s="20"/>
      <c r="K139" s="22" t="str">
        <f>K4</f>
        <v>For the 12 months ended 12/31/16</v>
      </c>
    </row>
    <row r="140" spans="1:11">
      <c r="B140" s="18"/>
      <c r="C140" s="11" t="s">
        <v>2</v>
      </c>
      <c r="D140" s="11" t="s">
        <v>3</v>
      </c>
      <c r="E140" s="11"/>
      <c r="F140" s="11"/>
      <c r="G140" s="11"/>
      <c r="H140" s="20"/>
      <c r="I140" s="20"/>
      <c r="J140" s="20"/>
      <c r="K140" s="23"/>
    </row>
    <row r="141" spans="1:11">
      <c r="B141" s="18"/>
      <c r="C141" s="11"/>
      <c r="D141" s="11"/>
      <c r="E141" s="11"/>
      <c r="F141" s="11"/>
      <c r="G141" s="11"/>
      <c r="H141" s="20"/>
      <c r="I141" s="20"/>
      <c r="J141" s="20"/>
      <c r="K141" s="23"/>
    </row>
    <row r="142" spans="1:11">
      <c r="A142" s="26"/>
      <c r="D142" s="17" t="str">
        <f>D7</f>
        <v>Cleco Power LLC</v>
      </c>
      <c r="J142" s="11"/>
      <c r="K142" s="13"/>
    </row>
    <row r="143" spans="1:11">
      <c r="A143" s="26"/>
      <c r="B143" s="26" t="s">
        <v>32</v>
      </c>
      <c r="C143" s="26" t="s">
        <v>33</v>
      </c>
      <c r="D143" s="26" t="s">
        <v>34</v>
      </c>
      <c r="E143" s="11" t="s">
        <v>2</v>
      </c>
      <c r="F143" s="11"/>
      <c r="G143" s="53" t="s">
        <v>35</v>
      </c>
      <c r="H143" s="11"/>
      <c r="I143" s="54" t="s">
        <v>36</v>
      </c>
      <c r="J143" s="11"/>
      <c r="K143" s="13"/>
    </row>
    <row r="144" spans="1:11">
      <c r="A144" s="26" t="s">
        <v>4</v>
      </c>
      <c r="B144" s="18"/>
      <c r="C144" s="55" t="s">
        <v>37</v>
      </c>
      <c r="D144" s="11"/>
      <c r="E144" s="11"/>
      <c r="F144" s="11"/>
      <c r="G144" s="26"/>
      <c r="H144" s="11"/>
      <c r="I144" s="56" t="s">
        <v>38</v>
      </c>
      <c r="J144" s="11"/>
      <c r="K144" s="68"/>
    </row>
    <row r="145" spans="1:15" ht="16.5" thickBot="1">
      <c r="A145" s="30" t="s">
        <v>6</v>
      </c>
      <c r="B145" s="18"/>
      <c r="C145" s="57" t="s">
        <v>39</v>
      </c>
      <c r="D145" s="56" t="s">
        <v>40</v>
      </c>
      <c r="E145" s="58"/>
      <c r="F145" s="56" t="s">
        <v>41</v>
      </c>
      <c r="H145" s="58"/>
      <c r="I145" s="26" t="s">
        <v>42</v>
      </c>
      <c r="J145" s="11"/>
      <c r="K145" s="68"/>
    </row>
    <row r="146" spans="1:15">
      <c r="A146" s="26"/>
      <c r="B146" s="18" t="s">
        <v>310</v>
      </c>
      <c r="C146" s="11"/>
      <c r="D146" s="11"/>
      <c r="E146" s="11"/>
      <c r="F146" s="11"/>
      <c r="G146" s="11"/>
      <c r="H146" s="11"/>
      <c r="I146" s="11"/>
      <c r="J146" s="11"/>
      <c r="K146" s="13"/>
    </row>
    <row r="147" spans="1:15">
      <c r="A147" s="26">
        <v>1</v>
      </c>
      <c r="B147" s="18" t="s">
        <v>65</v>
      </c>
      <c r="C147" s="11" t="s">
        <v>228</v>
      </c>
      <c r="D147" s="148">
        <f>37925325-'7 - Excluded MISO Int Costs'!B20</f>
        <v>36989521.439999998</v>
      </c>
      <c r="E147" s="11"/>
      <c r="F147" s="11" t="s">
        <v>63</v>
      </c>
      <c r="G147" s="60">
        <f>I225</f>
        <v>0.76361651601819991</v>
      </c>
      <c r="H147" s="11"/>
      <c r="I147" s="11">
        <f>+G147*D147</f>
        <v>28245809.491193306</v>
      </c>
      <c r="J147" s="20"/>
      <c r="K147" s="13"/>
    </row>
    <row r="148" spans="1:15">
      <c r="A148" s="50" t="s">
        <v>221</v>
      </c>
      <c r="B148" s="51" t="s">
        <v>255</v>
      </c>
      <c r="C148" s="13"/>
      <c r="D148" s="148">
        <v>321657</v>
      </c>
      <c r="E148" s="11"/>
      <c r="F148" s="69"/>
      <c r="G148" s="60">
        <v>1</v>
      </c>
      <c r="H148" s="11"/>
      <c r="I148" s="11">
        <f>+G148*D148</f>
        <v>321657</v>
      </c>
      <c r="J148" s="20"/>
      <c r="K148" s="13"/>
    </row>
    <row r="149" spans="1:15">
      <c r="A149" s="26">
        <v>2</v>
      </c>
      <c r="B149" s="18" t="s">
        <v>66</v>
      </c>
      <c r="C149" s="11" t="s">
        <v>229</v>
      </c>
      <c r="D149" s="148">
        <v>27354269</v>
      </c>
      <c r="E149" s="11"/>
      <c r="F149" s="11" t="s">
        <v>63</v>
      </c>
      <c r="G149" s="60">
        <f>+G147</f>
        <v>0.76361651601819991</v>
      </c>
      <c r="H149" s="11"/>
      <c r="I149" s="11">
        <f t="shared" ref="I149:I155" si="2">+G149*D149</f>
        <v>20888171.592004649</v>
      </c>
      <c r="J149" s="20"/>
      <c r="K149" s="13"/>
    </row>
    <row r="150" spans="1:15">
      <c r="A150" s="26">
        <v>3</v>
      </c>
      <c r="B150" s="18" t="s">
        <v>67</v>
      </c>
      <c r="C150" s="11" t="s">
        <v>230</v>
      </c>
      <c r="D150" s="148">
        <v>55673043</v>
      </c>
      <c r="E150" s="11"/>
      <c r="F150" s="11" t="s">
        <v>49</v>
      </c>
      <c r="G150" s="60">
        <f>+G92</f>
        <v>4.0485581704651184E-2</v>
      </c>
      <c r="H150" s="11"/>
      <c r="I150" s="11">
        <f t="shared" si="2"/>
        <v>2253955.5311230589</v>
      </c>
      <c r="J150" s="11"/>
      <c r="K150" s="13" t="s">
        <v>2</v>
      </c>
    </row>
    <row r="151" spans="1:15">
      <c r="A151" s="26">
        <v>4</v>
      </c>
      <c r="B151" s="18" t="s">
        <v>68</v>
      </c>
      <c r="C151" s="11"/>
      <c r="D151" s="148">
        <f>'3 - Regulatory Exp. P. 3'!C11</f>
        <v>557925</v>
      </c>
      <c r="E151" s="11"/>
      <c r="F151" s="11" t="str">
        <f>+F150</f>
        <v>W/S</v>
      </c>
      <c r="G151" s="60">
        <f>+G150</f>
        <v>4.0485581704651184E-2</v>
      </c>
      <c r="H151" s="11"/>
      <c r="I151" s="11">
        <f t="shared" si="2"/>
        <v>22587.918172567512</v>
      </c>
      <c r="J151" s="11"/>
      <c r="K151" s="13"/>
    </row>
    <row r="152" spans="1:15">
      <c r="A152" s="26">
        <v>5</v>
      </c>
      <c r="B152" s="51" t="s">
        <v>256</v>
      </c>
      <c r="C152" s="13"/>
      <c r="D152" s="148">
        <f>'3 - Regulatory Exp. P. 3'!C20</f>
        <v>1903050.9699999997</v>
      </c>
      <c r="E152" s="11"/>
      <c r="F152" s="11" t="str">
        <f>+F151</f>
        <v>W/S</v>
      </c>
      <c r="G152" s="60">
        <f>+G151</f>
        <v>4.0485581704651184E-2</v>
      </c>
      <c r="H152" s="11"/>
      <c r="I152" s="11">
        <f t="shared" si="2"/>
        <v>77046.125534050676</v>
      </c>
      <c r="J152" s="11"/>
      <c r="K152" s="13"/>
    </row>
    <row r="153" spans="1:15">
      <c r="A153" s="26" t="s">
        <v>193</v>
      </c>
      <c r="B153" s="51" t="s">
        <v>257</v>
      </c>
      <c r="C153" s="13"/>
      <c r="D153" s="148">
        <f>'3 - Regulatory Exp. P. 3'!C30</f>
        <v>297836.82</v>
      </c>
      <c r="E153" s="11"/>
      <c r="F153" s="70" t="str">
        <f>+F147</f>
        <v>TE</v>
      </c>
      <c r="G153" s="71">
        <f>+G147</f>
        <v>0.76361651601819991</v>
      </c>
      <c r="H153" s="11"/>
      <c r="I153" s="11">
        <f>+G153*D153</f>
        <v>227433.11483033973</v>
      </c>
      <c r="J153" s="11"/>
      <c r="K153" s="13"/>
    </row>
    <row r="154" spans="1:15">
      <c r="A154" s="26">
        <v>6</v>
      </c>
      <c r="B154" s="18" t="s">
        <v>50</v>
      </c>
      <c r="C154" s="11" t="str">
        <f>+C93</f>
        <v>356.1</v>
      </c>
      <c r="D154" s="148"/>
      <c r="E154" s="11"/>
      <c r="F154" s="11" t="s">
        <v>100</v>
      </c>
      <c r="G154" s="60">
        <f>+G93</f>
        <v>4.0485581704651184E-2</v>
      </c>
      <c r="H154" s="11"/>
      <c r="I154" s="11">
        <f t="shared" si="2"/>
        <v>0</v>
      </c>
      <c r="J154" s="11"/>
      <c r="K154" s="13"/>
    </row>
    <row r="155" spans="1:15" ht="16.5" thickBot="1">
      <c r="A155" s="26">
        <v>7</v>
      </c>
      <c r="B155" s="18" t="s">
        <v>69</v>
      </c>
      <c r="C155" s="11"/>
      <c r="D155" s="153"/>
      <c r="E155" s="11"/>
      <c r="F155" s="11" t="s">
        <v>2</v>
      </c>
      <c r="G155" s="60">
        <v>1</v>
      </c>
      <c r="H155" s="11"/>
      <c r="I155" s="36">
        <f t="shared" si="2"/>
        <v>0</v>
      </c>
      <c r="J155" s="11"/>
      <c r="K155" s="13"/>
    </row>
    <row r="156" spans="1:15">
      <c r="A156" s="50">
        <v>8</v>
      </c>
      <c r="B156" s="51" t="s">
        <v>294</v>
      </c>
      <c r="C156" s="13"/>
      <c r="D156" s="13">
        <f>+D147-D149+D150-D151-D152-D148+D154+D155+D153</f>
        <v>62823499.289999999</v>
      </c>
      <c r="E156" s="13"/>
      <c r="F156" s="13"/>
      <c r="G156" s="13"/>
      <c r="H156" s="13"/>
      <c r="I156" s="13">
        <f>+I147-I149+I150-I151-I152-I148+I154+I155+I153</f>
        <v>9417735.5014354363</v>
      </c>
      <c r="J156" s="13"/>
      <c r="K156" s="13"/>
      <c r="L156" s="2"/>
    </row>
    <row r="157" spans="1:15">
      <c r="A157" s="26"/>
      <c r="C157" s="11"/>
      <c r="E157" s="11"/>
      <c r="F157" s="11"/>
      <c r="G157" s="11"/>
      <c r="H157" s="11"/>
      <c r="J157" s="11"/>
      <c r="K157" s="13"/>
    </row>
    <row r="158" spans="1:15">
      <c r="A158" s="26"/>
      <c r="B158" s="18" t="s">
        <v>311</v>
      </c>
      <c r="C158" s="11"/>
      <c r="D158" s="11"/>
      <c r="E158" s="11"/>
      <c r="F158" s="11"/>
      <c r="G158" s="11"/>
      <c r="H158" s="11"/>
      <c r="I158" s="11"/>
      <c r="J158" s="11"/>
      <c r="K158" s="13"/>
      <c r="M158" s="2"/>
      <c r="N158" s="2"/>
      <c r="O158" s="2"/>
    </row>
    <row r="159" spans="1:15">
      <c r="A159" s="26">
        <v>9</v>
      </c>
      <c r="B159" s="18" t="str">
        <f>+B147</f>
        <v xml:space="preserve">  Transmission </v>
      </c>
      <c r="C159" s="11" t="s">
        <v>70</v>
      </c>
      <c r="D159" s="148">
        <v>15466151</v>
      </c>
      <c r="E159" s="11"/>
      <c r="F159" s="11" t="s">
        <v>11</v>
      </c>
      <c r="G159" s="60">
        <f>+G112</f>
        <v>0.81319620667250847</v>
      </c>
      <c r="H159" s="11"/>
      <c r="I159" s="11">
        <f>+G159*D159</f>
        <v>12577015.325024223</v>
      </c>
      <c r="J159" s="11"/>
      <c r="K159" s="62"/>
    </row>
    <row r="160" spans="1:15">
      <c r="A160" s="26">
        <v>10</v>
      </c>
      <c r="B160" s="18" t="s">
        <v>48</v>
      </c>
      <c r="C160" s="11" t="s">
        <v>312</v>
      </c>
      <c r="D160" s="148">
        <f>8442749+2877757</f>
        <v>11320506</v>
      </c>
      <c r="E160" s="11"/>
      <c r="F160" s="11" t="s">
        <v>49</v>
      </c>
      <c r="G160" s="60">
        <f>+G150</f>
        <v>4.0485581704651184E-2</v>
      </c>
      <c r="H160" s="11"/>
      <c r="I160" s="11">
        <f>+G160*D160</f>
        <v>458317.27060099394</v>
      </c>
      <c r="J160" s="11"/>
      <c r="K160" s="62"/>
    </row>
    <row r="161" spans="1:11" ht="16.5" thickBot="1">
      <c r="A161" s="26">
        <v>11</v>
      </c>
      <c r="B161" s="18" t="str">
        <f>+B154</f>
        <v xml:space="preserve">  Common</v>
      </c>
      <c r="C161" s="11" t="s">
        <v>231</v>
      </c>
      <c r="D161" s="153">
        <v>0</v>
      </c>
      <c r="E161" s="11"/>
      <c r="F161" s="11" t="s">
        <v>100</v>
      </c>
      <c r="G161" s="60">
        <f>+G154</f>
        <v>4.0485581704651184E-2</v>
      </c>
      <c r="H161" s="11"/>
      <c r="I161" s="36">
        <f>+G161*D161</f>
        <v>0</v>
      </c>
      <c r="J161" s="11"/>
      <c r="K161" s="62"/>
    </row>
    <row r="162" spans="1:11">
      <c r="A162" s="26">
        <v>12</v>
      </c>
      <c r="B162" s="18" t="s">
        <v>280</v>
      </c>
      <c r="C162" s="11"/>
      <c r="D162" s="11">
        <f>SUM(D159:D161)</f>
        <v>26786657</v>
      </c>
      <c r="E162" s="11"/>
      <c r="F162" s="11"/>
      <c r="G162" s="11"/>
      <c r="H162" s="11"/>
      <c r="I162" s="11">
        <f>SUM(I159:I161)</f>
        <v>13035332.595625216</v>
      </c>
      <c r="J162" s="11"/>
      <c r="K162" s="13"/>
    </row>
    <row r="163" spans="1:11">
      <c r="A163" s="26"/>
      <c r="B163" s="18"/>
      <c r="C163" s="11"/>
      <c r="D163" s="11"/>
      <c r="E163" s="11"/>
      <c r="F163" s="11"/>
      <c r="G163" s="11"/>
      <c r="H163" s="11"/>
      <c r="I163" s="11"/>
      <c r="J163" s="11"/>
      <c r="K163" s="13"/>
    </row>
    <row r="164" spans="1:11">
      <c r="A164" s="26" t="s">
        <v>2</v>
      </c>
      <c r="B164" s="18" t="s">
        <v>258</v>
      </c>
      <c r="D164" s="11"/>
      <c r="E164" s="11"/>
      <c r="F164" s="11"/>
      <c r="G164" s="11"/>
      <c r="H164" s="11"/>
      <c r="I164" s="11"/>
      <c r="J164" s="11"/>
      <c r="K164" s="13"/>
    </row>
    <row r="165" spans="1:11">
      <c r="A165" s="26"/>
      <c r="B165" s="18" t="s">
        <v>71</v>
      </c>
      <c r="E165" s="11"/>
      <c r="F165" s="11"/>
      <c r="H165" s="11"/>
      <c r="J165" s="11"/>
      <c r="K165" s="62"/>
    </row>
    <row r="166" spans="1:11">
      <c r="A166" s="26">
        <v>13</v>
      </c>
      <c r="B166" s="18" t="s">
        <v>72</v>
      </c>
      <c r="C166" s="11" t="s">
        <v>208</v>
      </c>
      <c r="D166" s="148">
        <f>'4 - Taxes P. 3'!C16</f>
        <v>6620391</v>
      </c>
      <c r="E166" s="11"/>
      <c r="F166" s="11" t="s">
        <v>49</v>
      </c>
      <c r="G166" s="34">
        <f>+G160</f>
        <v>4.0485581704651184E-2</v>
      </c>
      <c r="H166" s="11"/>
      <c r="I166" s="11">
        <f>+G166*D166</f>
        <v>268030.38074723736</v>
      </c>
      <c r="J166" s="11"/>
      <c r="K166" s="62"/>
    </row>
    <row r="167" spans="1:11">
      <c r="A167" s="26">
        <v>14</v>
      </c>
      <c r="B167" s="18" t="s">
        <v>73</v>
      </c>
      <c r="C167" s="11" t="str">
        <f>+C166</f>
        <v>263.i</v>
      </c>
      <c r="D167" s="148"/>
      <c r="E167" s="11"/>
      <c r="F167" s="11" t="str">
        <f>+F166</f>
        <v>W/S</v>
      </c>
      <c r="G167" s="34">
        <f>+G166</f>
        <v>4.0485581704651184E-2</v>
      </c>
      <c r="H167" s="11"/>
      <c r="I167" s="11">
        <f>+G167*D167</f>
        <v>0</v>
      </c>
      <c r="J167" s="11"/>
      <c r="K167" s="62"/>
    </row>
    <row r="168" spans="1:11">
      <c r="A168" s="26">
        <v>15</v>
      </c>
      <c r="B168" s="18" t="s">
        <v>74</v>
      </c>
      <c r="C168" s="11" t="s">
        <v>2</v>
      </c>
      <c r="E168" s="11"/>
      <c r="F168" s="11"/>
      <c r="H168" s="11"/>
      <c r="J168" s="11"/>
      <c r="K168" s="62"/>
    </row>
    <row r="169" spans="1:11">
      <c r="A169" s="26">
        <v>16</v>
      </c>
      <c r="B169" s="18" t="s">
        <v>75</v>
      </c>
      <c r="C169" s="11" t="s">
        <v>208</v>
      </c>
      <c r="D169" s="148">
        <f>'4 - Taxes P. 3'!C20</f>
        <v>33673493</v>
      </c>
      <c r="E169" s="11"/>
      <c r="F169" s="11" t="s">
        <v>64</v>
      </c>
      <c r="G169" s="34">
        <f>+G86</f>
        <v>0.12729456932245634</v>
      </c>
      <c r="H169" s="11"/>
      <c r="I169" s="11">
        <f>+G169*D169</f>
        <v>4286452.7890177481</v>
      </c>
      <c r="J169" s="11"/>
      <c r="K169" s="62"/>
    </row>
    <row r="170" spans="1:11">
      <c r="A170" s="26">
        <v>17</v>
      </c>
      <c r="B170" s="18" t="s">
        <v>76</v>
      </c>
      <c r="C170" s="11" t="s">
        <v>208</v>
      </c>
      <c r="D170" s="148"/>
      <c r="E170" s="11"/>
      <c r="F170" s="13" t="str">
        <f>+F105</f>
        <v>NA</v>
      </c>
      <c r="G170" s="72" t="s">
        <v>194</v>
      </c>
      <c r="H170" s="11"/>
      <c r="I170" s="11">
        <v>0</v>
      </c>
      <c r="J170" s="11"/>
      <c r="K170" s="62"/>
    </row>
    <row r="171" spans="1:11">
      <c r="A171" s="26">
        <v>18</v>
      </c>
      <c r="B171" s="18" t="s">
        <v>77</v>
      </c>
      <c r="C171" s="11" t="str">
        <f>+C170</f>
        <v>263.i</v>
      </c>
      <c r="D171" s="148">
        <f>'4 - Taxes P. 3'!G30</f>
        <v>2059632</v>
      </c>
      <c r="E171" s="11"/>
      <c r="F171" s="11" t="str">
        <f>+F169</f>
        <v>GP</v>
      </c>
      <c r="G171" s="34">
        <f>+G169</f>
        <v>0.12729456932245634</v>
      </c>
      <c r="H171" s="11"/>
      <c r="I171" s="11">
        <f>+G171*D171</f>
        <v>262179.96840274939</v>
      </c>
      <c r="J171" s="11"/>
      <c r="K171" s="62"/>
    </row>
    <row r="172" spans="1:11" ht="16.5" thickBot="1">
      <c r="A172" s="26">
        <v>19</v>
      </c>
      <c r="B172" s="18" t="s">
        <v>78</v>
      </c>
      <c r="C172" s="11"/>
      <c r="D172" s="153"/>
      <c r="E172" s="11"/>
      <c r="F172" s="11" t="s">
        <v>64</v>
      </c>
      <c r="G172" s="34">
        <f>+G169</f>
        <v>0.12729456932245634</v>
      </c>
      <c r="H172" s="11"/>
      <c r="I172" s="36">
        <f>+G172*D172</f>
        <v>0</v>
      </c>
      <c r="J172" s="11"/>
      <c r="K172" s="62"/>
    </row>
    <row r="173" spans="1:11">
      <c r="A173" s="26">
        <v>20</v>
      </c>
      <c r="B173" s="18" t="s">
        <v>79</v>
      </c>
      <c r="C173" s="11"/>
      <c r="D173" s="11">
        <f>SUM(D166:D172)</f>
        <v>42353516</v>
      </c>
      <c r="E173" s="11"/>
      <c r="F173" s="11"/>
      <c r="G173" s="34"/>
      <c r="H173" s="11"/>
      <c r="I173" s="11">
        <f>SUM(I166:I172)</f>
        <v>4816663.1381677352</v>
      </c>
      <c r="J173" s="11"/>
      <c r="K173" s="13"/>
    </row>
    <row r="174" spans="1:11">
      <c r="A174" s="26"/>
      <c r="B174" s="18"/>
      <c r="C174" s="11"/>
      <c r="D174" s="11"/>
      <c r="E174" s="11"/>
      <c r="F174" s="11"/>
      <c r="G174" s="34"/>
      <c r="H174" s="11"/>
      <c r="I174" s="11"/>
      <c r="J174" s="11"/>
      <c r="K174" s="13"/>
    </row>
    <row r="175" spans="1:11">
      <c r="A175" s="26" t="s">
        <v>2</v>
      </c>
      <c r="B175" s="18" t="s">
        <v>80</v>
      </c>
      <c r="C175" s="11" t="s">
        <v>259</v>
      </c>
      <c r="D175" s="11"/>
      <c r="E175" s="11"/>
      <c r="G175" s="73"/>
      <c r="H175" s="11"/>
      <c r="J175" s="11"/>
    </row>
    <row r="176" spans="1:11">
      <c r="A176" s="26">
        <v>21</v>
      </c>
      <c r="B176" s="74" t="s">
        <v>174</v>
      </c>
      <c r="C176" s="11"/>
      <c r="D176" s="75">
        <f>IF(D296&gt;0,1-(((1-D297)*(1-D296))/(1-D297*D296*D298)),0)</f>
        <v>0.38477366255144019</v>
      </c>
      <c r="E176" s="11"/>
      <c r="G176" s="73"/>
      <c r="H176" s="11"/>
      <c r="J176" s="11"/>
    </row>
    <row r="177" spans="1:11">
      <c r="A177" s="26">
        <v>22</v>
      </c>
      <c r="B177" s="17" t="s">
        <v>175</v>
      </c>
      <c r="C177" s="11"/>
      <c r="D177" s="75">
        <f>IF(I256&gt;0,(D176/(1-D176))*(1-I253/I256),0)</f>
        <v>0.43305243918427105</v>
      </c>
      <c r="E177" s="11"/>
      <c r="G177" s="73"/>
      <c r="H177" s="11"/>
      <c r="J177" s="11"/>
    </row>
    <row r="178" spans="1:11">
      <c r="A178" s="26"/>
      <c r="B178" s="18" t="s">
        <v>246</v>
      </c>
      <c r="C178" s="11"/>
      <c r="D178" s="11"/>
      <c r="E178" s="11"/>
      <c r="G178" s="73"/>
      <c r="H178" s="11"/>
      <c r="J178" s="11"/>
    </row>
    <row r="179" spans="1:11">
      <c r="A179" s="26"/>
      <c r="B179" s="18" t="s">
        <v>177</v>
      </c>
      <c r="C179" s="11"/>
      <c r="D179" s="11"/>
      <c r="E179" s="11"/>
      <c r="G179" s="73"/>
      <c r="H179" s="11"/>
      <c r="J179" s="11"/>
    </row>
    <row r="180" spans="1:11">
      <c r="A180" s="26">
        <v>23</v>
      </c>
      <c r="B180" s="74" t="s">
        <v>176</v>
      </c>
      <c r="C180" s="11"/>
      <c r="D180" s="76">
        <f>IF(D176&gt;0,1/(1-D176),0)</f>
        <v>1.6254180602006685</v>
      </c>
      <c r="E180" s="11"/>
      <c r="G180" s="73"/>
      <c r="H180" s="11"/>
      <c r="J180" s="11"/>
    </row>
    <row r="181" spans="1:11">
      <c r="A181" s="26">
        <v>24</v>
      </c>
      <c r="B181" s="18" t="s">
        <v>318</v>
      </c>
      <c r="C181" s="11"/>
      <c r="D181" s="148">
        <v>-494304</v>
      </c>
      <c r="E181" s="11"/>
      <c r="G181" s="73"/>
      <c r="H181" s="11"/>
      <c r="J181" s="11"/>
    </row>
    <row r="182" spans="1:11">
      <c r="A182" s="26"/>
      <c r="B182" s="18"/>
      <c r="C182" s="11"/>
      <c r="D182" s="11"/>
      <c r="E182" s="11"/>
      <c r="G182" s="73"/>
      <c r="H182" s="11"/>
      <c r="J182" s="11"/>
    </row>
    <row r="183" spans="1:11">
      <c r="A183" s="26">
        <v>25</v>
      </c>
      <c r="B183" s="74" t="s">
        <v>178</v>
      </c>
      <c r="C183" s="77"/>
      <c r="D183" s="11">
        <f>D177*D187</f>
        <v>83342707.591827631</v>
      </c>
      <c r="E183" s="11"/>
      <c r="F183" s="11" t="s">
        <v>45</v>
      </c>
      <c r="G183" s="34"/>
      <c r="H183" s="11"/>
      <c r="I183" s="11">
        <f>D177*I187</f>
        <v>11091547.049928522</v>
      </c>
      <c r="J183" s="11"/>
      <c r="K183" s="78" t="s">
        <v>2</v>
      </c>
    </row>
    <row r="184" spans="1:11" ht="16.5" thickBot="1">
      <c r="A184" s="26">
        <v>26</v>
      </c>
      <c r="B184" s="17" t="s">
        <v>180</v>
      </c>
      <c r="C184" s="77"/>
      <c r="D184" s="36">
        <f>D180*D181</f>
        <v>-803450.64882943127</v>
      </c>
      <c r="E184" s="11"/>
      <c r="F184" s="17" t="s">
        <v>56</v>
      </c>
      <c r="G184" s="34">
        <f>G102</f>
        <v>0.13291485847527346</v>
      </c>
      <c r="H184" s="11"/>
      <c r="I184" s="36">
        <f>G184*D184</f>
        <v>-106790.5292810305</v>
      </c>
      <c r="J184" s="11"/>
      <c r="K184" s="78"/>
    </row>
    <row r="185" spans="1:11">
      <c r="A185" s="26">
        <v>27</v>
      </c>
      <c r="B185" s="74" t="s">
        <v>162</v>
      </c>
      <c r="C185" s="17" t="s">
        <v>181</v>
      </c>
      <c r="D185" s="79">
        <f>+D183+D184</f>
        <v>82539256.942998201</v>
      </c>
      <c r="E185" s="11"/>
      <c r="F185" s="11" t="s">
        <v>2</v>
      </c>
      <c r="G185" s="34" t="s">
        <v>2</v>
      </c>
      <c r="H185" s="11"/>
      <c r="I185" s="79">
        <f>+I183+I184</f>
        <v>10984756.52064749</v>
      </c>
      <c r="J185" s="11"/>
      <c r="K185" s="13"/>
    </row>
    <row r="186" spans="1:11">
      <c r="A186" s="26" t="s">
        <v>2</v>
      </c>
      <c r="C186" s="80"/>
      <c r="D186" s="11"/>
      <c r="E186" s="11"/>
      <c r="F186" s="11"/>
      <c r="G186" s="34"/>
      <c r="H186" s="11"/>
      <c r="I186" s="11"/>
      <c r="J186" s="11"/>
      <c r="K186" s="13"/>
    </row>
    <row r="187" spans="1:11">
      <c r="A187" s="26">
        <v>28</v>
      </c>
      <c r="B187" s="18" t="s">
        <v>81</v>
      </c>
      <c r="C187" s="61"/>
      <c r="D187" s="11">
        <f>+$I256*D120</f>
        <v>192454077.26791239</v>
      </c>
      <c r="E187" s="11"/>
      <c r="F187" s="11" t="s">
        <v>45</v>
      </c>
      <c r="G187" s="73"/>
      <c r="H187" s="11"/>
      <c r="I187" s="11">
        <f>+$I256*I120</f>
        <v>25612480.259483963</v>
      </c>
      <c r="J187" s="11"/>
    </row>
    <row r="188" spans="1:11">
      <c r="A188" s="26"/>
      <c r="B188" s="74" t="s">
        <v>242</v>
      </c>
      <c r="D188" s="11"/>
      <c r="E188" s="11"/>
      <c r="F188" s="11"/>
      <c r="G188" s="73"/>
      <c r="H188" s="11"/>
      <c r="I188" s="11"/>
      <c r="J188" s="11"/>
      <c r="K188" s="62"/>
    </row>
    <row r="189" spans="1:11">
      <c r="A189" s="26"/>
      <c r="B189" s="18"/>
      <c r="D189" s="67"/>
      <c r="E189" s="11"/>
      <c r="F189" s="11"/>
      <c r="G189" s="73"/>
      <c r="H189" s="11"/>
      <c r="I189" s="67"/>
      <c r="J189" s="11"/>
      <c r="K189" s="62"/>
    </row>
    <row r="190" spans="1:11">
      <c r="A190" s="26">
        <v>29</v>
      </c>
      <c r="B190" s="18" t="s">
        <v>179</v>
      </c>
      <c r="C190" s="11"/>
      <c r="D190" s="67">
        <f>+D187+D185+D173+D162+D156</f>
        <v>406957006.50091058</v>
      </c>
      <c r="E190" s="11"/>
      <c r="F190" s="11"/>
      <c r="G190" s="11"/>
      <c r="H190" s="11"/>
      <c r="I190" s="67">
        <f>+I187+I185+I173+I162+I156</f>
        <v>63866968.015359834</v>
      </c>
      <c r="J190" s="20"/>
      <c r="K190" s="23"/>
    </row>
    <row r="191" spans="1:11">
      <c r="A191" s="26"/>
      <c r="B191" s="18"/>
      <c r="C191" s="11"/>
      <c r="D191" s="67"/>
      <c r="E191" s="11"/>
      <c r="F191" s="11"/>
      <c r="G191" s="11"/>
      <c r="H191" s="11"/>
      <c r="I191" s="67"/>
      <c r="J191" s="20"/>
      <c r="K191" s="23"/>
    </row>
    <row r="192" spans="1:11">
      <c r="A192" s="50">
        <v>30</v>
      </c>
      <c r="B192" s="51" t="s">
        <v>296</v>
      </c>
      <c r="C192" s="13"/>
      <c r="D192" s="67"/>
      <c r="E192" s="11"/>
      <c r="F192" s="11"/>
      <c r="G192" s="11"/>
      <c r="H192" s="11"/>
      <c r="I192" s="67"/>
      <c r="J192" s="20"/>
      <c r="K192" s="23"/>
    </row>
    <row r="193" spans="1:14">
      <c r="A193" s="50"/>
      <c r="B193" s="344" t="s">
        <v>241</v>
      </c>
      <c r="C193" s="344"/>
      <c r="J193" s="20"/>
      <c r="K193" s="23"/>
    </row>
    <row r="194" spans="1:14">
      <c r="A194" s="50"/>
      <c r="B194" s="51" t="s">
        <v>240</v>
      </c>
      <c r="C194" s="13"/>
      <c r="D194" s="154">
        <v>0</v>
      </c>
      <c r="E194" s="11"/>
      <c r="F194" s="11"/>
      <c r="G194" s="11"/>
      <c r="H194" s="11"/>
      <c r="I194" s="154">
        <v>0</v>
      </c>
      <c r="J194" s="20"/>
      <c r="K194" s="23"/>
    </row>
    <row r="195" spans="1:14">
      <c r="A195" s="50"/>
      <c r="B195" s="51"/>
      <c r="C195" s="13"/>
      <c r="D195" s="13"/>
      <c r="E195" s="13"/>
      <c r="F195" s="13"/>
      <c r="G195" s="13"/>
      <c r="H195" s="13"/>
      <c r="I195" s="13"/>
      <c r="J195" s="20"/>
      <c r="K195" s="23"/>
    </row>
    <row r="196" spans="1:14" ht="15.75" customHeight="1">
      <c r="A196" s="50" t="s">
        <v>300</v>
      </c>
      <c r="B196" s="51" t="s">
        <v>322</v>
      </c>
      <c r="C196" s="13"/>
      <c r="D196" s="81"/>
      <c r="E196" s="13"/>
      <c r="F196" s="11"/>
      <c r="G196" s="11"/>
      <c r="H196" s="11"/>
      <c r="I196" s="67"/>
      <c r="J196" s="20"/>
      <c r="K196" s="23"/>
    </row>
    <row r="197" spans="1:14">
      <c r="A197" s="50"/>
      <c r="B197" s="344" t="s">
        <v>241</v>
      </c>
      <c r="C197" s="344"/>
      <c r="J197" s="20"/>
      <c r="K197" s="23"/>
    </row>
    <row r="198" spans="1:14" ht="16.5" thickBot="1">
      <c r="A198" s="50"/>
      <c r="B198" s="51" t="s">
        <v>301</v>
      </c>
      <c r="C198" s="13"/>
      <c r="D198" s="153">
        <v>0</v>
      </c>
      <c r="E198" s="11"/>
      <c r="F198" s="11"/>
      <c r="G198" s="11"/>
      <c r="H198" s="11"/>
      <c r="I198" s="153">
        <v>0</v>
      </c>
      <c r="J198" s="20"/>
      <c r="K198" s="23"/>
    </row>
    <row r="199" spans="1:14" ht="16.5" thickBot="1">
      <c r="A199" s="50">
        <v>31</v>
      </c>
      <c r="B199" s="2" t="s">
        <v>239</v>
      </c>
      <c r="C199" s="13"/>
      <c r="D199" s="82">
        <f>D190-D194-D198</f>
        <v>406957006.50091058</v>
      </c>
      <c r="E199" s="13"/>
      <c r="F199" s="13"/>
      <c r="G199" s="13"/>
      <c r="H199" s="13"/>
      <c r="I199" s="82">
        <f>I190-I194-I198</f>
        <v>63866968.015359834</v>
      </c>
      <c r="J199" s="23"/>
      <c r="K199" s="13"/>
      <c r="L199" s="2"/>
    </row>
    <row r="200" spans="1:14" ht="16.5" thickTop="1">
      <c r="A200" s="50"/>
      <c r="B200" s="51" t="s">
        <v>302</v>
      </c>
      <c r="C200" s="13"/>
      <c r="D200" s="67"/>
      <c r="E200" s="11"/>
      <c r="F200" s="11"/>
      <c r="G200" s="11"/>
      <c r="H200" s="11"/>
      <c r="I200" s="67"/>
      <c r="J200" s="20"/>
      <c r="K200" s="23"/>
    </row>
    <row r="201" spans="1:14">
      <c r="A201" s="26"/>
      <c r="B201" s="18"/>
      <c r="C201" s="11"/>
      <c r="D201" s="67"/>
      <c r="E201" s="11"/>
      <c r="F201" s="11"/>
      <c r="G201" s="11"/>
      <c r="H201" s="11"/>
      <c r="I201" s="67"/>
      <c r="J201" s="20"/>
      <c r="K201" s="23"/>
      <c r="M201" s="2"/>
      <c r="N201" s="2"/>
    </row>
    <row r="202" spans="1:14">
      <c r="A202" s="26"/>
      <c r="B202" s="18"/>
      <c r="C202" s="11"/>
      <c r="D202" s="67"/>
      <c r="E202" s="11"/>
      <c r="F202" s="11"/>
      <c r="G202" s="11"/>
      <c r="H202" s="11"/>
      <c r="I202" s="67"/>
      <c r="J202" s="20"/>
      <c r="K202" s="23"/>
    </row>
    <row r="203" spans="1:14">
      <c r="B203" s="18"/>
      <c r="C203" s="18"/>
      <c r="D203" s="19"/>
      <c r="E203" s="18"/>
      <c r="F203" s="18"/>
      <c r="G203" s="18"/>
      <c r="H203" s="20"/>
      <c r="I203" s="20"/>
      <c r="J203" s="345" t="s">
        <v>203</v>
      </c>
      <c r="K203" s="345"/>
    </row>
    <row r="204" spans="1:14">
      <c r="B204" s="18" t="s">
        <v>0</v>
      </c>
      <c r="C204" s="18"/>
      <c r="D204" s="19" t="s">
        <v>1</v>
      </c>
      <c r="E204" s="18"/>
      <c r="F204" s="18"/>
      <c r="G204" s="18"/>
      <c r="H204" s="345" t="str">
        <f>K4</f>
        <v>For the 12 months ended 12/31/16</v>
      </c>
      <c r="I204" s="345"/>
      <c r="J204" s="345"/>
      <c r="K204" s="345"/>
    </row>
    <row r="205" spans="1:14">
      <c r="B205" s="18"/>
      <c r="C205" s="11" t="s">
        <v>2</v>
      </c>
      <c r="D205" s="11" t="s">
        <v>3</v>
      </c>
      <c r="E205" s="11"/>
      <c r="F205" s="11"/>
      <c r="G205" s="11"/>
      <c r="H205" s="20"/>
      <c r="I205" s="20"/>
      <c r="J205" s="20"/>
      <c r="K205" s="23"/>
    </row>
    <row r="206" spans="1:14" ht="9" customHeight="1">
      <c r="A206" s="26"/>
      <c r="J206" s="11"/>
      <c r="K206" s="13"/>
    </row>
    <row r="207" spans="1:14">
      <c r="A207" s="26"/>
      <c r="D207" s="17" t="str">
        <f>D7</f>
        <v>Cleco Power LLC</v>
      </c>
      <c r="J207" s="11"/>
      <c r="K207" s="13"/>
    </row>
    <row r="208" spans="1:14">
      <c r="A208" s="26"/>
      <c r="C208" s="59" t="s">
        <v>82</v>
      </c>
      <c r="E208" s="20"/>
      <c r="F208" s="20"/>
      <c r="G208" s="20"/>
      <c r="H208" s="20"/>
      <c r="I208" s="20"/>
      <c r="J208" s="11"/>
      <c r="K208" s="13"/>
    </row>
    <row r="209" spans="1:20">
      <c r="A209" s="26" t="s">
        <v>4</v>
      </c>
      <c r="B209" s="59"/>
      <c r="C209" s="20"/>
      <c r="D209" s="20"/>
      <c r="E209" s="20"/>
      <c r="F209" s="20"/>
      <c r="G209" s="20"/>
      <c r="H209" s="20"/>
      <c r="I209" s="20"/>
      <c r="J209" s="11"/>
      <c r="K209" s="13"/>
    </row>
    <row r="210" spans="1:20" ht="16.5" thickBot="1">
      <c r="A210" s="30" t="s">
        <v>6</v>
      </c>
      <c r="B210" s="51" t="s">
        <v>85</v>
      </c>
      <c r="C210" s="23"/>
      <c r="D210" s="23"/>
      <c r="E210" s="23"/>
      <c r="F210" s="23"/>
      <c r="G210" s="23"/>
      <c r="H210" s="2"/>
      <c r="I210" s="2"/>
      <c r="J210" s="13"/>
      <c r="K210" s="13"/>
    </row>
    <row r="211" spans="1:20">
      <c r="A211" s="26">
        <v>1</v>
      </c>
      <c r="B211" s="23" t="s">
        <v>261</v>
      </c>
      <c r="C211" s="23"/>
      <c r="D211" s="13"/>
      <c r="E211" s="13"/>
      <c r="F211" s="13"/>
      <c r="G211" s="13"/>
      <c r="H211" s="13"/>
      <c r="I211" s="13">
        <f>D82</f>
        <v>716205523</v>
      </c>
      <c r="J211" s="13"/>
      <c r="K211" s="13"/>
    </row>
    <row r="212" spans="1:20">
      <c r="A212" s="26">
        <v>2</v>
      </c>
      <c r="B212" s="23" t="s">
        <v>260</v>
      </c>
      <c r="C212" s="2"/>
      <c r="D212" s="83"/>
      <c r="E212" s="2"/>
      <c r="F212" s="2"/>
      <c r="G212" s="2"/>
      <c r="H212" s="2"/>
      <c r="I212" s="148">
        <f>'6 - Excluded Assets P. 4'!C42</f>
        <v>131743181.54849999</v>
      </c>
      <c r="J212" s="13"/>
      <c r="K212" s="13"/>
    </row>
    <row r="213" spans="1:20" ht="16.5" thickBot="1">
      <c r="A213" s="26">
        <v>3</v>
      </c>
      <c r="B213" s="84" t="s">
        <v>262</v>
      </c>
      <c r="C213" s="84"/>
      <c r="D213" s="81"/>
      <c r="E213" s="13"/>
      <c r="F213" s="13"/>
      <c r="G213" s="85"/>
      <c r="H213" s="13"/>
      <c r="I213" s="153">
        <f>'6 - Excluded Assets P. 4'!C11</f>
        <v>2046726.9500000002</v>
      </c>
      <c r="J213" s="13"/>
      <c r="K213" s="13"/>
    </row>
    <row r="214" spans="1:20">
      <c r="A214" s="26">
        <v>4</v>
      </c>
      <c r="B214" s="23" t="s">
        <v>199</v>
      </c>
      <c r="C214" s="23"/>
      <c r="D214" s="81"/>
      <c r="E214" s="13"/>
      <c r="F214" s="13"/>
      <c r="G214" s="85"/>
      <c r="H214" s="13"/>
      <c r="I214" s="13">
        <f>I211-I212-I213</f>
        <v>582415614.50150001</v>
      </c>
      <c r="J214" s="13"/>
      <c r="K214" s="13"/>
    </row>
    <row r="215" spans="1:20" ht="9" customHeight="1">
      <c r="A215" s="26"/>
      <c r="B215" s="2"/>
      <c r="C215" s="23"/>
      <c r="D215" s="81"/>
      <c r="E215" s="13"/>
      <c r="F215" s="13"/>
      <c r="G215" s="85"/>
      <c r="H215" s="13"/>
      <c r="I215" s="2"/>
      <c r="J215" s="13"/>
      <c r="K215" s="13"/>
    </row>
    <row r="216" spans="1:20">
      <c r="A216" s="26">
        <v>5</v>
      </c>
      <c r="B216" s="23" t="s">
        <v>263</v>
      </c>
      <c r="C216" s="86"/>
      <c r="D216" s="87"/>
      <c r="E216" s="88"/>
      <c r="F216" s="88"/>
      <c r="G216" s="89"/>
      <c r="H216" s="13" t="s">
        <v>86</v>
      </c>
      <c r="I216" s="63">
        <f>IF(I211&gt;0,I214/I211,0)</f>
        <v>0.81319620667250847</v>
      </c>
      <c r="J216" s="13"/>
      <c r="K216" s="13"/>
      <c r="M216" s="83"/>
      <c r="N216" s="83"/>
      <c r="O216" s="83"/>
      <c r="P216" s="83"/>
      <c r="Q216" s="83"/>
      <c r="R216" s="83"/>
      <c r="S216" s="83"/>
      <c r="T216" s="83"/>
    </row>
    <row r="217" spans="1:20" ht="9" customHeight="1">
      <c r="A217" s="26"/>
      <c r="B217" s="2"/>
      <c r="C217" s="2"/>
      <c r="D217" s="83"/>
      <c r="E217" s="2"/>
      <c r="F217" s="2"/>
      <c r="G217" s="2"/>
      <c r="H217" s="2"/>
      <c r="I217" s="2"/>
      <c r="J217" s="13"/>
      <c r="K217" s="13"/>
      <c r="M217" s="83"/>
      <c r="N217" s="83"/>
      <c r="O217" s="83"/>
      <c r="P217" s="83"/>
      <c r="Q217" s="83"/>
      <c r="R217" s="83"/>
      <c r="S217" s="83"/>
      <c r="T217" s="83"/>
    </row>
    <row r="218" spans="1:20">
      <c r="A218" s="26"/>
      <c r="B218" s="51" t="s">
        <v>83</v>
      </c>
      <c r="C218" s="2"/>
      <c r="D218" s="83"/>
      <c r="E218" s="2"/>
      <c r="F218" s="2"/>
      <c r="G218" s="2"/>
      <c r="H218" s="2"/>
      <c r="I218" s="2"/>
      <c r="J218" s="13"/>
      <c r="K218" s="13"/>
      <c r="M218" s="83"/>
      <c r="N218" s="90"/>
      <c r="O218" s="90"/>
      <c r="P218" s="90"/>
      <c r="Q218" s="83"/>
      <c r="R218" s="83"/>
      <c r="S218" s="83"/>
      <c r="T218" s="83"/>
    </row>
    <row r="219" spans="1:20">
      <c r="A219" s="26">
        <v>6</v>
      </c>
      <c r="B219" s="2" t="s">
        <v>264</v>
      </c>
      <c r="C219" s="2"/>
      <c r="D219" s="91"/>
      <c r="E219" s="23"/>
      <c r="F219" s="23"/>
      <c r="G219" s="50"/>
      <c r="H219" s="23"/>
      <c r="I219" s="13">
        <f>D147</f>
        <v>36989521.439999998</v>
      </c>
      <c r="J219" s="13"/>
      <c r="K219" s="13"/>
      <c r="M219" s="83"/>
      <c r="N219" s="92"/>
      <c r="O219" s="93"/>
      <c r="P219" s="94"/>
      <c r="Q219" s="92"/>
      <c r="R219" s="93"/>
      <c r="S219" s="93"/>
      <c r="T219" s="83"/>
    </row>
    <row r="220" spans="1:20" ht="16.5" thickBot="1">
      <c r="A220" s="26">
        <v>7</v>
      </c>
      <c r="B220" s="84" t="s">
        <v>265</v>
      </c>
      <c r="C220" s="84"/>
      <c r="D220" s="81"/>
      <c r="E220" s="81"/>
      <c r="F220" s="13"/>
      <c r="G220" s="13"/>
      <c r="H220" s="13"/>
      <c r="I220" s="153">
        <f>652862+1088569+513780</f>
        <v>2255211</v>
      </c>
      <c r="J220" s="13"/>
      <c r="K220" s="13"/>
      <c r="M220" s="83"/>
      <c r="N220" s="95"/>
      <c r="O220" s="96"/>
      <c r="P220" s="96"/>
      <c r="Q220" s="96"/>
      <c r="R220" s="96"/>
      <c r="S220" s="96"/>
      <c r="T220" s="83"/>
    </row>
    <row r="221" spans="1:20">
      <c r="A221" s="26">
        <v>8</v>
      </c>
      <c r="B221" s="23" t="s">
        <v>266</v>
      </c>
      <c r="C221" s="86"/>
      <c r="D221" s="87"/>
      <c r="E221" s="88"/>
      <c r="F221" s="88"/>
      <c r="G221" s="89"/>
      <c r="H221" s="88"/>
      <c r="I221" s="13">
        <f>+I219-I220</f>
        <v>34734310.439999998</v>
      </c>
      <c r="J221" s="2"/>
      <c r="M221" s="83"/>
      <c r="N221" s="97"/>
      <c r="O221" s="93"/>
      <c r="P221" s="94"/>
      <c r="Q221" s="92"/>
      <c r="R221" s="93"/>
      <c r="S221" s="93"/>
      <c r="T221" s="83"/>
    </row>
    <row r="222" spans="1:20">
      <c r="A222" s="26"/>
      <c r="B222" s="23"/>
      <c r="C222" s="23"/>
      <c r="D222" s="81"/>
      <c r="E222" s="13"/>
      <c r="F222" s="13"/>
      <c r="G222" s="13"/>
      <c r="H222" s="2"/>
      <c r="I222" s="2"/>
      <c r="J222" s="2"/>
      <c r="M222" s="83"/>
      <c r="N222" s="98"/>
      <c r="O222" s="99"/>
      <c r="P222" s="94"/>
      <c r="Q222" s="92"/>
      <c r="R222" s="93"/>
      <c r="S222" s="93"/>
      <c r="T222" s="83"/>
    </row>
    <row r="223" spans="1:20">
      <c r="A223" s="26">
        <v>9</v>
      </c>
      <c r="B223" s="23" t="s">
        <v>267</v>
      </c>
      <c r="C223" s="23"/>
      <c r="D223" s="81"/>
      <c r="E223" s="13"/>
      <c r="F223" s="13"/>
      <c r="G223" s="13"/>
      <c r="H223" s="13"/>
      <c r="I223" s="71">
        <f>IF(I219&gt;0,I221/I219,0)</f>
        <v>0.93903108469088648</v>
      </c>
      <c r="J223" s="2"/>
      <c r="M223" s="83"/>
      <c r="N223" s="100"/>
      <c r="O223" s="101"/>
      <c r="P223" s="102"/>
      <c r="Q223" s="102"/>
      <c r="R223" s="97"/>
      <c r="S223" s="97"/>
      <c r="T223" s="83"/>
    </row>
    <row r="224" spans="1:20">
      <c r="A224" s="26">
        <v>10</v>
      </c>
      <c r="B224" s="23" t="s">
        <v>268</v>
      </c>
      <c r="C224" s="23"/>
      <c r="D224" s="13"/>
      <c r="E224" s="13"/>
      <c r="F224" s="13"/>
      <c r="G224" s="13"/>
      <c r="H224" s="23" t="s">
        <v>11</v>
      </c>
      <c r="I224" s="103">
        <f>I216</f>
        <v>0.81319620667250847</v>
      </c>
      <c r="J224" s="2"/>
      <c r="M224" s="83"/>
      <c r="N224" s="100"/>
      <c r="O224" s="101"/>
      <c r="P224" s="97"/>
      <c r="Q224" s="97"/>
      <c r="R224" s="97"/>
      <c r="S224" s="97"/>
      <c r="T224" s="83"/>
    </row>
    <row r="225" spans="1:20">
      <c r="A225" s="26">
        <v>11</v>
      </c>
      <c r="B225" s="23" t="s">
        <v>269</v>
      </c>
      <c r="C225" s="23"/>
      <c r="D225" s="23"/>
      <c r="E225" s="23"/>
      <c r="F225" s="23"/>
      <c r="G225" s="23"/>
      <c r="H225" s="23" t="s">
        <v>84</v>
      </c>
      <c r="I225" s="104">
        <f>+I224*I223</f>
        <v>0.76361651601819991</v>
      </c>
      <c r="J225" s="2"/>
      <c r="M225" s="83"/>
      <c r="N225" s="92"/>
      <c r="O225" s="105"/>
      <c r="P225" s="106"/>
      <c r="Q225" s="106"/>
      <c r="R225" s="93"/>
      <c r="S225" s="93"/>
      <c r="T225" s="83"/>
    </row>
    <row r="226" spans="1:20">
      <c r="A226" s="26"/>
      <c r="C226" s="20"/>
      <c r="D226" s="11"/>
      <c r="E226" s="11"/>
      <c r="F226" s="11"/>
      <c r="G226" s="107"/>
      <c r="H226" s="11"/>
      <c r="M226" s="83"/>
      <c r="N226" s="108"/>
      <c r="O226" s="106"/>
      <c r="P226" s="97"/>
      <c r="Q226" s="106"/>
      <c r="R226" s="93"/>
      <c r="S226" s="93"/>
      <c r="T226" s="83"/>
    </row>
    <row r="227" spans="1:20">
      <c r="A227" s="26" t="s">
        <v>2</v>
      </c>
      <c r="B227" s="18" t="s">
        <v>87</v>
      </c>
      <c r="C227" s="11"/>
      <c r="D227" s="11"/>
      <c r="E227" s="11"/>
      <c r="F227" s="11"/>
      <c r="G227" s="11"/>
      <c r="H227" s="11"/>
      <c r="I227" s="11"/>
      <c r="J227" s="11"/>
      <c r="K227" s="13"/>
      <c r="M227" s="83"/>
      <c r="N227" s="98"/>
      <c r="O227" s="106"/>
      <c r="P227" s="97"/>
      <c r="Q227" s="106"/>
      <c r="R227" s="93"/>
      <c r="S227" s="93"/>
      <c r="T227" s="83"/>
    </row>
    <row r="228" spans="1:20" ht="16.5" thickBot="1">
      <c r="A228" s="26" t="s">
        <v>2</v>
      </c>
      <c r="B228" s="18"/>
      <c r="C228" s="36" t="s">
        <v>88</v>
      </c>
      <c r="D228" s="109" t="s">
        <v>89</v>
      </c>
      <c r="E228" s="109" t="s">
        <v>11</v>
      </c>
      <c r="F228" s="11"/>
      <c r="G228" s="109" t="s">
        <v>90</v>
      </c>
      <c r="H228" s="11"/>
      <c r="I228" s="11"/>
      <c r="J228" s="11"/>
      <c r="K228" s="13"/>
      <c r="M228" s="83"/>
      <c r="N228" s="98"/>
      <c r="O228" s="106"/>
      <c r="P228" s="97"/>
      <c r="Q228" s="110"/>
      <c r="R228" s="93"/>
      <c r="S228" s="93"/>
      <c r="T228" s="83"/>
    </row>
    <row r="229" spans="1:20">
      <c r="A229" s="26">
        <v>12</v>
      </c>
      <c r="B229" s="18" t="s">
        <v>44</v>
      </c>
      <c r="C229" s="11" t="s">
        <v>232</v>
      </c>
      <c r="D229" s="148">
        <v>38701884</v>
      </c>
      <c r="E229" s="111">
        <v>0</v>
      </c>
      <c r="F229" s="111"/>
      <c r="G229" s="11">
        <f>D229*E229</f>
        <v>0</v>
      </c>
      <c r="H229" s="11"/>
      <c r="I229" s="11"/>
      <c r="J229" s="11"/>
      <c r="K229" s="13"/>
      <c r="M229" s="83"/>
      <c r="N229" s="100"/>
      <c r="O229" s="101"/>
      <c r="P229" s="94"/>
      <c r="Q229" s="92"/>
      <c r="R229" s="93"/>
      <c r="S229" s="93"/>
      <c r="T229" s="83"/>
    </row>
    <row r="230" spans="1:20">
      <c r="A230" s="26">
        <v>13</v>
      </c>
      <c r="B230" s="18" t="s">
        <v>46</v>
      </c>
      <c r="C230" s="11" t="s">
        <v>233</v>
      </c>
      <c r="D230" s="148">
        <v>2939637</v>
      </c>
      <c r="E230" s="111">
        <f>+I216</f>
        <v>0.81319620667250847</v>
      </c>
      <c r="F230" s="111"/>
      <c r="G230" s="11">
        <f>D230*E230</f>
        <v>2390501.6573941526</v>
      </c>
      <c r="H230" s="11"/>
      <c r="I230" s="11"/>
      <c r="J230" s="11"/>
      <c r="K230" s="13"/>
      <c r="M230" s="83"/>
      <c r="N230" s="112"/>
      <c r="O230" s="101"/>
      <c r="P230" s="94"/>
      <c r="Q230" s="92"/>
      <c r="R230" s="93"/>
      <c r="S230" s="93"/>
      <c r="T230" s="83"/>
    </row>
    <row r="231" spans="1:20">
      <c r="A231" s="26">
        <v>14</v>
      </c>
      <c r="B231" s="18" t="s">
        <v>47</v>
      </c>
      <c r="C231" s="11" t="s">
        <v>234</v>
      </c>
      <c r="D231" s="148">
        <v>8863079</v>
      </c>
      <c r="E231" s="111">
        <v>0</v>
      </c>
      <c r="F231" s="111"/>
      <c r="G231" s="11">
        <f>D231*E231</f>
        <v>0</v>
      </c>
      <c r="H231" s="11"/>
      <c r="I231" s="113" t="s">
        <v>91</v>
      </c>
      <c r="J231" s="11"/>
      <c r="K231" s="13"/>
      <c r="M231" s="83"/>
      <c r="N231" s="83"/>
      <c r="O231" s="83"/>
      <c r="P231" s="83"/>
      <c r="Q231" s="83"/>
      <c r="R231" s="83"/>
      <c r="S231" s="83"/>
      <c r="T231" s="83"/>
    </row>
    <row r="232" spans="1:20" ht="16.5" thickBot="1">
      <c r="A232" s="26">
        <v>15</v>
      </c>
      <c r="B232" s="18" t="s">
        <v>92</v>
      </c>
      <c r="C232" s="11" t="s">
        <v>270</v>
      </c>
      <c r="D232" s="153">
        <f>3556641+2533877+2450635</f>
        <v>8541153</v>
      </c>
      <c r="E232" s="111">
        <v>0</v>
      </c>
      <c r="F232" s="111"/>
      <c r="G232" s="36">
        <f>D232*E232</f>
        <v>0</v>
      </c>
      <c r="H232" s="11"/>
      <c r="I232" s="30" t="s">
        <v>93</v>
      </c>
      <c r="J232" s="11"/>
      <c r="K232" s="13"/>
      <c r="M232" s="83"/>
      <c r="N232" s="83"/>
      <c r="O232" s="83"/>
      <c r="P232" s="83"/>
      <c r="Q232" s="83"/>
      <c r="R232" s="83"/>
      <c r="S232" s="83"/>
      <c r="T232" s="83"/>
    </row>
    <row r="233" spans="1:20">
      <c r="A233" s="26">
        <v>16</v>
      </c>
      <c r="B233" s="18" t="s">
        <v>191</v>
      </c>
      <c r="C233" s="11"/>
      <c r="D233" s="11">
        <f>SUM(D229:D232)</f>
        <v>59045753</v>
      </c>
      <c r="E233" s="11"/>
      <c r="F233" s="11"/>
      <c r="G233" s="11">
        <f>SUM(G229:G232)</f>
        <v>2390501.6573941526</v>
      </c>
      <c r="H233" s="26" t="s">
        <v>94</v>
      </c>
      <c r="I233" s="60">
        <f>IF(G233&gt;0,G233/D233,0)</f>
        <v>4.0485581704651184E-2</v>
      </c>
      <c r="J233" s="107" t="s">
        <v>94</v>
      </c>
      <c r="K233" s="13" t="s">
        <v>183</v>
      </c>
    </row>
    <row r="234" spans="1:20" ht="9" customHeight="1">
      <c r="A234" s="26"/>
      <c r="B234" s="18"/>
      <c r="C234" s="11"/>
      <c r="D234" s="11"/>
      <c r="E234" s="11"/>
      <c r="F234" s="11"/>
      <c r="G234" s="11"/>
      <c r="H234" s="11"/>
      <c r="I234" s="11"/>
      <c r="J234" s="11"/>
      <c r="K234" s="13"/>
    </row>
    <row r="235" spans="1:20">
      <c r="A235" s="26"/>
      <c r="B235" s="18" t="s">
        <v>271</v>
      </c>
      <c r="C235" s="11"/>
      <c r="D235" s="55" t="s">
        <v>89</v>
      </c>
      <c r="E235" s="11"/>
      <c r="F235" s="11"/>
      <c r="G235" s="107" t="s">
        <v>95</v>
      </c>
      <c r="H235" s="73" t="s">
        <v>2</v>
      </c>
      <c r="I235" s="61" t="str">
        <f>+I231</f>
        <v>W&amp;S Allocator</v>
      </c>
      <c r="J235" s="11"/>
      <c r="K235" s="13"/>
    </row>
    <row r="236" spans="1:20">
      <c r="A236" s="26">
        <v>17</v>
      </c>
      <c r="B236" s="18" t="s">
        <v>96</v>
      </c>
      <c r="C236" s="11" t="s">
        <v>97</v>
      </c>
      <c r="D236" s="148">
        <v>4409389117</v>
      </c>
      <c r="E236" s="11"/>
      <c r="G236" s="26" t="s">
        <v>98</v>
      </c>
      <c r="H236" s="73"/>
      <c r="I236" s="26" t="s">
        <v>99</v>
      </c>
      <c r="J236" s="11"/>
      <c r="K236" s="50" t="s">
        <v>100</v>
      </c>
    </row>
    <row r="237" spans="1:20">
      <c r="A237" s="26">
        <v>18</v>
      </c>
      <c r="B237" s="18" t="s">
        <v>101</v>
      </c>
      <c r="C237" s="11" t="s">
        <v>209</v>
      </c>
      <c r="D237" s="148"/>
      <c r="E237" s="11"/>
      <c r="G237" s="34">
        <f>IF(D239&gt;0,D236/D239,0)</f>
        <v>1</v>
      </c>
      <c r="H237" s="107" t="s">
        <v>102</v>
      </c>
      <c r="I237" s="34">
        <f>I233</f>
        <v>4.0485581704651184E-2</v>
      </c>
      <c r="J237" s="73" t="s">
        <v>94</v>
      </c>
      <c r="K237" s="114">
        <f>I237*G237</f>
        <v>4.0485581704651184E-2</v>
      </c>
    </row>
    <row r="238" spans="1:20" ht="16.5" thickBot="1">
      <c r="A238" s="26">
        <v>19</v>
      </c>
      <c r="B238" s="115" t="s">
        <v>103</v>
      </c>
      <c r="C238" s="36" t="s">
        <v>210</v>
      </c>
      <c r="D238" s="153"/>
      <c r="E238" s="11"/>
      <c r="F238" s="11"/>
      <c r="G238" s="11" t="s">
        <v>2</v>
      </c>
      <c r="H238" s="11"/>
      <c r="I238" s="11"/>
      <c r="J238" s="11"/>
      <c r="K238" s="13"/>
    </row>
    <row r="239" spans="1:20">
      <c r="A239" s="26">
        <v>20</v>
      </c>
      <c r="B239" s="18" t="s">
        <v>163</v>
      </c>
      <c r="C239" s="11"/>
      <c r="D239" s="11">
        <f>D236+D237+D238</f>
        <v>4409389117</v>
      </c>
      <c r="E239" s="11"/>
      <c r="F239" s="11"/>
      <c r="G239" s="11"/>
      <c r="H239" s="11"/>
      <c r="I239" s="11"/>
      <c r="J239" s="11"/>
      <c r="K239" s="13"/>
    </row>
    <row r="240" spans="1:20" ht="9" customHeight="1">
      <c r="A240" s="26"/>
      <c r="B240" s="18"/>
      <c r="C240" s="11"/>
      <c r="E240" s="11"/>
      <c r="F240" s="11"/>
      <c r="G240" s="11"/>
      <c r="H240" s="11"/>
      <c r="I240" s="11"/>
      <c r="J240" s="11"/>
      <c r="K240" s="13"/>
    </row>
    <row r="241" spans="1:17" ht="16.5" thickBot="1">
      <c r="A241" s="26"/>
      <c r="B241" s="18" t="s">
        <v>104</v>
      </c>
      <c r="C241" s="11"/>
      <c r="D241" s="11"/>
      <c r="E241" s="11"/>
      <c r="F241" s="11"/>
      <c r="G241" s="11"/>
      <c r="H241" s="11"/>
      <c r="I241" s="109" t="s">
        <v>89</v>
      </c>
      <c r="J241" s="11"/>
      <c r="K241" s="13"/>
    </row>
    <row r="242" spans="1:17">
      <c r="A242" s="26">
        <v>21</v>
      </c>
      <c r="B242" s="20"/>
      <c r="C242" s="11" t="s">
        <v>214</v>
      </c>
      <c r="D242" s="11"/>
      <c r="E242" s="11"/>
      <c r="F242" s="11"/>
      <c r="G242" s="11"/>
      <c r="H242" s="11"/>
      <c r="I242" s="155">
        <f>66587017+2209976+821030+4147440</f>
        <v>73765463</v>
      </c>
      <c r="J242" s="11"/>
      <c r="K242" s="13"/>
    </row>
    <row r="243" spans="1:17" ht="9" customHeight="1">
      <c r="A243" s="26"/>
      <c r="B243" s="18"/>
      <c r="C243" s="11"/>
      <c r="D243" s="11"/>
      <c r="E243" s="11"/>
      <c r="F243" s="11"/>
      <c r="G243" s="11"/>
      <c r="H243" s="11"/>
      <c r="I243" s="11"/>
      <c r="J243" s="11"/>
      <c r="K243" s="13"/>
    </row>
    <row r="244" spans="1:17">
      <c r="A244" s="26">
        <v>22</v>
      </c>
      <c r="B244" s="18"/>
      <c r="C244" s="11" t="s">
        <v>105</v>
      </c>
      <c r="D244" s="11"/>
      <c r="E244" s="11"/>
      <c r="F244" s="11"/>
      <c r="G244" s="11"/>
      <c r="H244" s="13"/>
      <c r="I244" s="156">
        <v>0</v>
      </c>
      <c r="J244" s="11"/>
      <c r="K244" s="13"/>
    </row>
    <row r="245" spans="1:17" ht="9" customHeight="1">
      <c r="A245" s="26"/>
      <c r="B245" s="18"/>
      <c r="C245" s="11"/>
      <c r="D245" s="11"/>
      <c r="E245" s="11"/>
      <c r="F245" s="11"/>
      <c r="G245" s="11"/>
      <c r="H245" s="11"/>
      <c r="I245" s="11"/>
      <c r="J245" s="11"/>
      <c r="K245" s="13"/>
    </row>
    <row r="246" spans="1:17">
      <c r="A246" s="26"/>
      <c r="B246" s="18" t="s">
        <v>106</v>
      </c>
      <c r="C246" s="11"/>
      <c r="D246" s="11"/>
      <c r="E246" s="11"/>
      <c r="F246" s="11"/>
      <c r="G246" s="11"/>
      <c r="H246" s="11"/>
      <c r="I246" s="11"/>
      <c r="J246" s="11"/>
      <c r="K246" s="13"/>
    </row>
    <row r="247" spans="1:17">
      <c r="A247" s="26">
        <v>23</v>
      </c>
      <c r="B247" s="18"/>
      <c r="C247" s="11" t="s">
        <v>215</v>
      </c>
      <c r="D247" s="20"/>
      <c r="E247" s="11"/>
      <c r="F247" s="11"/>
      <c r="G247" s="11"/>
      <c r="H247" s="11"/>
      <c r="I247" s="148">
        <v>1535201723</v>
      </c>
      <c r="J247" s="11"/>
      <c r="K247" s="13"/>
    </row>
    <row r="248" spans="1:17">
      <c r="A248" s="26">
        <v>24</v>
      </c>
      <c r="B248" s="18"/>
      <c r="C248" s="11" t="s">
        <v>192</v>
      </c>
      <c r="D248" s="11"/>
      <c r="E248" s="11"/>
      <c r="F248" s="11"/>
      <c r="G248" s="11"/>
      <c r="H248" s="11"/>
      <c r="I248" s="13">
        <f>-D254</f>
        <v>0</v>
      </c>
      <c r="J248" s="11"/>
      <c r="K248" s="13"/>
    </row>
    <row r="249" spans="1:17" ht="16.5" thickBot="1">
      <c r="A249" s="26">
        <v>25</v>
      </c>
      <c r="B249" s="18"/>
      <c r="C249" s="11" t="s">
        <v>216</v>
      </c>
      <c r="D249" s="11"/>
      <c r="E249" s="11"/>
      <c r="F249" s="11"/>
      <c r="G249" s="11"/>
      <c r="H249" s="11"/>
      <c r="I249" s="153">
        <v>-447482</v>
      </c>
      <c r="J249" s="11"/>
      <c r="K249" s="13"/>
    </row>
    <row r="250" spans="1:17">
      <c r="A250" s="26">
        <v>26</v>
      </c>
      <c r="B250" s="20"/>
      <c r="C250" s="11" t="s">
        <v>107</v>
      </c>
      <c r="D250" s="20" t="s">
        <v>108</v>
      </c>
      <c r="E250" s="20"/>
      <c r="F250" s="20"/>
      <c r="G250" s="20"/>
      <c r="H250" s="20"/>
      <c r="I250" s="11">
        <f>+I247+I248+I249</f>
        <v>1534754241</v>
      </c>
      <c r="J250" s="11"/>
      <c r="K250" s="13"/>
    </row>
    <row r="251" spans="1:17">
      <c r="A251" s="26"/>
      <c r="B251" s="18"/>
      <c r="C251" s="11"/>
      <c r="D251" s="11"/>
      <c r="E251" s="11"/>
      <c r="F251" s="11"/>
      <c r="G251" s="107" t="s">
        <v>109</v>
      </c>
      <c r="H251" s="11"/>
      <c r="I251" s="11"/>
      <c r="J251" s="11"/>
      <c r="K251" s="13"/>
    </row>
    <row r="252" spans="1:17" ht="16.5" thickBot="1">
      <c r="A252" s="26"/>
      <c r="B252" s="18"/>
      <c r="C252" s="11"/>
      <c r="D252" s="30" t="s">
        <v>89</v>
      </c>
      <c r="E252" s="30" t="s">
        <v>110</v>
      </c>
      <c r="F252" s="11"/>
      <c r="G252" s="30" t="s">
        <v>111</v>
      </c>
      <c r="H252" s="11"/>
      <c r="I252" s="30" t="s">
        <v>112</v>
      </c>
      <c r="J252" s="11"/>
      <c r="K252" s="13"/>
    </row>
    <row r="253" spans="1:17">
      <c r="A253" s="26">
        <v>27</v>
      </c>
      <c r="B253" s="18" t="s">
        <v>217</v>
      </c>
      <c r="D253" s="148">
        <f>1292000000-92000000+58931546</f>
        <v>1258931546</v>
      </c>
      <c r="E253" s="116">
        <f>IF($D$256&gt;0,D253/$D$256,0)</f>
        <v>0.45063462464470777</v>
      </c>
      <c r="F253" s="117"/>
      <c r="G253" s="117">
        <f>IF(D253&gt;0,I242/D253,0)</f>
        <v>5.8593704506313168E-2</v>
      </c>
      <c r="I253" s="117">
        <f>G253*E253</f>
        <v>2.6404352036745356E-2</v>
      </c>
      <c r="J253" s="118" t="s">
        <v>113</v>
      </c>
      <c r="M253" s="174"/>
      <c r="N253" s="175"/>
      <c r="O253" s="175"/>
      <c r="P253" s="175"/>
      <c r="Q253" s="176"/>
    </row>
    <row r="254" spans="1:17">
      <c r="A254" s="26">
        <v>28</v>
      </c>
      <c r="B254" s="18" t="s">
        <v>272</v>
      </c>
      <c r="D254" s="148">
        <v>0</v>
      </c>
      <c r="E254" s="116">
        <f>IF($D$256&gt;0,D254/$D$256,0)</f>
        <v>0</v>
      </c>
      <c r="F254" s="117"/>
      <c r="G254" s="117">
        <f>IF(D254&gt;0,I244/D254,0)</f>
        <v>0</v>
      </c>
      <c r="I254" s="117">
        <f>G254*E254</f>
        <v>0</v>
      </c>
      <c r="J254" s="11"/>
      <c r="M254" s="177" t="s">
        <v>359</v>
      </c>
      <c r="N254" s="178"/>
      <c r="O254" s="178"/>
      <c r="P254" s="178"/>
      <c r="Q254" s="179"/>
    </row>
    <row r="255" spans="1:17" ht="16.5" thickBot="1">
      <c r="A255" s="26">
        <v>29</v>
      </c>
      <c r="B255" s="18" t="s">
        <v>114</v>
      </c>
      <c r="D255" s="36">
        <f>I250</f>
        <v>1534754241</v>
      </c>
      <c r="E255" s="116">
        <f>IF($D$256&gt;0,D255/$D$256,0)</f>
        <v>0.54936537535529228</v>
      </c>
      <c r="F255" s="117"/>
      <c r="G255" s="183">
        <f>Q255+Q256</f>
        <v>0.1082</v>
      </c>
      <c r="I255" s="119">
        <f>G255*E255</f>
        <v>5.9441333613442629E-2</v>
      </c>
      <c r="J255" s="11"/>
      <c r="M255" s="177" t="s">
        <v>360</v>
      </c>
      <c r="N255" s="178"/>
      <c r="O255" s="178"/>
      <c r="P255" s="178"/>
      <c r="Q255" s="184">
        <v>0.1032</v>
      </c>
    </row>
    <row r="256" spans="1:17">
      <c r="A256" s="26">
        <v>30</v>
      </c>
      <c r="B256" s="18" t="s">
        <v>187</v>
      </c>
      <c r="D256" s="11">
        <f>D255+D254+D253</f>
        <v>2793685787</v>
      </c>
      <c r="E256" s="11" t="s">
        <v>2</v>
      </c>
      <c r="F256" s="11"/>
      <c r="G256" s="11"/>
      <c r="H256" s="11"/>
      <c r="I256" s="117">
        <f>SUM(I253:I255)</f>
        <v>8.5845685650187992E-2</v>
      </c>
      <c r="J256" s="118" t="s">
        <v>115</v>
      </c>
      <c r="M256" s="177" t="s">
        <v>361</v>
      </c>
      <c r="N256" s="178"/>
      <c r="O256" s="178"/>
      <c r="P256" s="178"/>
      <c r="Q256" s="184">
        <v>5.0000000000000001E-3</v>
      </c>
    </row>
    <row r="257" spans="1:17" ht="9" customHeight="1">
      <c r="E257" s="11"/>
      <c r="F257" s="11"/>
      <c r="G257" s="11"/>
      <c r="H257" s="11"/>
      <c r="M257" s="180"/>
      <c r="N257" s="181"/>
      <c r="O257" s="181"/>
      <c r="P257" s="181"/>
      <c r="Q257" s="182"/>
    </row>
    <row r="258" spans="1:17">
      <c r="A258" s="26"/>
      <c r="B258" s="18" t="s">
        <v>116</v>
      </c>
      <c r="C258" s="20"/>
      <c r="D258" s="20"/>
      <c r="E258" s="20"/>
      <c r="F258" s="20"/>
      <c r="G258" s="20"/>
      <c r="H258" s="20"/>
      <c r="I258" s="20"/>
      <c r="J258" s="20"/>
      <c r="K258" s="23"/>
    </row>
    <row r="259" spans="1:17" ht="9" customHeight="1">
      <c r="A259" s="26"/>
      <c r="B259" s="18"/>
      <c r="C259" s="18"/>
      <c r="D259" s="18"/>
      <c r="E259" s="18"/>
      <c r="F259" s="18"/>
      <c r="G259" s="18"/>
      <c r="H259" s="18"/>
      <c r="J259" s="120"/>
    </row>
    <row r="260" spans="1:17" ht="16.5" thickBot="1">
      <c r="A260" s="26"/>
      <c r="B260" s="18" t="s">
        <v>117</v>
      </c>
      <c r="C260" s="20"/>
      <c r="D260" s="20" t="s">
        <v>118</v>
      </c>
      <c r="E260" s="20" t="s">
        <v>119</v>
      </c>
      <c r="F260" s="20"/>
      <c r="G260" s="121" t="s">
        <v>2</v>
      </c>
      <c r="H260" s="122"/>
      <c r="I260" s="30" t="s">
        <v>164</v>
      </c>
      <c r="J260" s="2"/>
    </row>
    <row r="261" spans="1:17">
      <c r="A261" s="26">
        <v>31</v>
      </c>
      <c r="B261" s="17" t="s">
        <v>154</v>
      </c>
      <c r="C261" s="20"/>
      <c r="D261" s="20"/>
      <c r="F261" s="20"/>
      <c r="H261" s="122"/>
      <c r="I261" s="3">
        <v>0</v>
      </c>
      <c r="J261" s="4"/>
    </row>
    <row r="262" spans="1:17" ht="16.5" thickBot="1">
      <c r="A262" s="26">
        <v>32</v>
      </c>
      <c r="B262" s="65" t="s">
        <v>189</v>
      </c>
      <c r="C262" s="123"/>
      <c r="D262" s="38"/>
      <c r="E262" s="124"/>
      <c r="F262" s="124"/>
      <c r="G262" s="124"/>
      <c r="H262" s="20"/>
      <c r="I262" s="5">
        <v>0</v>
      </c>
      <c r="J262" s="4"/>
    </row>
    <row r="263" spans="1:17">
      <c r="A263" s="26">
        <v>33</v>
      </c>
      <c r="B263" s="17" t="s">
        <v>120</v>
      </c>
      <c r="C263" s="20"/>
      <c r="E263" s="20"/>
      <c r="F263" s="20"/>
      <c r="G263" s="20"/>
      <c r="H263" s="20"/>
      <c r="I263" s="6">
        <f>+I261-I262</f>
        <v>0</v>
      </c>
      <c r="J263" s="4"/>
    </row>
    <row r="264" spans="1:17" ht="9" customHeight="1">
      <c r="A264" s="26"/>
      <c r="B264" s="17" t="s">
        <v>2</v>
      </c>
      <c r="C264" s="20"/>
      <c r="E264" s="20"/>
      <c r="F264" s="20"/>
      <c r="G264" s="49"/>
      <c r="H264" s="20"/>
      <c r="I264" s="7" t="s">
        <v>2</v>
      </c>
      <c r="J264" s="2"/>
      <c r="K264" s="8"/>
    </row>
    <row r="265" spans="1:17">
      <c r="A265" s="26">
        <v>34</v>
      </c>
      <c r="B265" s="18" t="s">
        <v>273</v>
      </c>
      <c r="C265" s="20"/>
      <c r="E265" s="20"/>
      <c r="F265" s="20"/>
      <c r="G265" s="43"/>
      <c r="H265" s="20"/>
      <c r="I265" s="157">
        <v>0</v>
      </c>
      <c r="J265" s="2"/>
      <c r="K265" s="8"/>
    </row>
    <row r="266" spans="1:17" ht="9" customHeight="1">
      <c r="A266" s="26"/>
      <c r="C266" s="20"/>
      <c r="D266" s="20"/>
      <c r="E266" s="20"/>
      <c r="F266" s="20"/>
      <c r="G266" s="20"/>
      <c r="H266" s="20"/>
      <c r="I266" s="7"/>
      <c r="J266" s="2"/>
      <c r="K266" s="8"/>
    </row>
    <row r="267" spans="1:17">
      <c r="B267" s="18" t="s">
        <v>274</v>
      </c>
      <c r="C267" s="20"/>
      <c r="D267" s="20" t="s">
        <v>211</v>
      </c>
      <c r="E267" s="20"/>
      <c r="F267" s="20"/>
      <c r="G267" s="20"/>
      <c r="H267" s="20"/>
      <c r="K267" s="9"/>
    </row>
    <row r="268" spans="1:17">
      <c r="A268" s="26">
        <v>35</v>
      </c>
      <c r="B268" s="18" t="s">
        <v>121</v>
      </c>
      <c r="C268" s="11"/>
      <c r="D268" s="11"/>
      <c r="E268" s="11"/>
      <c r="F268" s="11"/>
      <c r="G268" s="11"/>
      <c r="H268" s="11"/>
      <c r="I268" s="10">
        <v>30755571</v>
      </c>
      <c r="J268" s="11"/>
      <c r="K268" s="9"/>
      <c r="M268" s="38"/>
    </row>
    <row r="269" spans="1:17">
      <c r="A269" s="26">
        <v>36</v>
      </c>
      <c r="B269" s="125" t="s">
        <v>188</v>
      </c>
      <c r="C269" s="124"/>
      <c r="D269" s="124"/>
      <c r="E269" s="124"/>
      <c r="F269" s="124"/>
      <c r="G269" s="124"/>
      <c r="H269" s="20"/>
      <c r="I269" s="10">
        <v>29286628</v>
      </c>
      <c r="K269" s="79"/>
      <c r="M269" s="158"/>
    </row>
    <row r="270" spans="1:17">
      <c r="A270" s="50" t="s">
        <v>236</v>
      </c>
      <c r="B270" s="126" t="s">
        <v>323</v>
      </c>
      <c r="C270" s="91"/>
      <c r="D270" s="124"/>
      <c r="E270" s="124"/>
      <c r="F270" s="124"/>
      <c r="G270" s="124"/>
      <c r="H270" s="20"/>
      <c r="I270" s="10">
        <v>0</v>
      </c>
      <c r="K270" s="79"/>
      <c r="M270" s="38"/>
    </row>
    <row r="271" spans="1:17" ht="16.5" thickBot="1">
      <c r="A271" s="50" t="s">
        <v>303</v>
      </c>
      <c r="B271" s="127" t="s">
        <v>324</v>
      </c>
      <c r="C271" s="84"/>
      <c r="D271" s="124"/>
      <c r="E271" s="124"/>
      <c r="F271" s="124"/>
      <c r="G271" s="124"/>
      <c r="H271" s="20"/>
      <c r="I271" s="16">
        <v>0</v>
      </c>
      <c r="K271" s="79"/>
      <c r="M271" s="38"/>
    </row>
    <row r="272" spans="1:17">
      <c r="A272" s="26">
        <v>37</v>
      </c>
      <c r="B272" s="128" t="s">
        <v>304</v>
      </c>
      <c r="C272" s="26"/>
      <c r="D272" s="11"/>
      <c r="E272" s="11"/>
      <c r="F272" s="11"/>
      <c r="G272" s="11"/>
      <c r="H272" s="20"/>
      <c r="I272" s="12">
        <f>+I268-I269-I270-I271</f>
        <v>1468943</v>
      </c>
      <c r="J272" s="11"/>
      <c r="K272" s="13"/>
    </row>
    <row r="273" spans="1:11">
      <c r="A273" s="26"/>
      <c r="B273" s="128"/>
      <c r="C273" s="26"/>
      <c r="D273" s="11"/>
      <c r="E273" s="11"/>
      <c r="F273" s="11"/>
      <c r="G273" s="11"/>
      <c r="H273" s="20"/>
      <c r="I273" s="12"/>
      <c r="J273" s="11"/>
      <c r="K273" s="13"/>
    </row>
    <row r="274" spans="1:11">
      <c r="B274" s="18"/>
      <c r="C274" s="18"/>
      <c r="D274" s="19"/>
      <c r="E274" s="18"/>
      <c r="F274" s="18"/>
      <c r="G274" s="18"/>
      <c r="H274" s="20"/>
      <c r="I274" s="20"/>
      <c r="J274" s="345" t="s">
        <v>204</v>
      </c>
      <c r="K274" s="345"/>
    </row>
    <row r="275" spans="1:11">
      <c r="B275" s="18"/>
      <c r="C275" s="18"/>
      <c r="D275" s="19"/>
      <c r="E275" s="18"/>
      <c r="F275" s="18"/>
      <c r="G275" s="18"/>
      <c r="H275" s="20"/>
      <c r="I275" s="20"/>
      <c r="J275" s="20"/>
      <c r="K275" s="22"/>
    </row>
    <row r="276" spans="1:11">
      <c r="B276" s="18" t="s">
        <v>0</v>
      </c>
      <c r="C276" s="18"/>
      <c r="D276" s="19" t="s">
        <v>1</v>
      </c>
      <c r="E276" s="18"/>
      <c r="F276" s="18"/>
      <c r="G276" s="18"/>
      <c r="H276" s="20"/>
      <c r="I276" s="20"/>
      <c r="J276" s="20"/>
      <c r="K276" s="22" t="str">
        <f>K4</f>
        <v>For the 12 months ended 12/31/16</v>
      </c>
    </row>
    <row r="277" spans="1:11">
      <c r="B277" s="18"/>
      <c r="C277" s="11" t="s">
        <v>2</v>
      </c>
      <c r="D277" s="11" t="s">
        <v>3</v>
      </c>
      <c r="E277" s="11"/>
      <c r="F277" s="11"/>
      <c r="G277" s="11"/>
      <c r="H277" s="20"/>
      <c r="I277" s="20"/>
      <c r="J277" s="20"/>
      <c r="K277" s="23"/>
    </row>
    <row r="278" spans="1:11">
      <c r="A278" s="26"/>
      <c r="B278" s="128"/>
      <c r="C278" s="26"/>
      <c r="D278" s="11"/>
      <c r="E278" s="11"/>
      <c r="F278" s="11"/>
      <c r="G278" s="11"/>
      <c r="H278" s="20"/>
      <c r="I278" s="129"/>
      <c r="J278" s="2"/>
      <c r="K278" s="13"/>
    </row>
    <row r="279" spans="1:11">
      <c r="A279" s="26"/>
      <c r="B279" s="128"/>
      <c r="C279" s="26"/>
      <c r="D279" s="11" t="str">
        <f>D7</f>
        <v>Cleco Power LLC</v>
      </c>
      <c r="E279" s="11"/>
      <c r="F279" s="11"/>
      <c r="G279" s="11"/>
      <c r="H279" s="20"/>
      <c r="I279" s="129"/>
      <c r="J279" s="2"/>
      <c r="K279" s="13"/>
    </row>
    <row r="280" spans="1:11">
      <c r="A280" s="26"/>
      <c r="B280" s="128"/>
      <c r="C280" s="26"/>
      <c r="D280" s="11"/>
      <c r="E280" s="11"/>
      <c r="F280" s="11"/>
      <c r="G280" s="11"/>
      <c r="H280" s="20"/>
      <c r="I280" s="129"/>
      <c r="J280" s="2"/>
      <c r="K280" s="13"/>
    </row>
    <row r="281" spans="1:11">
      <c r="A281" s="26"/>
      <c r="B281" s="18" t="s">
        <v>244</v>
      </c>
      <c r="C281" s="26"/>
      <c r="D281" s="11"/>
      <c r="E281" s="11"/>
      <c r="F281" s="11"/>
      <c r="G281" s="11"/>
      <c r="H281" s="20"/>
      <c r="I281" s="11"/>
      <c r="J281" s="20"/>
      <c r="K281" s="13"/>
    </row>
    <row r="282" spans="1:11">
      <c r="A282" s="26"/>
      <c r="B282" s="130" t="s">
        <v>243</v>
      </c>
      <c r="C282" s="26"/>
      <c r="D282" s="11"/>
      <c r="E282" s="11"/>
      <c r="F282" s="11"/>
      <c r="G282" s="11"/>
      <c r="H282" s="20"/>
      <c r="I282" s="11"/>
      <c r="J282" s="20"/>
      <c r="K282" s="13"/>
    </row>
    <row r="283" spans="1:11">
      <c r="A283" s="26" t="s">
        <v>122</v>
      </c>
      <c r="B283" s="18"/>
      <c r="C283" s="20"/>
      <c r="D283" s="11"/>
      <c r="E283" s="11"/>
      <c r="F283" s="11"/>
      <c r="G283" s="11"/>
      <c r="H283" s="20"/>
      <c r="I283" s="11"/>
      <c r="J283" s="20"/>
      <c r="K283" s="13"/>
    </row>
    <row r="284" spans="1:11" ht="16.5" thickBot="1">
      <c r="A284" s="30" t="s">
        <v>123</v>
      </c>
      <c r="B284" s="18"/>
      <c r="C284" s="20"/>
      <c r="D284" s="11"/>
      <c r="E284" s="11"/>
      <c r="F284" s="11"/>
      <c r="G284" s="11"/>
      <c r="H284" s="20"/>
      <c r="I284" s="11"/>
      <c r="J284" s="20"/>
      <c r="K284" s="13"/>
    </row>
    <row r="285" spans="1:11">
      <c r="A285" s="131" t="s">
        <v>124</v>
      </c>
      <c r="B285" s="346" t="s">
        <v>328</v>
      </c>
      <c r="C285" s="346"/>
      <c r="D285" s="346"/>
      <c r="E285" s="346"/>
      <c r="F285" s="346"/>
      <c r="G285" s="346"/>
      <c r="H285" s="346"/>
      <c r="I285" s="346"/>
      <c r="J285" s="346"/>
      <c r="K285" s="346"/>
    </row>
    <row r="286" spans="1:11">
      <c r="A286" s="131" t="s">
        <v>125</v>
      </c>
      <c r="B286" s="346" t="s">
        <v>319</v>
      </c>
      <c r="C286" s="346"/>
      <c r="D286" s="346"/>
      <c r="E286" s="346"/>
      <c r="F286" s="346"/>
      <c r="G286" s="346"/>
      <c r="H286" s="346"/>
      <c r="I286" s="346"/>
      <c r="J286" s="346"/>
      <c r="K286" s="346"/>
    </row>
    <row r="287" spans="1:11">
      <c r="A287" s="131" t="s">
        <v>126</v>
      </c>
      <c r="B287" s="346" t="s">
        <v>299</v>
      </c>
      <c r="C287" s="346"/>
      <c r="D287" s="346"/>
      <c r="E287" s="346"/>
      <c r="F287" s="346"/>
      <c r="G287" s="346"/>
      <c r="H287" s="346"/>
      <c r="I287" s="346"/>
      <c r="J287" s="346"/>
      <c r="K287" s="346"/>
    </row>
    <row r="288" spans="1:11">
      <c r="A288" s="131" t="s">
        <v>127</v>
      </c>
      <c r="B288" s="346" t="s">
        <v>299</v>
      </c>
      <c r="C288" s="346"/>
      <c r="D288" s="346"/>
      <c r="E288" s="346"/>
      <c r="F288" s="346"/>
      <c r="G288" s="346"/>
      <c r="H288" s="346"/>
      <c r="I288" s="346"/>
      <c r="J288" s="346"/>
      <c r="K288" s="346"/>
    </row>
    <row r="289" spans="1:11">
      <c r="A289" s="131" t="s">
        <v>128</v>
      </c>
      <c r="B289" s="346" t="s">
        <v>195</v>
      </c>
      <c r="C289" s="346"/>
      <c r="D289" s="346"/>
      <c r="E289" s="346"/>
      <c r="F289" s="346"/>
      <c r="G289" s="346"/>
      <c r="H289" s="346"/>
      <c r="I289" s="346"/>
      <c r="J289" s="346"/>
      <c r="K289" s="346"/>
    </row>
    <row r="290" spans="1:11" ht="47.25" customHeight="1">
      <c r="A290" s="131" t="s">
        <v>129</v>
      </c>
      <c r="B290" s="346" t="s">
        <v>295</v>
      </c>
      <c r="C290" s="346"/>
      <c r="D290" s="346"/>
      <c r="E290" s="346"/>
      <c r="F290" s="346"/>
      <c r="G290" s="346"/>
      <c r="H290" s="346"/>
      <c r="I290" s="346"/>
      <c r="J290" s="346"/>
      <c r="K290" s="346"/>
    </row>
    <row r="291" spans="1:11">
      <c r="A291" s="131" t="s">
        <v>130</v>
      </c>
      <c r="B291" s="346" t="s">
        <v>131</v>
      </c>
      <c r="C291" s="346"/>
      <c r="D291" s="346"/>
      <c r="E291" s="346"/>
      <c r="F291" s="346"/>
      <c r="G291" s="346"/>
      <c r="H291" s="346"/>
      <c r="I291" s="346"/>
      <c r="J291" s="346"/>
      <c r="K291" s="346"/>
    </row>
    <row r="292" spans="1:11" ht="32.25" customHeight="1">
      <c r="A292" s="131" t="s">
        <v>132</v>
      </c>
      <c r="B292" s="346" t="s">
        <v>284</v>
      </c>
      <c r="C292" s="346"/>
      <c r="D292" s="346"/>
      <c r="E292" s="346"/>
      <c r="F292" s="346"/>
      <c r="G292" s="346"/>
      <c r="H292" s="346"/>
      <c r="I292" s="346"/>
      <c r="J292" s="346"/>
      <c r="K292" s="346"/>
    </row>
    <row r="293" spans="1:11" ht="35.25" customHeight="1">
      <c r="A293" s="131" t="s">
        <v>133</v>
      </c>
      <c r="B293" s="346" t="s">
        <v>285</v>
      </c>
      <c r="C293" s="346"/>
      <c r="D293" s="346"/>
      <c r="E293" s="346"/>
      <c r="F293" s="346"/>
      <c r="G293" s="346"/>
      <c r="H293" s="346"/>
      <c r="I293" s="346"/>
      <c r="J293" s="346"/>
      <c r="K293" s="346"/>
    </row>
    <row r="294" spans="1:11" ht="32.25" customHeight="1">
      <c r="A294" s="131" t="s">
        <v>134</v>
      </c>
      <c r="B294" s="346" t="s">
        <v>286</v>
      </c>
      <c r="C294" s="346"/>
      <c r="D294" s="346"/>
      <c r="E294" s="346"/>
      <c r="F294" s="346"/>
      <c r="G294" s="346"/>
      <c r="H294" s="346"/>
      <c r="I294" s="346"/>
      <c r="J294" s="346"/>
      <c r="K294" s="346"/>
    </row>
    <row r="295" spans="1:11" ht="82.5" customHeight="1">
      <c r="A295" s="131" t="s">
        <v>135</v>
      </c>
      <c r="B295" s="346" t="s">
        <v>287</v>
      </c>
      <c r="C295" s="346"/>
      <c r="D295" s="346"/>
      <c r="E295" s="346"/>
      <c r="F295" s="346"/>
      <c r="G295" s="346"/>
      <c r="H295" s="346"/>
      <c r="I295" s="346"/>
      <c r="J295" s="346"/>
      <c r="K295" s="346"/>
    </row>
    <row r="296" spans="1:11">
      <c r="A296" s="131" t="s">
        <v>2</v>
      </c>
      <c r="B296" s="132" t="s">
        <v>283</v>
      </c>
      <c r="C296" s="133" t="s">
        <v>169</v>
      </c>
      <c r="D296" s="15">
        <v>0.35</v>
      </c>
      <c r="E296" s="133"/>
      <c r="F296" s="133"/>
      <c r="G296" s="133"/>
      <c r="H296" s="133"/>
      <c r="I296" s="133"/>
      <c r="J296" s="133"/>
      <c r="K296" s="133"/>
    </row>
    <row r="297" spans="1:11">
      <c r="A297" s="131"/>
      <c r="B297" s="133"/>
      <c r="C297" s="133" t="s">
        <v>170</v>
      </c>
      <c r="D297" s="15">
        <v>0.08</v>
      </c>
      <c r="E297" s="346" t="s">
        <v>171</v>
      </c>
      <c r="F297" s="346"/>
      <c r="G297" s="346"/>
      <c r="H297" s="346"/>
      <c r="I297" s="346"/>
      <c r="J297" s="346"/>
      <c r="K297" s="346"/>
    </row>
    <row r="298" spans="1:11">
      <c r="A298" s="131"/>
      <c r="B298" s="133"/>
      <c r="C298" s="133" t="s">
        <v>172</v>
      </c>
      <c r="D298" s="15">
        <v>1</v>
      </c>
      <c r="E298" s="346" t="s">
        <v>173</v>
      </c>
      <c r="F298" s="346"/>
      <c r="G298" s="346"/>
      <c r="H298" s="346"/>
      <c r="I298" s="346"/>
      <c r="J298" s="346"/>
      <c r="K298" s="346"/>
    </row>
    <row r="299" spans="1:11">
      <c r="A299" s="131" t="s">
        <v>136</v>
      </c>
      <c r="B299" s="346" t="s">
        <v>223</v>
      </c>
      <c r="C299" s="346"/>
      <c r="D299" s="346"/>
      <c r="E299" s="346"/>
      <c r="F299" s="346"/>
      <c r="G299" s="346"/>
      <c r="H299" s="346"/>
      <c r="I299" s="346"/>
      <c r="J299" s="346"/>
      <c r="K299" s="346"/>
    </row>
    <row r="300" spans="1:11" ht="32.25" customHeight="1">
      <c r="A300" s="131" t="s">
        <v>137</v>
      </c>
      <c r="B300" s="346" t="s">
        <v>288</v>
      </c>
      <c r="C300" s="346"/>
      <c r="D300" s="346"/>
      <c r="E300" s="346"/>
      <c r="F300" s="346"/>
      <c r="G300" s="346"/>
      <c r="H300" s="346"/>
      <c r="I300" s="346"/>
      <c r="J300" s="346"/>
      <c r="K300" s="346"/>
    </row>
    <row r="301" spans="1:11" ht="48" customHeight="1">
      <c r="A301" s="131" t="s">
        <v>138</v>
      </c>
      <c r="B301" s="346" t="s">
        <v>293</v>
      </c>
      <c r="C301" s="346"/>
      <c r="D301" s="346"/>
      <c r="E301" s="346"/>
      <c r="F301" s="346"/>
      <c r="G301" s="346"/>
      <c r="H301" s="346"/>
      <c r="I301" s="346"/>
      <c r="J301" s="346"/>
      <c r="K301" s="346"/>
    </row>
    <row r="302" spans="1:11">
      <c r="A302" s="131" t="s">
        <v>139</v>
      </c>
      <c r="B302" s="346" t="s">
        <v>190</v>
      </c>
      <c r="C302" s="346"/>
      <c r="D302" s="346"/>
      <c r="E302" s="346"/>
      <c r="F302" s="346"/>
      <c r="G302" s="346"/>
      <c r="H302" s="346"/>
      <c r="I302" s="346"/>
      <c r="J302" s="346"/>
      <c r="K302" s="346"/>
    </row>
    <row r="303" spans="1:11" ht="52.5" customHeight="1">
      <c r="A303" s="131" t="s">
        <v>140</v>
      </c>
      <c r="B303" s="346" t="s">
        <v>358</v>
      </c>
      <c r="C303" s="346"/>
      <c r="D303" s="346"/>
      <c r="E303" s="346"/>
      <c r="F303" s="346"/>
      <c r="G303" s="346"/>
      <c r="H303" s="346"/>
      <c r="I303" s="346"/>
      <c r="J303" s="346"/>
      <c r="K303" s="346"/>
    </row>
    <row r="304" spans="1:11" ht="32.25" customHeight="1">
      <c r="A304" s="131" t="s">
        <v>141</v>
      </c>
      <c r="B304" s="346" t="s">
        <v>289</v>
      </c>
      <c r="C304" s="346"/>
      <c r="D304" s="346"/>
      <c r="E304" s="346"/>
      <c r="F304" s="346"/>
      <c r="G304" s="346"/>
      <c r="H304" s="346"/>
      <c r="I304" s="346"/>
      <c r="J304" s="346"/>
      <c r="K304" s="346"/>
    </row>
    <row r="305" spans="1:19">
      <c r="A305" s="131" t="s">
        <v>142</v>
      </c>
      <c r="B305" s="346" t="s">
        <v>143</v>
      </c>
      <c r="C305" s="346"/>
      <c r="D305" s="346"/>
      <c r="E305" s="346"/>
      <c r="F305" s="346"/>
      <c r="G305" s="346"/>
      <c r="H305" s="346"/>
      <c r="I305" s="346"/>
      <c r="J305" s="346"/>
      <c r="K305" s="346"/>
    </row>
    <row r="306" spans="1:19" ht="48" customHeight="1">
      <c r="A306" s="131" t="s">
        <v>196</v>
      </c>
      <c r="B306" s="346" t="s">
        <v>297</v>
      </c>
      <c r="C306" s="346"/>
      <c r="D306" s="346"/>
      <c r="E306" s="346"/>
      <c r="F306" s="346"/>
      <c r="G306" s="346"/>
      <c r="H306" s="346"/>
      <c r="I306" s="346"/>
      <c r="J306" s="346"/>
      <c r="K306" s="346"/>
    </row>
    <row r="307" spans="1:19" ht="51.75" customHeight="1">
      <c r="A307" s="134" t="s">
        <v>198</v>
      </c>
      <c r="B307" s="346" t="s">
        <v>298</v>
      </c>
      <c r="C307" s="346"/>
      <c r="D307" s="346"/>
      <c r="E307" s="346"/>
      <c r="F307" s="346"/>
      <c r="G307" s="346"/>
      <c r="H307" s="346"/>
      <c r="I307" s="346"/>
      <c r="J307" s="346"/>
      <c r="K307" s="346"/>
    </row>
    <row r="308" spans="1:19">
      <c r="A308" s="134" t="s">
        <v>212</v>
      </c>
      <c r="B308" s="346" t="s">
        <v>224</v>
      </c>
      <c r="C308" s="346"/>
      <c r="D308" s="346"/>
      <c r="E308" s="346"/>
      <c r="F308" s="346"/>
      <c r="G308" s="346"/>
      <c r="H308" s="346"/>
      <c r="I308" s="346"/>
      <c r="J308" s="346"/>
      <c r="K308" s="346"/>
    </row>
    <row r="309" spans="1:19">
      <c r="A309" s="135" t="s">
        <v>225</v>
      </c>
      <c r="B309" s="346" t="s">
        <v>313</v>
      </c>
      <c r="C309" s="346"/>
      <c r="D309" s="346"/>
      <c r="E309" s="346"/>
      <c r="F309" s="346"/>
      <c r="G309" s="346"/>
      <c r="H309" s="346"/>
      <c r="I309" s="346"/>
      <c r="J309" s="346"/>
      <c r="K309" s="346"/>
      <c r="L309" s="2"/>
    </row>
    <row r="310" spans="1:19" s="2" customFormat="1">
      <c r="A310" s="135" t="s">
        <v>237</v>
      </c>
      <c r="B310" s="346" t="s">
        <v>320</v>
      </c>
      <c r="C310" s="346"/>
      <c r="D310" s="346"/>
      <c r="E310" s="346"/>
      <c r="F310" s="346"/>
      <c r="G310" s="346"/>
      <c r="H310" s="346"/>
      <c r="I310" s="346"/>
      <c r="J310" s="346"/>
      <c r="K310" s="346"/>
      <c r="L310" s="17"/>
      <c r="M310" s="17"/>
      <c r="N310" s="17"/>
      <c r="O310" s="17"/>
      <c r="P310" s="17"/>
      <c r="Q310" s="17"/>
      <c r="R310" s="17"/>
      <c r="S310" s="17"/>
    </row>
    <row r="311" spans="1:19" ht="32.25" customHeight="1">
      <c r="A311" s="135" t="s">
        <v>238</v>
      </c>
      <c r="B311" s="346" t="s">
        <v>325</v>
      </c>
      <c r="C311" s="346"/>
      <c r="D311" s="346"/>
      <c r="E311" s="346"/>
      <c r="F311" s="346"/>
      <c r="G311" s="346"/>
      <c r="H311" s="346"/>
      <c r="I311" s="346"/>
      <c r="J311" s="346"/>
      <c r="K311" s="346"/>
    </row>
    <row r="312" spans="1:19">
      <c r="A312" s="135" t="s">
        <v>305</v>
      </c>
      <c r="B312" s="346" t="s">
        <v>321</v>
      </c>
      <c r="C312" s="346"/>
      <c r="D312" s="346"/>
      <c r="E312" s="346"/>
      <c r="F312" s="346"/>
      <c r="G312" s="346"/>
      <c r="H312" s="346"/>
      <c r="I312" s="346"/>
      <c r="J312" s="346"/>
      <c r="K312" s="346"/>
      <c r="M312" s="2"/>
      <c r="N312" s="2"/>
      <c r="O312" s="2"/>
      <c r="P312" s="2"/>
      <c r="Q312" s="2"/>
      <c r="R312" s="2"/>
      <c r="S312" s="2"/>
    </row>
    <row r="313" spans="1:19" ht="37.5" customHeight="1">
      <c r="A313" s="135" t="s">
        <v>306</v>
      </c>
      <c r="B313" s="346" t="s">
        <v>326</v>
      </c>
      <c r="C313" s="346"/>
      <c r="D313" s="346"/>
      <c r="E313" s="346"/>
      <c r="F313" s="346"/>
      <c r="G313" s="346"/>
      <c r="H313" s="346"/>
      <c r="I313" s="346"/>
      <c r="J313" s="346"/>
      <c r="K313" s="346"/>
    </row>
    <row r="314" spans="1:19">
      <c r="A314" s="45" t="s">
        <v>314</v>
      </c>
      <c r="B314" s="136" t="s">
        <v>315</v>
      </c>
      <c r="C314" s="20"/>
      <c r="D314" s="20"/>
      <c r="E314" s="20"/>
      <c r="F314" s="20"/>
      <c r="G314" s="20"/>
      <c r="H314" s="20"/>
      <c r="I314" s="23"/>
      <c r="J314" s="23"/>
      <c r="K314" s="23"/>
    </row>
    <row r="315" spans="1:19">
      <c r="A315" s="45" t="s">
        <v>317</v>
      </c>
      <c r="B315" s="137" t="s">
        <v>316</v>
      </c>
      <c r="C315" s="20"/>
      <c r="D315" s="20"/>
      <c r="E315" s="20"/>
      <c r="F315" s="20"/>
      <c r="G315" s="20"/>
      <c r="H315" s="20"/>
      <c r="I315" s="23"/>
      <c r="J315" s="23"/>
      <c r="K315" s="23"/>
    </row>
    <row r="316" spans="1:19">
      <c r="A316" s="138" t="s">
        <v>351</v>
      </c>
      <c r="B316" s="23" t="s">
        <v>353</v>
      </c>
      <c r="D316" s="20"/>
      <c r="E316" s="20"/>
      <c r="F316" s="20"/>
      <c r="G316" s="20"/>
      <c r="H316" s="20"/>
      <c r="I316" s="23"/>
      <c r="J316" s="23"/>
      <c r="K316" s="23"/>
    </row>
    <row r="317" spans="1:19">
      <c r="A317" s="138"/>
      <c r="B317" s="23" t="s">
        <v>354</v>
      </c>
    </row>
    <row r="318" spans="1:19">
      <c r="A318" s="138" t="s">
        <v>352</v>
      </c>
      <c r="B318" s="23" t="s">
        <v>355</v>
      </c>
    </row>
    <row r="319" spans="1:19">
      <c r="A319" s="138"/>
      <c r="B319" s="23" t="s">
        <v>356</v>
      </c>
    </row>
  </sheetData>
  <sheetProtection password="D71B" sheet="1" objects="1" scenarios="1"/>
  <protectedRanges>
    <protectedRange sqref="M19:O41" name="Range3"/>
    <protectedRange sqref="M22:O38" name="Range1"/>
    <protectedRange sqref="N82:O95 M82:M87 M89:M95" name="Range2"/>
  </protectedRanges>
  <mergeCells count="35">
    <mergeCell ref="J137:K137"/>
    <mergeCell ref="J70:K70"/>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E297:K297"/>
    <mergeCell ref="B299:K299"/>
    <mergeCell ref="B310:K310"/>
    <mergeCell ref="B309:K309"/>
    <mergeCell ref="B308:K308"/>
    <mergeCell ref="B300:K300"/>
    <mergeCell ref="B197:C197"/>
    <mergeCell ref="H204:K204"/>
    <mergeCell ref="J203:K203"/>
    <mergeCell ref="B193:C193"/>
    <mergeCell ref="B295:K295"/>
    <mergeCell ref="B294:K294"/>
    <mergeCell ref="B293:K293"/>
    <mergeCell ref="B292:K292"/>
    <mergeCell ref="B291:K291"/>
    <mergeCell ref="B290:K290"/>
    <mergeCell ref="J274:K274"/>
    <mergeCell ref="B286:K286"/>
    <mergeCell ref="B287:K287"/>
  </mergeCells>
  <phoneticPr fontId="0" type="noConversion"/>
  <pageMargins left="0.5" right="0.5" top="0.75" bottom="0.75" header="0.5" footer="0.5"/>
  <pageSetup scale="63" fitToHeight="6" orientation="portrait" horizontalDpi="300" verticalDpi="300" r:id="rId1"/>
  <headerFooter alignWithMargins="0">
    <oddFooter>&amp;RV32
EFF 06.01.15</oddFooter>
  </headerFooter>
  <rowBreaks count="4" manualBreakCount="4">
    <brk id="69" max="10" man="1"/>
    <brk id="136" max="10" man="1"/>
    <brk id="202" max="10" man="1"/>
    <brk id="273" max="10" man="1"/>
  </rowBreaks>
  <colBreaks count="1" manualBreakCount="1">
    <brk id="1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E10" sqref="E10"/>
    </sheetView>
  </sheetViews>
  <sheetFormatPr defaultColWidth="8.88671875" defaultRowHeight="15"/>
  <cols>
    <col min="1" max="1" width="15.5546875" style="196" customWidth="1"/>
    <col min="2" max="2" width="21" style="196" customWidth="1"/>
    <col min="3" max="3" width="11.5546875" style="196" customWidth="1"/>
    <col min="4" max="4" width="10.5546875" style="196" bestFit="1" customWidth="1"/>
    <col min="5" max="5" width="11.88671875" style="196" bestFit="1" customWidth="1"/>
    <col min="6" max="6" width="15" style="196" bestFit="1" customWidth="1"/>
    <col min="7" max="16384" width="8.88671875" style="196"/>
  </cols>
  <sheetData>
    <row r="1" spans="1:7" ht="15.75">
      <c r="A1" s="347" t="s">
        <v>327</v>
      </c>
      <c r="B1" s="347"/>
      <c r="C1" s="347"/>
      <c r="D1" s="347"/>
      <c r="E1" s="347"/>
      <c r="F1" s="347"/>
      <c r="G1" s="347"/>
    </row>
    <row r="2" spans="1:7" ht="15.75">
      <c r="A2" s="347" t="s">
        <v>494</v>
      </c>
      <c r="B2" s="347"/>
      <c r="C2" s="347"/>
      <c r="D2" s="347"/>
      <c r="E2" s="347"/>
      <c r="F2" s="347"/>
      <c r="G2" s="347"/>
    </row>
    <row r="3" spans="1:7" ht="15.75">
      <c r="A3" s="347" t="s">
        <v>510</v>
      </c>
      <c r="B3" s="347"/>
      <c r="C3" s="347"/>
      <c r="D3" s="347"/>
      <c r="E3" s="347"/>
      <c r="F3" s="347"/>
      <c r="G3" s="347"/>
    </row>
    <row r="4" spans="1:7" ht="15.75">
      <c r="A4" s="246"/>
      <c r="B4" s="247"/>
      <c r="C4" s="247"/>
      <c r="D4" s="247"/>
      <c r="E4" s="246"/>
    </row>
    <row r="5" spans="1:7">
      <c r="A5" s="196" t="s">
        <v>568</v>
      </c>
      <c r="B5" s="196" t="s">
        <v>569</v>
      </c>
    </row>
    <row r="6" spans="1:7">
      <c r="A6" s="248" t="s">
        <v>368</v>
      </c>
      <c r="B6" s="248"/>
      <c r="C6" s="248"/>
      <c r="D6" s="248"/>
      <c r="E6" s="258">
        <v>48975107.539999999</v>
      </c>
    </row>
    <row r="7" spans="1:7">
      <c r="A7" s="248" t="s">
        <v>369</v>
      </c>
      <c r="B7" s="248"/>
      <c r="C7" s="248"/>
      <c r="D7" s="248"/>
      <c r="E7" s="259">
        <v>48181446.151936367</v>
      </c>
    </row>
    <row r="8" spans="1:7">
      <c r="A8" s="248"/>
      <c r="B8" s="248"/>
      <c r="C8" s="248"/>
      <c r="D8" s="248"/>
      <c r="E8" s="258">
        <f>SUM(E6-E7)</f>
        <v>793661.38806363195</v>
      </c>
    </row>
    <row r="9" spans="1:7">
      <c r="A9" s="248" t="s">
        <v>605</v>
      </c>
      <c r="B9" s="248"/>
      <c r="C9" s="248"/>
      <c r="D9" s="248"/>
      <c r="E9" s="258"/>
    </row>
    <row r="10" spans="1:7">
      <c r="A10" s="248"/>
      <c r="B10" s="248"/>
      <c r="C10" s="248"/>
      <c r="D10" s="248"/>
      <c r="E10" s="258"/>
    </row>
    <row r="11" spans="1:7">
      <c r="A11" s="248"/>
      <c r="B11" s="248"/>
      <c r="C11" s="248"/>
      <c r="D11" s="248"/>
      <c r="E11" s="258"/>
    </row>
    <row r="12" spans="1:7">
      <c r="A12" s="249"/>
      <c r="B12" s="249"/>
      <c r="C12" s="249"/>
      <c r="D12" s="249"/>
      <c r="E12" s="250"/>
    </row>
    <row r="13" spans="1:7">
      <c r="A13" s="249"/>
      <c r="B13" s="249"/>
      <c r="C13" s="249"/>
      <c r="D13" s="249"/>
      <c r="E13" s="250"/>
    </row>
    <row r="14" spans="1:7">
      <c r="A14" s="248"/>
      <c r="B14" s="248" t="s">
        <v>370</v>
      </c>
      <c r="C14" s="248" t="s">
        <v>371</v>
      </c>
      <c r="D14" s="248" t="s">
        <v>372</v>
      </c>
      <c r="E14" s="248" t="s">
        <v>373</v>
      </c>
    </row>
    <row r="15" spans="1:7">
      <c r="A15" s="251">
        <v>42887</v>
      </c>
      <c r="B15" s="252">
        <v>2.8999999999999998E-3</v>
      </c>
      <c r="C15" s="260">
        <f>SUM(E8)</f>
        <v>793661.38806363195</v>
      </c>
      <c r="D15" s="260">
        <f>SUM(B15*C15)</f>
        <v>2301.6180253845323</v>
      </c>
      <c r="E15" s="260">
        <f>SUM(C15+D15)</f>
        <v>795963.00608901645</v>
      </c>
      <c r="F15" s="253"/>
    </row>
    <row r="16" spans="1:7">
      <c r="A16" s="251" t="s">
        <v>596</v>
      </c>
      <c r="B16" s="254">
        <f>0.035/12*3</f>
        <v>8.7500000000000008E-3</v>
      </c>
      <c r="C16" s="260">
        <f>E15</f>
        <v>795963.00608901645</v>
      </c>
      <c r="D16" s="260">
        <f>SUM(B16*C16)</f>
        <v>6964.6763032788949</v>
      </c>
      <c r="E16" s="260">
        <f t="shared" ref="E16:E19" si="0">SUM(C16+D16)</f>
        <v>802927.68239229533</v>
      </c>
    </row>
    <row r="17" spans="1:6">
      <c r="A17" s="251" t="s">
        <v>597</v>
      </c>
      <c r="B17" s="254">
        <f>0.0355/12*3</f>
        <v>8.8749999999999992E-3</v>
      </c>
      <c r="C17" s="260">
        <f t="shared" ref="C17:C19" si="1">E16</f>
        <v>802927.68239229533</v>
      </c>
      <c r="D17" s="260">
        <f t="shared" ref="D17:D19" si="2">SUM(B17*C17)</f>
        <v>7125.9831812316206</v>
      </c>
      <c r="E17" s="260">
        <f t="shared" si="0"/>
        <v>810053.66557352699</v>
      </c>
    </row>
    <row r="18" spans="1:6">
      <c r="A18" s="251" t="s">
        <v>598</v>
      </c>
      <c r="B18" s="254">
        <f>0.0379/12*3</f>
        <v>9.4750000000000008E-3</v>
      </c>
      <c r="C18" s="260">
        <f t="shared" si="1"/>
        <v>810053.66557352699</v>
      </c>
      <c r="D18" s="260">
        <f t="shared" si="2"/>
        <v>7675.2584813091689</v>
      </c>
      <c r="E18" s="260">
        <f t="shared" si="0"/>
        <v>817728.92405483616</v>
      </c>
    </row>
    <row r="19" spans="1:6">
      <c r="A19" s="251" t="s">
        <v>599</v>
      </c>
      <c r="B19" s="254">
        <f>0.0404/12*2</f>
        <v>6.7333333333333334E-3</v>
      </c>
      <c r="C19" s="260">
        <f t="shared" si="1"/>
        <v>817728.92405483616</v>
      </c>
      <c r="D19" s="261">
        <f t="shared" si="2"/>
        <v>5506.0414219692302</v>
      </c>
      <c r="E19" s="260">
        <f t="shared" si="0"/>
        <v>823234.96547680534</v>
      </c>
    </row>
    <row r="20" spans="1:6" ht="15.75">
      <c r="A20" s="251"/>
      <c r="B20" s="248"/>
      <c r="C20" s="260"/>
      <c r="D20" s="262">
        <f>SUM(D15:D19)</f>
        <v>29573.577413173451</v>
      </c>
      <c r="E20" s="260"/>
    </row>
    <row r="21" spans="1:6">
      <c r="A21" s="255"/>
      <c r="B21" s="256"/>
      <c r="C21" s="257"/>
      <c r="D21" s="257"/>
      <c r="E21" s="257"/>
    </row>
    <row r="22" spans="1:6" ht="16.5" thickBot="1">
      <c r="A22" s="311"/>
      <c r="B22" s="311"/>
      <c r="C22" s="311"/>
      <c r="D22" s="311"/>
      <c r="E22" s="311"/>
      <c r="F22" s="311"/>
    </row>
    <row r="23" spans="1:6" ht="15.75">
      <c r="A23" s="312" t="s">
        <v>570</v>
      </c>
      <c r="B23" s="343" t="s">
        <v>604</v>
      </c>
      <c r="C23" s="312" t="s">
        <v>571</v>
      </c>
      <c r="D23" s="312" t="s">
        <v>572</v>
      </c>
      <c r="E23" s="312" t="s">
        <v>572</v>
      </c>
      <c r="F23" s="312" t="s">
        <v>570</v>
      </c>
    </row>
    <row r="24" spans="1:6" ht="15.75">
      <c r="A24" s="313" t="s">
        <v>573</v>
      </c>
      <c r="B24" s="313"/>
      <c r="C24" s="313" t="s">
        <v>574</v>
      </c>
      <c r="D24" s="313" t="s">
        <v>575</v>
      </c>
      <c r="E24" s="313" t="s">
        <v>576</v>
      </c>
      <c r="F24" s="313" t="s">
        <v>573</v>
      </c>
    </row>
    <row r="25" spans="1:6" ht="16.5" thickBot="1">
      <c r="A25" s="314"/>
      <c r="B25" s="314"/>
      <c r="C25" s="314"/>
      <c r="D25" s="314"/>
      <c r="E25" s="314" t="s">
        <v>577</v>
      </c>
      <c r="F25" s="314"/>
    </row>
    <row r="26" spans="1:6" ht="15.75">
      <c r="A26" s="312" t="s">
        <v>578</v>
      </c>
      <c r="B26" s="320">
        <v>4.043333333333333</v>
      </c>
      <c r="C26" s="312">
        <v>4.13</v>
      </c>
      <c r="D26" s="312" t="s">
        <v>480</v>
      </c>
      <c r="E26" s="316">
        <v>3.3694444444444444E-3</v>
      </c>
      <c r="F26" s="312" t="s">
        <v>592</v>
      </c>
    </row>
    <row r="27" spans="1:6" ht="15.75">
      <c r="A27" s="313"/>
      <c r="B27" s="313"/>
      <c r="C27" s="313">
        <v>4</v>
      </c>
      <c r="D27" s="313" t="s">
        <v>579</v>
      </c>
      <c r="E27" s="317"/>
      <c r="F27" s="313"/>
    </row>
    <row r="28" spans="1:6" ht="16.5" thickBot="1">
      <c r="A28" s="314"/>
      <c r="B28" s="314"/>
      <c r="C28" s="314">
        <v>4</v>
      </c>
      <c r="D28" s="314" t="s">
        <v>580</v>
      </c>
      <c r="E28" s="318"/>
      <c r="F28" s="314"/>
    </row>
    <row r="29" spans="1:6" ht="15.75">
      <c r="A29" s="312" t="s">
        <v>581</v>
      </c>
      <c r="B29" s="320">
        <v>3.793333333333333</v>
      </c>
      <c r="C29" s="312">
        <v>3.88</v>
      </c>
      <c r="D29" s="312" t="s">
        <v>476</v>
      </c>
      <c r="E29" s="316">
        <v>3.1611111111111111E-3</v>
      </c>
      <c r="F29" s="312" t="s">
        <v>593</v>
      </c>
    </row>
    <row r="30" spans="1:6" ht="15.75">
      <c r="A30" s="313"/>
      <c r="B30" s="313"/>
      <c r="C30" s="313">
        <v>3.75</v>
      </c>
      <c r="D30" s="313" t="s">
        <v>582</v>
      </c>
      <c r="E30" s="317"/>
      <c r="F30" s="313"/>
    </row>
    <row r="31" spans="1:6" ht="16.5" thickBot="1">
      <c r="A31" s="314"/>
      <c r="B31" s="314"/>
      <c r="C31" s="314">
        <v>3.75</v>
      </c>
      <c r="D31" s="314" t="s">
        <v>583</v>
      </c>
      <c r="E31" s="318"/>
      <c r="F31" s="314"/>
    </row>
    <row r="32" spans="1:6" ht="15.75">
      <c r="A32" s="312" t="s">
        <v>584</v>
      </c>
      <c r="B32" s="320">
        <v>3.5466666666666669</v>
      </c>
      <c r="C32" s="312">
        <v>3.64</v>
      </c>
      <c r="D32" s="312" t="s">
        <v>585</v>
      </c>
      <c r="E32" s="316">
        <v>2.9555555555555555E-3</v>
      </c>
      <c r="F32" s="312" t="s">
        <v>594</v>
      </c>
    </row>
    <row r="33" spans="1:6" ht="15.75">
      <c r="A33" s="313"/>
      <c r="B33" s="313"/>
      <c r="C33" s="313">
        <v>3.5</v>
      </c>
      <c r="D33" s="313" t="s">
        <v>586</v>
      </c>
      <c r="E33" s="317"/>
      <c r="F33" s="313"/>
    </row>
    <row r="34" spans="1:6" ht="16.5" thickBot="1">
      <c r="A34" s="314"/>
      <c r="B34" s="314"/>
      <c r="C34" s="314">
        <v>3.5</v>
      </c>
      <c r="D34" s="314" t="s">
        <v>587</v>
      </c>
      <c r="E34" s="318"/>
      <c r="F34" s="314"/>
    </row>
    <row r="35" spans="1:6" ht="15.75">
      <c r="A35" s="312" t="s">
        <v>588</v>
      </c>
      <c r="B35" s="320">
        <v>3.5</v>
      </c>
      <c r="C35" s="312">
        <v>3.5</v>
      </c>
      <c r="D35" s="312" t="s">
        <v>589</v>
      </c>
      <c r="E35" s="316">
        <v>2.9166666666666668E-3</v>
      </c>
      <c r="F35" s="312" t="s">
        <v>595</v>
      </c>
    </row>
    <row r="36" spans="1:6" ht="15.75">
      <c r="A36" s="313"/>
      <c r="B36" s="313"/>
      <c r="C36" s="313">
        <v>3.5</v>
      </c>
      <c r="D36" s="313" t="s">
        <v>590</v>
      </c>
      <c r="E36" s="317"/>
      <c r="F36" s="313"/>
    </row>
    <row r="37" spans="1:6" ht="16.5" thickBot="1">
      <c r="A37" s="314"/>
      <c r="B37" s="314"/>
      <c r="C37" s="314">
        <v>3.5</v>
      </c>
      <c r="D37" s="314" t="s">
        <v>481</v>
      </c>
      <c r="E37" s="318"/>
      <c r="F37" s="314"/>
    </row>
    <row r="38" spans="1:6" ht="16.5" thickBot="1">
      <c r="A38" s="315" t="s">
        <v>591</v>
      </c>
      <c r="B38" s="321">
        <v>3.5</v>
      </c>
      <c r="C38" s="315">
        <v>3.5</v>
      </c>
      <c r="D38" s="315" t="s">
        <v>480</v>
      </c>
      <c r="E38" s="319">
        <v>2.9166666666666668E-3</v>
      </c>
      <c r="F38" s="315" t="s">
        <v>578</v>
      </c>
    </row>
    <row r="39" spans="1:6">
      <c r="A39" s="251"/>
      <c r="B39" s="248"/>
      <c r="C39" s="253"/>
      <c r="D39" s="253"/>
      <c r="E39" s="253"/>
    </row>
  </sheetData>
  <mergeCells count="3">
    <mergeCell ref="A1:G1"/>
    <mergeCell ref="A2:G2"/>
    <mergeCell ref="A3:G3"/>
  </mergeCells>
  <pageMargins left="0.7" right="0.7" top="0.75" bottom="0.75" header="0.3" footer="0.3"/>
  <pageSetup scale="80" fitToHeight="0" orientation="portrait" r:id="rId1"/>
  <headerFooter>
    <oddFooter>&amp;C9 - Interest on Adjustments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A4" sqref="A4:C4"/>
    </sheetView>
  </sheetViews>
  <sheetFormatPr defaultRowHeight="15"/>
  <cols>
    <col min="1" max="1" width="38.44140625" bestFit="1" customWidth="1"/>
    <col min="2" max="2" width="13.44140625" bestFit="1" customWidth="1"/>
    <col min="3" max="3" width="18.109375" bestFit="1" customWidth="1"/>
  </cols>
  <sheetData>
    <row r="1" spans="1:4" s="196" customFormat="1" ht="15.75">
      <c r="A1" s="347" t="s">
        <v>327</v>
      </c>
      <c r="B1" s="347"/>
      <c r="C1" s="347"/>
      <c r="D1" s="342"/>
    </row>
    <row r="2" spans="1:4" s="196" customFormat="1" ht="15.75">
      <c r="A2" s="347" t="s">
        <v>494</v>
      </c>
      <c r="B2" s="347"/>
      <c r="C2" s="347"/>
      <c r="D2" s="342"/>
    </row>
    <row r="3" spans="1:4" s="196" customFormat="1" ht="15.75">
      <c r="A3" s="347" t="s">
        <v>603</v>
      </c>
      <c r="B3" s="347"/>
      <c r="C3" s="347"/>
      <c r="D3" s="342"/>
    </row>
    <row r="4" spans="1:4" s="196" customFormat="1" ht="15.75">
      <c r="A4" s="359" t="s">
        <v>602</v>
      </c>
      <c r="B4" s="359"/>
      <c r="C4" s="359"/>
      <c r="D4" s="342"/>
    </row>
    <row r="5" spans="1:4" s="196" customFormat="1" ht="15.75">
      <c r="A5" s="322"/>
      <c r="B5" s="322"/>
      <c r="C5" s="322"/>
      <c r="D5" s="342"/>
    </row>
    <row r="6" spans="1:4" ht="15.75" thickBot="1">
      <c r="A6" s="296"/>
      <c r="B6" s="192"/>
      <c r="C6" s="192"/>
    </row>
    <row r="7" spans="1:4" ht="19.5" thickTop="1">
      <c r="A7" s="297"/>
      <c r="B7" s="298" t="s">
        <v>390</v>
      </c>
      <c r="C7" s="299" t="s">
        <v>541</v>
      </c>
    </row>
    <row r="8" spans="1:4" ht="19.5" thickBot="1">
      <c r="A8" s="300" t="s">
        <v>4</v>
      </c>
      <c r="B8" s="300" t="s">
        <v>542</v>
      </c>
      <c r="C8" s="301" t="s">
        <v>542</v>
      </c>
    </row>
    <row r="9" spans="1:4" ht="15.75" thickTop="1">
      <c r="A9" s="302" t="s">
        <v>543</v>
      </c>
      <c r="B9" s="303"/>
      <c r="C9" s="304">
        <v>478267.94</v>
      </c>
    </row>
    <row r="10" spans="1:4">
      <c r="A10" s="302" t="s">
        <v>544</v>
      </c>
      <c r="B10" s="305"/>
      <c r="C10" s="304">
        <v>903496.24</v>
      </c>
    </row>
    <row r="11" spans="1:4">
      <c r="A11" s="302" t="s">
        <v>545</v>
      </c>
      <c r="B11" s="305"/>
      <c r="C11" s="304">
        <v>179212.0800000001</v>
      </c>
    </row>
    <row r="12" spans="1:4">
      <c r="A12" s="302" t="s">
        <v>546</v>
      </c>
      <c r="B12" s="305"/>
      <c r="C12" s="304">
        <v>1922153.2599999993</v>
      </c>
    </row>
    <row r="13" spans="1:4">
      <c r="A13" s="302" t="s">
        <v>547</v>
      </c>
      <c r="B13" s="305"/>
      <c r="C13" s="304">
        <v>873331.04999999993</v>
      </c>
    </row>
    <row r="14" spans="1:4">
      <c r="A14" s="302" t="s">
        <v>548</v>
      </c>
      <c r="B14" s="305"/>
      <c r="C14" s="304">
        <v>563579.8600000001</v>
      </c>
    </row>
    <row r="15" spans="1:4">
      <c r="A15" s="302" t="s">
        <v>549</v>
      </c>
      <c r="B15" s="305"/>
      <c r="C15" s="304">
        <v>26954.67000000002</v>
      </c>
    </row>
    <row r="16" spans="1:4">
      <c r="A16" s="302" t="s">
        <v>550</v>
      </c>
      <c r="B16" s="305"/>
      <c r="C16" s="304">
        <v>78017.77</v>
      </c>
    </row>
    <row r="17" spans="1:3">
      <c r="A17" s="302" t="s">
        <v>551</v>
      </c>
      <c r="B17" s="305"/>
      <c r="C17" s="304">
        <v>17615.140000000003</v>
      </c>
    </row>
    <row r="18" spans="1:3">
      <c r="A18" s="302" t="s">
        <v>552</v>
      </c>
      <c r="B18" s="305"/>
      <c r="C18" s="304">
        <v>2424431.15</v>
      </c>
    </row>
    <row r="19" spans="1:3">
      <c r="A19" s="302" t="s">
        <v>553</v>
      </c>
      <c r="B19" s="306">
        <v>17734.23</v>
      </c>
      <c r="C19" s="307"/>
    </row>
    <row r="20" spans="1:3">
      <c r="A20" s="302" t="s">
        <v>554</v>
      </c>
      <c r="B20" s="305"/>
      <c r="C20" s="304">
        <v>262853.9499999999</v>
      </c>
    </row>
    <row r="21" spans="1:3">
      <c r="A21" s="302" t="s">
        <v>555</v>
      </c>
      <c r="B21" s="305"/>
      <c r="C21" s="304">
        <v>2821.0299999999966</v>
      </c>
    </row>
    <row r="22" spans="1:3">
      <c r="A22" s="302" t="s">
        <v>556</v>
      </c>
      <c r="B22" s="305"/>
      <c r="C22" s="304">
        <v>488315.81</v>
      </c>
    </row>
    <row r="23" spans="1:3">
      <c r="A23" s="302" t="s">
        <v>557</v>
      </c>
      <c r="B23" s="305"/>
      <c r="C23" s="304">
        <v>231009.46999999994</v>
      </c>
    </row>
    <row r="24" spans="1:3">
      <c r="A24" s="302" t="s">
        <v>558</v>
      </c>
      <c r="B24" s="305"/>
      <c r="C24" s="304">
        <v>586670.9700000002</v>
      </c>
    </row>
    <row r="25" spans="1:3">
      <c r="A25" s="302" t="s">
        <v>559</v>
      </c>
      <c r="B25" s="306">
        <v>148865.68999999994</v>
      </c>
      <c r="C25" s="307"/>
    </row>
    <row r="26" spans="1:3">
      <c r="A26" s="302" t="s">
        <v>560</v>
      </c>
      <c r="B26" s="305"/>
      <c r="C26" s="304">
        <v>97007.109999999986</v>
      </c>
    </row>
    <row r="27" spans="1:3">
      <c r="A27" s="302" t="s">
        <v>561</v>
      </c>
      <c r="B27" s="305"/>
      <c r="C27" s="304">
        <v>472752.63</v>
      </c>
    </row>
    <row r="28" spans="1:3">
      <c r="A28" s="302" t="s">
        <v>562</v>
      </c>
      <c r="B28" s="305"/>
      <c r="C28" s="304">
        <v>295037.39</v>
      </c>
    </row>
    <row r="29" spans="1:3">
      <c r="A29" s="302" t="s">
        <v>563</v>
      </c>
      <c r="B29" s="305"/>
      <c r="C29" s="304">
        <v>1462108.6499999997</v>
      </c>
    </row>
    <row r="30" spans="1:3">
      <c r="A30" s="302" t="s">
        <v>564</v>
      </c>
      <c r="B30" s="305"/>
      <c r="C30" s="304">
        <v>36340.660000000003</v>
      </c>
    </row>
    <row r="31" spans="1:3">
      <c r="A31" s="302" t="s">
        <v>565</v>
      </c>
      <c r="B31" s="306">
        <v>7946466.1900000004</v>
      </c>
      <c r="C31" s="307"/>
    </row>
    <row r="32" spans="1:3">
      <c r="A32" s="302" t="s">
        <v>566</v>
      </c>
      <c r="B32" s="305"/>
      <c r="C32" s="304">
        <v>6219409.5199999996</v>
      </c>
    </row>
    <row r="33" spans="1:3">
      <c r="A33" s="302" t="s">
        <v>567</v>
      </c>
      <c r="B33" s="305"/>
      <c r="C33" s="304">
        <v>1252408.8700000001</v>
      </c>
    </row>
    <row r="34" spans="1:3">
      <c r="A34" s="302"/>
      <c r="B34" s="305"/>
      <c r="C34" s="307"/>
    </row>
    <row r="35" spans="1:3" ht="19.5" thickBot="1">
      <c r="A35" s="308" t="s">
        <v>9</v>
      </c>
      <c r="B35" s="309">
        <f>+SUM(B9:B33)</f>
        <v>8113066.1100000003</v>
      </c>
      <c r="C35" s="310">
        <f>+SUM(C9:C33)</f>
        <v>18873795.220000003</v>
      </c>
    </row>
    <row r="36" spans="1:3" ht="15.75" thickTop="1">
      <c r="A36" s="296"/>
      <c r="B36" s="192"/>
      <c r="C36" s="192"/>
    </row>
  </sheetData>
  <mergeCells count="4">
    <mergeCell ref="A4:C4"/>
    <mergeCell ref="A1:C1"/>
    <mergeCell ref="A2:C2"/>
    <mergeCell ref="A3:C3"/>
  </mergeCells>
  <pageMargins left="0.7" right="0.7" top="0.75" bottom="0.75" header="0.3" footer="0.3"/>
  <pageSetup orientation="portrait" r:id="rId1"/>
  <headerFooter>
    <oddFooter>&amp;C10 - Radial Lines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
  <sheetViews>
    <sheetView workbookViewId="0">
      <selection sqref="A1:K1"/>
    </sheetView>
  </sheetViews>
  <sheetFormatPr defaultColWidth="8.88671875" defaultRowHeight="15"/>
  <cols>
    <col min="1" max="1" width="4.88671875" style="264" customWidth="1"/>
    <col min="2" max="2" width="17.44140625" style="264" customWidth="1"/>
    <col min="3" max="3" width="9.77734375" style="264" customWidth="1"/>
    <col min="4" max="5" width="8.88671875" style="264"/>
    <col min="6" max="6" width="11.109375" style="264" customWidth="1"/>
    <col min="7" max="7" width="9.33203125" style="264" bestFit="1" customWidth="1"/>
    <col min="8" max="8" width="11.6640625" style="264" bestFit="1" customWidth="1"/>
    <col min="9" max="9" width="12.88671875" style="264" customWidth="1"/>
    <col min="10" max="10" width="11.6640625" style="264" bestFit="1" customWidth="1"/>
    <col min="11" max="11" width="11.77734375" style="264" customWidth="1"/>
    <col min="12" max="14" width="8.88671875" style="264"/>
    <col min="15" max="15" width="8.33203125" style="264" bestFit="1" customWidth="1"/>
    <col min="16" max="16384" width="8.88671875" style="264"/>
  </cols>
  <sheetData>
    <row r="1" spans="1:15" ht="15.75">
      <c r="A1" s="366" t="s">
        <v>327</v>
      </c>
      <c r="B1" s="366"/>
      <c r="C1" s="366"/>
      <c r="D1" s="366"/>
      <c r="E1" s="366"/>
      <c r="F1" s="366"/>
      <c r="G1" s="366"/>
      <c r="H1" s="366"/>
      <c r="I1" s="366"/>
      <c r="J1" s="366"/>
      <c r="K1" s="366"/>
    </row>
    <row r="2" spans="1:15" ht="15.75">
      <c r="A2" s="366" t="s">
        <v>494</v>
      </c>
      <c r="B2" s="366"/>
      <c r="C2" s="366"/>
      <c r="D2" s="366"/>
      <c r="E2" s="366"/>
      <c r="F2" s="366"/>
      <c r="G2" s="366"/>
      <c r="H2" s="366"/>
      <c r="I2" s="366"/>
      <c r="J2" s="366"/>
      <c r="K2" s="366"/>
    </row>
    <row r="3" spans="1:15" ht="15.75">
      <c r="A3" s="366" t="s">
        <v>511</v>
      </c>
      <c r="B3" s="366"/>
      <c r="C3" s="366"/>
      <c r="D3" s="366"/>
      <c r="E3" s="366"/>
      <c r="F3" s="366"/>
      <c r="G3" s="366"/>
      <c r="H3" s="366"/>
      <c r="I3" s="366"/>
      <c r="J3" s="366"/>
      <c r="K3" s="366"/>
    </row>
    <row r="5" spans="1:15" ht="16.5" thickBot="1">
      <c r="I5" s="265" t="s">
        <v>493</v>
      </c>
      <c r="J5" s="266"/>
    </row>
    <row r="6" spans="1:15" ht="81.599999999999994" customHeight="1">
      <c r="A6" s="267" t="s">
        <v>512</v>
      </c>
      <c r="B6" s="267" t="s">
        <v>513</v>
      </c>
      <c r="C6" s="267" t="s">
        <v>514</v>
      </c>
      <c r="D6" s="267" t="s">
        <v>515</v>
      </c>
      <c r="E6" s="267" t="s">
        <v>516</v>
      </c>
      <c r="F6" s="267" t="s">
        <v>517</v>
      </c>
      <c r="G6" s="267" t="s">
        <v>518</v>
      </c>
      <c r="H6" s="267" t="s">
        <v>519</v>
      </c>
      <c r="I6" s="268" t="s">
        <v>520</v>
      </c>
      <c r="J6" s="267" t="s">
        <v>521</v>
      </c>
      <c r="K6" s="267" t="s">
        <v>522</v>
      </c>
      <c r="N6" s="269"/>
      <c r="O6" s="270"/>
    </row>
    <row r="7" spans="1:15">
      <c r="A7" s="271">
        <v>1</v>
      </c>
      <c r="B7" s="272" t="s">
        <v>474</v>
      </c>
      <c r="C7" s="272">
        <v>2924</v>
      </c>
      <c r="D7" s="273">
        <v>5</v>
      </c>
      <c r="E7" s="274">
        <v>0.33333333333333331</v>
      </c>
      <c r="F7" s="275">
        <v>2139</v>
      </c>
      <c r="G7" s="275">
        <v>321</v>
      </c>
      <c r="H7" s="272">
        <v>0</v>
      </c>
      <c r="I7" s="276">
        <v>464</v>
      </c>
      <c r="J7" s="275">
        <v>0</v>
      </c>
      <c r="K7" s="277">
        <v>20</v>
      </c>
      <c r="O7" s="278"/>
    </row>
    <row r="8" spans="1:15">
      <c r="A8" s="271">
        <v>2</v>
      </c>
      <c r="B8" s="272" t="s">
        <v>475</v>
      </c>
      <c r="C8" s="272">
        <v>2825</v>
      </c>
      <c r="D8" s="273">
        <v>5</v>
      </c>
      <c r="E8" s="274">
        <v>0.29166666666666669</v>
      </c>
      <c r="F8" s="275">
        <v>2171</v>
      </c>
      <c r="G8" s="275">
        <v>316</v>
      </c>
      <c r="H8" s="272">
        <v>0</v>
      </c>
      <c r="I8" s="276">
        <v>338</v>
      </c>
      <c r="J8" s="275">
        <v>0</v>
      </c>
      <c r="K8" s="277">
        <v>22</v>
      </c>
      <c r="O8" s="278"/>
    </row>
    <row r="9" spans="1:15">
      <c r="A9" s="271">
        <v>3</v>
      </c>
      <c r="B9" s="272" t="s">
        <v>476</v>
      </c>
      <c r="C9" s="272">
        <v>2158</v>
      </c>
      <c r="D9" s="273">
        <v>21</v>
      </c>
      <c r="E9" s="274">
        <v>0.33333333333333331</v>
      </c>
      <c r="F9" s="275">
        <v>1721</v>
      </c>
      <c r="G9" s="275">
        <v>267</v>
      </c>
      <c r="H9" s="272">
        <v>0</v>
      </c>
      <c r="I9" s="276">
        <v>170</v>
      </c>
      <c r="J9" s="275">
        <v>0</v>
      </c>
      <c r="K9" s="277">
        <v>16</v>
      </c>
      <c r="O9" s="278"/>
    </row>
    <row r="10" spans="1:15">
      <c r="A10" s="271">
        <v>4</v>
      </c>
      <c r="B10" s="272" t="s">
        <v>477</v>
      </c>
      <c r="C10" s="272">
        <f>SUM(C7:C9)</f>
        <v>7907</v>
      </c>
      <c r="D10" s="273"/>
      <c r="E10" s="274"/>
      <c r="F10" s="275">
        <f t="shared" ref="F10:K10" si="0">SUM(F7:F9)</f>
        <v>6031</v>
      </c>
      <c r="G10" s="275">
        <f t="shared" si="0"/>
        <v>904</v>
      </c>
      <c r="H10" s="272">
        <f t="shared" si="0"/>
        <v>0</v>
      </c>
      <c r="I10" s="276">
        <f t="shared" si="0"/>
        <v>972</v>
      </c>
      <c r="J10" s="275">
        <f t="shared" si="0"/>
        <v>0</v>
      </c>
      <c r="K10" s="277">
        <f t="shared" si="0"/>
        <v>58</v>
      </c>
      <c r="O10" s="278"/>
    </row>
    <row r="11" spans="1:15">
      <c r="A11" s="271">
        <v>5</v>
      </c>
      <c r="B11" s="272" t="s">
        <v>478</v>
      </c>
      <c r="C11" s="272">
        <v>2550</v>
      </c>
      <c r="D11" s="273">
        <v>29</v>
      </c>
      <c r="E11" s="274">
        <v>0.66666666666666663</v>
      </c>
      <c r="F11" s="275">
        <v>1904</v>
      </c>
      <c r="G11" s="275">
        <v>305</v>
      </c>
      <c r="H11" s="275">
        <v>0</v>
      </c>
      <c r="I11" s="276">
        <v>341</v>
      </c>
      <c r="J11" s="275">
        <v>0</v>
      </c>
      <c r="K11" s="277">
        <v>16</v>
      </c>
      <c r="O11" s="278"/>
    </row>
    <row r="12" spans="1:15">
      <c r="A12" s="271">
        <v>6</v>
      </c>
      <c r="B12" s="272" t="s">
        <v>479</v>
      </c>
      <c r="C12" s="272">
        <v>2982</v>
      </c>
      <c r="D12" s="273">
        <v>25</v>
      </c>
      <c r="E12" s="274">
        <v>0.70833333333333337</v>
      </c>
      <c r="F12" s="275">
        <v>2193</v>
      </c>
      <c r="G12" s="275">
        <v>345</v>
      </c>
      <c r="H12" s="275">
        <v>0</v>
      </c>
      <c r="I12" s="276">
        <v>444</v>
      </c>
      <c r="J12" s="275">
        <v>0</v>
      </c>
      <c r="K12" s="277">
        <v>20</v>
      </c>
      <c r="O12" s="278"/>
    </row>
    <row r="13" spans="1:15">
      <c r="A13" s="279">
        <v>7</v>
      </c>
      <c r="B13" s="275" t="s">
        <v>480</v>
      </c>
      <c r="C13" s="275">
        <v>3444</v>
      </c>
      <c r="D13" s="280">
        <v>17</v>
      </c>
      <c r="E13" s="281">
        <v>0.70833333333333337</v>
      </c>
      <c r="F13" s="275">
        <v>2567</v>
      </c>
      <c r="G13" s="275">
        <v>397</v>
      </c>
      <c r="H13" s="275">
        <v>0</v>
      </c>
      <c r="I13" s="276">
        <v>480</v>
      </c>
      <c r="J13" s="275">
        <v>0</v>
      </c>
      <c r="K13" s="277">
        <v>25</v>
      </c>
      <c r="O13" s="278"/>
    </row>
    <row r="14" spans="1:15">
      <c r="A14" s="271">
        <v>8</v>
      </c>
      <c r="B14" s="272" t="s">
        <v>477</v>
      </c>
      <c r="C14" s="272">
        <f>SUM(C11:C13)</f>
        <v>8976</v>
      </c>
      <c r="D14" s="282"/>
      <c r="E14" s="274"/>
      <c r="F14" s="275">
        <f t="shared" ref="F14:K14" si="1">SUM(F11:F13)</f>
        <v>6664</v>
      </c>
      <c r="G14" s="275">
        <f t="shared" si="1"/>
        <v>1047</v>
      </c>
      <c r="H14" s="272">
        <f t="shared" si="1"/>
        <v>0</v>
      </c>
      <c r="I14" s="276">
        <f t="shared" si="1"/>
        <v>1265</v>
      </c>
      <c r="J14" s="275">
        <f t="shared" si="1"/>
        <v>0</v>
      </c>
      <c r="K14" s="277">
        <f t="shared" si="1"/>
        <v>61</v>
      </c>
      <c r="O14" s="278"/>
    </row>
    <row r="15" spans="1:15">
      <c r="A15" s="271">
        <v>9</v>
      </c>
      <c r="B15" s="272" t="s">
        <v>481</v>
      </c>
      <c r="C15" s="272">
        <v>3468</v>
      </c>
      <c r="D15" s="273">
        <v>20</v>
      </c>
      <c r="E15" s="274">
        <v>0.66666666666666663</v>
      </c>
      <c r="F15" s="275">
        <v>2576</v>
      </c>
      <c r="G15" s="275">
        <v>409</v>
      </c>
      <c r="H15" s="272">
        <v>0</v>
      </c>
      <c r="I15" s="276">
        <v>483</v>
      </c>
      <c r="J15" s="275">
        <v>0</v>
      </c>
      <c r="K15" s="277">
        <v>24</v>
      </c>
      <c r="O15" s="278"/>
    </row>
    <row r="16" spans="1:15">
      <c r="A16" s="279">
        <v>10</v>
      </c>
      <c r="B16" s="275" t="s">
        <v>482</v>
      </c>
      <c r="C16" s="275">
        <v>3509</v>
      </c>
      <c r="D16" s="280">
        <v>2</v>
      </c>
      <c r="E16" s="281">
        <v>0.70833333333333337</v>
      </c>
      <c r="F16" s="275">
        <v>2625</v>
      </c>
      <c r="G16" s="275">
        <v>406</v>
      </c>
      <c r="H16" s="275">
        <v>0</v>
      </c>
      <c r="I16" s="276">
        <v>478</v>
      </c>
      <c r="J16" s="275">
        <v>0</v>
      </c>
      <c r="K16" s="277">
        <v>24</v>
      </c>
      <c r="O16" s="278"/>
    </row>
    <row r="17" spans="1:15">
      <c r="A17" s="271">
        <v>11</v>
      </c>
      <c r="B17" s="272" t="s">
        <v>483</v>
      </c>
      <c r="C17" s="272">
        <v>3375</v>
      </c>
      <c r="D17" s="273">
        <v>1</v>
      </c>
      <c r="E17" s="274">
        <v>0.66666666666666663</v>
      </c>
      <c r="F17" s="275">
        <v>2537</v>
      </c>
      <c r="G17" s="275">
        <v>397</v>
      </c>
      <c r="H17" s="272">
        <v>0</v>
      </c>
      <c r="I17" s="276">
        <v>441</v>
      </c>
      <c r="J17" s="275">
        <v>0</v>
      </c>
      <c r="K17" s="277">
        <v>23</v>
      </c>
      <c r="O17" s="278"/>
    </row>
    <row r="18" spans="1:15">
      <c r="A18" s="271">
        <v>12</v>
      </c>
      <c r="B18" s="272" t="s">
        <v>477</v>
      </c>
      <c r="C18" s="272">
        <f>SUM(C15:C17)</f>
        <v>10352</v>
      </c>
      <c r="D18" s="273"/>
      <c r="E18" s="274"/>
      <c r="F18" s="275">
        <f t="shared" ref="F18:K18" si="2">SUM(F15:F17)</f>
        <v>7738</v>
      </c>
      <c r="G18" s="275">
        <f t="shared" si="2"/>
        <v>1212</v>
      </c>
      <c r="H18" s="272">
        <f t="shared" si="2"/>
        <v>0</v>
      </c>
      <c r="I18" s="276">
        <f t="shared" si="2"/>
        <v>1402</v>
      </c>
      <c r="J18" s="275">
        <f t="shared" si="2"/>
        <v>0</v>
      </c>
      <c r="K18" s="277">
        <f t="shared" si="2"/>
        <v>71</v>
      </c>
      <c r="O18" s="278"/>
    </row>
    <row r="19" spans="1:15">
      <c r="A19" s="271">
        <v>13</v>
      </c>
      <c r="B19" s="272" t="s">
        <v>484</v>
      </c>
      <c r="C19" s="272">
        <v>2914</v>
      </c>
      <c r="D19" s="273">
        <v>5</v>
      </c>
      <c r="E19" s="274">
        <v>0.70833333333333337</v>
      </c>
      <c r="F19" s="275">
        <v>2123</v>
      </c>
      <c r="G19" s="275">
        <v>337</v>
      </c>
      <c r="H19" s="272">
        <v>0</v>
      </c>
      <c r="I19" s="276">
        <v>454</v>
      </c>
      <c r="J19" s="275">
        <v>0</v>
      </c>
      <c r="K19" s="277">
        <v>21</v>
      </c>
    </row>
    <row r="20" spans="1:15">
      <c r="A20" s="271">
        <v>14</v>
      </c>
      <c r="B20" s="272" t="s">
        <v>485</v>
      </c>
      <c r="C20" s="272">
        <v>2285</v>
      </c>
      <c r="D20" s="273">
        <v>21</v>
      </c>
      <c r="E20" s="274">
        <v>0.33333333333333331</v>
      </c>
      <c r="F20" s="275">
        <v>1738</v>
      </c>
      <c r="G20" s="275">
        <v>248</v>
      </c>
      <c r="H20" s="272">
        <v>0</v>
      </c>
      <c r="I20" s="276">
        <v>299</v>
      </c>
      <c r="J20" s="275">
        <v>0</v>
      </c>
      <c r="K20" s="277">
        <v>17</v>
      </c>
    </row>
    <row r="21" spans="1:15">
      <c r="A21" s="271">
        <v>15</v>
      </c>
      <c r="B21" s="272" t="s">
        <v>486</v>
      </c>
      <c r="C21" s="272">
        <v>3048</v>
      </c>
      <c r="D21" s="273">
        <v>19</v>
      </c>
      <c r="E21" s="274">
        <v>0.33333333333333331</v>
      </c>
      <c r="F21" s="275">
        <v>2212</v>
      </c>
      <c r="G21" s="275">
        <v>348</v>
      </c>
      <c r="H21" s="272">
        <v>0</v>
      </c>
      <c r="I21" s="276">
        <v>488</v>
      </c>
      <c r="J21" s="275">
        <v>0</v>
      </c>
      <c r="K21" s="277">
        <v>21</v>
      </c>
    </row>
    <row r="22" spans="1:15">
      <c r="A22" s="271">
        <v>16</v>
      </c>
      <c r="B22" s="272" t="s">
        <v>477</v>
      </c>
      <c r="C22" s="272">
        <f>SUM(C19:C21)</f>
        <v>8247</v>
      </c>
      <c r="D22" s="273"/>
      <c r="E22" s="274"/>
      <c r="F22" s="275">
        <f>SUM(F19:F21)</f>
        <v>6073</v>
      </c>
      <c r="G22" s="272">
        <f>SUM(G19:G21)</f>
        <v>933</v>
      </c>
      <c r="H22" s="272">
        <v>0</v>
      </c>
      <c r="I22" s="276">
        <f>SUM(I19:I21)</f>
        <v>1241</v>
      </c>
      <c r="J22" s="275">
        <v>0</v>
      </c>
      <c r="K22" s="283">
        <f>SUM(K19:K21)</f>
        <v>59</v>
      </c>
    </row>
    <row r="23" spans="1:15">
      <c r="A23" s="271">
        <v>17</v>
      </c>
      <c r="B23" s="272" t="s">
        <v>487</v>
      </c>
      <c r="C23" s="272">
        <f>SUM(C10+C14+C18+C22)</f>
        <v>35482</v>
      </c>
      <c r="D23" s="273"/>
      <c r="E23" s="274"/>
      <c r="F23" s="275">
        <f t="shared" ref="F23:K23" si="3">SUM(F10+F14+F18+F22)</f>
        <v>26506</v>
      </c>
      <c r="G23" s="272">
        <f t="shared" si="3"/>
        <v>4096</v>
      </c>
      <c r="H23" s="272">
        <f t="shared" si="3"/>
        <v>0</v>
      </c>
      <c r="I23" s="276">
        <f t="shared" si="3"/>
        <v>4880</v>
      </c>
      <c r="J23" s="275">
        <f t="shared" si="3"/>
        <v>0</v>
      </c>
      <c r="K23" s="283">
        <f t="shared" si="3"/>
        <v>249</v>
      </c>
    </row>
    <row r="24" spans="1:15">
      <c r="A24" s="284"/>
      <c r="B24" s="272"/>
      <c r="C24" s="272"/>
      <c r="D24" s="272"/>
      <c r="E24" s="274"/>
      <c r="F24" s="272"/>
      <c r="G24" s="272"/>
      <c r="H24" s="272"/>
      <c r="I24" s="276"/>
      <c r="J24" s="272"/>
      <c r="K24" s="283"/>
    </row>
    <row r="25" spans="1:15">
      <c r="A25" s="284"/>
      <c r="B25" s="272"/>
      <c r="C25" s="272"/>
      <c r="D25" s="272"/>
      <c r="E25" s="285"/>
      <c r="F25" s="272"/>
      <c r="G25" s="272"/>
      <c r="H25" s="272"/>
      <c r="I25" s="276"/>
      <c r="J25" s="272"/>
      <c r="K25" s="283"/>
    </row>
    <row r="26" spans="1:15" ht="15.75" thickBot="1">
      <c r="A26" s="286"/>
      <c r="B26" s="287"/>
      <c r="C26" s="287"/>
      <c r="D26" s="287"/>
      <c r="E26" s="288"/>
      <c r="F26" s="287"/>
      <c r="G26" s="287"/>
      <c r="H26" s="287"/>
      <c r="I26" s="289"/>
      <c r="J26" s="287"/>
      <c r="K26" s="290"/>
    </row>
    <row r="27" spans="1:15">
      <c r="C27" s="266">
        <f>SUM(C23/12)</f>
        <v>2956.8333333333335</v>
      </c>
      <c r="F27" s="291">
        <f>SUM(F23/12)</f>
        <v>2208.8333333333335</v>
      </c>
      <c r="G27" s="264">
        <f>SUM(G23/12)</f>
        <v>341.33333333333331</v>
      </c>
      <c r="I27" s="266">
        <f>SUM(I23/12)</f>
        <v>406.66666666666669</v>
      </c>
      <c r="K27" s="264">
        <f>SUM(K23/12)</f>
        <v>20.75</v>
      </c>
    </row>
    <row r="28" spans="1:15">
      <c r="B28" s="291"/>
      <c r="C28" s="291"/>
      <c r="D28" s="291"/>
      <c r="E28" s="291"/>
      <c r="F28" s="291"/>
      <c r="G28" s="291"/>
      <c r="H28" s="291"/>
    </row>
    <row r="30" spans="1:15" ht="15.75">
      <c r="A30" s="292" t="s">
        <v>532</v>
      </c>
    </row>
    <row r="31" spans="1:15">
      <c r="A31" s="263" t="s">
        <v>488</v>
      </c>
    </row>
    <row r="32" spans="1:15" ht="38.450000000000003" customHeight="1">
      <c r="A32" s="293" t="s">
        <v>467</v>
      </c>
      <c r="B32" s="362" t="s">
        <v>525</v>
      </c>
      <c r="C32" s="362"/>
      <c r="D32" s="362"/>
      <c r="E32" s="362"/>
      <c r="F32" s="362"/>
      <c r="G32" s="362"/>
      <c r="H32" s="362"/>
      <c r="I32" s="362"/>
      <c r="J32" s="362"/>
      <c r="K32" s="362"/>
    </row>
    <row r="33" spans="1:12">
      <c r="A33" s="293" t="s">
        <v>523</v>
      </c>
      <c r="B33" s="367" t="s">
        <v>526</v>
      </c>
      <c r="C33" s="367"/>
      <c r="D33" s="367"/>
      <c r="E33" s="367"/>
      <c r="F33" s="367"/>
      <c r="G33" s="367"/>
      <c r="H33" s="367"/>
      <c r="I33" s="367"/>
      <c r="J33" s="367"/>
      <c r="K33" s="367"/>
    </row>
    <row r="34" spans="1:12">
      <c r="A34" s="293" t="s">
        <v>468</v>
      </c>
      <c r="B34" s="363" t="s">
        <v>527</v>
      </c>
      <c r="C34" s="363"/>
      <c r="D34" s="363"/>
      <c r="E34" s="363"/>
      <c r="F34" s="363"/>
      <c r="G34" s="363"/>
      <c r="H34" s="363"/>
      <c r="I34" s="363"/>
      <c r="J34" s="363"/>
      <c r="K34" s="363"/>
    </row>
    <row r="35" spans="1:12" ht="43.9" customHeight="1">
      <c r="A35" s="293" t="s">
        <v>524</v>
      </c>
      <c r="B35" s="362" t="s">
        <v>528</v>
      </c>
      <c r="C35" s="362"/>
      <c r="D35" s="362"/>
      <c r="E35" s="362"/>
      <c r="F35" s="362"/>
      <c r="G35" s="362"/>
      <c r="H35" s="362"/>
      <c r="I35" s="362"/>
      <c r="J35" s="362"/>
      <c r="K35" s="362"/>
    </row>
    <row r="36" spans="1:12" ht="33" customHeight="1">
      <c r="A36" s="293" t="s">
        <v>469</v>
      </c>
      <c r="B36" s="362" t="s">
        <v>529</v>
      </c>
      <c r="C36" s="362"/>
      <c r="D36" s="362"/>
      <c r="E36" s="362"/>
      <c r="F36" s="362"/>
      <c r="G36" s="362"/>
      <c r="H36" s="362"/>
      <c r="I36" s="362"/>
      <c r="J36" s="362"/>
      <c r="K36" s="362"/>
    </row>
    <row r="37" spans="1:12" ht="30" customHeight="1">
      <c r="A37" s="293" t="s">
        <v>470</v>
      </c>
      <c r="B37" s="364" t="s">
        <v>534</v>
      </c>
      <c r="C37" s="364"/>
      <c r="D37" s="364"/>
      <c r="E37" s="364"/>
      <c r="F37" s="364"/>
      <c r="G37" s="364"/>
      <c r="H37" s="364"/>
      <c r="I37" s="364"/>
      <c r="J37" s="364"/>
      <c r="K37" s="364"/>
    </row>
    <row r="38" spans="1:12" ht="33" customHeight="1">
      <c r="A38" s="293" t="s">
        <v>471</v>
      </c>
      <c r="B38" s="362" t="s">
        <v>530</v>
      </c>
      <c r="C38" s="362"/>
      <c r="D38" s="362"/>
      <c r="E38" s="362"/>
      <c r="F38" s="362"/>
      <c r="G38" s="362"/>
      <c r="H38" s="362"/>
      <c r="I38" s="362"/>
      <c r="J38" s="362"/>
      <c r="K38" s="362"/>
    </row>
    <row r="39" spans="1:12" ht="40.15" customHeight="1">
      <c r="A39" s="293" t="s">
        <v>472</v>
      </c>
      <c r="B39" s="362" t="s">
        <v>533</v>
      </c>
      <c r="C39" s="362"/>
      <c r="D39" s="362"/>
      <c r="E39" s="362"/>
      <c r="F39" s="362"/>
      <c r="G39" s="362"/>
      <c r="H39" s="362"/>
      <c r="I39" s="362"/>
      <c r="J39" s="362"/>
      <c r="K39" s="362"/>
    </row>
    <row r="40" spans="1:12">
      <c r="A40" s="293" t="s">
        <v>473</v>
      </c>
      <c r="B40" s="363" t="s">
        <v>531</v>
      </c>
      <c r="C40" s="363"/>
      <c r="D40" s="363"/>
      <c r="E40" s="363"/>
      <c r="F40" s="363"/>
      <c r="G40" s="363"/>
      <c r="H40" s="363"/>
      <c r="I40" s="363"/>
      <c r="J40" s="363"/>
      <c r="K40" s="363"/>
    </row>
    <row r="43" spans="1:12">
      <c r="A43" s="363" t="s">
        <v>489</v>
      </c>
      <c r="B43" s="363"/>
      <c r="C43" s="363"/>
      <c r="D43" s="363"/>
      <c r="E43" s="363"/>
      <c r="F43" s="363"/>
      <c r="G43" s="363"/>
      <c r="H43" s="363"/>
      <c r="I43" s="363"/>
      <c r="J43" s="363"/>
      <c r="K43" s="363"/>
    </row>
    <row r="44" spans="1:12">
      <c r="A44" s="363" t="s">
        <v>535</v>
      </c>
      <c r="B44" s="363"/>
      <c r="C44" s="363"/>
      <c r="D44" s="363"/>
      <c r="E44" s="363"/>
      <c r="F44" s="363"/>
      <c r="G44" s="363"/>
      <c r="H44" s="363"/>
      <c r="I44" s="363"/>
      <c r="J44" s="363"/>
      <c r="K44" s="363"/>
    </row>
    <row r="46" spans="1:12" ht="31.9" customHeight="1">
      <c r="A46" s="365" t="s">
        <v>490</v>
      </c>
      <c r="B46" s="365"/>
      <c r="C46" s="365"/>
      <c r="D46" s="365"/>
      <c r="E46" s="365"/>
      <c r="F46" s="365"/>
      <c r="G46" s="365"/>
      <c r="H46" s="365"/>
      <c r="I46" s="365"/>
      <c r="J46" s="365"/>
      <c r="K46" s="365"/>
      <c r="L46" s="291"/>
    </row>
    <row r="47" spans="1:12">
      <c r="A47" s="360" t="s">
        <v>491</v>
      </c>
      <c r="B47" s="360"/>
      <c r="C47" s="360"/>
      <c r="D47" s="360"/>
      <c r="E47" s="360"/>
      <c r="F47" s="360"/>
      <c r="G47" s="360"/>
      <c r="H47" s="360"/>
      <c r="I47" s="360"/>
      <c r="J47" s="360"/>
      <c r="K47" s="360"/>
      <c r="L47" s="291"/>
    </row>
    <row r="48" spans="1:12">
      <c r="L48" s="291"/>
    </row>
    <row r="49" spans="1:12" ht="32.450000000000003" customHeight="1">
      <c r="A49" s="361" t="s">
        <v>492</v>
      </c>
      <c r="B49" s="361"/>
      <c r="C49" s="361"/>
      <c r="D49" s="361"/>
      <c r="E49" s="361"/>
      <c r="F49" s="361"/>
      <c r="G49" s="361"/>
      <c r="H49" s="361"/>
      <c r="I49" s="361"/>
      <c r="J49" s="361"/>
      <c r="K49" s="361"/>
      <c r="L49" s="291"/>
    </row>
    <row r="50" spans="1:12">
      <c r="L50" s="291"/>
    </row>
    <row r="51" spans="1:12">
      <c r="L51" s="291"/>
    </row>
    <row r="52" spans="1:12">
      <c r="L52" s="291"/>
    </row>
  </sheetData>
  <mergeCells count="17">
    <mergeCell ref="A1:K1"/>
    <mergeCell ref="A2:K2"/>
    <mergeCell ref="A3:K3"/>
    <mergeCell ref="B32:K32"/>
    <mergeCell ref="B33:K33"/>
    <mergeCell ref="B34:K34"/>
    <mergeCell ref="B35:K35"/>
    <mergeCell ref="B36:K36"/>
    <mergeCell ref="B37:K37"/>
    <mergeCell ref="A46:K46"/>
    <mergeCell ref="A47:K47"/>
    <mergeCell ref="A49:K49"/>
    <mergeCell ref="B38:K38"/>
    <mergeCell ref="B39:K39"/>
    <mergeCell ref="B40:K40"/>
    <mergeCell ref="A43:K43"/>
    <mergeCell ref="A44:K44"/>
  </mergeCells>
  <pageMargins left="0.75" right="0.75" top="1" bottom="1" header="0.5" footer="0.5"/>
  <pageSetup scale="63" orientation="portrait" r:id="rId1"/>
  <headerFooter alignWithMargins="0">
    <oddFooter>&amp;C2016 TP Peak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D1"/>
    </sheetView>
  </sheetViews>
  <sheetFormatPr defaultColWidth="8.77734375" defaultRowHeight="15"/>
  <cols>
    <col min="1" max="1" width="8.77734375" style="196"/>
    <col min="2" max="2" width="20.77734375" style="196" customWidth="1"/>
    <col min="3" max="3" width="16.33203125" style="196" customWidth="1"/>
    <col min="4" max="4" width="16.77734375" style="196" customWidth="1"/>
    <col min="5" max="16384" width="8.77734375" style="196"/>
  </cols>
  <sheetData>
    <row r="1" spans="1:4" ht="15.75">
      <c r="A1" s="347" t="s">
        <v>327</v>
      </c>
      <c r="B1" s="347"/>
      <c r="C1" s="347"/>
      <c r="D1" s="347"/>
    </row>
    <row r="2" spans="1:4" ht="15.75">
      <c r="A2" s="347" t="s">
        <v>494</v>
      </c>
      <c r="B2" s="347"/>
      <c r="C2" s="347"/>
      <c r="D2" s="347"/>
    </row>
    <row r="3" spans="1:4" ht="15.75">
      <c r="A3" s="347" t="s">
        <v>374</v>
      </c>
      <c r="B3" s="347"/>
      <c r="C3" s="347"/>
      <c r="D3" s="347"/>
    </row>
    <row r="7" spans="1:4">
      <c r="A7" s="196" t="s">
        <v>375</v>
      </c>
    </row>
    <row r="9" spans="1:4" ht="31.5">
      <c r="B9" s="208" t="s">
        <v>496</v>
      </c>
      <c r="C9" s="209" t="s">
        <v>7</v>
      </c>
    </row>
    <row r="11" spans="1:4">
      <c r="B11" s="196" t="s">
        <v>377</v>
      </c>
      <c r="C11" s="197">
        <v>-1140680564</v>
      </c>
    </row>
    <row r="12" spans="1:4">
      <c r="B12" s="196" t="s">
        <v>378</v>
      </c>
      <c r="C12" s="197">
        <v>237449117</v>
      </c>
    </row>
    <row r="13" spans="1:4">
      <c r="B13" s="196" t="s">
        <v>378</v>
      </c>
      <c r="C13" s="197">
        <v>-11823740</v>
      </c>
    </row>
    <row r="15" spans="1:4" ht="15.75" thickBot="1">
      <c r="B15" s="196" t="s">
        <v>9</v>
      </c>
      <c r="C15" s="198">
        <f>SUM(C11:C14)</f>
        <v>-915055187</v>
      </c>
      <c r="D15" s="196" t="s">
        <v>379</v>
      </c>
    </row>
    <row r="16" spans="1:4" ht="15.75" thickTop="1"/>
    <row r="19" spans="1:4">
      <c r="A19" s="196" t="s">
        <v>380</v>
      </c>
    </row>
    <row r="20" spans="1:4">
      <c r="B20" s="196" t="s">
        <v>381</v>
      </c>
      <c r="C20" s="197">
        <v>72088581</v>
      </c>
      <c r="D20" s="196" t="s">
        <v>382</v>
      </c>
    </row>
  </sheetData>
  <mergeCells count="3">
    <mergeCell ref="A1:D1"/>
    <mergeCell ref="A2:D2"/>
    <mergeCell ref="A3:D3"/>
  </mergeCells>
  <pageMargins left="0.7" right="0.7" top="0.75" bottom="0.75" header="0.3" footer="0.3"/>
  <pageSetup orientation="portrait" r:id="rId1"/>
  <headerFooter>
    <oddFooter>&amp;C1 - ADIT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sqref="A1:F1"/>
    </sheetView>
  </sheetViews>
  <sheetFormatPr defaultColWidth="8.77734375" defaultRowHeight="15"/>
  <cols>
    <col min="1" max="1" width="24.88671875" style="196" customWidth="1"/>
    <col min="2" max="2" width="14.21875" style="196" customWidth="1"/>
    <col min="3" max="3" width="15.5546875" style="196" customWidth="1"/>
    <col min="4" max="4" width="15.88671875" style="196" customWidth="1"/>
    <col min="5" max="5" width="13.5546875" style="196" customWidth="1"/>
    <col min="6" max="6" width="17.33203125" style="196" bestFit="1" customWidth="1"/>
    <col min="7" max="8" width="8.77734375" style="196"/>
    <col min="9" max="9" width="12.44140625" style="196" bestFit="1" customWidth="1"/>
    <col min="10" max="10" width="8.77734375" style="196"/>
    <col min="11" max="11" width="16.77734375" style="196" customWidth="1"/>
    <col min="12" max="16384" width="8.77734375" style="196"/>
  </cols>
  <sheetData>
    <row r="1" spans="1:6" ht="15.75">
      <c r="A1" s="347" t="s">
        <v>327</v>
      </c>
      <c r="B1" s="347"/>
      <c r="C1" s="347"/>
      <c r="D1" s="347"/>
      <c r="E1" s="347"/>
      <c r="F1" s="347"/>
    </row>
    <row r="2" spans="1:6" ht="15.75">
      <c r="A2" s="347" t="s">
        <v>494</v>
      </c>
      <c r="B2" s="347"/>
      <c r="C2" s="347"/>
      <c r="D2" s="347"/>
      <c r="E2" s="347"/>
      <c r="F2" s="347"/>
    </row>
    <row r="3" spans="1:6" ht="15.75">
      <c r="A3" s="347" t="s">
        <v>383</v>
      </c>
      <c r="B3" s="347"/>
      <c r="C3" s="347"/>
      <c r="D3" s="347"/>
      <c r="E3" s="347"/>
      <c r="F3" s="347"/>
    </row>
    <row r="8" spans="1:6" ht="31.5">
      <c r="A8" s="206" t="s">
        <v>384</v>
      </c>
      <c r="B8" s="206" t="s">
        <v>376</v>
      </c>
      <c r="C8" s="207" t="s">
        <v>495</v>
      </c>
      <c r="D8" s="206" t="s">
        <v>385</v>
      </c>
      <c r="E8" s="206" t="s">
        <v>386</v>
      </c>
    </row>
    <row r="9" spans="1:6">
      <c r="E9" s="197"/>
    </row>
    <row r="10" spans="1:6">
      <c r="A10" s="196" t="s">
        <v>387</v>
      </c>
      <c r="B10" s="196" t="s">
        <v>439</v>
      </c>
      <c r="E10" s="200">
        <v>3894361</v>
      </c>
    </row>
    <row r="11" spans="1:6">
      <c r="E11" s="197"/>
    </row>
    <row r="14" spans="1:6">
      <c r="A14" s="196" t="s">
        <v>388</v>
      </c>
      <c r="B14" s="196" t="s">
        <v>389</v>
      </c>
      <c r="C14" s="197">
        <v>37198</v>
      </c>
      <c r="D14" s="201">
        <f t="shared" ref="D14:D16" si="0">C14/$C$16</f>
        <v>2.5641007966372628E-2</v>
      </c>
      <c r="E14" s="202">
        <f t="shared" ref="E14:E15" si="1">D14*$E$10</f>
        <v>99855.34142493087</v>
      </c>
    </row>
    <row r="15" spans="1:6">
      <c r="A15" s="196" t="s">
        <v>390</v>
      </c>
      <c r="B15" s="196" t="s">
        <v>391</v>
      </c>
      <c r="C15" s="200">
        <v>1413525</v>
      </c>
      <c r="D15" s="203">
        <f t="shared" si="0"/>
        <v>0.97435899203362741</v>
      </c>
      <c r="E15" s="200">
        <f t="shared" si="1"/>
        <v>3794505.6585750692</v>
      </c>
    </row>
    <row r="16" spans="1:6">
      <c r="A16" s="196" t="s">
        <v>392</v>
      </c>
      <c r="C16" s="197">
        <f>SUM(C14:C15)</f>
        <v>1450723</v>
      </c>
      <c r="D16" s="201">
        <f t="shared" si="0"/>
        <v>1</v>
      </c>
      <c r="E16" s="197">
        <f>SUM(E14:E15)</f>
        <v>3894361</v>
      </c>
    </row>
    <row r="18" spans="1:6">
      <c r="C18" s="197"/>
    </row>
    <row r="20" spans="1:6" ht="15.75" thickBot="1">
      <c r="D20" s="196" t="s">
        <v>9</v>
      </c>
      <c r="E20" s="198">
        <f>E14</f>
        <v>99855.34142493087</v>
      </c>
      <c r="F20" s="196" t="s">
        <v>393</v>
      </c>
    </row>
    <row r="21" spans="1:6" ht="15.75" thickTop="1"/>
    <row r="23" spans="1:6">
      <c r="A23" s="196" t="s">
        <v>450</v>
      </c>
      <c r="B23" s="196">
        <v>11438.447340708306</v>
      </c>
      <c r="C23" s="204" t="s">
        <v>449</v>
      </c>
    </row>
    <row r="27" spans="1:6">
      <c r="A27" s="196" t="s">
        <v>448</v>
      </c>
      <c r="B27" s="196">
        <f>37198</f>
        <v>37198</v>
      </c>
      <c r="C27" s="196" t="s">
        <v>445</v>
      </c>
      <c r="D27" s="196" t="s">
        <v>451</v>
      </c>
    </row>
    <row r="28" spans="1:6">
      <c r="B28" s="199">
        <f>E20*'Nonlevelized-IOU'!G116</f>
        <v>76251.187924713551</v>
      </c>
      <c r="D28" s="196" t="s">
        <v>452</v>
      </c>
    </row>
    <row r="29" spans="1:6" ht="15.75" thickBot="1">
      <c r="A29" s="196" t="s">
        <v>446</v>
      </c>
      <c r="B29" s="205">
        <f>B27+B28</f>
        <v>113449.18792471355</v>
      </c>
      <c r="C29" s="197" t="s">
        <v>447</v>
      </c>
      <c r="D29" s="196" t="s">
        <v>453</v>
      </c>
    </row>
    <row r="30" spans="1:6" ht="15.75" thickTop="1"/>
  </sheetData>
  <mergeCells count="3">
    <mergeCell ref="A1:F1"/>
    <mergeCell ref="A2:F2"/>
    <mergeCell ref="A3:F3"/>
  </mergeCells>
  <pageMargins left="0.7" right="0.7" top="0.75" bottom="0.75" header="0.3" footer="0.3"/>
  <pageSetup scale="74" orientation="portrait" r:id="rId1"/>
  <headerFooter>
    <oddFooter>&amp;C2 - Materials &amp; Supplies Allocation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sqref="A1:D1"/>
    </sheetView>
  </sheetViews>
  <sheetFormatPr defaultRowHeight="15"/>
  <cols>
    <col min="2" max="2" width="22.77734375" customWidth="1"/>
    <col min="3" max="3" width="16.33203125" customWidth="1"/>
    <col min="4" max="4" width="26" bestFit="1" customWidth="1"/>
  </cols>
  <sheetData>
    <row r="1" spans="1:4" ht="15.75">
      <c r="A1" s="348" t="s">
        <v>327</v>
      </c>
      <c r="B1" s="348"/>
      <c r="C1" s="348"/>
      <c r="D1" s="348"/>
    </row>
    <row r="2" spans="1:4" ht="15.75">
      <c r="A2" s="348" t="s">
        <v>494</v>
      </c>
      <c r="B2" s="348"/>
      <c r="C2" s="348"/>
      <c r="D2" s="348"/>
    </row>
    <row r="3" spans="1:4" ht="15.75">
      <c r="A3" s="348" t="s">
        <v>394</v>
      </c>
      <c r="B3" s="348"/>
      <c r="C3" s="348"/>
      <c r="D3" s="348"/>
    </row>
    <row r="8" spans="1:4">
      <c r="B8" s="192"/>
      <c r="C8" s="192"/>
    </row>
    <row r="9" spans="1:4" ht="31.5">
      <c r="B9" s="210" t="s">
        <v>496</v>
      </c>
      <c r="C9" s="211" t="s">
        <v>7</v>
      </c>
    </row>
    <row r="11" spans="1:4" ht="15.75">
      <c r="B11" t="s">
        <v>440</v>
      </c>
      <c r="C11" s="193">
        <v>557925</v>
      </c>
      <c r="D11" t="s">
        <v>395</v>
      </c>
    </row>
    <row r="12" spans="1:4">
      <c r="C12" s="189"/>
    </row>
    <row r="13" spans="1:4">
      <c r="C13" s="189"/>
    </row>
    <row r="14" spans="1:4">
      <c r="C14" s="189"/>
    </row>
    <row r="15" spans="1:4">
      <c r="C15" s="189"/>
    </row>
    <row r="16" spans="1:4">
      <c r="B16" t="s">
        <v>441</v>
      </c>
      <c r="C16" s="189">
        <v>5300599</v>
      </c>
    </row>
    <row r="17" spans="2:4">
      <c r="B17" t="s">
        <v>440</v>
      </c>
      <c r="C17" s="189">
        <f>-C11</f>
        <v>-557925</v>
      </c>
      <c r="D17" t="s">
        <v>396</v>
      </c>
    </row>
    <row r="18" spans="2:4">
      <c r="B18" t="s">
        <v>397</v>
      </c>
      <c r="C18" s="194">
        <f>'5 - Advertising Exp. P. 3'!C15</f>
        <v>94194.97</v>
      </c>
    </row>
    <row r="19" spans="2:4">
      <c r="B19" t="s">
        <v>443</v>
      </c>
      <c r="C19" s="189">
        <v>-2933818</v>
      </c>
    </row>
    <row r="20" spans="2:4" ht="16.5" thickBot="1">
      <c r="B20" t="s">
        <v>9</v>
      </c>
      <c r="C20" s="195">
        <f>SUM(C16:C19)</f>
        <v>1903050.9699999997</v>
      </c>
      <c r="D20" t="s">
        <v>398</v>
      </c>
    </row>
    <row r="21" spans="2:4" ht="15.75" thickTop="1"/>
    <row r="25" spans="2:4">
      <c r="B25" t="s">
        <v>442</v>
      </c>
      <c r="C25" s="189">
        <v>137075</v>
      </c>
    </row>
    <row r="26" spans="2:4">
      <c r="B26" t="s">
        <v>444</v>
      </c>
      <c r="C26" s="189">
        <v>0</v>
      </c>
    </row>
    <row r="27" spans="2:4">
      <c r="B27" t="s">
        <v>399</v>
      </c>
      <c r="C27" s="189">
        <v>0</v>
      </c>
    </row>
    <row r="28" spans="2:4">
      <c r="B28" t="s">
        <v>400</v>
      </c>
      <c r="C28" s="189">
        <v>0</v>
      </c>
    </row>
    <row r="29" spans="2:4">
      <c r="B29" t="s">
        <v>397</v>
      </c>
      <c r="C29" s="189">
        <f>'5 - Advertising Exp. P. 3'!D7</f>
        <v>160761.82</v>
      </c>
      <c r="D29" t="s">
        <v>454</v>
      </c>
    </row>
    <row r="30" spans="2:4" ht="16.5" thickBot="1">
      <c r="B30" t="s">
        <v>9</v>
      </c>
      <c r="C30" s="195">
        <f>SUM(C25:C29)</f>
        <v>297836.82</v>
      </c>
      <c r="D30" t="s">
        <v>401</v>
      </c>
    </row>
    <row r="31" spans="2:4" ht="15.75" thickTop="1"/>
  </sheetData>
  <mergeCells count="3">
    <mergeCell ref="A1:D1"/>
    <mergeCell ref="A2:D2"/>
    <mergeCell ref="A3:D3"/>
  </mergeCells>
  <pageMargins left="0.7" right="0.7" top="0.75" bottom="0.75" header="0.3" footer="0.3"/>
  <pageSetup orientation="portrait" r:id="rId1"/>
  <headerFooter>
    <oddFooter>&amp;C3 - Regulatory Expense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3" sqref="A3:H3"/>
    </sheetView>
  </sheetViews>
  <sheetFormatPr defaultColWidth="8.77734375" defaultRowHeight="12.75"/>
  <cols>
    <col min="1" max="1" width="2.88671875" style="323" customWidth="1"/>
    <col min="2" max="2" width="10.5546875" style="323" bestFit="1" customWidth="1"/>
    <col min="3" max="3" width="9.109375" style="323" bestFit="1" customWidth="1"/>
    <col min="4" max="4" width="15.6640625" style="323" bestFit="1" customWidth="1"/>
    <col min="5" max="5" width="2" style="323" customWidth="1"/>
    <col min="6" max="6" width="10.5546875" style="323" bestFit="1" customWidth="1"/>
    <col min="7" max="7" width="9.109375" style="323" bestFit="1" customWidth="1"/>
    <col min="8" max="8" width="14.5546875" style="323" bestFit="1" customWidth="1"/>
    <col min="9" max="16384" width="8.77734375" style="323"/>
  </cols>
  <sheetData>
    <row r="1" spans="1:8">
      <c r="A1" s="349" t="s">
        <v>327</v>
      </c>
      <c r="B1" s="349"/>
      <c r="C1" s="349"/>
      <c r="D1" s="349"/>
      <c r="E1" s="349"/>
      <c r="F1" s="349"/>
      <c r="G1" s="349"/>
      <c r="H1" s="349"/>
    </row>
    <row r="2" spans="1:8">
      <c r="A2" s="349" t="s">
        <v>494</v>
      </c>
      <c r="B2" s="349"/>
      <c r="C2" s="349"/>
      <c r="D2" s="349"/>
      <c r="E2" s="349"/>
      <c r="F2" s="349"/>
      <c r="G2" s="349"/>
      <c r="H2" s="349"/>
    </row>
    <row r="3" spans="1:8">
      <c r="A3" s="349" t="s">
        <v>402</v>
      </c>
      <c r="B3" s="349"/>
      <c r="C3" s="349"/>
      <c r="D3" s="349"/>
      <c r="E3" s="349"/>
      <c r="F3" s="349"/>
      <c r="G3" s="349"/>
      <c r="H3" s="349"/>
    </row>
    <row r="8" spans="1:8" ht="13.5" thickBot="1"/>
    <row r="9" spans="1:8">
      <c r="B9" s="327" t="s">
        <v>536</v>
      </c>
      <c r="C9" s="328"/>
      <c r="D9" s="329"/>
      <c r="F9" s="341" t="s">
        <v>601</v>
      </c>
      <c r="G9" s="328"/>
      <c r="H9" s="329"/>
    </row>
    <row r="10" spans="1:8" ht="38.25">
      <c r="B10" s="330" t="s">
        <v>496</v>
      </c>
      <c r="C10" s="324" t="s">
        <v>7</v>
      </c>
      <c r="D10" s="331"/>
      <c r="F10" s="330" t="s">
        <v>496</v>
      </c>
      <c r="G10" s="324" t="s">
        <v>7</v>
      </c>
      <c r="H10" s="331"/>
    </row>
    <row r="11" spans="1:8">
      <c r="B11" s="332"/>
      <c r="C11" s="333"/>
      <c r="D11" s="331"/>
      <c r="F11" s="332"/>
      <c r="G11" s="333"/>
      <c r="H11" s="331"/>
    </row>
    <row r="12" spans="1:8">
      <c r="B12" s="332" t="s">
        <v>403</v>
      </c>
      <c r="C12" s="334">
        <v>28059</v>
      </c>
      <c r="D12" s="331"/>
      <c r="F12" s="332" t="s">
        <v>403</v>
      </c>
      <c r="G12" s="334">
        <v>28059</v>
      </c>
      <c r="H12" s="331"/>
    </row>
    <row r="13" spans="1:8">
      <c r="B13" s="332" t="s">
        <v>404</v>
      </c>
      <c r="C13" s="334">
        <v>46451</v>
      </c>
      <c r="D13" s="331"/>
      <c r="F13" s="332" t="s">
        <v>404</v>
      </c>
      <c r="G13" s="334">
        <v>46451</v>
      </c>
      <c r="H13" s="331"/>
    </row>
    <row r="14" spans="1:8">
      <c r="B14" s="332" t="s">
        <v>405</v>
      </c>
      <c r="C14" s="334">
        <v>6545881</v>
      </c>
      <c r="D14" s="331"/>
      <c r="F14" s="332" t="s">
        <v>405</v>
      </c>
      <c r="G14" s="334">
        <v>6545881</v>
      </c>
      <c r="H14" s="331"/>
    </row>
    <row r="15" spans="1:8">
      <c r="B15" s="332"/>
      <c r="C15" s="333"/>
      <c r="D15" s="331"/>
      <c r="F15" s="332"/>
      <c r="G15" s="333"/>
      <c r="H15" s="331"/>
    </row>
    <row r="16" spans="1:8" ht="13.5" thickBot="1">
      <c r="B16" s="332" t="s">
        <v>9</v>
      </c>
      <c r="C16" s="325">
        <f>SUM(C12:C15)</f>
        <v>6620391</v>
      </c>
      <c r="D16" s="331" t="s">
        <v>406</v>
      </c>
      <c r="F16" s="332" t="s">
        <v>9</v>
      </c>
      <c r="G16" s="325">
        <f>SUM(G12:G15)</f>
        <v>6620391</v>
      </c>
      <c r="H16" s="331" t="s">
        <v>406</v>
      </c>
    </row>
    <row r="17" spans="2:8" ht="13.5" thickTop="1">
      <c r="B17" s="332"/>
      <c r="C17" s="326"/>
      <c r="D17" s="331"/>
      <c r="F17" s="332"/>
      <c r="G17" s="326"/>
      <c r="H17" s="331"/>
    </row>
    <row r="18" spans="2:8">
      <c r="B18" s="332"/>
      <c r="C18" s="326"/>
      <c r="D18" s="331"/>
      <c r="F18" s="332"/>
      <c r="G18" s="326"/>
      <c r="H18" s="331"/>
    </row>
    <row r="19" spans="2:8">
      <c r="B19" s="332"/>
      <c r="C19" s="334"/>
      <c r="D19" s="331"/>
      <c r="F19" s="332"/>
      <c r="G19" s="334"/>
      <c r="H19" s="331"/>
    </row>
    <row r="20" spans="2:8">
      <c r="B20" s="332" t="s">
        <v>407</v>
      </c>
      <c r="C20" s="326">
        <v>33673493</v>
      </c>
      <c r="D20" s="331" t="s">
        <v>408</v>
      </c>
      <c r="F20" s="332" t="s">
        <v>407</v>
      </c>
      <c r="G20" s="326">
        <v>33673493</v>
      </c>
      <c r="H20" s="331" t="s">
        <v>408</v>
      </c>
    </row>
    <row r="21" spans="2:8">
      <c r="B21" s="332"/>
      <c r="C21" s="333"/>
      <c r="D21" s="331"/>
      <c r="F21" s="332"/>
      <c r="G21" s="333"/>
      <c r="H21" s="331"/>
    </row>
    <row r="22" spans="2:8">
      <c r="B22" s="332"/>
      <c r="C22" s="333"/>
      <c r="D22" s="331"/>
      <c r="F22" s="332"/>
      <c r="G22" s="333"/>
      <c r="H22" s="331"/>
    </row>
    <row r="23" spans="2:8">
      <c r="B23" s="332"/>
      <c r="C23" s="333"/>
      <c r="D23" s="331"/>
      <c r="F23" s="332"/>
      <c r="G23" s="333"/>
      <c r="H23" s="331"/>
    </row>
    <row r="24" spans="2:8">
      <c r="B24" s="332" t="s">
        <v>409</v>
      </c>
      <c r="C24" s="334">
        <v>723638</v>
      </c>
      <c r="D24" s="331"/>
      <c r="F24" s="332" t="s">
        <v>409</v>
      </c>
      <c r="G24" s="334">
        <v>723638</v>
      </c>
      <c r="H24" s="331"/>
    </row>
    <row r="25" spans="2:8">
      <c r="B25" s="332" t="s">
        <v>410</v>
      </c>
      <c r="C25" s="334">
        <v>3002817</v>
      </c>
      <c r="D25" s="331"/>
      <c r="F25" s="332" t="s">
        <v>410</v>
      </c>
      <c r="G25" s="334">
        <v>3002817</v>
      </c>
      <c r="H25" s="331"/>
    </row>
    <row r="26" spans="2:8">
      <c r="B26" s="332" t="s">
        <v>411</v>
      </c>
      <c r="C26" s="334">
        <v>324315</v>
      </c>
      <c r="D26" s="331"/>
      <c r="F26" s="332" t="s">
        <v>411</v>
      </c>
      <c r="G26" s="334">
        <v>324315</v>
      </c>
      <c r="H26" s="331"/>
    </row>
    <row r="27" spans="2:8">
      <c r="B27" s="332" t="s">
        <v>412</v>
      </c>
      <c r="C27" s="334">
        <v>5933064</v>
      </c>
      <c r="D27" s="331"/>
      <c r="F27" s="338" t="s">
        <v>412</v>
      </c>
      <c r="G27" s="339"/>
      <c r="H27" s="331" t="s">
        <v>600</v>
      </c>
    </row>
    <row r="28" spans="2:8">
      <c r="B28" s="332" t="s">
        <v>413</v>
      </c>
      <c r="C28" s="334">
        <v>-1994132</v>
      </c>
      <c r="D28" s="331"/>
      <c r="F28" s="332" t="s">
        <v>413</v>
      </c>
      <c r="G28" s="334">
        <v>-1994132</v>
      </c>
      <c r="H28" s="331"/>
    </row>
    <row r="29" spans="2:8">
      <c r="B29" s="332" t="s">
        <v>414</v>
      </c>
      <c r="C29" s="334">
        <v>2994</v>
      </c>
      <c r="D29" s="331"/>
      <c r="F29" s="332" t="s">
        <v>414</v>
      </c>
      <c r="G29" s="334">
        <v>2994</v>
      </c>
      <c r="H29" s="331"/>
    </row>
    <row r="30" spans="2:8" ht="13.5" thickBot="1">
      <c r="B30" s="335" t="s">
        <v>9</v>
      </c>
      <c r="C30" s="336">
        <f>SUM(C24:C29)</f>
        <v>7992696</v>
      </c>
      <c r="D30" s="337" t="s">
        <v>415</v>
      </c>
      <c r="F30" s="335" t="s">
        <v>9</v>
      </c>
      <c r="G30" s="340">
        <f>SUM(G24:G29)</f>
        <v>2059632</v>
      </c>
      <c r="H30" s="337" t="s">
        <v>415</v>
      </c>
    </row>
  </sheetData>
  <mergeCells count="3">
    <mergeCell ref="A1:H1"/>
    <mergeCell ref="A2:H2"/>
    <mergeCell ref="A3:H3"/>
  </mergeCells>
  <pageMargins left="0.7" right="0.7" top="0.75" bottom="0.75" header="0.3" footer="0.3"/>
  <pageSetup orientation="portrait" r:id="rId1"/>
  <headerFooter>
    <oddFooter>&amp;C4 - Taxes Other Than Income Taxes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10" sqref="D10"/>
    </sheetView>
  </sheetViews>
  <sheetFormatPr defaultColWidth="8.88671875" defaultRowHeight="15"/>
  <cols>
    <col min="1" max="1" width="17.21875" style="216" customWidth="1"/>
    <col min="2" max="2" width="10" style="216" customWidth="1"/>
    <col min="3" max="3" width="15.5546875" style="216" customWidth="1"/>
    <col min="4" max="4" width="13" style="216" customWidth="1"/>
    <col min="5" max="5" width="12.21875" style="216" customWidth="1"/>
    <col min="6" max="6" width="20.6640625" style="216" customWidth="1"/>
    <col min="7" max="24" width="22" style="216" customWidth="1"/>
    <col min="25" max="16384" width="8.88671875" style="216"/>
  </cols>
  <sheetData>
    <row r="1" spans="1:7" s="221" customFormat="1" ht="15.75">
      <c r="A1" s="355" t="s">
        <v>327</v>
      </c>
      <c r="B1" s="355"/>
      <c r="C1" s="355"/>
      <c r="D1" s="355"/>
      <c r="E1" s="355"/>
      <c r="F1" s="219"/>
      <c r="G1" s="220"/>
    </row>
    <row r="2" spans="1:7" s="221" customFormat="1" ht="15.75">
      <c r="A2" s="356" t="s">
        <v>494</v>
      </c>
      <c r="B2" s="356"/>
      <c r="C2" s="356"/>
      <c r="D2" s="356"/>
      <c r="E2" s="356"/>
      <c r="F2" s="212"/>
    </row>
    <row r="3" spans="1:7" ht="15.75">
      <c r="A3" s="357" t="s">
        <v>501</v>
      </c>
      <c r="B3" s="357"/>
      <c r="C3" s="357"/>
      <c r="D3" s="357"/>
      <c r="E3" s="357"/>
      <c r="F3" s="213"/>
    </row>
    <row r="6" spans="1:7">
      <c r="D6" s="354" t="s">
        <v>455</v>
      </c>
      <c r="E6" s="354"/>
    </row>
    <row r="7" spans="1:7">
      <c r="A7" s="215" t="s">
        <v>416</v>
      </c>
      <c r="C7" s="214">
        <v>0</v>
      </c>
      <c r="D7" s="214">
        <v>160761.82</v>
      </c>
      <c r="E7" s="216" t="s">
        <v>416</v>
      </c>
    </row>
    <row r="8" spans="1:7">
      <c r="A8" s="216" t="s">
        <v>417</v>
      </c>
      <c r="C8" s="214">
        <v>33723.75</v>
      </c>
    </row>
    <row r="9" spans="1:7">
      <c r="A9" s="216" t="s">
        <v>418</v>
      </c>
      <c r="C9" s="214">
        <v>0</v>
      </c>
    </row>
    <row r="10" spans="1:7">
      <c r="A10" s="216" t="s">
        <v>419</v>
      </c>
      <c r="C10" s="217">
        <v>60471.22</v>
      </c>
    </row>
    <row r="11" spans="1:7">
      <c r="C11" s="214"/>
    </row>
    <row r="12" spans="1:7">
      <c r="A12" s="216" t="s">
        <v>9</v>
      </c>
      <c r="C12" s="214">
        <f>SUM(C7:C11)</f>
        <v>94194.97</v>
      </c>
    </row>
    <row r="15" spans="1:7" ht="15.75">
      <c r="A15" s="216" t="s">
        <v>420</v>
      </c>
      <c r="C15" s="218">
        <f>C8+C9+C10</f>
        <v>94194.97</v>
      </c>
      <c r="D15" s="216" t="s">
        <v>398</v>
      </c>
    </row>
    <row r="18" spans="1:5" ht="15.75" thickBot="1"/>
    <row r="19" spans="1:5" ht="15.75">
      <c r="A19" s="351" t="s">
        <v>497</v>
      </c>
      <c r="B19" s="352"/>
      <c r="C19" s="352"/>
      <c r="D19" s="352"/>
      <c r="E19" s="353"/>
    </row>
    <row r="20" spans="1:5" ht="15.75">
      <c r="A20" s="223"/>
      <c r="B20" s="350" t="s">
        <v>498</v>
      </c>
      <c r="C20" s="350"/>
      <c r="D20" s="350"/>
      <c r="E20" s="224"/>
    </row>
    <row r="21" spans="1:5" ht="31.5">
      <c r="A21" s="225" t="s">
        <v>459</v>
      </c>
      <c r="B21" s="226" t="s">
        <v>499</v>
      </c>
      <c r="C21" s="226" t="s">
        <v>457</v>
      </c>
      <c r="D21" s="226" t="s">
        <v>458</v>
      </c>
      <c r="E21" s="224"/>
    </row>
    <row r="22" spans="1:5">
      <c r="A22" s="227" t="s">
        <v>460</v>
      </c>
      <c r="B22" s="228">
        <v>41155</v>
      </c>
      <c r="C22" s="228">
        <v>0</v>
      </c>
      <c r="D22" s="228">
        <v>13795</v>
      </c>
      <c r="E22" s="234">
        <f>SUM(B22:D22)</f>
        <v>54950</v>
      </c>
    </row>
    <row r="23" spans="1:5">
      <c r="A23" s="229" t="s">
        <v>461</v>
      </c>
      <c r="B23" s="228">
        <v>20709</v>
      </c>
      <c r="C23" s="228">
        <v>0</v>
      </c>
      <c r="D23" s="228">
        <v>0</v>
      </c>
      <c r="E23" s="234">
        <f t="shared" ref="E23:E28" si="0">SUM(B23:D23)</f>
        <v>20709</v>
      </c>
    </row>
    <row r="24" spans="1:5">
      <c r="A24" s="229" t="s">
        <v>462</v>
      </c>
      <c r="B24" s="228">
        <v>197466</v>
      </c>
      <c r="C24" s="228">
        <v>0</v>
      </c>
      <c r="D24" s="228">
        <v>0</v>
      </c>
      <c r="E24" s="234">
        <f t="shared" si="0"/>
        <v>197466</v>
      </c>
    </row>
    <row r="25" spans="1:5">
      <c r="A25" s="229" t="s">
        <v>463</v>
      </c>
      <c r="B25" s="228">
        <v>37879</v>
      </c>
      <c r="C25" s="228">
        <v>0</v>
      </c>
      <c r="D25" s="228">
        <v>0</v>
      </c>
      <c r="E25" s="234">
        <f t="shared" si="0"/>
        <v>37879</v>
      </c>
    </row>
    <row r="26" spans="1:5">
      <c r="A26" s="229" t="s">
        <v>464</v>
      </c>
      <c r="B26" s="228">
        <v>3697</v>
      </c>
      <c r="C26" s="228">
        <v>0</v>
      </c>
      <c r="D26" s="228">
        <v>0</v>
      </c>
      <c r="E26" s="234">
        <f t="shared" si="0"/>
        <v>3697</v>
      </c>
    </row>
    <row r="27" spans="1:5">
      <c r="A27" s="232" t="s">
        <v>465</v>
      </c>
      <c r="B27" s="233">
        <v>160757</v>
      </c>
      <c r="C27" s="233">
        <v>0</v>
      </c>
      <c r="D27" s="233">
        <v>5</v>
      </c>
      <c r="E27" s="235">
        <f t="shared" si="0"/>
        <v>160762</v>
      </c>
    </row>
    <row r="28" spans="1:5">
      <c r="A28" s="229" t="s">
        <v>466</v>
      </c>
      <c r="B28" s="228">
        <v>9616</v>
      </c>
      <c r="C28" s="228">
        <v>0</v>
      </c>
      <c r="D28" s="228">
        <v>0</v>
      </c>
      <c r="E28" s="234">
        <f t="shared" si="0"/>
        <v>9616</v>
      </c>
    </row>
    <row r="29" spans="1:5">
      <c r="A29" s="229"/>
      <c r="B29" s="228"/>
      <c r="C29" s="228"/>
      <c r="D29" s="228"/>
      <c r="E29" s="224"/>
    </row>
    <row r="30" spans="1:5">
      <c r="A30" s="229" t="s">
        <v>500</v>
      </c>
      <c r="B30" s="228"/>
      <c r="C30" s="228"/>
      <c r="D30" s="228"/>
      <c r="E30" s="234">
        <f>SUM(E22:E28)</f>
        <v>485079</v>
      </c>
    </row>
    <row r="31" spans="1:5" ht="15.75" thickBot="1">
      <c r="A31" s="230"/>
      <c r="B31" s="231"/>
      <c r="C31" s="231"/>
      <c r="D31" s="231"/>
      <c r="E31" s="236" t="s">
        <v>455</v>
      </c>
    </row>
    <row r="32" spans="1:5">
      <c r="B32" s="222"/>
      <c r="C32" s="222"/>
      <c r="D32" s="222"/>
    </row>
    <row r="33" spans="1:4">
      <c r="A33" s="216" t="s">
        <v>421</v>
      </c>
      <c r="B33" s="222"/>
      <c r="C33" s="222"/>
      <c r="D33" s="222"/>
    </row>
  </sheetData>
  <mergeCells count="6">
    <mergeCell ref="B20:D20"/>
    <mergeCell ref="A19:E19"/>
    <mergeCell ref="D6:E6"/>
    <mergeCell ref="A1:E1"/>
    <mergeCell ref="A2:E2"/>
    <mergeCell ref="A3:E3"/>
  </mergeCells>
  <pageMargins left="0.75" right="0.75" top="1" bottom="1" header="0.5" footer="0.5"/>
  <pageSetup orientation="portrait" r:id="rId1"/>
  <headerFooter alignWithMargins="0">
    <oddFooter>&amp;C5 - Advertising Costs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opLeftCell="A13" workbookViewId="0">
      <selection sqref="A1:D1"/>
    </sheetView>
  </sheetViews>
  <sheetFormatPr defaultColWidth="8.88671875" defaultRowHeight="15"/>
  <cols>
    <col min="1" max="1" width="30.77734375" style="239" bestFit="1" customWidth="1"/>
    <col min="2" max="2" width="16.5546875" style="239" customWidth="1"/>
    <col min="3" max="3" width="19.109375" style="239" customWidth="1"/>
    <col min="4" max="4" width="16.21875" style="239" bestFit="1" customWidth="1"/>
    <col min="5" max="5" width="12.77734375" style="239" customWidth="1"/>
    <col min="6" max="16384" width="8.88671875" style="239"/>
  </cols>
  <sheetData>
    <row r="1" spans="1:5" ht="15.75">
      <c r="A1" s="358" t="s">
        <v>327</v>
      </c>
      <c r="B1" s="358"/>
      <c r="C1" s="358"/>
      <c r="D1" s="358"/>
    </row>
    <row r="2" spans="1:5" ht="15.75">
      <c r="A2" s="358" t="s">
        <v>494</v>
      </c>
      <c r="B2" s="358"/>
      <c r="C2" s="358"/>
      <c r="D2" s="358"/>
    </row>
    <row r="3" spans="1:5" ht="15.75">
      <c r="A3" s="358" t="s">
        <v>422</v>
      </c>
      <c r="B3" s="358"/>
      <c r="C3" s="358"/>
      <c r="D3" s="358"/>
    </row>
    <row r="6" spans="1:5" ht="15.75">
      <c r="A6" s="239" t="s">
        <v>536</v>
      </c>
      <c r="B6" s="240"/>
      <c r="C6" s="240"/>
    </row>
    <row r="7" spans="1:5" ht="31.5">
      <c r="B7" s="245" t="s">
        <v>502</v>
      </c>
      <c r="C7" s="245" t="s">
        <v>503</v>
      </c>
    </row>
    <row r="9" spans="1:5">
      <c r="A9" s="239" t="s">
        <v>423</v>
      </c>
      <c r="B9" s="237">
        <v>662634216</v>
      </c>
      <c r="C9" s="238">
        <v>716205523</v>
      </c>
      <c r="E9" s="241"/>
    </row>
    <row r="10" spans="1:5">
      <c r="A10" s="239" t="s">
        <v>424</v>
      </c>
      <c r="B10" s="238">
        <v>1585296</v>
      </c>
      <c r="C10" s="238">
        <v>1585296</v>
      </c>
      <c r="D10" s="242"/>
    </row>
    <row r="11" spans="1:5">
      <c r="A11" s="239" t="s">
        <v>425</v>
      </c>
      <c r="B11" s="237">
        <v>2723711</v>
      </c>
      <c r="C11" s="238">
        <v>2046726.9500000002</v>
      </c>
      <c r="D11" s="239" t="s">
        <v>426</v>
      </c>
    </row>
    <row r="12" spans="1:5">
      <c r="A12" s="239" t="s">
        <v>427</v>
      </c>
      <c r="B12" s="238">
        <v>78502700</v>
      </c>
      <c r="C12" s="238">
        <v>102255121.21849999</v>
      </c>
      <c r="D12" s="241"/>
      <c r="E12" s="242"/>
    </row>
    <row r="13" spans="1:5">
      <c r="A13" s="239" t="s">
        <v>428</v>
      </c>
      <c r="B13" s="237">
        <v>579822509</v>
      </c>
      <c r="C13" s="238">
        <v>610318378.83149993</v>
      </c>
    </row>
    <row r="14" spans="1:5">
      <c r="B14" s="237"/>
      <c r="C14" s="238"/>
      <c r="D14" s="242"/>
    </row>
    <row r="15" spans="1:5">
      <c r="A15" s="239" t="s">
        <v>429</v>
      </c>
      <c r="B15" s="237">
        <v>8099204</v>
      </c>
      <c r="C15" s="238">
        <v>8113066.1100000003</v>
      </c>
    </row>
    <row r="16" spans="1:5">
      <c r="A16" s="239" t="s">
        <v>429</v>
      </c>
      <c r="B16" s="237">
        <v>14909236</v>
      </c>
      <c r="C16" s="238">
        <v>18873795.220000003</v>
      </c>
    </row>
    <row r="17" spans="1:4">
      <c r="B17" s="237"/>
      <c r="C17" s="238"/>
      <c r="D17" s="243" t="s">
        <v>456</v>
      </c>
    </row>
    <row r="18" spans="1:4">
      <c r="A18" s="239" t="s">
        <v>430</v>
      </c>
      <c r="B18" s="237">
        <v>556814069</v>
      </c>
      <c r="C18" s="238">
        <v>583331517.50149989</v>
      </c>
      <c r="D18" s="244">
        <v>915902.99999988079</v>
      </c>
    </row>
    <row r="19" spans="1:4">
      <c r="B19" s="237"/>
      <c r="C19" s="238"/>
    </row>
    <row r="20" spans="1:4">
      <c r="B20" s="237"/>
      <c r="C20" s="238"/>
    </row>
    <row r="21" spans="1:4">
      <c r="B21" s="237"/>
      <c r="C21" s="238"/>
    </row>
    <row r="22" spans="1:4">
      <c r="A22" s="239" t="s">
        <v>431</v>
      </c>
      <c r="B22" s="238"/>
      <c r="C22" s="238">
        <v>130827278.54849999</v>
      </c>
      <c r="D22" s="239" t="s">
        <v>432</v>
      </c>
    </row>
    <row r="23" spans="1:4">
      <c r="C23" s="241"/>
    </row>
    <row r="25" spans="1:4">
      <c r="A25" s="239" t="s">
        <v>537</v>
      </c>
    </row>
    <row r="26" spans="1:4" ht="31.5">
      <c r="B26" s="245" t="s">
        <v>502</v>
      </c>
      <c r="C26" s="245" t="s">
        <v>503</v>
      </c>
    </row>
    <row r="28" spans="1:4">
      <c r="A28" s="239" t="s">
        <v>423</v>
      </c>
      <c r="B28" s="237">
        <v>662634216</v>
      </c>
      <c r="C28" s="238">
        <v>716205523</v>
      </c>
    </row>
    <row r="29" spans="1:4">
      <c r="A29" s="239" t="s">
        <v>424</v>
      </c>
      <c r="B29" s="238">
        <v>1585296</v>
      </c>
      <c r="C29" s="238">
        <v>1585296</v>
      </c>
      <c r="D29" s="242"/>
    </row>
    <row r="30" spans="1:4">
      <c r="A30" s="239" t="s">
        <v>425</v>
      </c>
      <c r="B30" s="237">
        <v>2723711</v>
      </c>
      <c r="C30" s="238">
        <v>2046726.9500000002</v>
      </c>
      <c r="D30" s="239" t="s">
        <v>426</v>
      </c>
    </row>
    <row r="31" spans="1:4">
      <c r="A31" s="239" t="s">
        <v>427</v>
      </c>
      <c r="B31" s="238">
        <v>78502700</v>
      </c>
      <c r="C31" s="238">
        <v>102255121.21849999</v>
      </c>
      <c r="D31" s="241"/>
    </row>
    <row r="32" spans="1:4">
      <c r="A32" s="239" t="s">
        <v>428</v>
      </c>
      <c r="B32" s="237">
        <v>579822509</v>
      </c>
      <c r="C32" s="238">
        <v>610318378.83149993</v>
      </c>
    </row>
    <row r="33" spans="1:6">
      <c r="B33" s="237"/>
      <c r="C33" s="238"/>
      <c r="D33" s="242"/>
    </row>
    <row r="34" spans="1:6">
      <c r="A34" s="239" t="s">
        <v>429</v>
      </c>
      <c r="B34" s="237">
        <v>8099204</v>
      </c>
      <c r="C34" s="238">
        <v>8113066.1100000003</v>
      </c>
    </row>
    <row r="35" spans="1:6">
      <c r="A35" s="239" t="s">
        <v>429</v>
      </c>
      <c r="B35" s="237">
        <v>14909236</v>
      </c>
      <c r="C35" s="238">
        <v>18873795.220000003</v>
      </c>
    </row>
    <row r="36" spans="1:6">
      <c r="A36" s="239" t="s">
        <v>538</v>
      </c>
      <c r="B36" s="237">
        <v>0</v>
      </c>
      <c r="C36" s="294">
        <v>915903</v>
      </c>
      <c r="D36" s="295" t="s">
        <v>539</v>
      </c>
      <c r="E36" s="295"/>
      <c r="F36" s="295"/>
    </row>
    <row r="37" spans="1:6">
      <c r="B37" s="237"/>
      <c r="C37" s="238"/>
      <c r="D37" s="243" t="s">
        <v>456</v>
      </c>
    </row>
    <row r="38" spans="1:6">
      <c r="A38" s="239" t="s">
        <v>430</v>
      </c>
      <c r="B38" s="237">
        <v>556814069</v>
      </c>
      <c r="C38" s="238">
        <v>582415614.50149989</v>
      </c>
      <c r="D38" s="244">
        <v>582415614.50149989</v>
      </c>
    </row>
    <row r="39" spans="1:6">
      <c r="B39" s="237"/>
      <c r="C39" s="238"/>
    </row>
    <row r="40" spans="1:6">
      <c r="B40" s="237"/>
      <c r="C40" s="238"/>
    </row>
    <row r="41" spans="1:6">
      <c r="B41" s="237"/>
      <c r="C41" s="238"/>
    </row>
    <row r="42" spans="1:6">
      <c r="A42" s="239" t="s">
        <v>431</v>
      </c>
      <c r="B42" s="238"/>
      <c r="C42" s="294">
        <v>131743181.54849999</v>
      </c>
      <c r="D42" s="295" t="s">
        <v>432</v>
      </c>
    </row>
    <row r="43" spans="1:6">
      <c r="C43" s="295"/>
      <c r="D43" s="295" t="s">
        <v>540</v>
      </c>
    </row>
  </sheetData>
  <mergeCells count="3">
    <mergeCell ref="A1:D1"/>
    <mergeCell ref="A2:D2"/>
    <mergeCell ref="A3:D3"/>
  </mergeCells>
  <pageMargins left="0.7" right="0.7" top="0.75" bottom="0.75" header="0.3" footer="0.3"/>
  <pageSetup scale="72" orientation="portrait" r:id="rId1"/>
  <headerFooter>
    <oddFooter>&amp;C6 - Excluded Assets from Attachment 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1"/>
    </sheetView>
  </sheetViews>
  <sheetFormatPr defaultColWidth="8.77734375" defaultRowHeight="15"/>
  <cols>
    <col min="1" max="1" width="57.21875" style="196" customWidth="1"/>
    <col min="2" max="2" width="10.88671875" style="196" bestFit="1" customWidth="1"/>
    <col min="3" max="3" width="12.77734375" style="196" customWidth="1"/>
    <col min="4" max="16384" width="8.77734375" style="196"/>
  </cols>
  <sheetData>
    <row r="1" spans="1:2" ht="15.75">
      <c r="A1" s="347" t="s">
        <v>327</v>
      </c>
      <c r="B1" s="347"/>
    </row>
    <row r="2" spans="1:2" ht="15.75">
      <c r="A2" s="347" t="s">
        <v>494</v>
      </c>
      <c r="B2" s="347"/>
    </row>
    <row r="3" spans="1:2" ht="15.75">
      <c r="A3" s="347" t="s">
        <v>504</v>
      </c>
      <c r="B3" s="347"/>
    </row>
    <row r="6" spans="1:2">
      <c r="A6" s="196" t="s">
        <v>433</v>
      </c>
      <c r="B6" s="196" t="s">
        <v>434</v>
      </c>
    </row>
    <row r="7" spans="1:2">
      <c r="A7" s="196" t="s">
        <v>435</v>
      </c>
      <c r="B7" s="196">
        <v>77983.63</v>
      </c>
    </row>
    <row r="8" spans="1:2">
      <c r="A8" s="196" t="s">
        <v>435</v>
      </c>
      <c r="B8" s="196">
        <v>77983.63</v>
      </c>
    </row>
    <row r="9" spans="1:2">
      <c r="A9" s="196" t="s">
        <v>435</v>
      </c>
      <c r="B9" s="196">
        <v>77983.63</v>
      </c>
    </row>
    <row r="10" spans="1:2">
      <c r="A10" s="196" t="s">
        <v>435</v>
      </c>
      <c r="B10" s="196">
        <v>77983.63</v>
      </c>
    </row>
    <row r="11" spans="1:2">
      <c r="A11" s="196" t="s">
        <v>435</v>
      </c>
      <c r="B11" s="196">
        <v>77983.63</v>
      </c>
    </row>
    <row r="12" spans="1:2">
      <c r="A12" s="196" t="s">
        <v>435</v>
      </c>
      <c r="B12" s="196">
        <v>77983.63</v>
      </c>
    </row>
    <row r="13" spans="1:2">
      <c r="A13" s="196" t="s">
        <v>435</v>
      </c>
      <c r="B13" s="196">
        <v>77983.63</v>
      </c>
    </row>
    <row r="14" spans="1:2">
      <c r="A14" s="196" t="s">
        <v>435</v>
      </c>
      <c r="B14" s="196">
        <v>77983.63</v>
      </c>
    </row>
    <row r="15" spans="1:2">
      <c r="A15" s="196" t="s">
        <v>435</v>
      </c>
      <c r="B15" s="196">
        <v>77983.63</v>
      </c>
    </row>
    <row r="16" spans="1:2">
      <c r="A16" s="196" t="s">
        <v>435</v>
      </c>
      <c r="B16" s="196">
        <v>77983.63</v>
      </c>
    </row>
    <row r="17" spans="1:2">
      <c r="A17" s="196" t="s">
        <v>435</v>
      </c>
      <c r="B17" s="196">
        <v>77983.63</v>
      </c>
    </row>
    <row r="18" spans="1:2">
      <c r="A18" s="196" t="s">
        <v>435</v>
      </c>
      <c r="B18" s="196">
        <v>77983.63</v>
      </c>
    </row>
    <row r="20" spans="1:2">
      <c r="A20" s="196" t="s">
        <v>9</v>
      </c>
      <c r="B20" s="196">
        <f>SUM(B7:B19)</f>
        <v>935803.56</v>
      </c>
    </row>
  </sheetData>
  <mergeCells count="3">
    <mergeCell ref="A1:B1"/>
    <mergeCell ref="A2:B2"/>
    <mergeCell ref="A3:B3"/>
  </mergeCells>
  <pageMargins left="0.7" right="0.7" top="0.75" bottom="0.75" header="0.3" footer="0.3"/>
  <pageSetup orientation="portrait" horizontalDpi="1200" verticalDpi="1200" r:id="rId1"/>
  <headerFooter>
    <oddFooter>&amp;C7 - Excluded MISO Integration Costs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defaultRowHeight="15"/>
  <cols>
    <col min="1" max="1" width="39.33203125" bestFit="1" customWidth="1"/>
    <col min="2" max="2" width="9.6640625" bestFit="1" customWidth="1"/>
    <col min="3" max="3" width="16.109375" bestFit="1" customWidth="1"/>
    <col min="4" max="4" width="18" customWidth="1"/>
  </cols>
  <sheetData>
    <row r="1" spans="1:3" ht="15.75">
      <c r="A1" s="348" t="s">
        <v>327</v>
      </c>
      <c r="B1" s="348"/>
      <c r="C1" s="348"/>
    </row>
    <row r="2" spans="1:3" ht="15.75">
      <c r="A2" s="348" t="s">
        <v>494</v>
      </c>
      <c r="B2" s="348"/>
      <c r="C2" s="348"/>
    </row>
    <row r="3" spans="1:3" ht="15.75">
      <c r="A3" s="348" t="s">
        <v>505</v>
      </c>
      <c r="B3" s="348"/>
      <c r="C3" s="348"/>
    </row>
    <row r="5" spans="1:3">
      <c r="C5" s="192"/>
    </row>
    <row r="6" spans="1:3" ht="31.5">
      <c r="A6" t="s">
        <v>438</v>
      </c>
      <c r="C6" s="210" t="s">
        <v>506</v>
      </c>
    </row>
    <row r="8" spans="1:3">
      <c r="A8" t="s">
        <v>507</v>
      </c>
      <c r="B8" t="s">
        <v>508</v>
      </c>
      <c r="C8" s="189">
        <v>2289185358</v>
      </c>
    </row>
    <row r="9" spans="1:3">
      <c r="A9" t="s">
        <v>436</v>
      </c>
      <c r="B9" t="s">
        <v>509</v>
      </c>
      <c r="C9" s="191">
        <v>5527004</v>
      </c>
    </row>
    <row r="10" spans="1:3" ht="15.75" thickBot="1">
      <c r="A10" t="s">
        <v>437</v>
      </c>
      <c r="C10" s="190">
        <f>C8-C9</f>
        <v>2283658354</v>
      </c>
    </row>
    <row r="11" spans="1:3" ht="15.75" thickTop="1"/>
  </sheetData>
  <mergeCells count="3">
    <mergeCell ref="A1:C1"/>
    <mergeCell ref="A2:C2"/>
    <mergeCell ref="A3:C3"/>
  </mergeCells>
  <pageMargins left="0.7" right="0.7" top="0.75" bottom="0.75" header="0.3" footer="0.3"/>
  <pageSetup orientation="portrait" r:id="rId1"/>
  <headerFooter>
    <oddFooter>&amp;C8 - Excluded ARO Amounts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110" ma:contentTypeDescription="" ma:contentTypeScope="" ma:versionID="3fc6898e43cd802a6e2e762c1b982853">
  <xsd:schema xmlns:xsd="http://www.w3.org/2001/XMLSchema" xmlns:p="http://schemas.microsoft.com/office/2006/metadata/properties" xmlns:ns1="http://schemas.microsoft.com/sharepoint/v3" xmlns:ns2="dcd6a659-3023-4248-96c5-d463e9234dde" xmlns:ns3="a646eb38-62f8-42b4-b7d8-4e325c7d82c9" xmlns:ns4="2d309f40-9147-42c9-945b-bf0de5e50880" xmlns:ns5="b42a0616-83fc-4e97-b2fb-21362aa6b960" targetNamespace="http://schemas.microsoft.com/office/2006/metadata/properties" ma:root="true" ma:fieldsID="a15e4cfcfac34f8e504a996758fd2db8" ns1:_="" ns2:_="" ns3:_="" ns4:_="" ns5:_="">
    <xsd:import namespace="http://schemas.microsoft.com/sharepoint/v3"/>
    <xsd:import namespace="dcd6a659-3023-4248-96c5-d463e9234dde"/>
    <xsd:import namespace="a646eb38-62f8-42b4-b7d8-4e325c7d82c9"/>
    <xsd:import namespace="2d309f40-9147-42c9-945b-bf0de5e50880"/>
    <xsd:import namespace="b42a0616-83fc-4e97-b2fb-21362aa6b96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element ref="ns2:Display_x0020_Title" minOccurs="0"/>
                <xsd:element ref="ns1:PublishingContactName" minOccurs="0"/>
                <xsd:element ref="ns1:PublishingContactEmail" minOccurs="0"/>
                <xsd:element ref="ns5:Rate_x0020_Data_x0020_Doc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element name="PublishingContactName" ma:index="50" nillable="true" ma:displayName="Contact Name" ma:internalName="PublishingContactName">
      <xsd:simpleType>
        <xsd:restriction base="dms:Text">
          <xsd:maxLength value="255"/>
        </xsd:restriction>
      </xsd:simpleType>
    </xsd:element>
    <xsd:element name="PublishingContactEmail" ma:index="51" nillable="true" ma:displayName="Contact E-Mail Address" ma:internalName="PublishingContactEmail">
      <xsd:simpleType>
        <xsd:restriction base="dms:Text">
          <xsd:maxLength value="255"/>
        </xsd:restrictio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N/A"/>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am-Wal Electric Cooperative"/>
          <xsd:enumeration value="Cedar Falls Utilities (CFU)"/>
          <xsd:enumeration value="Central Iowa Power Cooperative (CIPCO)"/>
          <xsd:enumeration value="Central Minnesota Municipal Power Agency (CMMPA)"/>
          <xsd:enumeration value="Central Power Electric Cooperative"/>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ast River Electric Power Cooperative"/>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Upper Missouri Power Cooperative"/>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element name="Display_x0020_Title" ma:index="49" nillable="true" ma:displayName="Display Title" ma:internalName="Display_x0020_Title">
      <xsd:simpleType>
        <xsd:restriction base="dms:Text">
          <xsd:maxLength value="255"/>
        </xsd:restrictio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xsd="http://www.w3.org/2001/XMLSchema" xmlns:dms="http://schemas.microsoft.com/office/2006/documentManagement/types" targetNamespace="b42a0616-83fc-4e97-b2fb-21362aa6b960" elementFormDefault="qualified">
    <xsd:import namespace="http://schemas.microsoft.com/office/2006/documentManagement/types"/>
    <xsd:element name="Rate_x0020_Data_x0020_Doc_x0020_Type" ma:index="52" nillable="true" ma:displayName="Rate Data Doc Type" ma:default="Annual Meeting Notices" ma:format="Dropdown" ma:internalName="Rate_x0020_Data_x0020_Doc_x0020_Type">
      <xsd:simpleType>
        <xsd:restriction base="dms:Choice">
          <xsd:enumeration value="Annual Meeting Not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 xsi:nil="true"/>
    <CSClassNames_5 xmlns="dcd6a659-3023-4248-96c5-d463e9234dde" xsi:nil="true"/>
    <PermalinkID xmlns="a646eb38-62f8-42b4-b7d8-4e325c7d82c9" xsi:nil="true"/>
    <CSClassID_1 xmlns="dcd6a659-3023-4248-96c5-d463e9234dde" xsi:nil="true"/>
    <PermalinkURL xmlns="a646eb38-62f8-42b4-b7d8-4e325c7d82c9" xsi:nil="true"/>
    <CSClassNames_6 xmlns="dcd6a659-3023-4248-96c5-d463e9234dde" xsi:nil="true"/>
    <CSClassNames_1 xmlns="dcd6a659-3023-4248-96c5-d463e9234dde" xsi:nil="true"/>
    <CSClassID_3 xmlns="dcd6a659-3023-4248-96c5-d463e9234dde" xsi:nil="true"/>
    <CSClassID_2 xmlns="dcd6a659-3023-4248-96c5-d463e9234dde" xsi:nil="true"/>
    <EcmsAuthor xmlns="2d309f40-9147-42c9-945b-bf0de5e50880" xsi:nil="true"/>
    <CSClassID_5 xmlns="dcd6a659-3023-4248-96c5-d463e9234dde" xsi:nil="true"/>
    <CSClassID_10 xmlns="dcd6a659-3023-4248-96c5-d463e9234dde" xsi:nil="true"/>
    <CSClassID_4 xmlns="dcd6a659-3023-4248-96c5-d463e9234dde" xsi:nil="true"/>
    <CSClassNames_7 xmlns="dcd6a659-3023-4248-96c5-d463e9234dde" xsi:nil="true"/>
    <CSClassID_7 xmlns="dcd6a659-3023-4248-96c5-d463e9234dde" xsi:nil="true"/>
    <CSClassNames_2 xmlns="dcd6a659-3023-4248-96c5-d463e9234dde" xsi:nil="true"/>
    <CSClassNames_8 xmlns="dcd6a659-3023-4248-96c5-d463e9234dde" xsi:nil="true"/>
    <CSClassID_6 xmlns="dcd6a659-3023-4248-96c5-d463e9234dde" xsi:nil="true"/>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 xsi:nil="true"/>
    <MISO_x0020_Description_x0020_Enhanced xmlns="dcd6a659-3023-4248-96c5-d463e9234dde" xsi:nil="true"/>
    <CSClassID_8 xmlns="dcd6a659-3023-4248-96c5-d463e9234dde" xsi:nil="true"/>
    <CSClassificationMetaXML xmlns="http://schemas.microsoft.com/sharepoint/v3" xsi:nil="true"/>
    <EcmsContentID xmlns="2d309f40-9147-42c9-945b-bf0de5e50880" xsi:nil="true"/>
    <CSClassNames_10 xmlns="dcd6a659-3023-4248-96c5-d463e9234dde" xsi:nil="true"/>
    <CSClassNames_9 xmlns="dcd6a659-3023-4248-96c5-d463e9234dde" xsi:nil="true"/>
    <CSClassNames_3 xmlns="dcd6a659-3023-4248-96c5-d463e9234dde" xsi:nil="true"/>
    <CSClassNames_11 xmlns="dcd6a659-3023-4248-96c5-d463e9234dde" xsi:nil="true"/>
    <RateYear xmlns="dcd6a659-3023-4248-96c5-d463e9234dde" xsi:nil="true"/>
    <PostedDate xmlns="dcd6a659-3023-4248-96c5-d463e9234dde"/>
    <TransOwner xmlns="dcd6a659-3023-4248-96c5-d463e9234dde"/>
    <PublishingContactEmail xmlns="http://schemas.microsoft.com/sharepoint/v3" xsi:nil="true"/>
    <Display_x0020_Title xmlns="dcd6a659-3023-4248-96c5-d463e9234dde" xsi:nil="true"/>
    <PublishingContactName xmlns="http://schemas.microsoft.com/sharepoint/v3" xsi:nil="true"/>
    <Rate_x0020_Data_x0020_Doc_x0020_Type xmlns="b42a0616-83fc-4e97-b2fb-21362aa6b960"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3BBD2-37E8-4EB9-91AF-AC6404022A3A}">
  <ds:schemaRefs>
    <ds:schemaRef ds:uri="http://schemas.microsoft.com/sharepoint/events"/>
  </ds:schemaRefs>
</ds:datastoreItem>
</file>

<file path=customXml/itemProps2.xml><?xml version="1.0" encoding="utf-8"?>
<ds:datastoreItem xmlns:ds="http://schemas.openxmlformats.org/officeDocument/2006/customXml" ds:itemID="{A38727FB-66B0-408B-BF44-1F243C45D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b42a0616-83fc-4e97-b2fb-21362aa6b9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F05C69F-95A8-4DDB-B07E-8A0BD9C778B5}">
  <ds:schemaRefs>
    <ds:schemaRef ds:uri="http://www.w3.org/XML/1998/namespace"/>
    <ds:schemaRef ds:uri="http://schemas.microsoft.com/sharepoint/v3"/>
    <ds:schemaRef ds:uri="http://schemas.microsoft.com/office/2006/documentManagement/types"/>
    <ds:schemaRef ds:uri="http://purl.org/dc/elements/1.1/"/>
    <ds:schemaRef ds:uri="http://purl.org/dc/terms/"/>
    <ds:schemaRef ds:uri="a646eb38-62f8-42b4-b7d8-4e325c7d82c9"/>
    <ds:schemaRef ds:uri="http://purl.org/dc/dcmitype/"/>
    <ds:schemaRef ds:uri="dcd6a659-3023-4248-96c5-d463e9234dde"/>
    <ds:schemaRef ds:uri="http://schemas.openxmlformats.org/package/2006/metadata/core-properties"/>
    <ds:schemaRef ds:uri="b42a0616-83fc-4e97-b2fb-21362aa6b960"/>
    <ds:schemaRef ds:uri="2d309f40-9147-42c9-945b-bf0de5e50880"/>
    <ds:schemaRef ds:uri="http://schemas.microsoft.com/office/2006/metadata/properties"/>
  </ds:schemaRefs>
</ds:datastoreItem>
</file>

<file path=customXml/itemProps4.xml><?xml version="1.0" encoding="utf-8"?>
<ds:datastoreItem xmlns:ds="http://schemas.openxmlformats.org/officeDocument/2006/customXml" ds:itemID="{5D440F31-ED97-46C1-AF1A-317E4108B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Nonlevelized-IOU</vt:lpstr>
      <vt:lpstr>1 - ADIT  Page 2</vt:lpstr>
      <vt:lpstr>2 - Mat.&amp;Supplies  P. 2</vt:lpstr>
      <vt:lpstr>3 - Regulatory Exp. P. 3</vt:lpstr>
      <vt:lpstr>4 - Taxes P. 3</vt:lpstr>
      <vt:lpstr>5 - Advertising Exp. P. 3</vt:lpstr>
      <vt:lpstr>6 - Excluded Assets P. 4</vt:lpstr>
      <vt:lpstr>7 - Excluded MISO Int Costs</vt:lpstr>
      <vt:lpstr>8 - Excluded ARO</vt:lpstr>
      <vt:lpstr>9 - Adjustment and Interest</vt:lpstr>
      <vt:lpstr>10 - Radial Lines</vt:lpstr>
      <vt:lpstr>2016 TP Peak p400</vt:lpstr>
      <vt:lpstr>'4 - Taxes P. 3'!Print_Area</vt:lpstr>
      <vt:lpstr>'Nonlevelized-IOU'!Print_Area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Cleco Power 2017 Attachment O</dc:title>
  <dc:creator>Jeff Haselhorst</dc:creator>
  <cp:lastModifiedBy>Cindy Guillot</cp:lastModifiedBy>
  <cp:lastPrinted>2018-03-13T15:20:32Z</cp:lastPrinted>
  <dcterms:created xsi:type="dcterms:W3CDTF">2008-03-20T17:17:47Z</dcterms:created>
  <dcterms:modified xsi:type="dcterms:W3CDTF">2018-10-30T19:18:23Z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TR Date">
    <vt:filetime>2017-06-01T18:31:22Z</vt:filetime>
  </property>
  <property fmtid="{D5CDD505-2E9C-101B-9397-08002B2CF9AE}" pid="3" name="ContentTypeId">
    <vt:lpwstr>0x0101005BA905F16C0C2D48BF07586946E81D1C1100D2AB7E340F48FF48B2EC11BD89C18B0C</vt:lpwstr>
  </property>
  <property fmtid="{D5CDD505-2E9C-101B-9397-08002B2CF9AE}" pid="4" name="Exclude">
    <vt:lpwstr>No</vt:lpwstr>
  </property>
  <property fmtid="{D5CDD505-2E9C-101B-9397-08002B2CF9AE}" pid="5" name="Order">
    <vt:r8>3053300</vt:r8>
  </property>
  <property fmtid="{D5CDD505-2E9C-101B-9397-08002B2CF9AE}" pid="6" name="LastUpdatedBy">
    <vt:lpwstr>Ron Gable</vt:lpwstr>
  </property>
  <property fmtid="{D5CDD505-2E9C-101B-9397-08002B2CF9AE}" pid="7" name="LastUpdated1">
    <vt:filetime>2017-06-01T14:31:58Z</vt:filetime>
  </property>
  <property fmtid="{D5CDD505-2E9C-101B-9397-08002B2CF9AE}" pid="8" name="settlementtype">
    <vt:lpwstr>Transmission Settlement</vt:lpwstr>
  </property>
  <property fmtid="{D5CDD505-2E9C-101B-9397-08002B2CF9AE}" pid="9" name="tsdoctype">
    <vt:lpwstr>TO Rate Data</vt:lpwstr>
  </property>
  <property fmtid="{D5CDD505-2E9C-101B-9397-08002B2CF9AE}" pid="10" name="QbankTOName">
    <vt:lpwstr>Cleco Power LLC (CLEC)</vt:lpwstr>
  </property>
</Properties>
</file>