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552" yWindow="276" windowWidth="21912" windowHeight="11640" tabRatio="730"/>
  </bookViews>
  <sheets>
    <sheet name="Nonlevelized-IOU" sheetId="1" r:id="rId1"/>
    <sheet name="1 - ADIT  Page 2" sheetId="5" r:id="rId2"/>
    <sheet name="2 - Mat.&amp;Supplies  P. 2" sheetId="6" r:id="rId3"/>
    <sheet name="3 - Regulatory Exp. P. 3" sheetId="7" r:id="rId4"/>
    <sheet name="4 - Taxes P. 3" sheetId="8" r:id="rId5"/>
    <sheet name="5 - Advertising Exp. P. 3" sheetId="9" r:id="rId6"/>
    <sheet name="6 - Excluded Assets P. 4" sheetId="10" r:id="rId7"/>
    <sheet name="7 - Excluded MISO Int Costs" sheetId="11" r:id="rId8"/>
    <sheet name="8 - Excluded ARO " sheetId="12" r:id="rId9"/>
    <sheet name="9 - Adjustment and Interest" sheetId="16" r:id="rId10"/>
    <sheet name="10 - Radial Lines" sheetId="14" r:id="rId11"/>
    <sheet name="2017 TP Peak p400" sheetId="15" r:id="rId12"/>
    <sheet name="Export" sheetId="2" state="hidden" r:id="rId13"/>
    <sheet name="Sheet1" sheetId="3" state="hidden" r:id="rId14"/>
    <sheet name="Sheet2" sheetId="4" state="hidden" r:id="rId15"/>
  </sheets>
  <externalReferences>
    <externalReference r:id="rId16"/>
  </externalReferences>
  <definedNames>
    <definedName name="_xlnm.Print_Area" localSheetId="0">'Nonlevelized-IOU'!$A$1:$K$319</definedName>
  </definedNames>
  <calcPr calcId="145621"/>
</workbook>
</file>

<file path=xl/calcChain.xml><?xml version="1.0" encoding="utf-8"?>
<calcChain xmlns="http://schemas.openxmlformats.org/spreadsheetml/2006/main">
  <c r="I21" i="1" l="1"/>
  <c r="I20" i="1"/>
  <c r="O86" i="1" l="1"/>
  <c r="N38" i="1"/>
  <c r="N37" i="1"/>
  <c r="O24" i="1"/>
  <c r="O31" i="1"/>
  <c r="O33" i="1" s="1"/>
  <c r="N39" i="1" l="1"/>
  <c r="B19" i="16" l="1"/>
  <c r="B18" i="16"/>
  <c r="B17" i="16"/>
  <c r="B16" i="16"/>
  <c r="E8" i="16"/>
  <c r="C15" i="16" s="1"/>
  <c r="D15" i="16" l="1"/>
  <c r="E15" i="16" l="1"/>
  <c r="C16" i="16" s="1"/>
  <c r="D16" i="16" l="1"/>
  <c r="E16" i="16" l="1"/>
  <c r="C17" i="16" s="1"/>
  <c r="D17" i="16" l="1"/>
  <c r="E17" i="16" l="1"/>
  <c r="C18" i="16" s="1"/>
  <c r="D18" i="16" l="1"/>
  <c r="E18" i="16" s="1"/>
  <c r="C19" i="16" s="1"/>
  <c r="D19" i="16" l="1"/>
  <c r="D20" i="16" s="1"/>
  <c r="E19" i="16"/>
  <c r="K26" i="15" l="1"/>
  <c r="J26" i="15"/>
  <c r="I26" i="15"/>
  <c r="H26" i="15"/>
  <c r="G26" i="15"/>
  <c r="F26" i="15"/>
  <c r="C26" i="15"/>
  <c r="K25" i="15"/>
  <c r="J25" i="15"/>
  <c r="I25" i="15"/>
  <c r="H25" i="15"/>
  <c r="G25" i="15"/>
  <c r="F25" i="15"/>
  <c r="C25" i="15"/>
  <c r="K24" i="15"/>
  <c r="J24" i="15"/>
  <c r="I24" i="15"/>
  <c r="H24" i="15"/>
  <c r="G24" i="15"/>
  <c r="F24" i="15"/>
  <c r="C24" i="15"/>
  <c r="K20" i="15"/>
  <c r="J20" i="15"/>
  <c r="I20" i="15"/>
  <c r="H20" i="15"/>
  <c r="G20" i="15"/>
  <c r="F20" i="15"/>
  <c r="C20" i="15"/>
  <c r="K16" i="15"/>
  <c r="J16" i="15"/>
  <c r="I16" i="15"/>
  <c r="H16" i="15"/>
  <c r="G16" i="15"/>
  <c r="F16" i="15"/>
  <c r="C16" i="15"/>
  <c r="K12" i="15"/>
  <c r="J12" i="15"/>
  <c r="I12" i="15"/>
  <c r="H12" i="15"/>
  <c r="G12" i="15"/>
  <c r="F12" i="15"/>
  <c r="C12" i="15"/>
  <c r="D116" i="1" l="1"/>
  <c r="D46" i="1"/>
  <c r="D253" i="1"/>
  <c r="I242" i="1"/>
  <c r="D232" i="1"/>
  <c r="I220" i="1"/>
  <c r="I213" i="1"/>
  <c r="D169" i="1"/>
  <c r="D166" i="1"/>
  <c r="D160" i="1"/>
  <c r="D153" i="1"/>
  <c r="D151" i="1"/>
  <c r="D147" i="1"/>
  <c r="D92" i="1"/>
  <c r="D89" i="1"/>
  <c r="D84" i="1"/>
  <c r="D81" i="1"/>
  <c r="D108" i="1"/>
  <c r="C35" i="14" l="1"/>
  <c r="B35" i="14"/>
  <c r="C10" i="12"/>
  <c r="B20" i="11"/>
  <c r="C17" i="10"/>
  <c r="C16" i="10"/>
  <c r="C15" i="10"/>
  <c r="B13" i="10"/>
  <c r="B19" i="10" s="1"/>
  <c r="C11" i="10"/>
  <c r="C9" i="10"/>
  <c r="C13" i="10" s="1"/>
  <c r="C19" i="10" s="1"/>
  <c r="D19" i="10" s="1"/>
  <c r="E27" i="9"/>
  <c r="E26" i="9"/>
  <c r="E25" i="9"/>
  <c r="E24" i="9"/>
  <c r="E23" i="9"/>
  <c r="E22" i="9"/>
  <c r="E29" i="9" s="1"/>
  <c r="C15" i="9"/>
  <c r="C18" i="7" s="1"/>
  <c r="C20" i="7" s="1"/>
  <c r="D152" i="1" s="1"/>
  <c r="C10" i="9"/>
  <c r="C12" i="9" s="1"/>
  <c r="D7" i="9"/>
  <c r="C30" i="8"/>
  <c r="D171" i="1" s="1"/>
  <c r="C16" i="8"/>
  <c r="C29" i="7"/>
  <c r="C30" i="7" s="1"/>
  <c r="C17" i="7"/>
  <c r="C16" i="6"/>
  <c r="D15" i="6" s="1"/>
  <c r="E15" i="6" s="1"/>
  <c r="D14" i="6"/>
  <c r="E14" i="6" s="1"/>
  <c r="C23" i="10" l="1"/>
  <c r="I212" i="1" s="1"/>
  <c r="E20" i="6"/>
  <c r="B28" i="6" s="1"/>
  <c r="B29" i="6" s="1"/>
  <c r="E16" i="6"/>
  <c r="D16" i="6"/>
  <c r="C15" i="5" l="1"/>
  <c r="D106" i="1" s="1"/>
  <c r="E81" i="2" l="1"/>
  <c r="E82" i="2"/>
  <c r="E80" i="2"/>
  <c r="E77" i="2"/>
  <c r="E78" i="2"/>
  <c r="E79" i="2"/>
  <c r="E76" i="2"/>
  <c r="E75" i="2"/>
  <c r="E74" i="2"/>
  <c r="E73" i="2"/>
  <c r="E71" i="2"/>
  <c r="E70" i="2"/>
  <c r="E69" i="2"/>
  <c r="E68" i="2"/>
  <c r="E67" i="2"/>
  <c r="E66" i="2"/>
  <c r="E64" i="2"/>
  <c r="E65" i="2"/>
  <c r="E63" i="2"/>
  <c r="E60" i="2"/>
  <c r="E61" i="2"/>
  <c r="E62" i="2"/>
  <c r="E59" i="2"/>
  <c r="E58" i="2"/>
  <c r="E57" i="2"/>
  <c r="E56" i="2"/>
  <c r="E55" i="2"/>
  <c r="E54" i="2"/>
  <c r="E53" i="2"/>
  <c r="E50" i="2"/>
  <c r="E51" i="2"/>
  <c r="E52" i="2"/>
  <c r="E49" i="2"/>
  <c r="E48" i="2"/>
  <c r="E47" i="2"/>
  <c r="E45" i="2"/>
  <c r="E46" i="2"/>
  <c r="E44" i="2"/>
  <c r="E36" i="2"/>
  <c r="E37" i="2"/>
  <c r="E38" i="2"/>
  <c r="E39" i="2"/>
  <c r="E40" i="2"/>
  <c r="E41" i="2"/>
  <c r="E42" i="2"/>
  <c r="E43" i="2"/>
  <c r="E35" i="2"/>
  <c r="E34" i="2"/>
  <c r="E33" i="2"/>
  <c r="E32" i="2"/>
  <c r="E28" i="2"/>
  <c r="E29" i="2"/>
  <c r="E30" i="2"/>
  <c r="E31" i="2"/>
  <c r="E27" i="2"/>
  <c r="E23" i="2"/>
  <c r="E24" i="2"/>
  <c r="E25" i="2"/>
  <c r="E26" i="2"/>
  <c r="E22" i="2"/>
  <c r="E18" i="2"/>
  <c r="E19" i="2"/>
  <c r="E20" i="2"/>
  <c r="E21" i="2"/>
  <c r="E17" i="2"/>
  <c r="E11" i="2"/>
  <c r="E12" i="2"/>
  <c r="E13" i="2"/>
  <c r="E14" i="2"/>
  <c r="E15" i="2"/>
  <c r="E16" i="2"/>
  <c r="E10" i="2"/>
  <c r="E9" i="2"/>
  <c r="E8" i="2"/>
  <c r="E7" i="2"/>
  <c r="E6" i="2"/>
  <c r="E5" i="2"/>
  <c r="G255" i="1" l="1"/>
  <c r="E72" i="2" s="1"/>
  <c r="I22" i="1" l="1"/>
  <c r="I219" i="1" l="1"/>
  <c r="I272" i="1"/>
  <c r="D15" i="1" s="1"/>
  <c r="D156" i="1"/>
  <c r="D115" i="1" s="1"/>
  <c r="D118" i="1" s="1"/>
  <c r="I211" i="1"/>
  <c r="D14" i="1"/>
  <c r="D86" i="1"/>
  <c r="G229" i="1"/>
  <c r="G231" i="1"/>
  <c r="G232" i="1"/>
  <c r="D239" i="1"/>
  <c r="G237" i="1" s="1"/>
  <c r="D97" i="1"/>
  <c r="D98" i="1"/>
  <c r="D99" i="1"/>
  <c r="D100" i="1"/>
  <c r="G253" i="1"/>
  <c r="I248" i="1"/>
  <c r="I250" i="1" s="1"/>
  <c r="D255" i="1" s="1"/>
  <c r="D256" i="1" s="1"/>
  <c r="E254" i="1" s="1"/>
  <c r="I254"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F112" i="1" s="1"/>
  <c r="D207" i="1"/>
  <c r="D142" i="1"/>
  <c r="C171" i="1"/>
  <c r="F167" i="1"/>
  <c r="C167" i="1"/>
  <c r="B161" i="1"/>
  <c r="B159" i="1"/>
  <c r="C154" i="1"/>
  <c r="F151" i="1"/>
  <c r="F152" i="1"/>
  <c r="B93" i="1"/>
  <c r="B101" i="1" s="1"/>
  <c r="B92" i="1"/>
  <c r="B100" i="1" s="1"/>
  <c r="B91" i="1"/>
  <c r="B99" i="1" s="1"/>
  <c r="B90" i="1"/>
  <c r="B98" i="1"/>
  <c r="B89" i="1"/>
  <c r="B97" i="1" s="1"/>
  <c r="D94" i="1"/>
  <c r="F93" i="1"/>
  <c r="F92" i="1"/>
  <c r="G91" i="1"/>
  <c r="F91" i="1"/>
  <c r="G89" i="1"/>
  <c r="I221" i="1" l="1"/>
  <c r="I223" i="1" s="1"/>
  <c r="I214" i="1"/>
  <c r="I216" i="1" s="1"/>
  <c r="E255" i="1"/>
  <c r="I255" i="1" s="1"/>
  <c r="E253" i="1"/>
  <c r="I253" i="1" s="1"/>
  <c r="D102" i="1"/>
  <c r="D120" i="1" s="1"/>
  <c r="G14" i="1" l="1"/>
  <c r="I14" i="1" s="1"/>
  <c r="G82" i="1"/>
  <c r="E230" i="1"/>
  <c r="G230" i="1" s="1"/>
  <c r="G233" i="1" s="1"/>
  <c r="I233" i="1" s="1"/>
  <c r="I237" i="1" s="1"/>
  <c r="K237" i="1" s="1"/>
  <c r="G85" i="1" s="1"/>
  <c r="I85" i="1" s="1"/>
  <c r="I224" i="1"/>
  <c r="I225" i="1" s="1"/>
  <c r="G116" i="1" s="1"/>
  <c r="I116" i="1" s="1"/>
  <c r="G15" i="1"/>
  <c r="I15" i="1" s="1"/>
  <c r="G90" i="1"/>
  <c r="I82" i="1"/>
  <c r="I256" i="1"/>
  <c r="D177" i="1" s="1"/>
  <c r="N85" i="1" l="1"/>
  <c r="G93" i="1"/>
  <c r="I93" i="1" s="1"/>
  <c r="I101" i="1" s="1"/>
  <c r="G84" i="1"/>
  <c r="I84" i="1" s="1"/>
  <c r="I86" i="1" s="1"/>
  <c r="G86" i="1" s="1"/>
  <c r="G147" i="1"/>
  <c r="G149" i="1" s="1"/>
  <c r="I149" i="1" s="1"/>
  <c r="D187" i="1"/>
  <c r="D183" i="1" s="1"/>
  <c r="D185" i="1" s="1"/>
  <c r="D190" i="1" s="1"/>
  <c r="D199" i="1" s="1"/>
  <c r="G16" i="1"/>
  <c r="I16" i="1" s="1"/>
  <c r="I90" i="1"/>
  <c r="I98" i="1" s="1"/>
  <c r="G112" i="1"/>
  <c r="G154" i="1" l="1"/>
  <c r="I154" i="1" s="1"/>
  <c r="G92" i="1"/>
  <c r="I92" i="1" s="1"/>
  <c r="I100" i="1" s="1"/>
  <c r="I102" i="1" s="1"/>
  <c r="G102" i="1" s="1"/>
  <c r="O85" i="1"/>
  <c r="O87" i="1"/>
  <c r="O90" i="1"/>
  <c r="N91" i="1"/>
  <c r="N93" i="1" s="1"/>
  <c r="O88" i="1"/>
  <c r="G153" i="1"/>
  <c r="I153" i="1" s="1"/>
  <c r="I147" i="1"/>
  <c r="G17" i="1"/>
  <c r="I17" i="1" s="1"/>
  <c r="G159" i="1"/>
  <c r="I159" i="1" s="1"/>
  <c r="I112" i="1"/>
  <c r="G150" i="1"/>
  <c r="G151" i="1" s="1"/>
  <c r="I18" i="1"/>
  <c r="I94" i="1"/>
  <c r="G161" i="1"/>
  <c r="I161" i="1" s="1"/>
  <c r="G169" i="1"/>
  <c r="G117" i="1"/>
  <c r="I117" i="1" s="1"/>
  <c r="O91" i="1" l="1"/>
  <c r="I150" i="1"/>
  <c r="G160" i="1"/>
  <c r="I160" i="1" s="1"/>
  <c r="I162" i="1" s="1"/>
  <c r="G106" i="1"/>
  <c r="G184" i="1"/>
  <c r="I184" i="1" s="1"/>
  <c r="G171" i="1"/>
  <c r="I171" i="1" s="1"/>
  <c r="I169" i="1"/>
  <c r="G172" i="1"/>
  <c r="I172" i="1" s="1"/>
  <c r="G152" i="1"/>
  <c r="I152" i="1" s="1"/>
  <c r="I151" i="1"/>
  <c r="G166" i="1" l="1"/>
  <c r="I166" i="1" s="1"/>
  <c r="I156" i="1"/>
  <c r="I115" i="1" s="1"/>
  <c r="I118" i="1" s="1"/>
  <c r="G107" i="1"/>
  <c r="I106" i="1"/>
  <c r="G167" i="1" l="1"/>
  <c r="I167" i="1" s="1"/>
  <c r="I173" i="1" s="1"/>
  <c r="G108" i="1"/>
  <c r="I108" i="1" s="1"/>
  <c r="I107" i="1"/>
  <c r="G109" i="1"/>
  <c r="I109" i="1" s="1"/>
  <c r="I110" i="1" l="1"/>
  <c r="I120" i="1" s="1"/>
  <c r="I187" i="1" s="1"/>
  <c r="I183" i="1" s="1"/>
  <c r="I185" i="1" s="1"/>
  <c r="I190" i="1" s="1"/>
  <c r="I199" i="1" s="1"/>
  <c r="I11" i="1" s="1"/>
  <c r="I24" i="1" s="1"/>
  <c r="N25" i="1" l="1"/>
  <c r="N30" i="1"/>
  <c r="N24" i="1"/>
  <c r="M37" i="1" s="1"/>
  <c r="D36" i="1"/>
  <c r="N27" i="1"/>
  <c r="N26" i="1"/>
  <c r="N29" i="1"/>
  <c r="N28" i="1"/>
  <c r="D41" i="1" l="1"/>
  <c r="I40" i="1"/>
  <c r="D40" i="1"/>
  <c r="D42" i="1"/>
  <c r="D37" i="1"/>
  <c r="I42" i="1"/>
  <c r="I41" i="1"/>
  <c r="N31" i="1"/>
  <c r="N33" i="1" s="1"/>
</calcChain>
</file>

<file path=xl/comments1.xml><?xml version="1.0" encoding="utf-8"?>
<comments xmlns="http://schemas.openxmlformats.org/spreadsheetml/2006/main">
  <authors>
    <author>bvinson</author>
  </authors>
  <commentList>
    <comment ref="N84" authorId="0">
      <text>
        <r>
          <rPr>
            <b/>
            <sz val="9"/>
            <color indexed="81"/>
            <rFont val="Tahoma"/>
            <family val="2"/>
          </rPr>
          <t>bvinson:</t>
        </r>
        <r>
          <rPr>
            <sz val="9"/>
            <color indexed="81"/>
            <rFont val="Tahoma"/>
            <family val="2"/>
          </rPr>
          <t xml:space="preserve">
sb Includable Facilities Only per 8/14/2013 email from Jeff Haselhorst ,MISO</t>
        </r>
      </text>
    </comment>
  </commentList>
</comments>
</file>

<file path=xl/sharedStrings.xml><?xml version="1.0" encoding="utf-8"?>
<sst xmlns="http://schemas.openxmlformats.org/spreadsheetml/2006/main" count="890" uniqueCount="630">
  <si>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</si>
  <si>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</si>
  <si>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</si>
  <si>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</si>
  <si>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</si>
  <si>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</si>
  <si>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</si>
  <si>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</si>
  <si>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</si>
  <si>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</si>
  <si>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</si>
  <si>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</si>
  <si>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</si>
  <si>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</si>
  <si>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</si>
  <si>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</si>
  <si>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</si>
  <si>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</si>
  <si>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</si>
  <si>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</si>
  <si>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</si>
  <si>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</si>
  <si>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</si>
  <si>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</si>
  <si>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</si>
  <si>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</si>
  <si>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</si>
  <si>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</si>
  <si>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</si>
  <si>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</si>
  <si>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</si>
  <si>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</si>
  <si>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</si>
  <si>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</si>
  <si>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</si>
  <si>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</si>
  <si>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</si>
  <si>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</si>
  <si>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</si>
  <si>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</si>
  <si>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</si>
  <si>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</si>
  <si>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</si>
  <si>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</si>
  <si>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</si>
  <si>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</si>
  <si>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</si>
  <si>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</si>
  <si>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</si>
  <si>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</si>
  <si>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</si>
  <si>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</si>
  <si>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</si>
  <si>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</si>
  <si>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</si>
  <si>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</si>
  <si>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</si>
  <si>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</si>
  <si>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</si>
  <si>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</si>
  <si>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</si>
  <si>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</si>
  <si>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</si>
  <si>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</si>
  <si>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</si>
  <si>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</si>
  <si>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</si>
  <si>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</si>
  <si>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</si>
  <si>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</si>
  <si>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</si>
  <si>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</si>
  <si>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</si>
  <si>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</si>
  <si>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</si>
  <si>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</si>
  <si>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</si>
  <si>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</si>
  <si>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</si>
  <si>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</si>
  <si>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</si>
  <si>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</si>
  <si>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</si>
  <si>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</si>
  <si>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</si>
  <si>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</si>
  <si>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</si>
  <si>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</si>
  <si>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</si>
  <si>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</si>
  <si>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</si>
  <si>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</si>
  <si>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</si>
  <si>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</si>
  <si>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</si>
  <si>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</si>
  <si>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</si>
  <si>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</si>
  <si>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</si>
  <si>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</si>
  <si>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</si>
  <si>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</si>
  <si>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</si>
  <si>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</si>
  <si>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</si>
  <si>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</si>
  <si>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</si>
  <si>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</si>
  <si>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</si>
  <si>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</si>
  <si>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</si>
  <si>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</si>
  <si>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</si>
  <si>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</si>
  <si>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</si>
  <si>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</si>
  <si>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</si>
  <si>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</si>
  <si>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</si>
  <si>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</si>
  <si>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</si>
  <si>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</si>
  <si>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</si>
  <si>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</si>
  <si>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</si>
  <si>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</si>
  <si>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</si>
  <si>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</si>
  <si>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</si>
  <si>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</si>
  <si>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</si>
  <si>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</si>
  <si>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</si>
  <si>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</si>
  <si>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</si>
  <si>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</si>
  <si>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</si>
  <si>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</si>
  <si>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</si>
  <si>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</si>
  <si>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</si>
  <si>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</si>
  <si>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</si>
  <si>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</si>
  <si>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</si>
  <si>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</si>
  <si>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</si>
  <si>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</si>
  <si>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</si>
  <si>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</si>
  <si>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</si>
  <si>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</si>
  <si>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</si>
  <si>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</si>
  <si>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</si>
  <si>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</si>
  <si>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</si>
  <si>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</si>
  <si>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</si>
  <si>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</si>
  <si>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</si>
  <si>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</si>
  <si>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</si>
  <si>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</si>
  <si>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</si>
  <si>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</si>
  <si>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</si>
  <si>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</si>
  <si>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</si>
  <si>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</si>
  <si>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</si>
  <si>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</si>
  <si>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</si>
  <si>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</si>
  <si>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</si>
  <si>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</si>
  <si>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</si>
  <si>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</si>
  <si>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</si>
  <si>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</si>
  <si>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</si>
  <si>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</si>
  <si>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</si>
  <si>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</si>
  <si>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</si>
  <si>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</si>
  <si>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</si>
  <si>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</si>
  <si>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</si>
  <si>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</si>
  <si>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</si>
  <si>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</si>
  <si>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</si>
  <si>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</si>
  <si>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</si>
  <si>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</si>
  <si>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</si>
  <si>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</si>
  <si>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</si>
  <si>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</si>
  <si>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</si>
  <si>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</si>
  <si>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</si>
  <si>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</si>
  <si>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</si>
  <si>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</si>
  <si>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</si>
  <si>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</si>
  <si>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</si>
  <si>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</si>
  <si>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</si>
  <si>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</si>
  <si>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</si>
  <si>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</si>
  <si>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</si>
  <si>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</si>
  <si>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</si>
  <si>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</si>
  <si>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</si>
  <si>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</si>
  <si>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</si>
  <si>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</si>
  <si>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</si>
  <si>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</si>
  <si>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</si>
  <si>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</si>
  <si>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</si>
  <si>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</si>
  <si>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</si>
  <si>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</si>
  <si>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</si>
  <si>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</si>
  <si>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</si>
  <si>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</si>
  <si>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</si>
  <si>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</si>
  <si>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</si>
  <si>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</si>
  <si>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</si>
  <si>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</si>
  <si>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</si>
  <si>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</si>
  <si>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</si>
  <si>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</si>
  <si>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</si>
  <si>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</si>
  <si>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</si>
  <si>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</si>
  <si>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</si>
  <si>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</si>
  <si>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</si>
  <si>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</si>
  <si>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</si>
  <si>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</si>
  <si>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</si>
  <si>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</si>
  <si>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</si>
  <si>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</si>
  <si>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</si>
  <si>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</si>
  <si>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</si>
  <si>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</si>
  <si>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</si>
  <si>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</si>
  <si>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</si>
  <si>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</si>
  <si>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</si>
  <si>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</si>
  <si>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</si>
  <si>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</si>
  <si>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</si>
  <si>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</si>
  <si>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</si>
  <si>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</si>
  <si>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</si>
  <si>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</si>
  <si>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</si>
  <si>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</si>
  <si>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</si>
  <si>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</si>
  <si>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</si>
  <si>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</si>
  <si>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</si>
  <si>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</si>
  <si>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</si>
  <si>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</si>
  <si>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</si>
  <si>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</si>
  <si>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</si>
  <si>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</si>
  <si>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</si>
  <si>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</si>
  <si>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</si>
  <si>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</si>
  <si>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</si>
  <si>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</si>
  <si>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</si>
  <si>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</si>
  <si>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</si>
  <si>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</si>
  <si>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</si>
  <si>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</si>
  <si>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</si>
  <si>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</si>
  <si>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</si>
  <si>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</si>
  <si>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</si>
  <si>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</si>
  <si>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</si>
  <si>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</si>
  <si>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</si>
  <si>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</si>
  <si>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</si>
  <si>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</si>
  <si>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</si>
  <si>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</si>
  <si>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</si>
  <si>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</si>
  <si>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</si>
  <si>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</si>
  <si>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</si>
  <si>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</si>
  <si>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</si>
  <si>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</si>
  <si>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</si>
  <si>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</si>
  <si>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</si>
  <si>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Cleco Power LLC</t>
  </si>
  <si>
    <t>Peak as would be reported on page 400, column b of Form 1 at the time of the applicable pricing zone coincident monthly peaks.</t>
  </si>
  <si>
    <t>ATRR Allocation based on Gross Plant</t>
  </si>
  <si>
    <t>ATRR</t>
  </si>
  <si>
    <t>Divisor</t>
  </si>
  <si>
    <t>Check Figures</t>
  </si>
  <si>
    <t>Note:  Excludes Non-MISO Divisor.</t>
  </si>
  <si>
    <t>Gross Plant</t>
  </si>
  <si>
    <t>Check Figure</t>
  </si>
  <si>
    <t>Note:  Excludes Non-MISO Gross Transmission Plant.</t>
  </si>
  <si>
    <t>Trans Pricing Zone</t>
  </si>
  <si>
    <t>CLECO ATRR in all Pricing Zones</t>
  </si>
  <si>
    <t>CLECO</t>
  </si>
  <si>
    <t>Entergy Louisiana - Northlake</t>
  </si>
  <si>
    <t>Entergy Louisiana - Valley Electric</t>
  </si>
  <si>
    <t>Entergy Louisiana - DEMCO</t>
  </si>
  <si>
    <t>CLECO Gross Transmission Plant by Transmission Pricing Zone</t>
  </si>
  <si>
    <t>CLECO Gross Transmission Plant - All Zones</t>
  </si>
  <si>
    <t>Entergy Louisiana - St. Martinville</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</si>
  <si>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</si>
  <si>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</si>
  <si>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</si>
  <si>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</si>
  <si>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</si>
  <si>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</si>
  <si>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</si>
  <si>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</si>
  <si>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t>
  </si>
  <si>
    <t>reduce the 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</si>
  <si>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</si>
  <si>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</si>
  <si>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</si>
  <si>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</si>
  <si>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 xml:space="preserve">ROE Determination </t>
  </si>
  <si>
    <t>ROE per EL14-12, Effective 9-28-2016</t>
  </si>
  <si>
    <t>RTO Adder per ER15-358, Effective January 6, 2015</t>
  </si>
  <si>
    <t>Page No.</t>
  </si>
  <si>
    <t>Line No.</t>
  </si>
  <si>
    <t>Description</t>
  </si>
  <si>
    <t>Value</t>
  </si>
  <si>
    <t>Utility Name</t>
  </si>
  <si>
    <t>Revenues from Grandfathered Interzonal Transactions</t>
  </si>
  <si>
    <t>Revenues from service provided by the ISO at a discount</t>
  </si>
  <si>
    <t xml:space="preserve">  Less Contract Demand from Grandfathered Interzonal transactions over one year (enter negative)  (Note S)</t>
  </si>
  <si>
    <t xml:space="preserve">  Less 12 CP or Contract Demands from service over one year provided by ISO at a discount (enter negative)</t>
  </si>
  <si>
    <t xml:space="preserve">  Account No. 281 (enter negative) </t>
  </si>
  <si>
    <t xml:space="preserve">  Account No. 190</t>
  </si>
  <si>
    <t xml:space="preserve">  Materials &amp; Supplies (Note G)</t>
  </si>
  <si>
    <t xml:space="preserve">     Less EPRI &amp; Reg. Comm. Exp. &amp; Non-safety Ad.  (Note I)</t>
  </si>
  <si>
    <t xml:space="preserve">     Plus Transmission Related Reg. Comm. Exp.  (Note I)</t>
  </si>
  <si>
    <t>LESS ATTACHMENT GG ADJUSTMENT</t>
  </si>
  <si>
    <t>LESS ATTACHMENT MM ADJUSTMENT</t>
  </si>
  <si>
    <t>FIT</t>
  </si>
  <si>
    <t>SIT</t>
  </si>
  <si>
    <t>p</t>
  </si>
  <si>
    <t xml:space="preserve">ADIT </t>
  </si>
  <si>
    <t>Account 282</t>
  </si>
  <si>
    <t>FERC Form 1
Page, Line, Column</t>
  </si>
  <si>
    <t xml:space="preserve">Page 275.2.k </t>
  </si>
  <si>
    <t>Page 275.Footnote Data</t>
  </si>
  <si>
    <t>Page 2 of 5 (line 20)</t>
  </si>
  <si>
    <t>Account 190</t>
  </si>
  <si>
    <t xml:space="preserve">Page 234.8.c </t>
  </si>
  <si>
    <t>Page 2 of 5 (line 22)</t>
  </si>
  <si>
    <t>For the 12 months ended 12/31/17</t>
  </si>
  <si>
    <t xml:space="preserve">Materials &amp; Supplies Alloaction </t>
  </si>
  <si>
    <t>Amount to Allocate</t>
  </si>
  <si>
    <t>FERC Form 1</t>
  </si>
  <si>
    <t>Functional Costs
FF1 Page 227</t>
  </si>
  <si>
    <t>Percentage</t>
  </si>
  <si>
    <t>Amounts</t>
  </si>
  <si>
    <t>Stores Expense (Account 163)</t>
  </si>
  <si>
    <t xml:space="preserve">Page 227.16.c Footnote </t>
  </si>
  <si>
    <t xml:space="preserve">Transmission </t>
  </si>
  <si>
    <t>Page 227.8.c</t>
  </si>
  <si>
    <t>Distribution</t>
  </si>
  <si>
    <t>Page 227.9.c</t>
  </si>
  <si>
    <t>Subtotal</t>
  </si>
  <si>
    <t>Page 2 of 5 (line 27)</t>
  </si>
  <si>
    <t>Gross-up of Trans. M&amp;S</t>
  </si>
  <si>
    <t>(Use Goal Seek Function in Excel)</t>
  </si>
  <si>
    <t xml:space="preserve">Check: </t>
  </si>
  <si>
    <t>FF1 227.8.c</t>
  </si>
  <si>
    <t>100% Trans. M&amp;S</t>
  </si>
  <si>
    <t>Allocated to Trans.</t>
  </si>
  <si>
    <t>Total  P.2of5 I.116</t>
  </si>
  <si>
    <t>Cell I 116</t>
  </si>
  <si>
    <t>Check to P.2of5 cell I 116</t>
  </si>
  <si>
    <t xml:space="preserve">Regulatory Commission Expense </t>
  </si>
  <si>
    <t xml:space="preserve">Page 350.1.d </t>
  </si>
  <si>
    <t>Page 3 of 5 (line 4)</t>
  </si>
  <si>
    <t xml:space="preserve">Page 350.46.d </t>
  </si>
  <si>
    <t>Included on page 3 of 5 (line 4)</t>
  </si>
  <si>
    <t>Advertising Expense Tab</t>
  </si>
  <si>
    <t>Less: Acct. 908 (P.350.6.d)</t>
  </si>
  <si>
    <t>Page 3 of 5 (line 5)</t>
  </si>
  <si>
    <t xml:space="preserve">Page 350.7.d </t>
  </si>
  <si>
    <t xml:space="preserve">Page 350.9.d </t>
  </si>
  <si>
    <t xml:space="preserve">Page 350.13.d </t>
  </si>
  <si>
    <t xml:space="preserve">Page 350.30.h </t>
  </si>
  <si>
    <t>Safety 323.169.b</t>
  </si>
  <si>
    <t>Page 3 of 5 (line 5a)</t>
  </si>
  <si>
    <t xml:space="preserve">Taxes Other Than Income Taxes </t>
  </si>
  <si>
    <t xml:space="preserve">Page 263.2.i </t>
  </si>
  <si>
    <t xml:space="preserve">Page 263.11.i </t>
  </si>
  <si>
    <t xml:space="preserve">Page 263.12.i </t>
  </si>
  <si>
    <t>Page 3 of 5 (line 13)</t>
  </si>
  <si>
    <t xml:space="preserve">Page 263.17.i </t>
  </si>
  <si>
    <t>Page 3 of 5 (line 16)</t>
  </si>
  <si>
    <t xml:space="preserve">Page 263.4.i </t>
  </si>
  <si>
    <t xml:space="preserve">Page 263.6.i </t>
  </si>
  <si>
    <t xml:space="preserve">Page 263.16.i </t>
  </si>
  <si>
    <t xml:space="preserve">Page 263.18.i </t>
  </si>
  <si>
    <t xml:space="preserve">Page 263.22.i </t>
  </si>
  <si>
    <t>Page 263.7.i</t>
  </si>
  <si>
    <t>Page 3 of 5 (line 18)</t>
  </si>
  <si>
    <t>Acct 909000   FF1 323.169.b</t>
  </si>
  <si>
    <t>Safety</t>
  </si>
  <si>
    <t>Community</t>
  </si>
  <si>
    <t xml:space="preserve">Conservation </t>
  </si>
  <si>
    <t>Image</t>
  </si>
  <si>
    <t>Non-Safety Expenses</t>
  </si>
  <si>
    <t>SAFETY</t>
  </si>
  <si>
    <t>Line Description</t>
  </si>
  <si>
    <t>Activity</t>
  </si>
  <si>
    <t>AP Accurals</t>
  </si>
  <si>
    <t>EX - End of Month Accrual</t>
  </si>
  <si>
    <t>Expense Reports</t>
  </si>
  <si>
    <t>00001</t>
  </si>
  <si>
    <t>CCADMAR</t>
  </si>
  <si>
    <t>CCCONSERVADV</t>
  </si>
  <si>
    <t>CCCUST</t>
  </si>
  <si>
    <t>CCHOT</t>
  </si>
  <si>
    <t>CCSAFE</t>
  </si>
  <si>
    <t>TOTAL</t>
  </si>
  <si>
    <t>Source:  Company Records</t>
  </si>
  <si>
    <t>Excluded  Assets from Attachment O</t>
  </si>
  <si>
    <t>Calendar Year
2015</t>
  </si>
  <si>
    <t>Calendar Year
2016</t>
  </si>
  <si>
    <t>FF1 Page 207</t>
  </si>
  <si>
    <t>Less: Distribution Underbuilds</t>
  </si>
  <si>
    <t>Less: Generator Step ups</t>
  </si>
  <si>
    <t>Page 4 of 5 (line 3)</t>
  </si>
  <si>
    <t>Less: Distribution Assets</t>
  </si>
  <si>
    <t>Subtotal Transmission Assets</t>
  </si>
  <si>
    <t>Less: Radial Lines</t>
  </si>
  <si>
    <t xml:space="preserve">Less: GIA Assets  </t>
  </si>
  <si>
    <t>Check</t>
  </si>
  <si>
    <t>Total in Attachment O</t>
  </si>
  <si>
    <t>Excluded  from Transmission Assets</t>
  </si>
  <si>
    <t>Page 4 of 5 (line 2)</t>
  </si>
  <si>
    <t>Excluded MISO Integration Costs</t>
  </si>
  <si>
    <t>Description of Cost Item</t>
  </si>
  <si>
    <t xml:space="preserve">Amount </t>
  </si>
  <si>
    <t>AMORTIZE MISO INTEGRATION COSTS; C5564 D EXE</t>
  </si>
  <si>
    <t>2018 MISO Attachment O</t>
  </si>
  <si>
    <t>Excluded ARO Amounts</t>
  </si>
  <si>
    <t xml:space="preserve">Exclude ARO Amount in FF1 Page 205 Line 15 </t>
  </si>
  <si>
    <t>Balance at 
End of Year</t>
  </si>
  <si>
    <t>Gross Production Plant</t>
  </si>
  <si>
    <t>P 205.46.g</t>
  </si>
  <si>
    <t>Less: ARO Amount</t>
  </si>
  <si>
    <t>P 205.15.g</t>
  </si>
  <si>
    <t>Net Production Plant</t>
  </si>
  <si>
    <t>Interest on Adjustments</t>
  </si>
  <si>
    <t>Original Net Revenue Requirment</t>
  </si>
  <si>
    <t>Adjusted Net Revenue Requirement</t>
  </si>
  <si>
    <t>FERC Interest Rate</t>
  </si>
  <si>
    <t>Balance</t>
  </si>
  <si>
    <t>Interest</t>
  </si>
  <si>
    <t>New balance</t>
  </si>
  <si>
    <t>Radial Transmission</t>
  </si>
  <si>
    <t>Book Cost</t>
  </si>
  <si>
    <t xml:space="preserve">L124 - Grolee to South Park       *Opelousas* </t>
  </si>
  <si>
    <t>L130 - Plaisance to Veazie</t>
  </si>
  <si>
    <t>L131 - Van Ply Tap</t>
  </si>
  <si>
    <t>L133 - Clarence to Dixie Street</t>
  </si>
  <si>
    <t>L140 - Elks to Nickerson</t>
  </si>
  <si>
    <t>L143 - Bayou Sale to North Bend</t>
  </si>
  <si>
    <t xml:space="preserve">L145 - Ramos to Morgan City Tie         </t>
  </si>
  <si>
    <t>L148 - Cooper to Boise #1</t>
  </si>
  <si>
    <t>L149 - Cooper to Boise #2</t>
  </si>
  <si>
    <t>L150 - Marksville to Yellow Bayou</t>
  </si>
  <si>
    <t>L155 - LIG Tap Patterson           RETIRED</t>
  </si>
  <si>
    <t>L163 - Guidry to South Park       *Opelousas*</t>
  </si>
  <si>
    <t xml:space="preserve">L169 - Ramos to Sleca(Cajun) Tie       </t>
  </si>
  <si>
    <t>L170 - Julien Tap</t>
  </si>
  <si>
    <t>L174 - Dolet to Mine</t>
  </si>
  <si>
    <t>L180 - Nickerson to Breaux Bridge</t>
  </si>
  <si>
    <t xml:space="preserve">L185 - Darnell Tap                    </t>
  </si>
  <si>
    <t>L188 - Pineville Kraft Sub</t>
  </si>
  <si>
    <t>L189 - Breaux Bridge to GSU</t>
  </si>
  <si>
    <t>L192 - Veazie to Guidry</t>
  </si>
  <si>
    <t xml:space="preserve">L193 - West Fork to Guidry      </t>
  </si>
  <si>
    <t>L198 - Grolee to Guidry             *Opelousas*</t>
  </si>
  <si>
    <t>L206 - Oakdale to Lyles 138KV</t>
  </si>
  <si>
    <t>L208 - Clarence to St. Maurice</t>
  </si>
  <si>
    <t>L218 - Pine Prairie Energy Center Kv Line</t>
  </si>
  <si>
    <t>January</t>
  </si>
  <si>
    <t>February</t>
  </si>
  <si>
    <t>March</t>
  </si>
  <si>
    <t>Total for Quarter</t>
  </si>
  <si>
    <t>April</t>
  </si>
  <si>
    <t xml:space="preserve">May </t>
  </si>
  <si>
    <t>June</t>
  </si>
  <si>
    <t>July</t>
  </si>
  <si>
    <t>August</t>
  </si>
  <si>
    <t>September</t>
  </si>
  <si>
    <t>October</t>
  </si>
  <si>
    <t>November</t>
  </si>
  <si>
    <t>December</t>
  </si>
  <si>
    <t>Total for Year</t>
  </si>
  <si>
    <r>
      <t xml:space="preserve">Yearly Report </t>
    </r>
    <r>
      <rPr>
        <sz val="12"/>
        <rFont val="Arial"/>
        <family val="2"/>
      </rPr>
      <t>(page 400)</t>
    </r>
  </si>
  <si>
    <t>Column:</t>
  </si>
  <si>
    <t>(b)</t>
  </si>
  <si>
    <t>Monthly Peak MW – Total:  This load is the value found in the “Total trans Demand” column of the MISO Transmission Demand Summary.</t>
  </si>
  <si>
    <t xml:space="preserve">(c) </t>
  </si>
  <si>
    <t>Day of Monthly Peak: This date is the date listed in the “Sys Peak Date” column of the Network Service Billing Worksheet.</t>
  </si>
  <si>
    <t>(d)</t>
  </si>
  <si>
    <t>Hour of Monthly Peak: This is the hour listed in the “Sys Peak Hour (HE)” column of the Network Service Billing Worksheet.</t>
  </si>
  <si>
    <t xml:space="preserve">(e) </t>
  </si>
  <si>
    <t>Firm Network Service – For Self: This is the MW value found in the “Gross Load” column of the Transmission Demand Summary (hdB) (beginning June 2015, transmission losses are removed from this number manually)</t>
  </si>
  <si>
    <t>(f)</t>
  </si>
  <si>
    <t>Firm Network Service – For Others: This value is the total of non- Cleco load points with NITS.  (EES, Alex and LAGN from Trans Demand Summary sheet) (+ transmission losses for billing beginning June 1 2015)</t>
  </si>
  <si>
    <t>(g)</t>
  </si>
  <si>
    <r>
      <t xml:space="preserve">Long-Term Firm Point to Point Reservations:  Any LTF PTP reservations in place at time of peak.  
       </t>
    </r>
    <r>
      <rPr>
        <sz val="9"/>
        <rFont val="Arial"/>
        <family val="2"/>
      </rPr>
      <t>OASIS query: Incr: YEARLY, Class: FIRM; Type: POINT_TO_POINT, Status: Confirmed, Time: Active, User Range = Date of Peak (for each month)</t>
    </r>
  </si>
  <si>
    <t>(h)</t>
  </si>
  <si>
    <t>Other Long-Term Firm Service: This value is in the “Total GrandFathered” column of the Transmission Demand Summary (+transmission losses for billing beginning June 1, 2015)</t>
  </si>
  <si>
    <t>(i)</t>
  </si>
  <si>
    <r>
      <t xml:space="preserve">Short-Term Firm Point-to-Point Reservations: Any STF PTP reservations in place at time of peak.
      </t>
    </r>
    <r>
      <rPr>
        <sz val="9"/>
        <rFont val="Arial"/>
        <family val="2"/>
      </rPr>
      <t>OASIS query: Incr: Monthly, Daily, Weekly, Class: FIRM; Type: POINT_TO_POINT, Status: Confirmed, Time: Active, User Range = Date of Peak (for each month),ReqType=Original</t>
    </r>
  </si>
  <si>
    <t>(j)</t>
  </si>
  <si>
    <t>Other Service: Madisonville distribution NITS service.  Not part of transmission calculation.</t>
  </si>
  <si>
    <t xml:space="preserve">Note: In January 2010 made correction that column e should be Gross Load (which includes wholesale) versus Gross Native Load which does not.  </t>
  </si>
  <si>
    <t>Wholesale customers are service for self.</t>
  </si>
  <si>
    <t>Note:  On January 2011, we will start reporting Madisonville Distribution Nits in column (j) and remove it from the Entergy load being reported in column f</t>
  </si>
  <si>
    <t>Footnote:  Removed Madisonville 4017 from column (f) and now report it in column (j)</t>
  </si>
  <si>
    <t>Note: MISO requires the input of a loss factor for billing beginning June 1, 2015.  I will manually adjust the load data to match the actual load reported to MISO.</t>
  </si>
  <si>
    <t>2017 Monthly Transmission System Peak Load</t>
  </si>
  <si>
    <t>Day of</t>
  </si>
  <si>
    <t xml:space="preserve">Hour of </t>
  </si>
  <si>
    <t>Firm Network</t>
  </si>
  <si>
    <t>Long-Term Firm</t>
  </si>
  <si>
    <t>Other Long-</t>
  </si>
  <si>
    <t>Short-Term Firm</t>
  </si>
  <si>
    <t xml:space="preserve">Other </t>
  </si>
  <si>
    <t>Month</t>
  </si>
  <si>
    <t>Monthly Peak</t>
  </si>
  <si>
    <t xml:space="preserve">Monthly </t>
  </si>
  <si>
    <t>Service for Self</t>
  </si>
  <si>
    <t>Service for</t>
  </si>
  <si>
    <t xml:space="preserve">Point-to-Point </t>
  </si>
  <si>
    <t xml:space="preserve">Term Firm </t>
  </si>
  <si>
    <t>Point-to-Point</t>
  </si>
  <si>
    <t>Service</t>
  </si>
  <si>
    <t xml:space="preserve">Line </t>
  </si>
  <si>
    <t>MW-Total</t>
  </si>
  <si>
    <t>Peak</t>
  </si>
  <si>
    <t>Others</t>
  </si>
  <si>
    <t>Reservations</t>
  </si>
  <si>
    <t>(a)</t>
  </si>
  <si>
    <t>©</t>
  </si>
  <si>
    <t>(e)</t>
  </si>
  <si>
    <t>Average</t>
  </si>
  <si>
    <t>Grandfathered</t>
  </si>
  <si>
    <t>Radial Line Summary</t>
  </si>
  <si>
    <t xml:space="preserve">Adjustment </t>
  </si>
  <si>
    <t>Correction in Franchise Tax, removal of GIA Assets</t>
  </si>
  <si>
    <t>3Q2017</t>
  </si>
  <si>
    <t>4Q2017</t>
  </si>
  <si>
    <t>1Q2018</t>
  </si>
  <si>
    <t>Apr/May 2018</t>
  </si>
  <si>
    <t>Applicable Annual</t>
  </si>
  <si>
    <t>Quarterly Rate</t>
  </si>
  <si>
    <t>Annual</t>
  </si>
  <si>
    <t>Monthly Rate</t>
  </si>
  <si>
    <t>Quarter</t>
  </si>
  <si>
    <t>Rate</t>
  </si>
  <si>
    <t>(Annual % / 365X# days in month)</t>
  </si>
  <si>
    <t>(Annual Rate/12</t>
  </si>
  <si>
    <t>Months)</t>
  </si>
  <si>
    <t>Second Quarter 2018</t>
  </si>
  <si>
    <t>Second Quarter 2019</t>
  </si>
  <si>
    <t>May</t>
  </si>
  <si>
    <t xml:space="preserve">April </t>
  </si>
  <si>
    <t>First Quarter 2018</t>
  </si>
  <si>
    <t>First Quarter 2019</t>
  </si>
  <si>
    <t>Feb</t>
  </si>
  <si>
    <t>Jan</t>
  </si>
  <si>
    <t>Fourth Quarter 2017</t>
  </si>
  <si>
    <t>Dec</t>
  </si>
  <si>
    <t>Fourth Quarter 2018</t>
  </si>
  <si>
    <t>Nov</t>
  </si>
  <si>
    <t>Oct</t>
  </si>
  <si>
    <t>Third Quarter 2017</t>
  </si>
  <si>
    <t>Sep</t>
  </si>
  <si>
    <t>Third Quarter 2018</t>
  </si>
  <si>
    <t>Aug</t>
  </si>
  <si>
    <t>Second Quarter 2017</t>
  </si>
  <si>
    <t>2017 Advertising Costs</t>
  </si>
  <si>
    <t>Entergy Louisiana - Gueydan</t>
  </si>
  <si>
    <t>Entergy Louisiana - Erath</t>
  </si>
  <si>
    <t>Entergy Mississippi - MDEA</t>
  </si>
  <si>
    <t>Tab Added on 7/18/2017 per customer call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</si>
</sst>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_(* #,##0_);_(* \(#,##0\);_(* &quot;-&quot;??_);_(@_)"/>
    <numFmt numFmtId="176" formatCode="#,###,##0.00;\(#,###,##0.00\)"/>
    <numFmt numFmtId="177" formatCode="0.00_)"/>
    <numFmt numFmtId="178" formatCode="0.000000"/>
    <numFmt numFmtId="179" formatCode="[$-409]h:mm\ AM/PM;@"/>
    <numFmt numFmtId="180" formatCode="#,##0.000_);\(#,##0.000\)"/>
    <numFmt numFmtId="181" formatCode="0.000"/>
  </numFmts>
  <fonts count="67">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FF0000"/>
      <name val="Times New Roman"/>
      <family val="1"/>
    </font>
    <font>
      <b/>
      <sz val="12"/>
      <name val="Arial MT"/>
    </font>
    <font>
      <sz val="10"/>
      <color indexed="8"/>
      <name val="Arial"/>
      <family val="2"/>
    </font>
    <font>
      <sz val="12"/>
      <name val="Arial"/>
      <family val="2"/>
    </font>
    <font>
      <b/>
      <sz val="10"/>
      <name val="Arial"/>
      <family val="2"/>
    </font>
    <font>
      <b/>
      <sz val="9"/>
      <color indexed="81"/>
      <name val="Tahoma"/>
      <family val="2"/>
    </font>
    <font>
      <sz val="9"/>
      <color indexed="81"/>
      <name val="Tahoma"/>
      <family val="2"/>
    </font>
    <font>
      <sz val="12"/>
      <color rgb="FF0000FF"/>
      <name val="Times New Roman"/>
      <family val="1"/>
    </font>
    <font>
      <sz val="12"/>
      <color rgb="FF0070C0"/>
      <name val="Times New Roman"/>
      <family val="1"/>
    </font>
    <font>
      <u/>
      <sz val="12"/>
      <name val="Times New Roman"/>
      <family val="1"/>
    </font>
    <font>
      <sz val="11"/>
      <color theme="0"/>
      <name val="Calibri"/>
      <family val="2"/>
      <scheme val="minor"/>
    </font>
    <font>
      <b/>
      <sz val="12"/>
      <name val="Arial"/>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1"/>
      <color indexed="8"/>
      <name val="Calibri"/>
      <family val="2"/>
    </font>
    <font>
      <sz val="10"/>
      <name val="MS Sans Serif"/>
      <family val="2"/>
    </font>
    <font>
      <sz val="11"/>
      <color theme="1"/>
      <name val="Calibri"/>
      <family val="2"/>
    </font>
    <font>
      <sz val="10"/>
      <color indexed="0"/>
      <name val="Arial"/>
      <family val="2"/>
    </font>
    <font>
      <b/>
      <sz val="18"/>
      <name val="Arial"/>
      <family val="2"/>
    </font>
    <font>
      <b/>
      <sz val="14"/>
      <name val="Book Antiqua"/>
      <family val="1"/>
    </font>
    <font>
      <i/>
      <sz val="10"/>
      <name val="Book Antiqua"/>
      <family val="1"/>
    </font>
    <font>
      <b/>
      <i/>
      <sz val="16"/>
      <name val="Helv"/>
    </font>
    <font>
      <sz val="8"/>
      <name val="Tms Rmn"/>
    </font>
    <font>
      <sz val="10"/>
      <color theme="1"/>
      <name val="Arial"/>
      <family val="2"/>
    </font>
    <font>
      <sz val="12"/>
      <color indexed="8"/>
      <name val="Arial MT"/>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b/>
      <sz val="12"/>
      <color theme="1"/>
      <name val="Arial"/>
      <family val="2"/>
    </font>
    <font>
      <sz val="12"/>
      <color theme="1"/>
      <name val="Arial"/>
      <family val="2"/>
    </font>
    <font>
      <sz val="12"/>
      <color rgb="FFFF0000"/>
      <name val="Arial"/>
      <family val="2"/>
    </font>
    <font>
      <b/>
      <sz val="12"/>
      <color rgb="FFFF0000"/>
      <name val="Arial"/>
      <family val="2"/>
    </font>
    <font>
      <b/>
      <sz val="14"/>
      <color theme="1"/>
      <name val="Calibri"/>
      <family val="2"/>
      <scheme val="minor"/>
    </font>
    <font>
      <sz val="22"/>
      <name val="Arial MT"/>
    </font>
    <font>
      <sz val="10"/>
      <name val="Arial"/>
    </font>
  </fonts>
  <fills count="10">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theme="7"/>
      </patternFill>
    </fill>
    <fill>
      <patternFill patternType="solid">
        <fgColor indexed="22"/>
        <bgColor indexed="64"/>
      </patternFill>
    </fill>
    <fill>
      <patternFill patternType="solid">
        <fgColor indexed="26"/>
        <bgColor indexed="64"/>
      </patternFill>
    </fill>
    <fill>
      <patternFill patternType="mediumGray">
        <fgColor indexed="22"/>
      </patternFill>
    </fill>
  </fills>
  <borders count="3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double">
        <color auto="1"/>
      </bottom>
      <diagonal/>
    </border>
    <border>
      <left/>
      <right/>
      <top style="double">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style="thick">
        <color auto="1"/>
      </top>
      <bottom/>
      <diagonal/>
    </border>
    <border>
      <left style="thick">
        <color auto="1"/>
      </left>
      <right style="thick">
        <color auto="1"/>
      </right>
      <top style="thick">
        <color auto="1"/>
      </top>
      <bottom/>
      <diagonal/>
    </border>
    <border>
      <left style="thick">
        <color auto="1"/>
      </left>
      <right/>
      <top/>
      <bottom style="thick">
        <color auto="1"/>
      </bottom>
      <diagonal/>
    </border>
    <border>
      <left style="thick">
        <color auto="1"/>
      </left>
      <right style="thick">
        <color auto="1"/>
      </right>
      <top/>
      <bottom style="thick">
        <color auto="1"/>
      </bottom>
      <diagonal/>
    </border>
    <border>
      <left style="thick">
        <color auto="1"/>
      </left>
      <right style="thick">
        <color auto="1"/>
      </right>
      <top/>
      <bottom/>
      <diagonal/>
    </border>
    <border>
      <left/>
      <right style="thick">
        <color auto="1"/>
      </right>
      <top/>
      <bottom/>
      <diagonal/>
    </border>
    <border>
      <left/>
      <right style="thick">
        <color auto="1"/>
      </right>
      <top/>
      <bottom style="thick">
        <color auto="1"/>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119">
    <xf numFmtId="173" fontId="0" fillId="0" borderId="0" applyProtection="0"/>
    <xf numFmtId="44" fontId="9" fillId="0" borderId="0" applyFont="0" applyFill="0" applyBorder="0" applyAlignment="0" applyProtection="0"/>
    <xf numFmtId="173" fontId="13" fillId="0" borderId="0" applyProtection="0"/>
    <xf numFmtId="43" fontId="13" fillId="0" borderId="0" applyFont="0" applyFill="0" applyBorder="0" applyAlignment="0" applyProtection="0"/>
    <xf numFmtId="9" fontId="13" fillId="0" borderId="0" applyFont="0" applyFill="0" applyBorder="0" applyAlignment="0" applyProtection="0"/>
    <xf numFmtId="0" fontId="16" fillId="0" borderId="0"/>
    <xf numFmtId="0" fontId="9" fillId="0" borderId="0"/>
    <xf numFmtId="0" fontId="9" fillId="0" borderId="0"/>
    <xf numFmtId="0" fontId="24" fillId="6" borderId="0" applyNumberFormat="0" applyBorder="0" applyAlignment="0" applyProtection="0"/>
    <xf numFmtId="173" fontId="26" fillId="0" borderId="0" applyFill="0"/>
    <xf numFmtId="173" fontId="26" fillId="0" borderId="0">
      <alignment horizontal="center"/>
    </xf>
    <xf numFmtId="0" fontId="26" fillId="0" borderId="0" applyFill="0">
      <alignment horizontal="center"/>
    </xf>
    <xf numFmtId="173" fontId="27" fillId="0" borderId="14" applyFill="0"/>
    <xf numFmtId="0" fontId="9" fillId="0" borderId="0" applyFont="0" applyAlignment="0"/>
    <xf numFmtId="0" fontId="28" fillId="0" borderId="0" applyFill="0">
      <alignment vertical="top"/>
    </xf>
    <xf numFmtId="0" fontId="27" fillId="0" borderId="0" applyFill="0">
      <alignment horizontal="left" vertical="top"/>
    </xf>
    <xf numFmtId="173" fontId="25" fillId="0" borderId="7" applyFill="0"/>
    <xf numFmtId="0" fontId="9" fillId="0" borderId="0" applyNumberFormat="0" applyFont="0" applyAlignment="0"/>
    <xf numFmtId="0" fontId="28" fillId="0" borderId="0" applyFill="0">
      <alignment wrapText="1"/>
    </xf>
    <xf numFmtId="0" fontId="27" fillId="0" borderId="0" applyFill="0">
      <alignment horizontal="left" vertical="top" wrapText="1"/>
    </xf>
    <xf numFmtId="173" fontId="29" fillId="0" borderId="0" applyFill="0"/>
    <xf numFmtId="0" fontId="30" fillId="0" borderId="0" applyNumberFormat="0" applyFont="0" applyAlignment="0">
      <alignment horizontal="center"/>
    </xf>
    <xf numFmtId="0" fontId="31" fillId="0" borderId="0" applyFill="0">
      <alignment vertical="top" wrapText="1"/>
    </xf>
    <xf numFmtId="0" fontId="25" fillId="0" borderId="0" applyFill="0">
      <alignment horizontal="left" vertical="top" wrapText="1"/>
    </xf>
    <xf numFmtId="173" fontId="9" fillId="0" borderId="0" applyFill="0"/>
    <xf numFmtId="0" fontId="30" fillId="0" borderId="0" applyNumberFormat="0" applyFont="0" applyAlignment="0">
      <alignment horizontal="center"/>
    </xf>
    <xf numFmtId="0" fontId="32" fillId="0" borderId="0" applyFill="0">
      <alignment vertical="center" wrapText="1"/>
    </xf>
    <xf numFmtId="0" fontId="17" fillId="0" borderId="0">
      <alignment horizontal="left" vertical="center" wrapText="1"/>
    </xf>
    <xf numFmtId="173" fontId="33" fillId="0" borderId="0" applyFill="0"/>
    <xf numFmtId="0" fontId="30" fillId="0" borderId="0" applyNumberFormat="0" applyFont="0" applyAlignment="0">
      <alignment horizontal="center"/>
    </xf>
    <xf numFmtId="0" fontId="34" fillId="0" borderId="0" applyFill="0">
      <alignment horizontal="center" vertical="center" wrapText="1"/>
    </xf>
    <xf numFmtId="0" fontId="9" fillId="0" borderId="0" applyFill="0">
      <alignment horizontal="center" vertical="center" wrapText="1"/>
    </xf>
    <xf numFmtId="0" fontId="9" fillId="0" borderId="0" applyFill="0">
      <alignment horizontal="center" vertical="center" wrapText="1"/>
    </xf>
    <xf numFmtId="173" fontId="35" fillId="0" borderId="0" applyFill="0"/>
    <xf numFmtId="0" fontId="30"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3" fontId="38" fillId="0" borderId="0" applyFill="0"/>
    <xf numFmtId="0" fontId="30" fillId="0" borderId="0" applyNumberFormat="0" applyFont="0" applyAlignment="0">
      <alignment horizontal="center"/>
    </xf>
    <xf numFmtId="0" fontId="39" fillId="0" borderId="0">
      <alignment horizontal="center" wrapText="1"/>
    </xf>
    <xf numFmtId="0" fontId="35" fillId="0" borderId="0" applyFill="0">
      <alignment horizontal="center" wrapText="1"/>
    </xf>
    <xf numFmtId="39" fontId="9"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1" fontId="9" fillId="0" borderId="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0" fontId="41"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9" fillId="0" borderId="0" applyFont="0" applyFill="0" applyBorder="0" applyAlignment="0" applyProtection="0"/>
    <xf numFmtId="7" fontId="9" fillId="0" borderId="0" applyFont="0" applyFill="0" applyBorder="0" applyAlignment="0" applyProtection="0"/>
    <xf numFmtId="8" fontId="41"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0"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4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76" fontId="43" fillId="0" borderId="0"/>
    <xf numFmtId="38" fontId="26" fillId="7" borderId="0" applyNumberFormat="0" applyBorder="0" applyAlignment="0" applyProtection="0"/>
    <xf numFmtId="0" fontId="4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45" fillId="0" borderId="1"/>
    <xf numFmtId="0" fontId="46" fillId="0" borderId="0"/>
    <xf numFmtId="10" fontId="26" fillId="8" borderId="4" applyNumberFormat="0" applyBorder="0" applyAlignment="0" applyProtection="0"/>
    <xf numFmtId="177" fontId="47" fillId="0" borderId="0"/>
    <xf numFmtId="0" fontId="42" fillId="0" borderId="0"/>
    <xf numFmtId="0" fontId="3" fillId="0" borderId="0"/>
    <xf numFmtId="0" fontId="3" fillId="0" borderId="0"/>
    <xf numFmtId="0" fontId="40" fillId="0" borderId="0"/>
    <xf numFmtId="0" fontId="9"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41" fillId="0" borderId="0"/>
    <xf numFmtId="173" fontId="13" fillId="0" borderId="0" applyProtection="0"/>
    <xf numFmtId="0" fontId="9" fillId="0" borderId="0"/>
    <xf numFmtId="0" fontId="9" fillId="0" borderId="0"/>
    <xf numFmtId="0" fontId="9" fillId="0" borderId="0"/>
    <xf numFmtId="0" fontId="3" fillId="0" borderId="0"/>
    <xf numFmtId="173" fontId="13" fillId="0" borderId="0" applyProtection="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9" fillId="0" borderId="0"/>
    <xf numFmtId="0" fontId="40" fillId="0" borderId="0"/>
    <xf numFmtId="0" fontId="40" fillId="0" borderId="0"/>
    <xf numFmtId="0" fontId="3" fillId="0" borderId="0"/>
    <xf numFmtId="0" fontId="9" fillId="0" borderId="0"/>
    <xf numFmtId="173" fontId="13" fillId="0" borderId="0" applyProtection="0"/>
    <xf numFmtId="0" fontId="9" fillId="0" borderId="0"/>
    <xf numFmtId="0" fontId="48" fillId="0" borderId="0"/>
    <xf numFmtId="0" fontId="9"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50" fillId="0" borderId="0"/>
    <xf numFmtId="0" fontId="13" fillId="0" borderId="0"/>
    <xf numFmtId="0" fontId="3" fillId="0" borderId="0"/>
    <xf numFmtId="0" fontId="13" fillId="0" borderId="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40"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3" fontId="9" fillId="0" borderId="0">
      <alignment horizontal="left" vertical="top"/>
    </xf>
    <xf numFmtId="0" fontId="51" fillId="0" borderId="1">
      <alignment horizontal="center"/>
    </xf>
    <xf numFmtId="3" fontId="41" fillId="0" borderId="0" applyFont="0" applyFill="0" applyBorder="0" applyAlignment="0" applyProtection="0"/>
    <xf numFmtId="0" fontId="41" fillId="9" borderId="0" applyNumberFormat="0" applyFont="0" applyBorder="0" applyAlignment="0" applyProtection="0"/>
    <xf numFmtId="3" fontId="9" fillId="0" borderId="0">
      <alignment horizontal="right" vertical="top"/>
    </xf>
    <xf numFmtId="41" fontId="17" fillId="7" borderId="15" applyFill="0"/>
    <xf numFmtId="0" fontId="52" fillId="0" borderId="0">
      <alignment horizontal="left" indent="7"/>
    </xf>
    <xf numFmtId="41" fontId="17" fillId="0" borderId="15" applyFill="0">
      <alignment horizontal="left" indent="2"/>
    </xf>
    <xf numFmtId="173" fontId="53" fillId="0" borderId="3" applyFill="0">
      <alignment horizontal="right"/>
    </xf>
    <xf numFmtId="0" fontId="18" fillId="0" borderId="4" applyNumberFormat="0" applyFont="0" applyBorder="0">
      <alignment horizontal="right"/>
    </xf>
    <xf numFmtId="0" fontId="54" fillId="0" borderId="0" applyFill="0"/>
    <xf numFmtId="0" fontId="25" fillId="0" borderId="0" applyFill="0"/>
    <xf numFmtId="4" fontId="53" fillId="0" borderId="3" applyFill="0"/>
    <xf numFmtId="0" fontId="9" fillId="0" borderId="0" applyNumberFormat="0" applyFont="0" applyBorder="0" applyAlignment="0"/>
    <xf numFmtId="0" fontId="31" fillId="0" borderId="0" applyFill="0">
      <alignment horizontal="left" indent="1"/>
    </xf>
    <xf numFmtId="0" fontId="55" fillId="0" borderId="0" applyFill="0">
      <alignment horizontal="left" indent="1"/>
    </xf>
    <xf numFmtId="4" fontId="33" fillId="0" borderId="0" applyFill="0"/>
    <xf numFmtId="0" fontId="9" fillId="0" borderId="0" applyNumberFormat="0" applyFont="0" applyFill="0" applyBorder="0" applyAlignment="0"/>
    <xf numFmtId="0" fontId="31" fillId="0" borderId="0" applyFill="0">
      <alignment horizontal="left" indent="2"/>
    </xf>
    <xf numFmtId="0" fontId="25" fillId="0" borderId="0" applyFill="0">
      <alignment horizontal="left" indent="2"/>
    </xf>
    <xf numFmtId="4" fontId="33" fillId="0" borderId="0" applyFill="0"/>
    <xf numFmtId="0" fontId="9" fillId="0" borderId="0" applyNumberFormat="0" applyFont="0" applyBorder="0" applyAlignment="0"/>
    <xf numFmtId="0" fontId="56" fillId="0" borderId="0">
      <alignment horizontal="left" indent="3"/>
    </xf>
    <xf numFmtId="0" fontId="57" fillId="0" borderId="0" applyFill="0">
      <alignment horizontal="left" indent="3"/>
    </xf>
    <xf numFmtId="4" fontId="33" fillId="0" borderId="0" applyFill="0"/>
    <xf numFmtId="0" fontId="9" fillId="0" borderId="0" applyNumberFormat="0" applyFont="0" applyBorder="0" applyAlignment="0"/>
    <xf numFmtId="0" fontId="34" fillId="0" borderId="0">
      <alignment horizontal="left" indent="4"/>
    </xf>
    <xf numFmtId="0" fontId="9" fillId="0" borderId="0" applyFill="0">
      <alignment horizontal="left" indent="4"/>
    </xf>
    <xf numFmtId="0" fontId="9" fillId="0" borderId="0" applyFill="0">
      <alignment horizontal="left" indent="4"/>
    </xf>
    <xf numFmtId="4" fontId="35" fillId="0" borderId="0" applyFill="0"/>
    <xf numFmtId="0" fontId="9"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9"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16" fillId="0" borderId="0" applyNumberFormat="0" applyBorder="0" applyAlignment="0"/>
    <xf numFmtId="0" fontId="58" fillId="0" borderId="0" applyNumberFormat="0" applyBorder="0" applyAlignment="0"/>
    <xf numFmtId="0" fontId="59" fillId="0" borderId="0" applyNumberFormat="0" applyBorder="0" applyAlignment="0"/>
    <xf numFmtId="0" fontId="16" fillId="0" borderId="0" applyNumberFormat="0" applyBorder="0" applyAlignment="0"/>
    <xf numFmtId="0" fontId="9"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66" fillId="0" borderId="0"/>
    <xf numFmtId="43" fontId="9" fillId="0" borderId="0" applyFont="0" applyFill="0" applyBorder="0" applyAlignment="0" applyProtection="0"/>
    <xf numFmtId="0" fontId="1" fillId="0" borderId="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9" fillId="0" borderId="0" applyFont="0" applyFill="0" applyBorder="0" applyAlignment="0" applyProtection="0"/>
    <xf numFmtId="0" fontId="9" fillId="0" borderId="0"/>
    <xf numFmtId="0" fontId="9" fillId="0" borderId="0"/>
    <xf numFmtId="173" fontId="13" fillId="0" borderId="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6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0" fontId="66" fillId="0" borderId="0"/>
    <xf numFmtId="43" fontId="9" fillId="0" borderId="0" applyFont="0" applyFill="0" applyBorder="0" applyAlignment="0" applyProtection="0"/>
    <xf numFmtId="0" fontId="66" fillId="0" borderId="0"/>
    <xf numFmtId="43" fontId="9" fillId="0" borderId="0" applyFont="0" applyFill="0" applyBorder="0" applyAlignment="0" applyProtection="0"/>
    <xf numFmtId="0" fontId="66" fillId="0" borderId="0"/>
  </cellStyleXfs>
  <cellXfs count="387">
    <xf numFmtId="173" fontId="0" fillId="0" borderId="0" xfId="0" applyAlignment="1"/>
    <xf numFmtId="172" fontId="4" fillId="2" borderId="0" xfId="0" applyNumberFormat="1" applyFont="1" applyFill="1" applyProtection="1">
      <protection locked="0"/>
    </xf>
    <xf numFmtId="38" fontId="4" fillId="2" borderId="0" xfId="0" applyNumberFormat="1" applyFont="1" applyFill="1" applyBorder="1" applyProtection="1">
      <protection locked="0"/>
    </xf>
    <xf numFmtId="38" fontId="4" fillId="2" borderId="1" xfId="0" applyNumberFormat="1" applyFont="1" applyFill="1" applyBorder="1" applyProtection="1">
      <protection locked="0"/>
    </xf>
    <xf numFmtId="38" fontId="4" fillId="0" borderId="0" xfId="0" applyNumberFormat="1" applyFont="1" applyFill="1" applyBorder="1" applyProtection="1"/>
    <xf numFmtId="170" fontId="4" fillId="2" borderId="0" xfId="0" applyNumberFormat="1" applyFont="1" applyFill="1" applyBorder="1" applyAlignment="1" applyProtection="1">
      <protection locked="0"/>
    </xf>
    <xf numFmtId="3" fontId="4" fillId="0" borderId="0" xfId="0" applyNumberFormat="1" applyFont="1" applyAlignment="1" applyProtection="1"/>
    <xf numFmtId="170" fontId="4" fillId="0" borderId="0" xfId="0" applyNumberFormat="1" applyFont="1" applyFill="1" applyBorder="1" applyAlignment="1" applyProtection="1"/>
    <xf numFmtId="3" fontId="4" fillId="0" borderId="0" xfId="0" applyNumberFormat="1" applyFont="1" applyFill="1" applyAlignment="1" applyProtection="1"/>
    <xf numFmtId="0" fontId="4" fillId="2" borderId="0" xfId="0" applyNumberFormat="1" applyFont="1" applyFill="1" applyAlignment="1" applyProtection="1">
      <alignment horizontal="right"/>
      <protection locked="0"/>
    </xf>
    <xf numFmtId="10" fontId="4" fillId="2" borderId="0" xfId="0" applyNumberFormat="1" applyFont="1" applyFill="1" applyAlignment="1" applyProtection="1">
      <alignment vertical="top" wrapText="1"/>
      <protection locked="0"/>
    </xf>
    <xf numFmtId="170" fontId="4" fillId="2" borderId="1" xfId="0" applyNumberFormat="1" applyFont="1" applyFill="1" applyBorder="1" applyAlignment="1" applyProtection="1">
      <protection locked="0"/>
    </xf>
    <xf numFmtId="173" fontId="4" fillId="0" borderId="0" xfId="0" applyFont="1" applyAlignment="1" applyProtection="1"/>
    <xf numFmtId="0" fontId="4" fillId="0" borderId="0" xfId="0" applyNumberFormat="1" applyFont="1" applyAlignment="1" applyProtection="1"/>
    <xf numFmtId="3" fontId="4" fillId="0" borderId="0" xfId="0" applyNumberFormat="1" applyFont="1" applyProtection="1"/>
    <xf numFmtId="42" fontId="4" fillId="0" borderId="0" xfId="0" applyNumberFormat="1" applyFont="1" applyFill="1" applyProtection="1"/>
    <xf numFmtId="166" fontId="4" fillId="0" borderId="0" xfId="0" applyNumberFormat="1" applyFont="1" applyAlignment="1" applyProtection="1"/>
    <xf numFmtId="3" fontId="4" fillId="0" borderId="1" xfId="0" applyNumberFormat="1" applyFont="1" applyBorder="1" applyAlignment="1" applyProtection="1"/>
    <xf numFmtId="3" fontId="4" fillId="0" borderId="5" xfId="0" applyNumberFormat="1" applyFont="1" applyBorder="1" applyAlignment="1" applyProtection="1"/>
    <xf numFmtId="42" fontId="4" fillId="0" borderId="2" xfId="0" applyNumberFormat="1" applyFont="1" applyBorder="1" applyAlignment="1" applyProtection="1">
      <alignment horizontal="right"/>
    </xf>
    <xf numFmtId="168" fontId="4" fillId="0" borderId="0" xfId="0" applyNumberFormat="1" applyFont="1" applyProtection="1"/>
    <xf numFmtId="172" fontId="4" fillId="0" borderId="0" xfId="0" applyNumberFormat="1" applyFont="1" applyAlignment="1" applyProtection="1"/>
    <xf numFmtId="172" fontId="4" fillId="0" borderId="0" xfId="0" applyNumberFormat="1" applyFont="1" applyFill="1" applyAlignment="1" applyProtection="1"/>
    <xf numFmtId="172" fontId="4" fillId="0" borderId="0" xfId="0" applyNumberFormat="1" applyFont="1" applyProtection="1"/>
    <xf numFmtId="165" fontId="4" fillId="0" borderId="0" xfId="0" applyNumberFormat="1" applyFont="1" applyAlignment="1" applyProtection="1"/>
    <xf numFmtId="164" fontId="4" fillId="0" borderId="0" xfId="0" applyNumberFormat="1" applyFont="1" applyAlignment="1" applyProtection="1">
      <alignment horizontal="center"/>
    </xf>
    <xf numFmtId="165" fontId="4" fillId="0" borderId="0" xfId="0" applyNumberFormat="1" applyFont="1" applyFill="1" applyAlignment="1" applyProtection="1">
      <alignment horizontal="right"/>
    </xf>
    <xf numFmtId="3" fontId="4" fillId="0" borderId="2" xfId="0" applyNumberFormat="1" applyFont="1" applyBorder="1" applyAlignment="1" applyProtection="1"/>
    <xf numFmtId="3" fontId="4" fillId="0" borderId="0" xfId="0" applyNumberFormat="1" applyFont="1" applyBorder="1" applyAlignment="1" applyProtection="1"/>
    <xf numFmtId="171" fontId="4" fillId="0" borderId="0" xfId="0" applyNumberFormat="1" applyFont="1" applyFill="1" applyAlignment="1" applyProtection="1">
      <alignment horizontal="left"/>
    </xf>
    <xf numFmtId="165" fontId="4" fillId="0" borderId="0" xfId="0" applyNumberFormat="1" applyFont="1" applyFill="1" applyAlignment="1" applyProtection="1"/>
    <xf numFmtId="10" fontId="4" fillId="0" borderId="0" xfId="0" applyNumberFormat="1" applyFont="1" applyFill="1" applyAlignment="1" applyProtection="1">
      <alignment horizontal="right"/>
    </xf>
    <xf numFmtId="169" fontId="4" fillId="0" borderId="0" xfId="0" applyNumberFormat="1" applyFont="1" applyFill="1" applyAlignment="1" applyProtection="1">
      <alignment horizontal="right"/>
    </xf>
    <xf numFmtId="3" fontId="4" fillId="0" borderId="0" xfId="0" applyNumberFormat="1" applyFont="1" applyFill="1" applyAlignment="1" applyProtection="1">
      <alignment horizontal="right"/>
    </xf>
    <xf numFmtId="3" fontId="4" fillId="0" borderId="2" xfId="0" applyNumberFormat="1" applyFont="1" applyFill="1" applyBorder="1" applyAlignment="1" applyProtection="1"/>
    <xf numFmtId="165" fontId="4" fillId="0" borderId="0" xfId="0" applyNumberFormat="1" applyFont="1" applyFill="1" applyProtection="1"/>
    <xf numFmtId="166" fontId="4" fillId="0" borderId="0" xfId="0" applyNumberFormat="1" applyFont="1" applyFill="1" applyProtection="1"/>
    <xf numFmtId="4" fontId="4" fillId="0" borderId="0" xfId="0" applyNumberFormat="1" applyFont="1" applyAlignment="1" applyProtection="1"/>
    <xf numFmtId="166" fontId="4" fillId="0" borderId="0" xfId="0" applyNumberFormat="1" applyFont="1" applyFill="1" applyAlignment="1" applyProtection="1"/>
    <xf numFmtId="9" fontId="4" fillId="0" borderId="0" xfId="0" applyNumberFormat="1" applyFont="1" applyAlignment="1" applyProtection="1"/>
    <xf numFmtId="169" fontId="4" fillId="0" borderId="0" xfId="0" applyNumberFormat="1" applyFont="1" applyAlignment="1" applyProtection="1"/>
    <xf numFmtId="169" fontId="4" fillId="0" borderId="1" xfId="0" applyNumberFormat="1" applyFont="1" applyBorder="1" applyAlignment="1" applyProtection="1"/>
    <xf numFmtId="0" fontId="17" fillId="0" borderId="0" xfId="5" applyFont="1" applyBorder="1" applyAlignment="1" applyProtection="1">
      <alignment horizontal="center" wrapText="1"/>
      <protection locked="0"/>
    </xf>
    <xf numFmtId="170" fontId="17" fillId="0" borderId="0" xfId="5" applyNumberFormat="1" applyFont="1" applyBorder="1" applyAlignment="1" applyProtection="1">
      <alignment horizontal="center" wrapText="1"/>
      <protection locked="0"/>
    </xf>
    <xf numFmtId="173" fontId="4" fillId="0" borderId="0" xfId="0" applyFont="1" applyAlignment="1" applyProtection="1">
      <protection locked="0"/>
    </xf>
    <xf numFmtId="0" fontId="15" fillId="0" borderId="3" xfId="0" applyNumberFormat="1" applyFont="1" applyBorder="1" applyProtection="1">
      <protection locked="0"/>
    </xf>
    <xf numFmtId="0" fontId="13" fillId="0" borderId="3" xfId="0" applyNumberFormat="1" applyFont="1" applyBorder="1" applyAlignment="1" applyProtection="1">
      <protection locked="0"/>
    </xf>
    <xf numFmtId="0" fontId="13" fillId="0" borderId="3" xfId="0" applyNumberFormat="1" applyFont="1" applyBorder="1" applyProtection="1">
      <protection locked="0"/>
    </xf>
    <xf numFmtId="0" fontId="18" fillId="0" borderId="4" xfId="0" applyNumberFormat="1" applyFont="1" applyBorder="1" applyAlignment="1" applyProtection="1">
      <alignment horizontal="left"/>
      <protection locked="0"/>
    </xf>
    <xf numFmtId="0" fontId="18" fillId="0" borderId="4" xfId="0" applyNumberFormat="1" applyFont="1" applyFill="1" applyBorder="1" applyAlignment="1" applyProtection="1">
      <alignment horizontal="left"/>
      <protection locked="0"/>
    </xf>
    <xf numFmtId="3" fontId="4" fillId="2" borderId="0" xfId="0" applyNumberFormat="1" applyFont="1" applyFill="1" applyAlignment="1" applyProtection="1">
      <protection locked="0"/>
    </xf>
    <xf numFmtId="3" fontId="4" fillId="5" borderId="0" xfId="0" applyNumberFormat="1" applyFont="1" applyFill="1" applyAlignment="1" applyProtection="1">
      <protection locked="0"/>
    </xf>
    <xf numFmtId="3" fontId="4" fillId="2" borderId="1" xfId="0" applyNumberFormat="1" applyFont="1" applyFill="1" applyBorder="1" applyProtection="1">
      <protection locked="0"/>
    </xf>
    <xf numFmtId="3" fontId="4" fillId="2" borderId="0" xfId="0" applyNumberFormat="1" applyFont="1" applyFill="1" applyBorder="1" applyProtection="1">
      <protection locked="0"/>
    </xf>
    <xf numFmtId="3" fontId="4" fillId="2" borderId="0" xfId="0" applyNumberFormat="1" applyFont="1" applyFill="1" applyProtection="1">
      <protection locked="0"/>
    </xf>
    <xf numFmtId="3" fontId="4" fillId="2" borderId="1" xfId="0" applyNumberFormat="1" applyFont="1" applyFill="1" applyBorder="1" applyAlignment="1" applyProtection="1">
      <protection locked="0"/>
    </xf>
    <xf numFmtId="3" fontId="4" fillId="2" borderId="0" xfId="0" applyNumberFormat="1" applyFont="1" applyFill="1" applyBorder="1" applyAlignment="1" applyProtection="1">
      <protection locked="0"/>
    </xf>
    <xf numFmtId="170" fontId="4" fillId="2" borderId="0" xfId="0" applyNumberFormat="1" applyFont="1" applyFill="1" applyAlignment="1" applyProtection="1">
      <protection locked="0"/>
    </xf>
    <xf numFmtId="42" fontId="4" fillId="2" borderId="0" xfId="0" applyNumberFormat="1" applyFont="1" applyFill="1" applyAlignment="1" applyProtection="1">
      <protection locked="0"/>
    </xf>
    <xf numFmtId="170" fontId="4" fillId="2" borderId="0" xfId="0" applyNumberFormat="1" applyFont="1" applyFill="1" applyBorder="1" applyProtection="1">
      <protection locked="0"/>
    </xf>
    <xf numFmtId="173" fontId="4" fillId="0" borderId="0" xfId="0" applyFont="1" applyBorder="1" applyAlignment="1" applyProtection="1">
      <protection locked="0"/>
    </xf>
    <xf numFmtId="173" fontId="5" fillId="0" borderId="3" xfId="0" applyFont="1" applyBorder="1" applyAlignment="1" applyProtection="1">
      <protection locked="0"/>
    </xf>
    <xf numFmtId="173" fontId="4" fillId="0" borderId="3" xfId="0" applyFont="1" applyBorder="1" applyAlignment="1" applyProtection="1">
      <protection locked="0"/>
    </xf>
    <xf numFmtId="170" fontId="9" fillId="0" borderId="0" xfId="7" applyNumberFormat="1" applyBorder="1" applyProtection="1">
      <protection locked="0"/>
    </xf>
    <xf numFmtId="10" fontId="9" fillId="0" borderId="0" xfId="7" applyNumberFormat="1" applyBorder="1" applyProtection="1">
      <protection locked="0"/>
    </xf>
    <xf numFmtId="0" fontId="17" fillId="0" borderId="0" xfId="5" applyFont="1" applyBorder="1" applyAlignment="1" applyProtection="1">
      <alignment horizontal="right"/>
      <protection locked="0"/>
    </xf>
    <xf numFmtId="10" fontId="17" fillId="0" borderId="0" xfId="4" applyNumberFormat="1" applyFont="1" applyBorder="1" applyProtection="1">
      <protection locked="0"/>
    </xf>
    <xf numFmtId="175" fontId="17" fillId="0" borderId="0" xfId="3" applyNumberFormat="1" applyFont="1" applyBorder="1" applyProtection="1">
      <protection locked="0"/>
    </xf>
    <xf numFmtId="170" fontId="9" fillId="3" borderId="4" xfId="0" applyNumberFormat="1" applyFont="1" applyFill="1" applyBorder="1" applyProtection="1">
      <protection locked="0"/>
    </xf>
    <xf numFmtId="0" fontId="18" fillId="0" borderId="4" xfId="0" applyNumberFormat="1" applyFont="1" applyBorder="1" applyAlignment="1" applyProtection="1">
      <alignment horizontal="left" vertical="center"/>
      <protection locked="0"/>
    </xf>
    <xf numFmtId="10" fontId="9" fillId="0" borderId="4" xfId="0" applyNumberFormat="1" applyFont="1" applyBorder="1" applyProtection="1"/>
    <xf numFmtId="9" fontId="9" fillId="0" borderId="4" xfId="0" applyNumberFormat="1" applyFont="1" applyBorder="1" applyProtection="1"/>
    <xf numFmtId="3" fontId="9" fillId="4" borderId="4" xfId="0" applyNumberFormat="1" applyFont="1" applyFill="1" applyBorder="1" applyProtection="1"/>
    <xf numFmtId="3" fontId="9" fillId="0" borderId="4" xfId="0" applyNumberFormat="1" applyFont="1" applyBorder="1" applyProtection="1"/>
    <xf numFmtId="175" fontId="4" fillId="0" borderId="0" xfId="3" applyNumberFormat="1" applyFont="1" applyAlignment="1" applyProtection="1"/>
    <xf numFmtId="169" fontId="4" fillId="2" borderId="0" xfId="0" applyNumberFormat="1" applyFont="1" applyFill="1" applyAlignment="1" applyProtection="1"/>
    <xf numFmtId="10" fontId="22" fillId="3" borderId="10" xfId="4" applyNumberFormat="1" applyFont="1" applyFill="1" applyBorder="1" applyAlignment="1" applyProtection="1">
      <protection locked="0"/>
    </xf>
    <xf numFmtId="44" fontId="9" fillId="0" borderId="4" xfId="0" applyNumberFormat="1" applyFont="1" applyBorder="1" applyProtection="1"/>
    <xf numFmtId="170" fontId="9" fillId="0" borderId="4" xfId="0" applyNumberFormat="1" applyFont="1" applyBorder="1" applyProtection="1"/>
    <xf numFmtId="0" fontId="13" fillId="0" borderId="0" xfId="0" applyNumberFormat="1" applyFont="1" applyBorder="1" applyProtection="1">
      <protection locked="0"/>
    </xf>
    <xf numFmtId="0" fontId="13" fillId="0" borderId="0" xfId="0" applyNumberFormat="1" applyFont="1" applyBorder="1" applyAlignment="1" applyProtection="1">
      <protection locked="0"/>
    </xf>
    <xf numFmtId="0" fontId="4" fillId="0" borderId="0" xfId="0" applyNumberFormat="1" applyFont="1" applyAlignment="1" applyProtection="1">
      <protection locked="0"/>
    </xf>
    <xf numFmtId="0" fontId="4" fillId="0" borderId="0" xfId="0" applyNumberFormat="1" applyFont="1" applyAlignment="1" applyProtection="1">
      <alignment horizontal="left"/>
      <protection locked="0"/>
    </xf>
    <xf numFmtId="0" fontId="4" fillId="0" borderId="0" xfId="0" applyNumberFormat="1" applyFont="1" applyProtection="1">
      <protection locked="0"/>
    </xf>
    <xf numFmtId="0" fontId="4" fillId="0" borderId="0" xfId="0" applyNumberFormat="1" applyFont="1" applyAlignment="1" applyProtection="1">
      <alignment horizontal="right"/>
      <protection locked="0"/>
    </xf>
    <xf numFmtId="0" fontId="4" fillId="0" borderId="0" xfId="0" applyNumberFormat="1" applyFont="1" applyFill="1" applyAlignment="1" applyProtection="1">
      <alignment horizontal="right"/>
      <protection locked="0"/>
    </xf>
    <xf numFmtId="0" fontId="4" fillId="0" borderId="0" xfId="0" applyNumberFormat="1" applyFont="1" applyFill="1" applyProtection="1">
      <protection locked="0"/>
    </xf>
    <xf numFmtId="0" fontId="4" fillId="2" borderId="0" xfId="0" applyNumberFormat="1" applyFont="1" applyFill="1" applyProtection="1">
      <protection locked="0"/>
    </xf>
    <xf numFmtId="173" fontId="4" fillId="2" borderId="0" xfId="0" applyFont="1" applyFill="1" applyAlignment="1" applyProtection="1">
      <protection locked="0"/>
    </xf>
    <xf numFmtId="3" fontId="4" fillId="0" borderId="0" xfId="0" applyNumberFormat="1" applyFont="1" applyAlignment="1" applyProtection="1">
      <protection locked="0"/>
    </xf>
    <xf numFmtId="0" fontId="4" fillId="0" borderId="0" xfId="0" applyNumberFormat="1" applyFont="1" applyAlignment="1" applyProtection="1">
      <alignment horizontal="center"/>
      <protection locked="0"/>
    </xf>
    <xf numFmtId="49" fontId="4" fillId="2" borderId="0" xfId="0" applyNumberFormat="1" applyFont="1" applyFill="1" applyProtection="1">
      <protection locked="0"/>
    </xf>
    <xf numFmtId="173" fontId="21" fillId="0" borderId="0" xfId="0" applyFont="1" applyBorder="1" applyAlignment="1" applyProtection="1">
      <alignment vertical="center" wrapText="1"/>
      <protection locked="0"/>
    </xf>
    <xf numFmtId="49" fontId="4" fillId="0" borderId="0" xfId="0" applyNumberFormat="1" applyFont="1" applyProtection="1">
      <protection locked="0"/>
    </xf>
    <xf numFmtId="0" fontId="4" fillId="0" borderId="1" xfId="0" applyNumberFormat="1" applyFont="1" applyBorder="1" applyAlignment="1" applyProtection="1">
      <alignment horizontal="center"/>
      <protection locked="0"/>
    </xf>
    <xf numFmtId="3" fontId="4" fillId="0" borderId="0" xfId="0" applyNumberFormat="1" applyFont="1" applyProtection="1">
      <protection locked="0"/>
    </xf>
    <xf numFmtId="3" fontId="4" fillId="0" borderId="0" xfId="0" applyNumberFormat="1" applyFont="1" applyFill="1" applyAlignment="1" applyProtection="1">
      <protection locked="0"/>
    </xf>
    <xf numFmtId="0" fontId="4" fillId="0" borderId="1" xfId="0" applyNumberFormat="1" applyFont="1" applyBorder="1" applyAlignment="1" applyProtection="1">
      <alignment horizontal="centerContinuous"/>
      <protection locked="0"/>
    </xf>
    <xf numFmtId="166" fontId="4" fillId="0" borderId="0" xfId="0" applyNumberFormat="1" applyFont="1" applyAlignment="1" applyProtection="1">
      <protection locked="0"/>
    </xf>
    <xf numFmtId="3" fontId="4" fillId="0" borderId="0" xfId="0" applyNumberFormat="1" applyFont="1" applyFill="1" applyBorder="1" applyProtection="1">
      <protection locked="0"/>
    </xf>
    <xf numFmtId="3" fontId="4" fillId="0" borderId="1" xfId="0" applyNumberFormat="1" applyFont="1" applyBorder="1" applyAlignment="1" applyProtection="1">
      <protection locked="0"/>
    </xf>
    <xf numFmtId="3" fontId="4" fillId="0" borderId="0" xfId="0" applyNumberFormat="1" applyFont="1" applyAlignment="1" applyProtection="1">
      <alignment horizontal="fill"/>
      <protection locked="0"/>
    </xf>
    <xf numFmtId="3" fontId="9" fillId="4" borderId="4" xfId="0" applyNumberFormat="1" applyFont="1" applyFill="1" applyBorder="1" applyProtection="1">
      <protection locked="0"/>
    </xf>
    <xf numFmtId="3" fontId="9" fillId="3" borderId="4" xfId="0" applyNumberFormat="1" applyFont="1" applyFill="1" applyBorder="1" applyProtection="1">
      <protection locked="0"/>
    </xf>
    <xf numFmtId="3" fontId="9" fillId="4" borderId="4" xfId="6" applyNumberFormat="1" applyFont="1" applyFill="1" applyBorder="1" applyProtection="1">
      <protection locked="0"/>
    </xf>
    <xf numFmtId="168" fontId="4" fillId="0" borderId="0" xfId="0" applyNumberFormat="1" applyFont="1" applyProtection="1">
      <protection locked="0"/>
    </xf>
    <xf numFmtId="168" fontId="4" fillId="0" borderId="0" xfId="0" applyNumberFormat="1" applyFont="1" applyAlignment="1" applyProtection="1">
      <alignment horizontal="center"/>
      <protection locked="0"/>
    </xf>
    <xf numFmtId="173" fontId="4" fillId="0" borderId="0" xfId="0" applyFont="1" applyAlignment="1" applyProtection="1">
      <alignment horizontal="center"/>
      <protection locked="0"/>
    </xf>
    <xf numFmtId="0" fontId="4" fillId="0" borderId="0" xfId="0" applyNumberFormat="1" applyFont="1" applyFill="1" applyAlignment="1" applyProtection="1">
      <alignment horizontal="left"/>
      <protection locked="0"/>
    </xf>
    <xf numFmtId="172" fontId="4" fillId="0" borderId="0" xfId="0" applyNumberFormat="1" applyFont="1" applyProtection="1">
      <protection locked="0"/>
    </xf>
    <xf numFmtId="0" fontId="4" fillId="0" borderId="0" xfId="0" applyNumberFormat="1" applyFont="1" applyFill="1" applyAlignment="1" applyProtection="1">
      <alignment horizontal="center"/>
      <protection locked="0"/>
    </xf>
    <xf numFmtId="0" fontId="4" fillId="0" borderId="0" xfId="0" applyNumberFormat="1" applyFont="1" applyFill="1" applyAlignment="1" applyProtection="1">
      <protection locked="0"/>
    </xf>
    <xf numFmtId="172" fontId="4" fillId="0" borderId="0" xfId="0" applyNumberFormat="1" applyFont="1" applyFill="1" applyProtection="1">
      <protection locked="0"/>
    </xf>
    <xf numFmtId="173" fontId="4" fillId="0" borderId="0" xfId="0" applyFont="1" applyFill="1" applyAlignment="1" applyProtection="1">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center"/>
      <protection locked="0"/>
    </xf>
    <xf numFmtId="3" fontId="5" fillId="0" borderId="0" xfId="0" applyNumberFormat="1" applyFont="1" applyAlignment="1" applyProtection="1">
      <alignment horizontal="center"/>
      <protection locked="0"/>
    </xf>
    <xf numFmtId="0" fontId="5" fillId="0" borderId="0" xfId="0" applyNumberFormat="1" applyFont="1" applyAlignment="1" applyProtection="1">
      <alignment horizontal="center"/>
      <protection locked="0"/>
    </xf>
    <xf numFmtId="173" fontId="5" fillId="0" borderId="0" xfId="0" applyFont="1" applyAlignment="1" applyProtection="1">
      <alignment horizontal="center"/>
      <protection locked="0"/>
    </xf>
    <xf numFmtId="3" fontId="5" fillId="0" borderId="0" xfId="0" applyNumberFormat="1" applyFont="1" applyAlignment="1" applyProtection="1">
      <protection locked="0"/>
    </xf>
    <xf numFmtId="0" fontId="5" fillId="0" borderId="0" xfId="0" applyNumberFormat="1" applyFont="1" applyAlignment="1" applyProtection="1">
      <protection locked="0"/>
    </xf>
    <xf numFmtId="165" fontId="4" fillId="0" borderId="0" xfId="0" applyNumberFormat="1" applyFont="1" applyAlignment="1" applyProtection="1">
      <protection locked="0"/>
    </xf>
    <xf numFmtId="10" fontId="9" fillId="0" borderId="4" xfId="0" applyNumberFormat="1" applyFont="1" applyBorder="1" applyProtection="1">
      <protection locked="0"/>
    </xf>
    <xf numFmtId="164" fontId="4" fillId="0" borderId="0" xfId="0" applyNumberFormat="1" applyFont="1" applyAlignment="1" applyProtection="1">
      <alignment horizontal="center"/>
      <protection locked="0"/>
    </xf>
    <xf numFmtId="164" fontId="4" fillId="0" borderId="0" xfId="0" applyNumberFormat="1" applyFont="1" applyFill="1" applyAlignment="1" applyProtection="1">
      <alignment horizontal="center"/>
      <protection locked="0"/>
    </xf>
    <xf numFmtId="165" fontId="4" fillId="0" borderId="0" xfId="0" applyNumberFormat="1" applyFont="1" applyFill="1" applyAlignment="1" applyProtection="1">
      <alignment horizontal="right"/>
      <protection locked="0"/>
    </xf>
    <xf numFmtId="173" fontId="14" fillId="0" borderId="0" xfId="0" applyFont="1" applyAlignment="1" applyProtection="1">
      <protection locked="0"/>
    </xf>
    <xf numFmtId="173" fontId="4" fillId="0" borderId="1" xfId="0" applyFont="1" applyBorder="1" applyAlignment="1" applyProtection="1">
      <protection locked="0"/>
    </xf>
    <xf numFmtId="3" fontId="4" fillId="0" borderId="0" xfId="0" applyNumberFormat="1" applyFont="1" applyBorder="1" applyAlignment="1" applyProtection="1">
      <protection locked="0"/>
    </xf>
    <xf numFmtId="0" fontId="5" fillId="0" borderId="0" xfId="0" applyNumberFormat="1" applyFont="1" applyFill="1" applyAlignment="1" applyProtection="1">
      <alignment horizontal="center"/>
      <protection locked="0"/>
    </xf>
    <xf numFmtId="3" fontId="7" fillId="0" borderId="0" xfId="0" applyNumberFormat="1" applyFont="1" applyAlignment="1" applyProtection="1">
      <protection locked="0"/>
    </xf>
    <xf numFmtId="166" fontId="4" fillId="0" borderId="0" xfId="0" applyNumberFormat="1" applyFont="1" applyFill="1" applyAlignment="1" applyProtection="1">
      <alignment horizontal="right"/>
      <protection locked="0"/>
    </xf>
    <xf numFmtId="166" fontId="4" fillId="0" borderId="0" xfId="0" applyNumberFormat="1" applyFont="1" applyAlignment="1" applyProtection="1">
      <alignment horizontal="center"/>
      <protection locked="0"/>
    </xf>
    <xf numFmtId="164" fontId="4" fillId="0" borderId="0" xfId="0" applyNumberFormat="1" applyFont="1" applyAlignment="1" applyProtection="1">
      <alignment horizontal="left"/>
      <protection locked="0"/>
    </xf>
    <xf numFmtId="10" fontId="4" fillId="0" borderId="0" xfId="0" applyNumberFormat="1" applyFont="1" applyAlignment="1" applyProtection="1">
      <alignment horizontal="left"/>
      <protection locked="0"/>
    </xf>
    <xf numFmtId="3" fontId="4" fillId="0" borderId="0" xfId="0" applyNumberFormat="1" applyFont="1" applyFill="1" applyAlignment="1" applyProtection="1">
      <alignment horizontal="left"/>
      <protection locked="0"/>
    </xf>
    <xf numFmtId="3" fontId="4" fillId="0" borderId="0" xfId="0" applyNumberFormat="1" applyFont="1" applyFill="1" applyAlignment="1" applyProtection="1">
      <alignment horizontal="right"/>
      <protection locked="0"/>
    </xf>
    <xf numFmtId="167" fontId="4" fillId="0" borderId="0" xfId="0" applyNumberFormat="1" applyFont="1" applyAlignment="1" applyProtection="1">
      <protection locked="0"/>
    </xf>
    <xf numFmtId="3" fontId="4" fillId="0" borderId="0" xfId="0" applyNumberFormat="1" applyFont="1" applyFill="1" applyBorder="1" applyAlignment="1" applyProtection="1">
      <protection locked="0"/>
    </xf>
    <xf numFmtId="173" fontId="4" fillId="0" borderId="0" xfId="0" applyFont="1" applyFill="1" applyBorder="1" applyAlignment="1" applyProtection="1">
      <protection locked="0"/>
    </xf>
    <xf numFmtId="0" fontId="4" fillId="0" borderId="1" xfId="0" applyNumberFormat="1" applyFont="1" applyFill="1" applyBorder="1" applyProtection="1">
      <protection locked="0"/>
    </xf>
    <xf numFmtId="3" fontId="4" fillId="0" borderId="0" xfId="0" applyNumberFormat="1" applyFont="1" applyFill="1" applyAlignment="1" applyProtection="1">
      <alignment horizontal="center"/>
      <protection locked="0"/>
    </xf>
    <xf numFmtId="49" fontId="4" fillId="0" borderId="0" xfId="0" applyNumberFormat="1" applyFont="1" applyFill="1" applyProtection="1">
      <protection locked="0"/>
    </xf>
    <xf numFmtId="49" fontId="4" fillId="0" borderId="0" xfId="0" applyNumberFormat="1" applyFont="1" applyFill="1" applyBorder="1" applyAlignment="1" applyProtection="1">
      <protection locked="0"/>
    </xf>
    <xf numFmtId="49" fontId="4" fillId="0" borderId="0" xfId="0" applyNumberFormat="1" applyFont="1" applyFill="1" applyAlignment="1" applyProtection="1">
      <protection locked="0"/>
    </xf>
    <xf numFmtId="49" fontId="4" fillId="0" borderId="0" xfId="0" applyNumberFormat="1" applyFont="1" applyFill="1" applyAlignment="1" applyProtection="1">
      <alignment horizontal="center"/>
      <protection locked="0"/>
    </xf>
    <xf numFmtId="173" fontId="8" fillId="0" borderId="0" xfId="0" applyFont="1" applyFill="1" applyBorder="1" applyAlignment="1" applyProtection="1">
      <protection locked="0"/>
    </xf>
    <xf numFmtId="0" fontId="4" fillId="0" borderId="0" xfId="0" applyNumberFormat="1" applyFont="1" applyFill="1" applyBorder="1" applyProtection="1">
      <protection locked="0"/>
    </xf>
    <xf numFmtId="0" fontId="0" fillId="0" borderId="0" xfId="0" applyNumberFormat="1" applyFont="1" applyFill="1" applyBorder="1" applyAlignment="1" applyProtection="1">
      <protection locked="0"/>
    </xf>
    <xf numFmtId="173" fontId="0" fillId="0" borderId="0" xfId="0" applyFont="1" applyFill="1" applyBorder="1" applyAlignment="1" applyProtection="1">
      <protection locked="0"/>
    </xf>
    <xf numFmtId="3" fontId="0" fillId="0" borderId="0" xfId="0" applyNumberFormat="1" applyFont="1" applyFill="1" applyBorder="1" applyAlignment="1" applyProtection="1">
      <protection locked="0"/>
    </xf>
    <xf numFmtId="0" fontId="0" fillId="0" borderId="0" xfId="0" applyNumberFormat="1" applyFill="1" applyBorder="1" applyAlignment="1" applyProtection="1">
      <alignment horizontal="left"/>
      <protection locked="0"/>
    </xf>
    <xf numFmtId="0" fontId="0" fillId="0" borderId="0" xfId="0" applyNumberFormat="1" applyFont="1" applyFill="1" applyBorder="1" applyAlignment="1" applyProtection="1">
      <alignment horizontal="center"/>
      <protection locked="0"/>
    </xf>
    <xf numFmtId="173" fontId="0" fillId="0" borderId="0" xfId="0" applyFill="1" applyBorder="1" applyAlignment="1" applyProtection="1">
      <protection locked="0"/>
    </xf>
    <xf numFmtId="174" fontId="0" fillId="0" borderId="0" xfId="1" applyNumberFormat="1" applyFont="1" applyFill="1" applyBorder="1" applyAlignment="1" applyProtection="1">
      <protection locked="0"/>
    </xf>
    <xf numFmtId="3" fontId="10" fillId="0" borderId="0" xfId="0" applyNumberFormat="1" applyFont="1" applyFill="1" applyBorder="1" applyAlignment="1" applyProtection="1">
      <protection locked="0"/>
    </xf>
    <xf numFmtId="170" fontId="0" fillId="0" borderId="0" xfId="0" applyNumberFormat="1" applyFill="1" applyBorder="1" applyAlignment="1" applyProtection="1">
      <protection locked="0"/>
    </xf>
    <xf numFmtId="173" fontId="10" fillId="0" borderId="0" xfId="0" applyFont="1" applyFill="1" applyBorder="1" applyAlignment="1" applyProtection="1">
      <protection locked="0"/>
    </xf>
    <xf numFmtId="173" fontId="11" fillId="0" borderId="0" xfId="0" applyFont="1" applyFill="1" applyBorder="1" applyAlignment="1" applyProtection="1">
      <protection locked="0"/>
    </xf>
    <xf numFmtId="173" fontId="12" fillId="0" borderId="0" xfId="0" applyFont="1" applyFill="1" applyBorder="1" applyProtection="1">
      <protection locked="0"/>
    </xf>
    <xf numFmtId="173" fontId="10" fillId="0" borderId="0" xfId="0" applyFont="1" applyFill="1" applyBorder="1" applyProtection="1">
      <protection locked="0"/>
    </xf>
    <xf numFmtId="3" fontId="4" fillId="0" borderId="0" xfId="0" applyNumberFormat="1" applyFont="1" applyAlignment="1" applyProtection="1">
      <alignment horizontal="center"/>
      <protection locked="0"/>
    </xf>
    <xf numFmtId="174" fontId="13" fillId="0" borderId="0" xfId="1" applyNumberFormat="1" applyFont="1" applyFill="1" applyBorder="1" applyAlignment="1" applyProtection="1">
      <protection locked="0"/>
    </xf>
    <xf numFmtId="3" fontId="4" fillId="0" borderId="1" xfId="0" applyNumberFormat="1" applyFont="1" applyBorder="1" applyAlignment="1" applyProtection="1">
      <alignment horizontal="center"/>
      <protection locked="0"/>
    </xf>
    <xf numFmtId="173" fontId="10" fillId="0" borderId="0" xfId="0" applyFont="1" applyFill="1" applyBorder="1" applyAlignment="1" applyProtection="1">
      <alignment horizontal="left" wrapText="1"/>
      <protection locked="0"/>
    </xf>
    <xf numFmtId="4" fontId="4" fillId="0" borderId="0" xfId="0" applyNumberFormat="1" applyFont="1" applyAlignment="1" applyProtection="1">
      <protection locked="0"/>
    </xf>
    <xf numFmtId="170" fontId="0" fillId="0" borderId="0" xfId="0" applyNumberFormat="1" applyFont="1" applyFill="1" applyBorder="1" applyAlignment="1" applyProtection="1">
      <protection locked="0"/>
    </xf>
    <xf numFmtId="3" fontId="4" fillId="0" borderId="0" xfId="0" applyNumberFormat="1" applyFont="1" applyBorder="1" applyAlignment="1" applyProtection="1">
      <alignment horizontal="center"/>
      <protection locked="0"/>
    </xf>
    <xf numFmtId="0" fontId="4" fillId="0" borderId="1" xfId="0" applyNumberFormat="1" applyFont="1" applyBorder="1" applyAlignment="1" applyProtection="1">
      <protection locked="0"/>
    </xf>
    <xf numFmtId="169" fontId="4" fillId="0" borderId="0" xfId="0" applyNumberFormat="1" applyFont="1" applyAlignment="1" applyProtection="1">
      <protection locked="0"/>
    </xf>
    <xf numFmtId="3" fontId="4" fillId="0" borderId="0" xfId="0" quotePrefix="1" applyNumberFormat="1" applyFont="1" applyAlignment="1" applyProtection="1">
      <protection locked="0"/>
    </xf>
    <xf numFmtId="173" fontId="4" fillId="0" borderId="6" xfId="0" applyFont="1" applyBorder="1" applyAlignment="1" applyProtection="1">
      <protection locked="0"/>
    </xf>
    <xf numFmtId="173" fontId="4" fillId="0" borderId="7" xfId="0" applyFont="1" applyBorder="1" applyAlignment="1" applyProtection="1">
      <protection locked="0"/>
    </xf>
    <xf numFmtId="173" fontId="4" fillId="0" borderId="8" xfId="0" applyFont="1" applyBorder="1" applyAlignment="1" applyProtection="1">
      <protection locked="0"/>
    </xf>
    <xf numFmtId="173" fontId="4" fillId="0" borderId="9" xfId="0" applyFont="1" applyBorder="1" applyAlignment="1" applyProtection="1">
      <protection locked="0"/>
    </xf>
    <xf numFmtId="173" fontId="4" fillId="0" borderId="10" xfId="0" applyFont="1" applyBorder="1" applyAlignment="1" applyProtection="1">
      <protection locked="0"/>
    </xf>
    <xf numFmtId="173" fontId="4" fillId="0" borderId="11" xfId="0" applyFont="1" applyBorder="1" applyAlignment="1" applyProtection="1">
      <protection locked="0"/>
    </xf>
    <xf numFmtId="173" fontId="4" fillId="0" borderId="12" xfId="0" applyFont="1" applyBorder="1" applyAlignment="1" applyProtection="1">
      <protection locked="0"/>
    </xf>
    <xf numFmtId="0" fontId="4" fillId="0" borderId="0" xfId="0" applyNumberFormat="1" applyFont="1" applyBorder="1" applyAlignment="1" applyProtection="1">
      <alignment horizontal="center"/>
      <protection locked="0"/>
    </xf>
    <xf numFmtId="0" fontId="6" fillId="0" borderId="0" xfId="0" applyNumberFormat="1" applyFont="1" applyProtection="1">
      <protection locked="0"/>
    </xf>
    <xf numFmtId="173" fontId="6" fillId="0" borderId="0" xfId="0" applyFont="1" applyAlignment="1" applyProtection="1">
      <protection locked="0"/>
    </xf>
    <xf numFmtId="38" fontId="4" fillId="0" borderId="0" xfId="0" applyNumberFormat="1" applyFont="1" applyAlignment="1" applyProtection="1">
      <protection locked="0"/>
    </xf>
    <xf numFmtId="0" fontId="4" fillId="0" borderId="1" xfId="0" applyNumberFormat="1" applyFont="1" applyBorder="1" applyProtection="1">
      <protection locked="0"/>
    </xf>
    <xf numFmtId="0" fontId="4" fillId="0" borderId="0" xfId="0" applyNumberFormat="1" applyFont="1" applyBorder="1" applyProtection="1">
      <protection locked="0"/>
    </xf>
    <xf numFmtId="170" fontId="4" fillId="0" borderId="0" xfId="0" applyNumberFormat="1" applyFont="1" applyFill="1" applyBorder="1" applyProtection="1">
      <protection locked="0"/>
    </xf>
    <xf numFmtId="1" fontId="4" fillId="0" borderId="0" xfId="0" applyNumberFormat="1" applyFont="1" applyFill="1" applyProtection="1">
      <protection locked="0"/>
    </xf>
    <xf numFmtId="1" fontId="4" fillId="0" borderId="0" xfId="0" applyNumberFormat="1" applyFont="1" applyFill="1" applyAlignment="1" applyProtection="1">
      <protection locked="0"/>
    </xf>
    <xf numFmtId="0" fontId="4" fillId="0" borderId="0" xfId="0" applyNumberFormat="1" applyFont="1" applyBorder="1" applyAlignment="1" applyProtection="1">
      <protection locked="0"/>
    </xf>
    <xf numFmtId="0" fontId="4" fillId="0" borderId="0" xfId="0" applyNumberFormat="1" applyFont="1" applyFill="1" applyBorder="1" applyAlignment="1" applyProtection="1">
      <protection locked="0"/>
    </xf>
    <xf numFmtId="0" fontId="4" fillId="0" borderId="1" xfId="0" applyNumberFormat="1" applyFont="1" applyFill="1" applyBorder="1" applyAlignment="1" applyProtection="1">
      <protection locked="0"/>
    </xf>
    <xf numFmtId="173" fontId="4" fillId="0" borderId="0" xfId="0" applyNumberFormat="1" applyFont="1" applyAlignment="1" applyProtection="1">
      <protection locked="0"/>
    </xf>
    <xf numFmtId="170" fontId="4" fillId="0" borderId="0" xfId="0" applyNumberFormat="1" applyFont="1" applyFill="1" applyBorder="1" applyAlignment="1" applyProtection="1">
      <protection locked="0"/>
    </xf>
    <xf numFmtId="170" fontId="4" fillId="0" borderId="0" xfId="0" applyNumberFormat="1" applyFont="1" applyProtection="1">
      <protection locked="0"/>
    </xf>
    <xf numFmtId="0" fontId="4" fillId="0" borderId="0" xfId="0" applyNumberFormat="1" applyFont="1" applyAlignment="1" applyProtection="1">
      <alignment horizontal="left" indent="8"/>
      <protection locked="0"/>
    </xf>
    <xf numFmtId="0" fontId="4" fillId="0" borderId="0" xfId="0" applyNumberFormat="1" applyFont="1" applyAlignment="1" applyProtection="1">
      <alignment horizontal="center" vertical="top" wrapText="1"/>
      <protection locked="0"/>
    </xf>
    <xf numFmtId="0" fontId="4" fillId="0" borderId="0" xfId="0" applyNumberFormat="1" applyFont="1" applyFill="1" applyAlignment="1" applyProtection="1">
      <alignment horizontal="left" vertical="top" wrapText="1" indent="8"/>
      <protection locked="0"/>
    </xf>
    <xf numFmtId="0" fontId="4" fillId="0" borderId="0" xfId="0" applyNumberFormat="1" applyFont="1" applyFill="1" applyAlignment="1" applyProtection="1">
      <alignment vertical="top" wrapText="1"/>
      <protection locked="0"/>
    </xf>
    <xf numFmtId="173" fontId="4" fillId="0" borderId="0" xfId="0" applyFont="1" applyAlignment="1" applyProtection="1">
      <alignment horizontal="center" vertical="top" wrapText="1"/>
      <protection locked="0"/>
    </xf>
    <xf numFmtId="173" fontId="4" fillId="0" borderId="0" xfId="0" applyFont="1" applyFill="1" applyAlignment="1" applyProtection="1">
      <alignment horizontal="center" vertical="top" wrapText="1"/>
      <protection locked="0"/>
    </xf>
    <xf numFmtId="0" fontId="4" fillId="0" borderId="0" xfId="2" applyNumberFormat="1" applyFont="1" applyFill="1" applyProtection="1">
      <protection locked="0"/>
    </xf>
    <xf numFmtId="0" fontId="4" fillId="0" borderId="0" xfId="2" applyNumberFormat="1" applyFont="1" applyProtection="1">
      <protection locked="0"/>
    </xf>
    <xf numFmtId="173" fontId="0" fillId="0" borderId="0" xfId="0" applyFont="1" applyAlignment="1" applyProtection="1">
      <alignment horizontal="center"/>
      <protection locked="0"/>
    </xf>
    <xf numFmtId="173" fontId="23" fillId="0" borderId="0" xfId="0" applyFont="1" applyAlignment="1">
      <alignment horizontal="center"/>
    </xf>
    <xf numFmtId="173" fontId="4" fillId="0" borderId="0" xfId="0" applyFont="1" applyAlignment="1"/>
    <xf numFmtId="49" fontId="4" fillId="0" borderId="0" xfId="3" applyNumberFormat="1" applyFont="1" applyAlignment="1"/>
    <xf numFmtId="0" fontId="4" fillId="0" borderId="0" xfId="0" applyNumberFormat="1" applyFont="1" applyAlignment="1"/>
    <xf numFmtId="3" fontId="4" fillId="0" borderId="0" xfId="3" applyNumberFormat="1" applyFont="1" applyAlignment="1"/>
    <xf numFmtId="3" fontId="4" fillId="0" borderId="0" xfId="0" applyNumberFormat="1" applyFont="1" applyFill="1" applyBorder="1"/>
    <xf numFmtId="10" fontId="4" fillId="0" borderId="0" xfId="4" applyNumberFormat="1" applyFont="1" applyAlignment="1"/>
    <xf numFmtId="0" fontId="4" fillId="0" borderId="0" xfId="0" applyNumberFormat="1" applyFont="1" applyFill="1" applyAlignment="1" applyProtection="1">
      <alignment horizontal="right"/>
    </xf>
    <xf numFmtId="173" fontId="17" fillId="0" borderId="0" xfId="0" applyFont="1" applyAlignment="1"/>
    <xf numFmtId="173" fontId="25" fillId="0" borderId="0" xfId="0" applyFont="1" applyAlignment="1">
      <alignment horizontal="center" wrapText="1"/>
    </xf>
    <xf numFmtId="173" fontId="25" fillId="0" borderId="0" xfId="0" applyFont="1" applyAlignment="1">
      <alignment horizontal="center"/>
    </xf>
    <xf numFmtId="170" fontId="17" fillId="0" borderId="0" xfId="0" applyNumberFormat="1" applyFont="1" applyAlignment="1"/>
    <xf numFmtId="170" fontId="17" fillId="0" borderId="13" xfId="0" applyNumberFormat="1" applyFont="1" applyBorder="1" applyAlignment="1"/>
    <xf numFmtId="173" fontId="25" fillId="0" borderId="3" xfId="0" applyFont="1" applyBorder="1" applyAlignment="1">
      <alignment horizontal="center"/>
    </xf>
    <xf numFmtId="173" fontId="25" fillId="0" borderId="3" xfId="0" applyFont="1" applyBorder="1" applyAlignment="1">
      <alignment horizontal="center" wrapText="1"/>
    </xf>
    <xf numFmtId="170" fontId="17" fillId="0" borderId="3" xfId="0" applyNumberFormat="1" applyFont="1" applyBorder="1" applyAlignment="1"/>
    <xf numFmtId="10" fontId="17" fillId="0" borderId="0" xfId="4" applyNumberFormat="1" applyFont="1" applyAlignment="1"/>
    <xf numFmtId="170" fontId="17" fillId="3" borderId="0" xfId="0" applyNumberFormat="1" applyFont="1" applyFill="1" applyAlignment="1"/>
    <xf numFmtId="10" fontId="17" fillId="0" borderId="3" xfId="4" applyNumberFormat="1" applyFont="1" applyBorder="1" applyAlignment="1"/>
    <xf numFmtId="9" fontId="17" fillId="0" borderId="0" xfId="4" applyFont="1" applyAlignment="1"/>
    <xf numFmtId="173" fontId="17" fillId="0" borderId="3" xfId="0" applyFont="1" applyBorder="1" applyAlignment="1"/>
    <xf numFmtId="173" fontId="17" fillId="0" borderId="13" xfId="0" applyFont="1" applyBorder="1" applyAlignment="1"/>
    <xf numFmtId="173" fontId="0" fillId="0" borderId="0" xfId="0" applyAlignment="1">
      <alignment horizontal="center"/>
    </xf>
    <xf numFmtId="173" fontId="15" fillId="0" borderId="3" xfId="0" applyFont="1" applyBorder="1" applyAlignment="1">
      <alignment horizontal="center" wrapText="1"/>
    </xf>
    <xf numFmtId="173" fontId="15" fillId="0" borderId="3" xfId="0" applyFont="1" applyBorder="1" applyAlignment="1">
      <alignment horizontal="center"/>
    </xf>
    <xf numFmtId="170" fontId="15" fillId="0" borderId="0" xfId="0" applyNumberFormat="1" applyFont="1" applyAlignment="1"/>
    <xf numFmtId="170" fontId="0" fillId="0" borderId="0" xfId="0" applyNumberFormat="1" applyAlignment="1"/>
    <xf numFmtId="170" fontId="15" fillId="0" borderId="13" xfId="0" applyNumberFormat="1" applyFont="1" applyBorder="1" applyAlignment="1"/>
    <xf numFmtId="173" fontId="17" fillId="0" borderId="0" xfId="0" applyFont="1" applyAlignment="1">
      <alignment horizontal="center"/>
    </xf>
    <xf numFmtId="170" fontId="25" fillId="0" borderId="13" xfId="0" applyNumberFormat="1" applyFont="1" applyBorder="1" applyAlignment="1"/>
    <xf numFmtId="170" fontId="25" fillId="0" borderId="0" xfId="0" applyNumberFormat="1" applyFont="1" applyBorder="1" applyAlignment="1"/>
    <xf numFmtId="170" fontId="25" fillId="0" borderId="0" xfId="0" applyNumberFormat="1" applyFont="1" applyAlignment="1"/>
    <xf numFmtId="0" fontId="25" fillId="0" borderId="0" xfId="287" applyFont="1" applyBorder="1" applyAlignment="1">
      <alignment horizontal="center" wrapText="1"/>
    </xf>
    <xf numFmtId="0" fontId="25" fillId="0" borderId="0" xfId="287" applyFont="1" applyFill="1" applyBorder="1" applyAlignment="1">
      <alignment horizontal="center" wrapText="1"/>
    </xf>
    <xf numFmtId="0" fontId="17" fillId="0" borderId="0" xfId="217" applyFont="1" applyBorder="1"/>
    <xf numFmtId="3" fontId="17" fillId="0" borderId="0" xfId="288" applyFont="1" applyBorder="1"/>
    <xf numFmtId="3" fontId="17" fillId="0" borderId="0" xfId="288" applyFont="1"/>
    <xf numFmtId="0" fontId="17" fillId="0" borderId="0" xfId="217" applyFont="1"/>
    <xf numFmtId="15" fontId="17" fillId="0" borderId="0" xfId="284" applyFont="1"/>
    <xf numFmtId="6" fontId="17" fillId="0" borderId="0" xfId="163" applyNumberFormat="1" applyFont="1"/>
    <xf numFmtId="174" fontId="17" fillId="0" borderId="0" xfId="163" applyNumberFormat="1" applyFont="1"/>
    <xf numFmtId="6" fontId="17" fillId="0" borderId="3" xfId="163" applyNumberFormat="1" applyFont="1" applyBorder="1"/>
    <xf numFmtId="6" fontId="25" fillId="0" borderId="0" xfId="163" applyNumberFormat="1" applyFont="1"/>
    <xf numFmtId="0" fontId="25" fillId="0" borderId="19" xfId="217" applyFont="1" applyBorder="1"/>
    <xf numFmtId="0" fontId="17" fillId="0" borderId="20" xfId="217" applyFont="1" applyBorder="1"/>
    <xf numFmtId="0" fontId="25" fillId="0" borderId="19" xfId="217" applyFont="1" applyBorder="1" applyAlignment="1">
      <alignment horizontal="center"/>
    </xf>
    <xf numFmtId="0" fontId="25" fillId="0" borderId="0" xfId="217" applyFont="1" applyBorder="1" applyAlignment="1">
      <alignment horizontal="center" wrapText="1"/>
    </xf>
    <xf numFmtId="0" fontId="17" fillId="0" borderId="19" xfId="217" quotePrefix="1" applyFont="1" applyBorder="1"/>
    <xf numFmtId="170" fontId="0" fillId="0" borderId="0" xfId="0" applyNumberFormat="1"/>
    <xf numFmtId="174" fontId="17" fillId="0" borderId="0" xfId="1" applyNumberFormat="1" applyFont="1" applyBorder="1"/>
    <xf numFmtId="174" fontId="17" fillId="0" borderId="20" xfId="217" applyNumberFormat="1" applyFont="1" applyBorder="1"/>
    <xf numFmtId="0" fontId="17" fillId="0" borderId="19" xfId="217" applyFont="1" applyBorder="1"/>
    <xf numFmtId="0" fontId="17" fillId="3" borderId="19" xfId="217" applyFont="1" applyFill="1" applyBorder="1"/>
    <xf numFmtId="174" fontId="17" fillId="3" borderId="0" xfId="1" applyNumberFormat="1" applyFont="1" applyFill="1" applyBorder="1"/>
    <xf numFmtId="174" fontId="17" fillId="3" borderId="20" xfId="217" applyNumberFormat="1" applyFont="1" applyFill="1" applyBorder="1"/>
    <xf numFmtId="0" fontId="17" fillId="0" borderId="21" xfId="217" applyFont="1" applyBorder="1"/>
    <xf numFmtId="174" fontId="17" fillId="0" borderId="1" xfId="1" applyNumberFormat="1" applyFont="1" applyBorder="1"/>
    <xf numFmtId="0" fontId="17" fillId="0" borderId="22" xfId="217" applyFont="1" applyBorder="1" applyAlignment="1">
      <alignment horizontal="right"/>
    </xf>
    <xf numFmtId="174" fontId="17" fillId="0" borderId="0" xfId="1" applyNumberFormat="1" applyFont="1"/>
    <xf numFmtId="0" fontId="61" fillId="0" borderId="0" xfId="328" applyFont="1"/>
    <xf numFmtId="0" fontId="60" fillId="0" borderId="0" xfId="328" applyFont="1" applyAlignment="1">
      <alignment horizontal="center"/>
    </xf>
    <xf numFmtId="0" fontId="60" fillId="0" borderId="3" xfId="328" applyFont="1" applyBorder="1" applyAlignment="1">
      <alignment horizontal="center" wrapText="1"/>
    </xf>
    <xf numFmtId="174" fontId="17" fillId="0" borderId="0" xfId="329" applyNumberFormat="1" applyFont="1"/>
    <xf numFmtId="174" fontId="17" fillId="0" borderId="0" xfId="329" applyNumberFormat="1" applyFont="1" applyFill="1"/>
    <xf numFmtId="0" fontId="61" fillId="0" borderId="0" xfId="328" applyFont="1" applyFill="1"/>
    <xf numFmtId="174" fontId="61" fillId="0" borderId="0" xfId="328" applyNumberFormat="1" applyFont="1"/>
    <xf numFmtId="0" fontId="61" fillId="0" borderId="0" xfId="328" applyFont="1" applyAlignment="1">
      <alignment horizontal="right"/>
    </xf>
    <xf numFmtId="3" fontId="61" fillId="0" borderId="0" xfId="328" applyNumberFormat="1" applyFont="1"/>
    <xf numFmtId="170" fontId="0" fillId="0" borderId="3" xfId="0" applyNumberFormat="1" applyBorder="1" applyAlignment="1"/>
    <xf numFmtId="170" fontId="0" fillId="0" borderId="13" xfId="0" applyNumberFormat="1" applyBorder="1" applyAlignment="1"/>
    <xf numFmtId="173" fontId="0" fillId="0" borderId="0" xfId="0"/>
    <xf numFmtId="173" fontId="0" fillId="0" borderId="23" xfId="0" applyBorder="1"/>
    <xf numFmtId="173" fontId="64" fillId="0" borderId="23" xfId="0" applyFont="1" applyBorder="1" applyAlignment="1">
      <alignment horizontal="center"/>
    </xf>
    <xf numFmtId="173" fontId="64" fillId="0" borderId="24" xfId="0" applyFont="1" applyBorder="1" applyAlignment="1">
      <alignment horizontal="center"/>
    </xf>
    <xf numFmtId="173" fontId="64" fillId="0" borderId="25" xfId="0" applyFont="1" applyBorder="1" applyAlignment="1">
      <alignment horizontal="center"/>
    </xf>
    <xf numFmtId="173" fontId="64" fillId="0" borderId="26" xfId="0" applyFont="1" applyBorder="1" applyAlignment="1">
      <alignment horizontal="center"/>
    </xf>
    <xf numFmtId="173" fontId="0" fillId="0" borderId="27" xfId="0" applyBorder="1" applyAlignment="1">
      <alignment horizontal="left"/>
    </xf>
    <xf numFmtId="173" fontId="0" fillId="0" borderId="24" xfId="0" applyBorder="1" applyAlignment="1">
      <alignment horizontal="center"/>
    </xf>
    <xf numFmtId="173" fontId="0" fillId="0" borderId="28" xfId="0" applyNumberFormat="1" applyBorder="1" applyAlignment="1">
      <alignment horizontal="center"/>
    </xf>
    <xf numFmtId="173" fontId="0" fillId="0" borderId="27" xfId="0" applyBorder="1" applyAlignment="1">
      <alignment horizontal="center"/>
    </xf>
    <xf numFmtId="173" fontId="65" fillId="4" borderId="0" xfId="0" applyFont="1" applyFill="1" applyAlignment="1"/>
    <xf numFmtId="173" fontId="0" fillId="0" borderId="27" xfId="0" applyNumberFormat="1" applyBorder="1" applyAlignment="1">
      <alignment horizontal="center"/>
    </xf>
    <xf numFmtId="173" fontId="0" fillId="0" borderId="28" xfId="0" applyBorder="1" applyAlignment="1">
      <alignment horizontal="center"/>
    </xf>
    <xf numFmtId="173" fontId="64" fillId="0" borderId="26" xfId="0" applyFont="1" applyBorder="1" applyAlignment="1">
      <alignment horizontal="left"/>
    </xf>
    <xf numFmtId="173" fontId="64" fillId="0" borderId="26" xfId="0" applyNumberFormat="1" applyFont="1" applyFill="1" applyBorder="1" applyAlignment="1">
      <alignment horizontal="center"/>
    </xf>
    <xf numFmtId="173" fontId="64" fillId="0" borderId="29" xfId="0" applyNumberFormat="1" applyFont="1" applyFill="1" applyBorder="1" applyAlignment="1">
      <alignment horizontal="center"/>
    </xf>
    <xf numFmtId="0" fontId="17" fillId="0" borderId="0" xfId="227" applyFont="1"/>
    <xf numFmtId="0" fontId="17" fillId="3" borderId="0" xfId="227" applyFont="1" applyFill="1"/>
    <xf numFmtId="0" fontId="17" fillId="0" borderId="0" xfId="227" applyFont="1" applyFill="1" applyBorder="1" applyAlignment="1">
      <alignment horizontal="center"/>
    </xf>
    <xf numFmtId="0" fontId="17" fillId="0" borderId="0" xfId="227" applyFont="1" applyFill="1" applyBorder="1" applyAlignment="1">
      <alignment horizontal="left"/>
    </xf>
    <xf numFmtId="180" fontId="17" fillId="0" borderId="0" xfId="227" applyNumberFormat="1" applyFont="1"/>
    <xf numFmtId="0" fontId="17" fillId="0" borderId="0" xfId="227" applyFont="1" applyFill="1"/>
    <xf numFmtId="0" fontId="25" fillId="0" borderId="0" xfId="227" applyFont="1" applyAlignment="1">
      <alignment horizontal="left" indent="2"/>
    </xf>
    <xf numFmtId="0" fontId="17" fillId="0" borderId="0" xfId="227" applyFont="1" applyAlignment="1">
      <alignment horizontal="left" indent="2"/>
    </xf>
    <xf numFmtId="0" fontId="17" fillId="0" borderId="0" xfId="227" applyFont="1" applyAlignment="1">
      <alignment horizontal="center" vertical="center"/>
    </xf>
    <xf numFmtId="170" fontId="61" fillId="0" borderId="0" xfId="871" applyNumberFormat="1" applyFont="1"/>
    <xf numFmtId="2" fontId="1" fillId="0" borderId="38" xfId="498" applyNumberFormat="1" applyBorder="1"/>
    <xf numFmtId="0" fontId="1" fillId="0" borderId="38" xfId="498" applyBorder="1"/>
    <xf numFmtId="170" fontId="63" fillId="0" borderId="0" xfId="871" applyNumberFormat="1" applyFont="1"/>
    <xf numFmtId="169" fontId="1" fillId="0" borderId="37" xfId="498" applyNumberFormat="1" applyBorder="1"/>
    <xf numFmtId="173" fontId="65" fillId="0" borderId="0" xfId="0" applyFont="1" applyFill="1" applyAlignment="1"/>
    <xf numFmtId="0" fontId="25" fillId="0" borderId="0" xfId="227" applyFont="1" applyAlignment="1"/>
    <xf numFmtId="169" fontId="1" fillId="0" borderId="38" xfId="498" applyNumberFormat="1" applyBorder="1"/>
    <xf numFmtId="169" fontId="1" fillId="0" borderId="36" xfId="498" applyNumberFormat="1" applyBorder="1"/>
    <xf numFmtId="169" fontId="1" fillId="0" borderId="30" xfId="498" applyNumberFormat="1" applyBorder="1"/>
    <xf numFmtId="0" fontId="1" fillId="0" borderId="37" xfId="498" applyBorder="1"/>
    <xf numFmtId="0" fontId="1" fillId="0" borderId="36" xfId="498" applyBorder="1"/>
    <xf numFmtId="0" fontId="1" fillId="0" borderId="30" xfId="498" applyFont="1" applyBorder="1"/>
    <xf numFmtId="0" fontId="1" fillId="0" borderId="30" xfId="498" applyBorder="1"/>
    <xf numFmtId="0" fontId="1" fillId="0" borderId="0" xfId="498"/>
    <xf numFmtId="173" fontId="61" fillId="0" borderId="0" xfId="787" applyNumberFormat="1" applyFont="1" applyBorder="1"/>
    <xf numFmtId="0" fontId="61" fillId="0" borderId="0" xfId="787" applyFont="1" applyBorder="1"/>
    <xf numFmtId="17" fontId="61" fillId="0" borderId="0" xfId="787" applyNumberFormat="1" applyFont="1" applyBorder="1"/>
    <xf numFmtId="170" fontId="61" fillId="0" borderId="3" xfId="871" applyNumberFormat="1" applyFont="1" applyBorder="1"/>
    <xf numFmtId="0" fontId="62" fillId="0" borderId="0" xfId="871" applyFont="1"/>
    <xf numFmtId="17" fontId="61" fillId="0" borderId="0" xfId="871" applyNumberFormat="1" applyFont="1"/>
    <xf numFmtId="43" fontId="61" fillId="0" borderId="0" xfId="527" applyFont="1" applyBorder="1"/>
    <xf numFmtId="0" fontId="61" fillId="0" borderId="0" xfId="871" applyFont="1" applyBorder="1"/>
    <xf numFmtId="170" fontId="61" fillId="0" borderId="3" xfId="527" applyNumberFormat="1" applyFont="1" applyBorder="1"/>
    <xf numFmtId="170" fontId="61" fillId="0" borderId="0" xfId="527" applyNumberFormat="1" applyFont="1"/>
    <xf numFmtId="0" fontId="61" fillId="0" borderId="0" xfId="871" applyFont="1"/>
    <xf numFmtId="0" fontId="60" fillId="0" borderId="0" xfId="787" applyFont="1"/>
    <xf numFmtId="0" fontId="61" fillId="0" borderId="0" xfId="787" applyFont="1"/>
    <xf numFmtId="181" fontId="66" fillId="0" borderId="34" xfId="1118" applyNumberFormat="1" applyBorder="1"/>
    <xf numFmtId="179" fontId="66" fillId="0" borderId="34" xfId="1118" applyNumberFormat="1" applyBorder="1" applyAlignment="1">
      <alignment horizontal="center"/>
    </xf>
    <xf numFmtId="0" fontId="66" fillId="0" borderId="32" xfId="1118" applyBorder="1"/>
    <xf numFmtId="0" fontId="66" fillId="0" borderId="32" xfId="1118" applyFill="1" applyBorder="1"/>
    <xf numFmtId="178" fontId="62" fillId="0" borderId="0" xfId="871" applyNumberFormat="1" applyFont="1"/>
    <xf numFmtId="173" fontId="61" fillId="0" borderId="0" xfId="871" applyNumberFormat="1" applyFont="1"/>
    <xf numFmtId="181" fontId="66" fillId="0" borderId="35" xfId="1118" applyNumberFormat="1" applyBorder="1"/>
    <xf numFmtId="181" fontId="66" fillId="3" borderId="34" xfId="1118" applyNumberFormat="1" applyFill="1" applyBorder="1"/>
    <xf numFmtId="2" fontId="1" fillId="0" borderId="30" xfId="498" applyNumberFormat="1" applyBorder="1"/>
    <xf numFmtId="0" fontId="17" fillId="0" borderId="0" xfId="227" applyFont="1" applyBorder="1"/>
    <xf numFmtId="0" fontId="66" fillId="0" borderId="0" xfId="1118"/>
    <xf numFmtId="0" fontId="66" fillId="0" borderId="30" xfId="1118" applyBorder="1" applyAlignment="1">
      <alignment horizontal="center"/>
    </xf>
    <xf numFmtId="0" fontId="66" fillId="0" borderId="36" xfId="1118" applyBorder="1" applyAlignment="1">
      <alignment horizontal="center"/>
    </xf>
    <xf numFmtId="0" fontId="66" fillId="0" borderId="4" xfId="1118" applyBorder="1"/>
    <xf numFmtId="0" fontId="26" fillId="0" borderId="4" xfId="1118" applyFont="1" applyBorder="1"/>
    <xf numFmtId="0" fontId="66" fillId="0" borderId="0" xfId="1118" applyBorder="1"/>
    <xf numFmtId="0" fontId="9" fillId="0" borderId="0" xfId="1118" applyFont="1"/>
    <xf numFmtId="1" fontId="66" fillId="0" borderId="4" xfId="1118" applyNumberFormat="1" applyBorder="1"/>
    <xf numFmtId="0" fontId="66" fillId="0" borderId="4" xfId="1118" applyFill="1" applyBorder="1"/>
    <xf numFmtId="0" fontId="66" fillId="0" borderId="0" xfId="1118" applyBorder="1" applyAlignment="1">
      <alignment horizontal="center"/>
    </xf>
    <xf numFmtId="179" fontId="66" fillId="0" borderId="4" xfId="1118" applyNumberFormat="1" applyBorder="1" applyAlignment="1">
      <alignment horizontal="center"/>
    </xf>
    <xf numFmtId="179" fontId="9" fillId="0" borderId="4" xfId="1118" applyNumberFormat="1" applyFont="1" applyBorder="1" applyAlignment="1">
      <alignment horizontal="center"/>
    </xf>
    <xf numFmtId="0" fontId="66" fillId="0" borderId="33" xfId="1118" applyBorder="1"/>
    <xf numFmtId="0" fontId="66" fillId="0" borderId="34" xfId="1118" applyBorder="1"/>
    <xf numFmtId="0" fontId="66" fillId="0" borderId="31" xfId="1118" applyBorder="1"/>
    <xf numFmtId="0" fontId="66" fillId="0" borderId="31" xfId="1118" applyFill="1" applyBorder="1"/>
    <xf numFmtId="0" fontId="66" fillId="3" borderId="4" xfId="1118" applyFill="1" applyBorder="1"/>
    <xf numFmtId="0" fontId="66" fillId="3" borderId="30" xfId="1118" applyFill="1" applyBorder="1" applyAlignment="1">
      <alignment horizontal="center"/>
    </xf>
    <xf numFmtId="0" fontId="66" fillId="3" borderId="36" xfId="1118" applyFill="1" applyBorder="1" applyAlignment="1">
      <alignment horizontal="center"/>
    </xf>
    <xf numFmtId="1" fontId="66" fillId="0" borderId="0" xfId="1118" applyNumberFormat="1" applyBorder="1"/>
    <xf numFmtId="0" fontId="26" fillId="0" borderId="4" xfId="1118" applyFont="1" applyFill="1" applyBorder="1"/>
    <xf numFmtId="1" fontId="66" fillId="0" borderId="4" xfId="1118" applyNumberFormat="1" applyFill="1" applyBorder="1"/>
    <xf numFmtId="179" fontId="66" fillId="0" borderId="4" xfId="1118" applyNumberFormat="1" applyFill="1" applyBorder="1" applyAlignment="1">
      <alignment horizontal="center"/>
    </xf>
    <xf numFmtId="175" fontId="4" fillId="0" borderId="0" xfId="3" applyNumberFormat="1" applyFont="1" applyAlignment="1" applyProtection="1">
      <protection locked="0"/>
    </xf>
    <xf numFmtId="3" fontId="9" fillId="0" borderId="4" xfId="0" applyNumberFormat="1" applyFont="1" applyBorder="1" applyProtection="1">
      <protection locked="0"/>
    </xf>
    <xf numFmtId="170" fontId="9" fillId="0" borderId="4" xfId="0" applyNumberFormat="1" applyFont="1" applyBorder="1" applyProtection="1">
      <protection locked="0"/>
    </xf>
    <xf numFmtId="0" fontId="25" fillId="0" borderId="0" xfId="227" applyFont="1" applyAlignment="1">
      <alignment horizontal="center"/>
    </xf>
    <xf numFmtId="170" fontId="0" fillId="0" borderId="0" xfId="0" applyNumberFormat="1" applyFill="1" applyAlignment="1"/>
    <xf numFmtId="0" fontId="4" fillId="0" borderId="0" xfId="0" applyNumberFormat="1" applyFont="1" applyFill="1" applyAlignment="1" applyProtection="1">
      <alignment horizontal="left" wrapText="1"/>
      <protection locked="0"/>
    </xf>
    <xf numFmtId="0" fontId="4" fillId="0" borderId="0" xfId="0" applyNumberFormat="1" applyFont="1" applyFill="1" applyAlignment="1" applyProtection="1">
      <alignment horizontal="right"/>
    </xf>
    <xf numFmtId="0" fontId="4" fillId="0" borderId="0" xfId="0" applyNumberFormat="1" applyFont="1" applyFill="1" applyAlignment="1" applyProtection="1">
      <alignment horizontal="right"/>
      <protection locked="0"/>
    </xf>
    <xf numFmtId="0" fontId="4" fillId="0" borderId="0" xfId="0" applyNumberFormat="1" applyFont="1" applyFill="1" applyAlignment="1" applyProtection="1">
      <alignment vertical="top" wrapText="1"/>
      <protection locked="0"/>
    </xf>
    <xf numFmtId="173" fontId="25" fillId="0" borderId="0" xfId="0" applyFont="1" applyAlignment="1">
      <alignment horizontal="center"/>
    </xf>
    <xf numFmtId="173" fontId="15" fillId="0" borderId="0" xfId="0" applyFont="1" applyAlignment="1">
      <alignment horizontal="center"/>
    </xf>
    <xf numFmtId="0" fontId="25" fillId="0" borderId="0" xfId="217" applyFont="1" applyBorder="1" applyAlignment="1">
      <alignment horizontal="center"/>
    </xf>
    <xf numFmtId="0" fontId="25" fillId="0" borderId="0" xfId="287" applyFont="1" applyBorder="1" applyAlignment="1">
      <alignment horizontal="center" wrapText="1"/>
    </xf>
    <xf numFmtId="0" fontId="25" fillId="0" borderId="0" xfId="283" applyFont="1" applyBorder="1" applyAlignment="1">
      <alignment horizontal="center"/>
    </xf>
    <xf numFmtId="0" fontId="25" fillId="0" borderId="0" xfId="283" applyFont="1" applyAlignment="1">
      <alignment horizontal="center"/>
    </xf>
    <xf numFmtId="0" fontId="17" fillId="0" borderId="0" xfId="217" applyFont="1" applyAlignment="1">
      <alignment horizontal="center"/>
    </xf>
    <xf numFmtId="0" fontId="25" fillId="0" borderId="16" xfId="217" applyFont="1" applyBorder="1" applyAlignment="1">
      <alignment horizontal="center"/>
    </xf>
    <xf numFmtId="0" fontId="25" fillId="0" borderId="17" xfId="217" applyFont="1" applyBorder="1" applyAlignment="1">
      <alignment horizontal="center"/>
    </xf>
    <xf numFmtId="0" fontId="25" fillId="0" borderId="18" xfId="217" applyFont="1" applyBorder="1" applyAlignment="1">
      <alignment horizontal="center"/>
    </xf>
    <xf numFmtId="0" fontId="60" fillId="0" borderId="0" xfId="328" applyFont="1" applyAlignment="1">
      <alignment horizontal="center"/>
    </xf>
    <xf numFmtId="0" fontId="25" fillId="0" borderId="0" xfId="227" applyFont="1" applyAlignment="1">
      <alignment horizontal="center"/>
    </xf>
    <xf numFmtId="0" fontId="17" fillId="0" borderId="0" xfId="227" applyFont="1" applyAlignment="1">
      <alignment horizontal="left"/>
    </xf>
    <xf numFmtId="0" fontId="17" fillId="0" borderId="0" xfId="227" applyFont="1" applyAlignment="1">
      <alignment horizontal="left" vertical="center" wrapText="1"/>
    </xf>
    <xf numFmtId="0" fontId="17" fillId="0" borderId="0" xfId="227" applyFont="1" applyAlignment="1">
      <alignment horizontal="left" vertical="center"/>
    </xf>
    <xf numFmtId="0" fontId="17" fillId="0" borderId="0" xfId="227" applyFont="1" applyAlignment="1">
      <alignment horizontal="left" wrapText="1"/>
    </xf>
    <xf numFmtId="0" fontId="17" fillId="3" borderId="0" xfId="227" applyFont="1" applyFill="1" applyAlignment="1">
      <alignment horizontal="left" wrapText="1"/>
    </xf>
    <xf numFmtId="0" fontId="17" fillId="3" borderId="0" xfId="227" applyFont="1" applyFill="1" applyAlignment="1">
      <alignment horizontal="left"/>
    </xf>
    <xf numFmtId="0" fontId="17" fillId="4" borderId="0" xfId="227" applyFont="1" applyFill="1" applyAlignment="1">
      <alignment horizontal="left" wrapText="1"/>
    </xf>
    <xf numFmtId="173" fontId="0" fillId="0" borderId="0" xfId="0" applyFill="1" applyAlignment="1"/>
  </cellXfs>
  <cellStyles count="1119">
    <cellStyle name="Accent4 2" xfId="8"/>
    <cellStyle name="C00A" xfId="9"/>
    <cellStyle name="C00B" xfId="10"/>
    <cellStyle name="C00L" xfId="11"/>
    <cellStyle name="C01A" xfId="12"/>
    <cellStyle name="C01B" xfId="13"/>
    <cellStyle name="C01H" xfId="14"/>
    <cellStyle name="C01L" xfId="15"/>
    <cellStyle name="C02A" xfId="16"/>
    <cellStyle name="C02B" xfId="17"/>
    <cellStyle name="C02H" xfId="18"/>
    <cellStyle name="C02L" xfId="19"/>
    <cellStyle name="C03A" xfId="20"/>
    <cellStyle name="C03B" xfId="21"/>
    <cellStyle name="C03H" xfId="22"/>
    <cellStyle name="C03L" xfId="23"/>
    <cellStyle name="C04A" xfId="24"/>
    <cellStyle name="C04B" xfId="25"/>
    <cellStyle name="C04H" xfId="26"/>
    <cellStyle name="C04L" xfId="27"/>
    <cellStyle name="C05A" xfId="28"/>
    <cellStyle name="C05B" xfId="29"/>
    <cellStyle name="C05H" xfId="30"/>
    <cellStyle name="C05L" xfId="31"/>
    <cellStyle name="C05L 2" xfId="32"/>
    <cellStyle name="C06A" xfId="33"/>
    <cellStyle name="C06B" xfId="34"/>
    <cellStyle name="C06H" xfId="35"/>
    <cellStyle name="C06L" xfId="36"/>
    <cellStyle name="C07A" xfId="37"/>
    <cellStyle name="C07B" xfId="38"/>
    <cellStyle name="C07H" xfId="39"/>
    <cellStyle name="C07L" xfId="40"/>
    <cellStyle name="Comma" xfId="3" builtinId="3"/>
    <cellStyle name="Comma [2]" xfId="41"/>
    <cellStyle name="Comma 10" xfId="42"/>
    <cellStyle name="Comma 10 2" xfId="43"/>
    <cellStyle name="Comma 10 2 10" xfId="343"/>
    <cellStyle name="Comma 10 2 2" xfId="44"/>
    <cellStyle name="Comma 10 2 2 2" xfId="363"/>
    <cellStyle name="Comma 10 2 2 2 2" xfId="364"/>
    <cellStyle name="Comma 10 2 2 2 2 2" xfId="365"/>
    <cellStyle name="Comma 10 2 2 2 2 3" xfId="366"/>
    <cellStyle name="Comma 10 2 2 2 3" xfId="367"/>
    <cellStyle name="Comma 10 2 2 2 4" xfId="368"/>
    <cellStyle name="Comma 10 2 2 3" xfId="369"/>
    <cellStyle name="Comma 10 2 2 3 2" xfId="370"/>
    <cellStyle name="Comma 10 2 2 3 3" xfId="371"/>
    <cellStyle name="Comma 10 2 2 4" xfId="372"/>
    <cellStyle name="Comma 10 2 2 5" xfId="373"/>
    <cellStyle name="Comma 10 2 2 6" xfId="354"/>
    <cellStyle name="Comma 10 2 3" xfId="374"/>
    <cellStyle name="Comma 10 2 3 2" xfId="375"/>
    <cellStyle name="Comma 10 2 3 2 2" xfId="376"/>
    <cellStyle name="Comma 10 2 3 2 3" xfId="377"/>
    <cellStyle name="Comma 10 2 3 3" xfId="378"/>
    <cellStyle name="Comma 10 2 3 4" xfId="379"/>
    <cellStyle name="Comma 10 2 4" xfId="380"/>
    <cellStyle name="Comma 10 2 4 2" xfId="381"/>
    <cellStyle name="Comma 10 2 4 2 2" xfId="382"/>
    <cellStyle name="Comma 10 2 4 2 3" xfId="383"/>
    <cellStyle name="Comma 10 2 4 3" xfId="384"/>
    <cellStyle name="Comma 10 2 4 4" xfId="385"/>
    <cellStyle name="Comma 10 2 5" xfId="386"/>
    <cellStyle name="Comma 10 2 5 2" xfId="387"/>
    <cellStyle name="Comma 10 2 5 2 2" xfId="388"/>
    <cellStyle name="Comma 10 2 5 2 3" xfId="389"/>
    <cellStyle name="Comma 10 2 5 3" xfId="390"/>
    <cellStyle name="Comma 10 2 5 4" xfId="391"/>
    <cellStyle name="Comma 10 2 6" xfId="392"/>
    <cellStyle name="Comma 10 2 6 2" xfId="393"/>
    <cellStyle name="Comma 10 2 6 3" xfId="394"/>
    <cellStyle name="Comma 10 2 7" xfId="395"/>
    <cellStyle name="Comma 10 2 7 2" xfId="396"/>
    <cellStyle name="Comma 10 2 7 3" xfId="397"/>
    <cellStyle name="Comma 10 2 8" xfId="398"/>
    <cellStyle name="Comma 10 2 9" xfId="399"/>
    <cellStyle name="Comma 10 3" xfId="45"/>
    <cellStyle name="Comma 10 3 2" xfId="400"/>
    <cellStyle name="Comma 10 3 2 2" xfId="401"/>
    <cellStyle name="Comma 10 3 2 2 2" xfId="402"/>
    <cellStyle name="Comma 10 3 2 2 3" xfId="403"/>
    <cellStyle name="Comma 10 3 2 3" xfId="404"/>
    <cellStyle name="Comma 10 3 2 4" xfId="405"/>
    <cellStyle name="Comma 10 3 3" xfId="406"/>
    <cellStyle name="Comma 10 3 3 2" xfId="407"/>
    <cellStyle name="Comma 10 3 3 3" xfId="408"/>
    <cellStyle name="Comma 10 3 4" xfId="409"/>
    <cellStyle name="Comma 10 3 4 2" xfId="410"/>
    <cellStyle name="Comma 10 3 4 3" xfId="411"/>
    <cellStyle name="Comma 10 3 5" xfId="412"/>
    <cellStyle name="Comma 10 3 6" xfId="413"/>
    <cellStyle name="Comma 10 3 7" xfId="348"/>
    <cellStyle name="Comma 10 4" xfId="414"/>
    <cellStyle name="Comma 10 4 2" xfId="415"/>
    <cellStyle name="Comma 10 4 2 2" xfId="416"/>
    <cellStyle name="Comma 10 4 2 3" xfId="417"/>
    <cellStyle name="Comma 10 4 3" xfId="418"/>
    <cellStyle name="Comma 10 4 4" xfId="419"/>
    <cellStyle name="Comma 10 5" xfId="420"/>
    <cellStyle name="Comma 10 5 2" xfId="421"/>
    <cellStyle name="Comma 10 5 2 2" xfId="422"/>
    <cellStyle name="Comma 10 5 2 3" xfId="423"/>
    <cellStyle name="Comma 10 5 3" xfId="424"/>
    <cellStyle name="Comma 10 5 4" xfId="425"/>
    <cellStyle name="Comma 10 6" xfId="426"/>
    <cellStyle name="Comma 10 6 2" xfId="427"/>
    <cellStyle name="Comma 10 6 2 2" xfId="428"/>
    <cellStyle name="Comma 10 6 2 3" xfId="429"/>
    <cellStyle name="Comma 10 6 3" xfId="430"/>
    <cellStyle name="Comma 10 6 4" xfId="431"/>
    <cellStyle name="Comma 10 7" xfId="432"/>
    <cellStyle name="Comma 10 7 2" xfId="433"/>
    <cellStyle name="Comma 10 7 3" xfId="434"/>
    <cellStyle name="Comma 10 8" xfId="336"/>
    <cellStyle name="Comma 100" xfId="435"/>
    <cellStyle name="Comma 100 2" xfId="436"/>
    <cellStyle name="Comma 100 3" xfId="437"/>
    <cellStyle name="Comma 101" xfId="438"/>
    <cellStyle name="Comma 101 2" xfId="439"/>
    <cellStyle name="Comma 101 3" xfId="440"/>
    <cellStyle name="Comma 102" xfId="334"/>
    <cellStyle name="Comma 103" xfId="1113"/>
    <cellStyle name="Comma 104" xfId="1115"/>
    <cellStyle name="Comma 105" xfId="337"/>
    <cellStyle name="Comma 106" xfId="1117"/>
    <cellStyle name="Comma 11" xfId="46"/>
    <cellStyle name="Comma 11 2" xfId="47"/>
    <cellStyle name="Comma 11 3" xfId="48"/>
    <cellStyle name="Comma 11 3 2" xfId="49"/>
    <cellStyle name="Comma 11 4" xfId="50"/>
    <cellStyle name="Comma 12" xfId="51"/>
    <cellStyle name="Comma 12 2" xfId="52"/>
    <cellStyle name="Comma 12 2 2" xfId="441"/>
    <cellStyle name="Comma 12 2 2 2" xfId="442"/>
    <cellStyle name="Comma 12 2 2 2 2" xfId="443"/>
    <cellStyle name="Comma 12 2 2 2 3" xfId="444"/>
    <cellStyle name="Comma 12 2 2 3" xfId="445"/>
    <cellStyle name="Comma 12 2 2 4" xfId="446"/>
    <cellStyle name="Comma 12 2 3" xfId="447"/>
    <cellStyle name="Comma 12 2 3 2" xfId="448"/>
    <cellStyle name="Comma 12 2 3 3" xfId="449"/>
    <cellStyle name="Comma 12 2 4" xfId="450"/>
    <cellStyle name="Comma 12 2 4 2" xfId="451"/>
    <cellStyle name="Comma 12 2 4 3" xfId="452"/>
    <cellStyle name="Comma 12 2 5" xfId="453"/>
    <cellStyle name="Comma 12 2 6" xfId="454"/>
    <cellStyle name="Comma 12 2 7" xfId="352"/>
    <cellStyle name="Comma 12 3" xfId="455"/>
    <cellStyle name="Comma 12 3 2" xfId="456"/>
    <cellStyle name="Comma 12 3 2 2" xfId="457"/>
    <cellStyle name="Comma 12 3 2 3" xfId="458"/>
    <cellStyle name="Comma 12 3 3" xfId="459"/>
    <cellStyle name="Comma 12 3 4" xfId="460"/>
    <cellStyle name="Comma 12 4" xfId="461"/>
    <cellStyle name="Comma 12 4 2" xfId="462"/>
    <cellStyle name="Comma 12 4 2 2" xfId="463"/>
    <cellStyle name="Comma 12 4 2 3" xfId="464"/>
    <cellStyle name="Comma 12 4 3" xfId="465"/>
    <cellStyle name="Comma 12 4 4" xfId="466"/>
    <cellStyle name="Comma 12 5" xfId="467"/>
    <cellStyle name="Comma 12 5 2" xfId="468"/>
    <cellStyle name="Comma 12 5 2 2" xfId="469"/>
    <cellStyle name="Comma 12 5 2 3" xfId="470"/>
    <cellStyle name="Comma 12 5 3" xfId="471"/>
    <cellStyle name="Comma 12 5 4" xfId="472"/>
    <cellStyle name="Comma 12 6" xfId="473"/>
    <cellStyle name="Comma 12 6 2" xfId="474"/>
    <cellStyle name="Comma 12 6 3" xfId="475"/>
    <cellStyle name="Comma 12 7" xfId="341"/>
    <cellStyle name="Comma 13" xfId="53"/>
    <cellStyle name="Comma 13 2" xfId="476"/>
    <cellStyle name="Comma 14" xfId="54"/>
    <cellStyle name="Comma 14 2" xfId="477"/>
    <cellStyle name="Comma 15" xfId="55"/>
    <cellStyle name="Comma 15 2" xfId="478"/>
    <cellStyle name="Comma 15 2 2" xfId="479"/>
    <cellStyle name="Comma 15 2 3" xfId="480"/>
    <cellStyle name="Comma 15 3" xfId="481"/>
    <cellStyle name="Comma 15 3 2" xfId="482"/>
    <cellStyle name="Comma 15 3 3" xfId="483"/>
    <cellStyle name="Comma 15 4" xfId="484"/>
    <cellStyle name="Comma 15 4 2" xfId="485"/>
    <cellStyle name="Comma 15 4 3" xfId="486"/>
    <cellStyle name="Comma 16" xfId="56"/>
    <cellStyle name="Comma 17" xfId="57"/>
    <cellStyle name="Comma 18" xfId="58"/>
    <cellStyle name="Comma 19" xfId="59"/>
    <cellStyle name="Comma 2" xfId="60"/>
    <cellStyle name="Comma 2 2" xfId="61"/>
    <cellStyle name="Comma 2 3" xfId="62"/>
    <cellStyle name="Comma 2 3 2" xfId="63"/>
    <cellStyle name="Comma 2 3 2 2" xfId="488"/>
    <cellStyle name="Comma 2 3 2 2 2" xfId="489"/>
    <cellStyle name="Comma 2 3 2 2 3" xfId="490"/>
    <cellStyle name="Comma 2 3 2 3" xfId="491"/>
    <cellStyle name="Comma 2 3 2 4" xfId="492"/>
    <cellStyle name="Comma 2 3 2 5" xfId="487"/>
    <cellStyle name="Comma 2 3 3" xfId="64"/>
    <cellStyle name="Comma 2 3 4" xfId="493"/>
    <cellStyle name="Comma 2 3 4 2" xfId="494"/>
    <cellStyle name="Comma 2 3 4 3" xfId="495"/>
    <cellStyle name="Comma 2 3 5" xfId="496"/>
    <cellStyle name="Comma 2 3 6" xfId="497"/>
    <cellStyle name="Comma 20" xfId="65"/>
    <cellStyle name="Comma 21" xfId="66"/>
    <cellStyle name="Comma 22" xfId="67"/>
    <cellStyle name="Comma 23" xfId="68"/>
    <cellStyle name="Comma 24" xfId="69"/>
    <cellStyle name="Comma 25" xfId="70"/>
    <cellStyle name="Comma 26" xfId="71"/>
    <cellStyle name="Comma 27" xfId="72"/>
    <cellStyle name="Comma 28" xfId="73"/>
    <cellStyle name="Comma 29" xfId="74"/>
    <cellStyle name="Comma 3" xfId="75"/>
    <cellStyle name="Comma 3 2" xfId="76"/>
    <cellStyle name="Comma 3 3" xfId="77"/>
    <cellStyle name="Comma 30" xfId="78"/>
    <cellStyle name="Comma 31" xfId="79"/>
    <cellStyle name="Comma 32" xfId="80"/>
    <cellStyle name="Comma 33" xfId="81"/>
    <cellStyle name="Comma 34" xfId="82"/>
    <cellStyle name="Comma 35" xfId="83"/>
    <cellStyle name="Comma 36" xfId="84"/>
    <cellStyle name="Comma 37" xfId="85"/>
    <cellStyle name="Comma 38" xfId="86"/>
    <cellStyle name="Comma 39" xfId="87"/>
    <cellStyle name="Comma 4" xfId="88"/>
    <cellStyle name="Comma 4 2" xfId="89"/>
    <cellStyle name="Comma 40" xfId="90"/>
    <cellStyle name="Comma 41" xfId="91"/>
    <cellStyle name="Comma 42" xfId="92"/>
    <cellStyle name="Comma 43" xfId="93"/>
    <cellStyle name="Comma 44" xfId="94"/>
    <cellStyle name="Comma 45" xfId="95"/>
    <cellStyle name="Comma 46" xfId="96"/>
    <cellStyle name="Comma 47" xfId="97"/>
    <cellStyle name="Comma 48" xfId="98"/>
    <cellStyle name="Comma 49" xfId="99"/>
    <cellStyle name="Comma 5" xfId="100"/>
    <cellStyle name="Comma 5 2" xfId="101"/>
    <cellStyle name="Comma 50" xfId="102"/>
    <cellStyle name="Comma 51" xfId="103"/>
    <cellStyle name="Comma 52" xfId="104"/>
    <cellStyle name="Comma 53" xfId="105"/>
    <cellStyle name="Comma 54" xfId="106"/>
    <cellStyle name="Comma 55" xfId="107"/>
    <cellStyle name="Comma 56" xfId="108"/>
    <cellStyle name="Comma 57" xfId="109"/>
    <cellStyle name="Comma 58" xfId="110"/>
    <cellStyle name="Comma 59" xfId="111"/>
    <cellStyle name="Comma 6" xfId="112"/>
    <cellStyle name="Comma 6 2" xfId="113"/>
    <cellStyle name="Comma 60" xfId="114"/>
    <cellStyle name="Comma 61" xfId="115"/>
    <cellStyle name="Comma 62" xfId="116"/>
    <cellStyle name="Comma 63" xfId="117"/>
    <cellStyle name="Comma 64" xfId="118"/>
    <cellStyle name="Comma 65" xfId="119"/>
    <cellStyle name="Comma 66" xfId="120"/>
    <cellStyle name="Comma 67" xfId="121"/>
    <cellStyle name="Comma 68" xfId="122"/>
    <cellStyle name="Comma 69" xfId="123"/>
    <cellStyle name="Comma 7" xfId="124"/>
    <cellStyle name="Comma 7 2" xfId="125"/>
    <cellStyle name="Comma 70" xfId="126"/>
    <cellStyle name="Comma 71" xfId="127"/>
    <cellStyle name="Comma 72" xfId="128"/>
    <cellStyle name="Comma 73" xfId="129"/>
    <cellStyle name="Comma 74" xfId="130"/>
    <cellStyle name="Comma 75" xfId="131"/>
    <cellStyle name="Comma 76" xfId="132"/>
    <cellStyle name="Comma 77" xfId="133"/>
    <cellStyle name="Comma 78" xfId="134"/>
    <cellStyle name="Comma 79" xfId="135"/>
    <cellStyle name="Comma 8" xfId="136"/>
    <cellStyle name="Comma 8 2" xfId="137"/>
    <cellStyle name="Comma 80" xfId="138"/>
    <cellStyle name="Comma 81" xfId="139"/>
    <cellStyle name="Comma 82" xfId="140"/>
    <cellStyle name="Comma 83" xfId="141"/>
    <cellStyle name="Comma 84" xfId="142"/>
    <cellStyle name="Comma 85" xfId="143"/>
    <cellStyle name="Comma 86" xfId="144"/>
    <cellStyle name="Comma 87" xfId="145"/>
    <cellStyle name="Comma 87 2" xfId="146"/>
    <cellStyle name="Comma 87 2 2" xfId="501"/>
    <cellStyle name="Comma 87 2 2 2" xfId="502"/>
    <cellStyle name="Comma 87 2 2 3" xfId="503"/>
    <cellStyle name="Comma 87 2 3" xfId="504"/>
    <cellStyle name="Comma 87 2 4" xfId="505"/>
    <cellStyle name="Comma 87 2 5" xfId="500"/>
    <cellStyle name="Comma 87 3" xfId="506"/>
    <cellStyle name="Comma 87 3 2" xfId="507"/>
    <cellStyle name="Comma 87 3 3" xfId="508"/>
    <cellStyle name="Comma 87 4" xfId="509"/>
    <cellStyle name="Comma 87 5" xfId="510"/>
    <cellStyle name="Comma 87 6" xfId="499"/>
    <cellStyle name="Comma 88" xfId="147"/>
    <cellStyle name="Comma 89" xfId="148"/>
    <cellStyle name="Comma 9" xfId="149"/>
    <cellStyle name="Comma 9 2" xfId="150"/>
    <cellStyle name="Comma 90" xfId="151"/>
    <cellStyle name="Comma 91" xfId="152"/>
    <cellStyle name="Comma 92" xfId="153"/>
    <cellStyle name="Comma 93" xfId="154"/>
    <cellStyle name="Comma 94" xfId="155"/>
    <cellStyle name="Comma 95" xfId="156"/>
    <cellStyle name="Comma 95 2" xfId="512"/>
    <cellStyle name="Comma 95 2 2" xfId="513"/>
    <cellStyle name="Comma 95 2 3" xfId="514"/>
    <cellStyle name="Comma 95 3" xfId="515"/>
    <cellStyle name="Comma 95 4" xfId="516"/>
    <cellStyle name="Comma 95 5" xfId="511"/>
    <cellStyle name="Comma 96" xfId="157"/>
    <cellStyle name="Comma 96 2" xfId="518"/>
    <cellStyle name="Comma 96 3" xfId="519"/>
    <cellStyle name="Comma 96 4" xfId="517"/>
    <cellStyle name="Comma 97" xfId="158"/>
    <cellStyle name="Comma 97 2" xfId="521"/>
    <cellStyle name="Comma 97 3" xfId="522"/>
    <cellStyle name="Comma 97 4" xfId="520"/>
    <cellStyle name="Comma 98" xfId="159"/>
    <cellStyle name="Comma 98 2" xfId="524"/>
    <cellStyle name="Comma 98 3" xfId="525"/>
    <cellStyle name="Comma 98 4" xfId="523"/>
    <cellStyle name="Comma 99" xfId="160"/>
    <cellStyle name="Comma 99 2" xfId="332"/>
    <cellStyle name="Comma 99 2 2" xfId="527"/>
    <cellStyle name="Comma 99 3" xfId="528"/>
    <cellStyle name="Comma 99 4" xfId="526"/>
    <cellStyle name="Comma0" xfId="161"/>
    <cellStyle name="Currency" xfId="1" builtinId="4"/>
    <cellStyle name="Currency [2]" xfId="162"/>
    <cellStyle name="Currency 2" xfId="163"/>
    <cellStyle name="Currency 2 2" xfId="164"/>
    <cellStyle name="Currency 2 3" xfId="529"/>
    <cellStyle name="Currency 3" xfId="165"/>
    <cellStyle name="Currency 3 2" xfId="166"/>
    <cellStyle name="Currency 3 3" xfId="167"/>
    <cellStyle name="Currency 3 3 2" xfId="168"/>
    <cellStyle name="Currency 3 3 2 2" xfId="533"/>
    <cellStyle name="Currency 3 3 2 2 2" xfId="534"/>
    <cellStyle name="Currency 3 3 2 2 3" xfId="535"/>
    <cellStyle name="Currency 3 3 2 3" xfId="536"/>
    <cellStyle name="Currency 3 3 2 4" xfId="537"/>
    <cellStyle name="Currency 3 3 2 5" xfId="532"/>
    <cellStyle name="Currency 3 3 3" xfId="538"/>
    <cellStyle name="Currency 3 3 3 2" xfId="539"/>
    <cellStyle name="Currency 3 3 3 3" xfId="540"/>
    <cellStyle name="Currency 3 3 4" xfId="541"/>
    <cellStyle name="Currency 3 3 5" xfId="542"/>
    <cellStyle name="Currency 3 3 6" xfId="531"/>
    <cellStyle name="Currency 3 4" xfId="169"/>
    <cellStyle name="Currency 3 5" xfId="170"/>
    <cellStyle name="Currency 3 5 2" xfId="544"/>
    <cellStyle name="Currency 3 5 2 2" xfId="545"/>
    <cellStyle name="Currency 3 5 2 3" xfId="546"/>
    <cellStyle name="Currency 3 5 3" xfId="547"/>
    <cellStyle name="Currency 3 5 4" xfId="548"/>
    <cellStyle name="Currency 3 5 5" xfId="543"/>
    <cellStyle name="Currency 3 6" xfId="171"/>
    <cellStyle name="Currency 3 6 2" xfId="329"/>
    <cellStyle name="Currency 3 6 2 2" xfId="550"/>
    <cellStyle name="Currency 3 6 3" xfId="551"/>
    <cellStyle name="Currency 3 6 4" xfId="549"/>
    <cellStyle name="Currency 3 7" xfId="552"/>
    <cellStyle name="Currency 3 7 2" xfId="553"/>
    <cellStyle name="Currency 3 7 3" xfId="554"/>
    <cellStyle name="Currency 3 8" xfId="555"/>
    <cellStyle name="Currency 3 9" xfId="556"/>
    <cellStyle name="Currency 4" xfId="172"/>
    <cellStyle name="Currency 4 2" xfId="173"/>
    <cellStyle name="Currency 4 2 2" xfId="174"/>
    <cellStyle name="Currency 4 2 2 2" xfId="557"/>
    <cellStyle name="Currency 4 2 2 2 2" xfId="558"/>
    <cellStyle name="Currency 4 2 2 2 2 2" xfId="559"/>
    <cellStyle name="Currency 4 2 2 2 2 3" xfId="560"/>
    <cellStyle name="Currency 4 2 2 2 3" xfId="561"/>
    <cellStyle name="Currency 4 2 2 2 4" xfId="562"/>
    <cellStyle name="Currency 4 2 2 3" xfId="563"/>
    <cellStyle name="Currency 4 2 2 3 2" xfId="564"/>
    <cellStyle name="Currency 4 2 2 3 3" xfId="565"/>
    <cellStyle name="Currency 4 2 2 4" xfId="566"/>
    <cellStyle name="Currency 4 2 2 4 2" xfId="567"/>
    <cellStyle name="Currency 4 2 2 4 3" xfId="568"/>
    <cellStyle name="Currency 4 2 2 5" xfId="569"/>
    <cellStyle name="Currency 4 2 2 6" xfId="570"/>
    <cellStyle name="Currency 4 2 2 7" xfId="355"/>
    <cellStyle name="Currency 4 2 3" xfId="571"/>
    <cellStyle name="Currency 4 2 3 2" xfId="572"/>
    <cellStyle name="Currency 4 2 3 2 2" xfId="573"/>
    <cellStyle name="Currency 4 2 3 2 3" xfId="574"/>
    <cellStyle name="Currency 4 2 3 3" xfId="575"/>
    <cellStyle name="Currency 4 2 3 4" xfId="576"/>
    <cellStyle name="Currency 4 2 4" xfId="577"/>
    <cellStyle name="Currency 4 2 4 2" xfId="578"/>
    <cellStyle name="Currency 4 2 4 2 2" xfId="579"/>
    <cellStyle name="Currency 4 2 4 2 3" xfId="580"/>
    <cellStyle name="Currency 4 2 4 3" xfId="581"/>
    <cellStyle name="Currency 4 2 4 4" xfId="582"/>
    <cellStyle name="Currency 4 2 5" xfId="583"/>
    <cellStyle name="Currency 4 2 5 2" xfId="584"/>
    <cellStyle name="Currency 4 2 5 2 2" xfId="585"/>
    <cellStyle name="Currency 4 2 5 2 3" xfId="586"/>
    <cellStyle name="Currency 4 2 5 3" xfId="587"/>
    <cellStyle name="Currency 4 2 5 4" xfId="588"/>
    <cellStyle name="Currency 4 2 6" xfId="589"/>
    <cellStyle name="Currency 4 2 6 2" xfId="590"/>
    <cellStyle name="Currency 4 2 6 3" xfId="591"/>
    <cellStyle name="Currency 4 2 7" xfId="344"/>
    <cellStyle name="Currency 4 3" xfId="175"/>
    <cellStyle name="Currency 4 3 2" xfId="592"/>
    <cellStyle name="Currency 4 3 2 2" xfId="593"/>
    <cellStyle name="Currency 4 3 2 2 2" xfId="594"/>
    <cellStyle name="Currency 4 3 2 2 3" xfId="595"/>
    <cellStyle name="Currency 4 3 2 3" xfId="596"/>
    <cellStyle name="Currency 4 3 2 4" xfId="597"/>
    <cellStyle name="Currency 4 3 3" xfId="598"/>
    <cellStyle name="Currency 4 3 3 2" xfId="599"/>
    <cellStyle name="Currency 4 3 3 3" xfId="600"/>
    <cellStyle name="Currency 4 3 4" xfId="601"/>
    <cellStyle name="Currency 4 3 4 2" xfId="602"/>
    <cellStyle name="Currency 4 3 4 3" xfId="603"/>
    <cellStyle name="Currency 4 3 5" xfId="604"/>
    <cellStyle name="Currency 4 3 6" xfId="605"/>
    <cellStyle name="Currency 4 3 7" xfId="349"/>
    <cellStyle name="Currency 4 4" xfId="606"/>
    <cellStyle name="Currency 4 4 2" xfId="607"/>
    <cellStyle name="Currency 4 4 2 2" xfId="608"/>
    <cellStyle name="Currency 4 4 2 3" xfId="609"/>
    <cellStyle name="Currency 4 4 3" xfId="610"/>
    <cellStyle name="Currency 4 4 4" xfId="611"/>
    <cellStyle name="Currency 4 5" xfId="612"/>
    <cellStyle name="Currency 4 5 2" xfId="613"/>
    <cellStyle name="Currency 4 5 2 2" xfId="614"/>
    <cellStyle name="Currency 4 5 2 3" xfId="615"/>
    <cellStyle name="Currency 4 5 3" xfId="616"/>
    <cellStyle name="Currency 4 5 4" xfId="617"/>
    <cellStyle name="Currency 4 6" xfId="618"/>
    <cellStyle name="Currency 4 6 2" xfId="619"/>
    <cellStyle name="Currency 4 6 2 2" xfId="620"/>
    <cellStyle name="Currency 4 6 2 3" xfId="621"/>
    <cellStyle name="Currency 4 6 3" xfId="622"/>
    <cellStyle name="Currency 4 6 4" xfId="623"/>
    <cellStyle name="Currency 4 7" xfId="624"/>
    <cellStyle name="Currency 4 7 2" xfId="625"/>
    <cellStyle name="Currency 4 7 3" xfId="626"/>
    <cellStyle name="Currency 4 8" xfId="338"/>
    <cellStyle name="Currency 5" xfId="176"/>
    <cellStyle name="Currency 5 2" xfId="177"/>
    <cellStyle name="Currency 5 3" xfId="178"/>
    <cellStyle name="Currency 5 3 2" xfId="179"/>
    <cellStyle name="Currency 5 4" xfId="180"/>
    <cellStyle name="Currency 6" xfId="181"/>
    <cellStyle name="Currency 6 2" xfId="182"/>
    <cellStyle name="Currency 6 2 2" xfId="627"/>
    <cellStyle name="Currency 6 2 2 2" xfId="628"/>
    <cellStyle name="Currency 6 2 2 2 2" xfId="629"/>
    <cellStyle name="Currency 6 2 2 2 3" xfId="630"/>
    <cellStyle name="Currency 6 2 2 3" xfId="631"/>
    <cellStyle name="Currency 6 2 2 4" xfId="632"/>
    <cellStyle name="Currency 6 2 3" xfId="633"/>
    <cellStyle name="Currency 6 2 3 2" xfId="634"/>
    <cellStyle name="Currency 6 2 3 3" xfId="635"/>
    <cellStyle name="Currency 6 2 4" xfId="636"/>
    <cellStyle name="Currency 6 2 4 2" xfId="637"/>
    <cellStyle name="Currency 6 2 4 3" xfId="638"/>
    <cellStyle name="Currency 6 2 5" xfId="639"/>
    <cellStyle name="Currency 6 2 6" xfId="640"/>
    <cellStyle name="Currency 6 2 7" xfId="353"/>
    <cellStyle name="Currency 6 3" xfId="641"/>
    <cellStyle name="Currency 6 3 2" xfId="642"/>
    <cellStyle name="Currency 6 3 2 2" xfId="643"/>
    <cellStyle name="Currency 6 3 2 3" xfId="644"/>
    <cellStyle name="Currency 6 3 3" xfId="645"/>
    <cellStyle name="Currency 6 3 4" xfId="646"/>
    <cellStyle name="Currency 6 4" xfId="647"/>
    <cellStyle name="Currency 6 4 2" xfId="648"/>
    <cellStyle name="Currency 6 4 2 2" xfId="649"/>
    <cellStyle name="Currency 6 4 2 3" xfId="650"/>
    <cellStyle name="Currency 6 4 3" xfId="651"/>
    <cellStyle name="Currency 6 4 4" xfId="652"/>
    <cellStyle name="Currency 6 5" xfId="653"/>
    <cellStyle name="Currency 6 5 2" xfId="654"/>
    <cellStyle name="Currency 6 5 2 2" xfId="655"/>
    <cellStyle name="Currency 6 5 2 3" xfId="656"/>
    <cellStyle name="Currency 6 5 3" xfId="657"/>
    <cellStyle name="Currency 6 5 4" xfId="658"/>
    <cellStyle name="Currency 6 6" xfId="659"/>
    <cellStyle name="Currency 6 6 2" xfId="660"/>
    <cellStyle name="Currency 6 6 3" xfId="661"/>
    <cellStyle name="Currency 6 7" xfId="342"/>
    <cellStyle name="Currency 7" xfId="183"/>
    <cellStyle name="Currency 7 2" xfId="184"/>
    <cellStyle name="Currency 7 2 2" xfId="185"/>
    <cellStyle name="Currency 7 2 2 2" xfId="663"/>
    <cellStyle name="Currency 7 2 2 2 2" xfId="664"/>
    <cellStyle name="Currency 7 2 2 2 3" xfId="665"/>
    <cellStyle name="Currency 7 2 2 3" xfId="666"/>
    <cellStyle name="Currency 7 2 2 4" xfId="667"/>
    <cellStyle name="Currency 7 2 2 5" xfId="662"/>
    <cellStyle name="Currency 7 2 3" xfId="668"/>
    <cellStyle name="Currency 7 2 4" xfId="669"/>
    <cellStyle name="Currency 7 2 4 2" xfId="670"/>
    <cellStyle name="Currency 7 2 4 3" xfId="671"/>
    <cellStyle name="Currency 7 2 5" xfId="672"/>
    <cellStyle name="Currency 7 2 6" xfId="673"/>
    <cellStyle name="Currency 7 2 7" xfId="358"/>
    <cellStyle name="Currency 7 3" xfId="186"/>
    <cellStyle name="Currency 8" xfId="187"/>
    <cellStyle name="Currency 8 2" xfId="188"/>
    <cellStyle name="Currency 8 2 2" xfId="676"/>
    <cellStyle name="Currency 8 2 2 2" xfId="677"/>
    <cellStyle name="Currency 8 2 2 3" xfId="678"/>
    <cellStyle name="Currency 8 2 3" xfId="679"/>
    <cellStyle name="Currency 8 2 3 2" xfId="680"/>
    <cellStyle name="Currency 8 2 3 3" xfId="681"/>
    <cellStyle name="Currency 8 2 4" xfId="682"/>
    <cellStyle name="Currency 8 2 5" xfId="683"/>
    <cellStyle name="Currency 8 2 6" xfId="675"/>
    <cellStyle name="Currency 8 3" xfId="684"/>
    <cellStyle name="Currency 8 3 2" xfId="685"/>
    <cellStyle name="Currency 8 3 2 2" xfId="686"/>
    <cellStyle name="Currency 8 3 2 3" xfId="687"/>
    <cellStyle name="Currency 8 3 3" xfId="688"/>
    <cellStyle name="Currency 8 3 3 2" xfId="689"/>
    <cellStyle name="Currency 8 3 3 3" xfId="690"/>
    <cellStyle name="Currency 8 3 4" xfId="691"/>
    <cellStyle name="Currency 8 3 5" xfId="692"/>
    <cellStyle name="Currency 8 4" xfId="693"/>
    <cellStyle name="Currency 8 4 2" xfId="694"/>
    <cellStyle name="Currency 8 4 3" xfId="695"/>
    <cellStyle name="Currency 8 5" xfId="696"/>
    <cellStyle name="Currency 8 5 2" xfId="697"/>
    <cellStyle name="Currency 8 5 3" xfId="698"/>
    <cellStyle name="Currency 8 6" xfId="699"/>
    <cellStyle name="Currency 8 7" xfId="700"/>
    <cellStyle name="Currency 8 8" xfId="674"/>
    <cellStyle name="Currency 9" xfId="189"/>
    <cellStyle name="Currency 9 2" xfId="190"/>
    <cellStyle name="Currency 9 2 2" xfId="703"/>
    <cellStyle name="Currency 9 2 2 2" xfId="704"/>
    <cellStyle name="Currency 9 2 2 3" xfId="705"/>
    <cellStyle name="Currency 9 2 3" xfId="706"/>
    <cellStyle name="Currency 9 2 4" xfId="707"/>
    <cellStyle name="Currency 9 2 5" xfId="702"/>
    <cellStyle name="Currency 9 3" xfId="708"/>
    <cellStyle name="Currency 9 3 2" xfId="709"/>
    <cellStyle name="Currency 9 3 3" xfId="710"/>
    <cellStyle name="Currency 9 4" xfId="711"/>
    <cellStyle name="Currency 9 4 2" xfId="712"/>
    <cellStyle name="Currency 9 4 3" xfId="713"/>
    <cellStyle name="Currency 9 5" xfId="714"/>
    <cellStyle name="Currency 9 5 2" xfId="715"/>
    <cellStyle name="Currency 9 5 3" xfId="716"/>
    <cellStyle name="Currency 9 6" xfId="717"/>
    <cellStyle name="Currency 9 7" xfId="718"/>
    <cellStyle name="Currency 9 8" xfId="701"/>
    <cellStyle name="Currency0" xfId="191"/>
    <cellStyle name="Date" xfId="192"/>
    <cellStyle name="Fixed" xfId="193"/>
    <cellStyle name="FRxAmtStyle" xfId="194"/>
    <cellStyle name="Grey" xfId="195"/>
    <cellStyle name="Heading 1 2" xfId="196"/>
    <cellStyle name="Heading 2 2" xfId="197"/>
    <cellStyle name="Heading 2 3" xfId="198"/>
    <cellStyle name="Heading1" xfId="199"/>
    <cellStyle name="Heading2" xfId="200"/>
    <cellStyle name="Input [yellow]" xfId="201"/>
    <cellStyle name="Normal" xfId="0" builtinId="0"/>
    <cellStyle name="Normal - Style1" xfId="202"/>
    <cellStyle name="Normal 10" xfId="203"/>
    <cellStyle name="Normal 10 2" xfId="204"/>
    <cellStyle name="Normal 10 2 2" xfId="205"/>
    <cellStyle name="Normal 10 2 2 2" xfId="721"/>
    <cellStyle name="Normal 10 2 2 2 2" xfId="722"/>
    <cellStyle name="Normal 10 2 2 2 3" xfId="723"/>
    <cellStyle name="Normal 10 2 2 3" xfId="724"/>
    <cellStyle name="Normal 10 2 2 4" xfId="725"/>
    <cellStyle name="Normal 10 2 2 5" xfId="720"/>
    <cellStyle name="Normal 10 2 3" xfId="726"/>
    <cellStyle name="Normal 10 2 3 2" xfId="727"/>
    <cellStyle name="Normal 10 2 3 3" xfId="728"/>
    <cellStyle name="Normal 10 2 4" xfId="729"/>
    <cellStyle name="Normal 10 2 4 2" xfId="730"/>
    <cellStyle name="Normal 10 2 4 3" xfId="731"/>
    <cellStyle name="Normal 10 2 5" xfId="732"/>
    <cellStyle name="Normal 10 2 6" xfId="733"/>
    <cellStyle name="Normal 10 2 7" xfId="719"/>
    <cellStyle name="Normal 10 3" xfId="734"/>
    <cellStyle name="Normal 10 3 2" xfId="735"/>
    <cellStyle name="Normal 10 3 2 2" xfId="736"/>
    <cellStyle name="Normal 10 3 2 3" xfId="737"/>
    <cellStyle name="Normal 10 3 3" xfId="738"/>
    <cellStyle name="Normal 10 3 3 2" xfId="739"/>
    <cellStyle name="Normal 10 3 3 3" xfId="740"/>
    <cellStyle name="Normal 10 3 4" xfId="741"/>
    <cellStyle name="Normal 10 3 5" xfId="742"/>
    <cellStyle name="Normal 10 4" xfId="743"/>
    <cellStyle name="Normal 10 4 2" xfId="744"/>
    <cellStyle name="Normal 10 4 3" xfId="745"/>
    <cellStyle name="Normal 11" xfId="206"/>
    <cellStyle name="Normal 11 2" xfId="360"/>
    <cellStyle name="Normal 12" xfId="207"/>
    <cellStyle name="Normal 12 2" xfId="746"/>
    <cellStyle name="Normal 12 2 2" xfId="747"/>
    <cellStyle name="Normal 12 2 3" xfId="748"/>
    <cellStyle name="Normal 12 3" xfId="749"/>
    <cellStyle name="Normal 12 3 2" xfId="750"/>
    <cellStyle name="Normal 12 3 3" xfId="751"/>
    <cellStyle name="Normal 12 4" xfId="752"/>
    <cellStyle name="Normal 12 4 2" xfId="753"/>
    <cellStyle name="Normal 12 4 3" xfId="754"/>
    <cellStyle name="Normal 13" xfId="208"/>
    <cellStyle name="Normal 13 2" xfId="209"/>
    <cellStyle name="Normal 13 2 2" xfId="757"/>
    <cellStyle name="Normal 13 2 2 2" xfId="758"/>
    <cellStyle name="Normal 13 2 2 3" xfId="759"/>
    <cellStyle name="Normal 13 2 3" xfId="760"/>
    <cellStyle name="Normal 13 2 4" xfId="761"/>
    <cellStyle name="Normal 13 2 5" xfId="756"/>
    <cellStyle name="Normal 13 3" xfId="762"/>
    <cellStyle name="Normal 13 3 2" xfId="763"/>
    <cellStyle name="Normal 13 3 3" xfId="764"/>
    <cellStyle name="Normal 13 4" xfId="765"/>
    <cellStyle name="Normal 13 4 2" xfId="766"/>
    <cellStyle name="Normal 13 4 3" xfId="767"/>
    <cellStyle name="Normal 13 5" xfId="768"/>
    <cellStyle name="Normal 13 5 2" xfId="769"/>
    <cellStyle name="Normal 13 5 3" xfId="770"/>
    <cellStyle name="Normal 13 6" xfId="771"/>
    <cellStyle name="Normal 13 7" xfId="772"/>
    <cellStyle name="Normal 13 8" xfId="755"/>
    <cellStyle name="Normal 14" xfId="210"/>
    <cellStyle name="Normal 14 2" xfId="211"/>
    <cellStyle name="Normal 14 2 2" xfId="775"/>
    <cellStyle name="Normal 14 2 2 2" xfId="776"/>
    <cellStyle name="Normal 14 2 2 3" xfId="777"/>
    <cellStyle name="Normal 14 2 3" xfId="778"/>
    <cellStyle name="Normal 14 2 4" xfId="779"/>
    <cellStyle name="Normal 14 2 5" xfId="774"/>
    <cellStyle name="Normal 14 3" xfId="780"/>
    <cellStyle name="Normal 14 3 2" xfId="781"/>
    <cellStyle name="Normal 14 3 3" xfId="782"/>
    <cellStyle name="Normal 14 4" xfId="783"/>
    <cellStyle name="Normal 14 5" xfId="784"/>
    <cellStyle name="Normal 14 6" xfId="773"/>
    <cellStyle name="Normal 15" xfId="212"/>
    <cellStyle name="Normal 16" xfId="213"/>
    <cellStyle name="Normal 17" xfId="214"/>
    <cellStyle name="Normal 17 2" xfId="330"/>
    <cellStyle name="Normal 17 2 2" xfId="787"/>
    <cellStyle name="Normal 17 2 3" xfId="788"/>
    <cellStyle name="Normal 17 2 4" xfId="786"/>
    <cellStyle name="Normal 17 3" xfId="789"/>
    <cellStyle name="Normal 17 4" xfId="790"/>
    <cellStyle name="Normal 17 5" xfId="785"/>
    <cellStyle name="Normal 18" xfId="215"/>
    <cellStyle name="Normal 18 2" xfId="792"/>
    <cellStyle name="Normal 18 2 2" xfId="793"/>
    <cellStyle name="Normal 18 2 3" xfId="794"/>
    <cellStyle name="Normal 18 3" xfId="359"/>
    <cellStyle name="Normal 18 4" xfId="791"/>
    <cellStyle name="Normal 19" xfId="216"/>
    <cellStyle name="Normal 19 2" xfId="796"/>
    <cellStyle name="Normal 19 3" xfId="797"/>
    <cellStyle name="Normal 19 4" xfId="795"/>
    <cellStyle name="Normal 2" xfId="217"/>
    <cellStyle name="Normal 2 2" xfId="218"/>
    <cellStyle name="Normal 2 2 2" xfId="219"/>
    <cellStyle name="Normal 2 3" xfId="220"/>
    <cellStyle name="Normal 2 3 2" xfId="221"/>
    <cellStyle name="Normal 2 3 2 2" xfId="798"/>
    <cellStyle name="Normal 2 3 2 3" xfId="799"/>
    <cellStyle name="Normal 2 3 2 3 2" xfId="800"/>
    <cellStyle name="Normal 2 3 2 3 2 2" xfId="801"/>
    <cellStyle name="Normal 2 3 2 3 2 3" xfId="802"/>
    <cellStyle name="Normal 2 3 2 3 3" xfId="803"/>
    <cellStyle name="Normal 2 3 2 3 4" xfId="804"/>
    <cellStyle name="Normal 2 3 2 4" xfId="805"/>
    <cellStyle name="Normal 2 3 2 4 2" xfId="806"/>
    <cellStyle name="Normal 2 3 2 4 3" xfId="807"/>
    <cellStyle name="Normal 2 3 3" xfId="222"/>
    <cellStyle name="Normal 2 3 3 2" xfId="808"/>
    <cellStyle name="Normal 2 3 3 2 2" xfId="809"/>
    <cellStyle name="Normal 2 3 3 2 3" xfId="810"/>
    <cellStyle name="Normal 2 3 3 3" xfId="811"/>
    <cellStyle name="Normal 2 3 3 3 2" xfId="812"/>
    <cellStyle name="Normal 2 3 3 3 3" xfId="813"/>
    <cellStyle name="Normal 2 3 3 4" xfId="814"/>
    <cellStyle name="Normal 2 3 3 5" xfId="815"/>
    <cellStyle name="Normal 2 3 3 6" xfId="357"/>
    <cellStyle name="Normal 2 3 4" xfId="816"/>
    <cellStyle name="Normal 2 3 4 2" xfId="817"/>
    <cellStyle name="Normal 2 3 4 2 2" xfId="818"/>
    <cellStyle name="Normal 2 3 4 2 3" xfId="819"/>
    <cellStyle name="Normal 2 3 4 3" xfId="820"/>
    <cellStyle name="Normal 2 3 4 4" xfId="821"/>
    <cellStyle name="Normal 2 3 5" xfId="822"/>
    <cellStyle name="Normal 2 3 5 2" xfId="823"/>
    <cellStyle name="Normal 2 3 5 2 2" xfId="824"/>
    <cellStyle name="Normal 2 3 5 2 3" xfId="825"/>
    <cellStyle name="Normal 2 3 5 3" xfId="826"/>
    <cellStyle name="Normal 2 3 5 4" xfId="827"/>
    <cellStyle name="Normal 2 3 6" xfId="828"/>
    <cellStyle name="Normal 2 3 6 2" xfId="829"/>
    <cellStyle name="Normal 2 3 6 3" xfId="830"/>
    <cellStyle name="Normal 2 3 7" xfId="346"/>
    <cellStyle name="Normal 2 4" xfId="223"/>
    <cellStyle name="Normal 2 4 2" xfId="831"/>
    <cellStyle name="Normal 2 4 2 2" xfId="832"/>
    <cellStyle name="Normal 2 4 2 2 2" xfId="833"/>
    <cellStyle name="Normal 2 4 2 2 3" xfId="834"/>
    <cellStyle name="Normal 2 4 2 3" xfId="835"/>
    <cellStyle name="Normal 2 4 2 4" xfId="836"/>
    <cellStyle name="Normal 2 4 3" xfId="837"/>
    <cellStyle name="Normal 2 4 3 2" xfId="838"/>
    <cellStyle name="Normal 2 4 3 3" xfId="839"/>
    <cellStyle name="Normal 2 4 4" xfId="347"/>
    <cellStyle name="Normal 2 5" xfId="224"/>
    <cellStyle name="Normal 2 5 2" xfId="841"/>
    <cellStyle name="Normal 2 5 2 2" xfId="842"/>
    <cellStyle name="Normal 2 5 2 3" xfId="843"/>
    <cellStyle name="Normal 2 5 3" xfId="844"/>
    <cellStyle name="Normal 2 5 3 2" xfId="845"/>
    <cellStyle name="Normal 2 5 3 3" xfId="846"/>
    <cellStyle name="Normal 2 5 4" xfId="847"/>
    <cellStyle name="Normal 2 5 5" xfId="848"/>
    <cellStyle name="Normal 2 5 6" xfId="840"/>
    <cellStyle name="Normal 2 6" xfId="849"/>
    <cellStyle name="Normal 2 6 2" xfId="850"/>
    <cellStyle name="Normal 2 6 2 2" xfId="851"/>
    <cellStyle name="Normal 2 6 2 3" xfId="852"/>
    <cellStyle name="Normal 2 6 3" xfId="853"/>
    <cellStyle name="Normal 2 6 4" xfId="854"/>
    <cellStyle name="Normal 2 7" xfId="855"/>
    <cellStyle name="Normal 2 7 2" xfId="856"/>
    <cellStyle name="Normal 2 7 2 2" xfId="857"/>
    <cellStyle name="Normal 2 7 2 3" xfId="858"/>
    <cellStyle name="Normal 2 7 3" xfId="859"/>
    <cellStyle name="Normal 2 7 4" xfId="860"/>
    <cellStyle name="Normal 2 8" xfId="861"/>
    <cellStyle name="Normal 2 8 2" xfId="862"/>
    <cellStyle name="Normal 2 8 2 2" xfId="863"/>
    <cellStyle name="Normal 2 8 2 3" xfId="864"/>
    <cellStyle name="Normal 2 8 3" xfId="865"/>
    <cellStyle name="Normal 2 8 4" xfId="866"/>
    <cellStyle name="Normal 2 9" xfId="335"/>
    <cellStyle name="Normal 20" xfId="225"/>
    <cellStyle name="Normal 20 2" xfId="868"/>
    <cellStyle name="Normal 20 3" xfId="869"/>
    <cellStyle name="Normal 20 4" xfId="867"/>
    <cellStyle name="Normal 21" xfId="226"/>
    <cellStyle name="Normal 21 2" xfId="331"/>
    <cellStyle name="Normal 21 2 2" xfId="871"/>
    <cellStyle name="Normal 21 3" xfId="872"/>
    <cellStyle name="Normal 21 4" xfId="870"/>
    <cellStyle name="Normal 22" xfId="227"/>
    <cellStyle name="Normal 22 2" xfId="873"/>
    <cellStyle name="Normal 22 3" xfId="874"/>
    <cellStyle name="Normal 23" xfId="875"/>
    <cellStyle name="Normal 23 2" xfId="876"/>
    <cellStyle name="Normal 23 3" xfId="877"/>
    <cellStyle name="Normal 24" xfId="333"/>
    <cellStyle name="Normal 24 2" xfId="498"/>
    <cellStyle name="Normal 25" xfId="1114"/>
    <cellStyle name="Normal 26" xfId="1116"/>
    <cellStyle name="Normal 27" xfId="530"/>
    <cellStyle name="Normal 28" xfId="1118"/>
    <cellStyle name="Normal 3" xfId="7"/>
    <cellStyle name="Normal 3 2" xfId="228"/>
    <cellStyle name="Normal 3 3" xfId="229"/>
    <cellStyle name="Normal 3 3 2" xfId="230"/>
    <cellStyle name="Normal 3 3 2 2" xfId="880"/>
    <cellStyle name="Normal 3 3 2 2 2" xfId="881"/>
    <cellStyle name="Normal 3 3 2 2 3" xfId="882"/>
    <cellStyle name="Normal 3 3 2 3" xfId="883"/>
    <cellStyle name="Normal 3 3 2 4" xfId="884"/>
    <cellStyle name="Normal 3 3 2 5" xfId="879"/>
    <cellStyle name="Normal 3 3 3" xfId="885"/>
    <cellStyle name="Normal 3 3 3 2" xfId="886"/>
    <cellStyle name="Normal 3 3 3 3" xfId="887"/>
    <cellStyle name="Normal 3 3 4" xfId="888"/>
    <cellStyle name="Normal 3 3 5" xfId="889"/>
    <cellStyle name="Normal 3 3 6" xfId="878"/>
    <cellStyle name="Normal 3_Attach O, GG, Support -New Method 2-14-11" xfId="231"/>
    <cellStyle name="Normal 33" xfId="232"/>
    <cellStyle name="Normal 34" xfId="233"/>
    <cellStyle name="Normal 4" xfId="234"/>
    <cellStyle name="Normal 4 10" xfId="890"/>
    <cellStyle name="Normal 4 2" xfId="235"/>
    <cellStyle name="Normal 4 3" xfId="236"/>
    <cellStyle name="Normal 4 3 2" xfId="237"/>
    <cellStyle name="Normal 4 4" xfId="238"/>
    <cellStyle name="Normal 4 4 2" xfId="891"/>
    <cellStyle name="Normal 4 5" xfId="239"/>
    <cellStyle name="Normal 4 6" xfId="240"/>
    <cellStyle name="Normal 4 6 2" xfId="893"/>
    <cellStyle name="Normal 4 6 2 2" xfId="894"/>
    <cellStyle name="Normal 4 6 2 3" xfId="895"/>
    <cellStyle name="Normal 4 6 3" xfId="896"/>
    <cellStyle name="Normal 4 6 4" xfId="897"/>
    <cellStyle name="Normal 4 6 5" xfId="892"/>
    <cellStyle name="Normal 4 7" xfId="241"/>
    <cellStyle name="Normal 4 7 2" xfId="328"/>
    <cellStyle name="Normal 4 7 2 2" xfId="899"/>
    <cellStyle name="Normal 4 7 3" xfId="900"/>
    <cellStyle name="Normal 4 7 4" xfId="898"/>
    <cellStyle name="Normal 4 8" xfId="901"/>
    <cellStyle name="Normal 4 8 2" xfId="902"/>
    <cellStyle name="Normal 4 8 3" xfId="903"/>
    <cellStyle name="Normal 4 9" xfId="904"/>
    <cellStyle name="Normal 5" xfId="242"/>
    <cellStyle name="Normal 5 2" xfId="243"/>
    <cellStyle name="Normal 5 2 10" xfId="345"/>
    <cellStyle name="Normal 5 2 2" xfId="244"/>
    <cellStyle name="Normal 5 2 2 2" xfId="905"/>
    <cellStyle name="Normal 5 2 2 2 2" xfId="906"/>
    <cellStyle name="Normal 5 2 2 2 2 2" xfId="907"/>
    <cellStyle name="Normal 5 2 2 2 2 3" xfId="908"/>
    <cellStyle name="Normal 5 2 2 2 3" xfId="909"/>
    <cellStyle name="Normal 5 2 2 2 4" xfId="910"/>
    <cellStyle name="Normal 5 2 2 3" xfId="911"/>
    <cellStyle name="Normal 5 2 2 3 2" xfId="912"/>
    <cellStyle name="Normal 5 2 2 3 3" xfId="913"/>
    <cellStyle name="Normal 5 2 2 4" xfId="914"/>
    <cellStyle name="Normal 5 2 2 5" xfId="915"/>
    <cellStyle name="Normal 5 2 2 6" xfId="356"/>
    <cellStyle name="Normal 5 2 3" xfId="916"/>
    <cellStyle name="Normal 5 2 3 2" xfId="917"/>
    <cellStyle name="Normal 5 2 3 2 2" xfId="918"/>
    <cellStyle name="Normal 5 2 3 2 3" xfId="919"/>
    <cellStyle name="Normal 5 2 3 3" xfId="920"/>
    <cellStyle name="Normal 5 2 3 4" xfId="921"/>
    <cellStyle name="Normal 5 2 4" xfId="922"/>
    <cellStyle name="Normal 5 2 4 2" xfId="923"/>
    <cellStyle name="Normal 5 2 4 2 2" xfId="924"/>
    <cellStyle name="Normal 5 2 4 2 3" xfId="925"/>
    <cellStyle name="Normal 5 2 4 3" xfId="926"/>
    <cellStyle name="Normal 5 2 4 4" xfId="927"/>
    <cellStyle name="Normal 5 2 5" xfId="928"/>
    <cellStyle name="Normal 5 2 5 2" xfId="929"/>
    <cellStyle name="Normal 5 2 5 2 2" xfId="930"/>
    <cellStyle name="Normal 5 2 5 2 3" xfId="931"/>
    <cellStyle name="Normal 5 2 5 3" xfId="932"/>
    <cellStyle name="Normal 5 2 5 4" xfId="933"/>
    <cellStyle name="Normal 5 2 6" xfId="934"/>
    <cellStyle name="Normal 5 2 6 2" xfId="935"/>
    <cellStyle name="Normal 5 2 6 3" xfId="936"/>
    <cellStyle name="Normal 5 2 7" xfId="937"/>
    <cellStyle name="Normal 5 2 7 2" xfId="938"/>
    <cellStyle name="Normal 5 2 7 3" xfId="939"/>
    <cellStyle name="Normal 5 2 8" xfId="940"/>
    <cellStyle name="Normal 5 2 9" xfId="941"/>
    <cellStyle name="Normal 5 3" xfId="245"/>
    <cellStyle name="Normal 5 3 2" xfId="942"/>
    <cellStyle name="Normal 5 3 2 2" xfId="943"/>
    <cellStyle name="Normal 5 3 2 2 2" xfId="944"/>
    <cellStyle name="Normal 5 3 2 2 3" xfId="945"/>
    <cellStyle name="Normal 5 3 2 3" xfId="946"/>
    <cellStyle name="Normal 5 3 2 4" xfId="947"/>
    <cellStyle name="Normal 5 3 3" xfId="948"/>
    <cellStyle name="Normal 5 3 3 2" xfId="949"/>
    <cellStyle name="Normal 5 3 3 3" xfId="950"/>
    <cellStyle name="Normal 5 3 4" xfId="951"/>
    <cellStyle name="Normal 5 3 4 2" xfId="952"/>
    <cellStyle name="Normal 5 3 4 3" xfId="953"/>
    <cellStyle name="Normal 5 3 5" xfId="954"/>
    <cellStyle name="Normal 5 3 6" xfId="955"/>
    <cellStyle name="Normal 5 3 7" xfId="350"/>
    <cellStyle name="Normal 5 4" xfId="956"/>
    <cellStyle name="Normal 5 4 2" xfId="957"/>
    <cellStyle name="Normal 5 4 2 2" xfId="958"/>
    <cellStyle name="Normal 5 4 2 3" xfId="959"/>
    <cellStyle name="Normal 5 4 3" xfId="960"/>
    <cellStyle name="Normal 5 4 4" xfId="961"/>
    <cellStyle name="Normal 5 5" xfId="962"/>
    <cellStyle name="Normal 5 5 2" xfId="963"/>
    <cellStyle name="Normal 5 5 2 2" xfId="964"/>
    <cellStyle name="Normal 5 5 2 3" xfId="965"/>
    <cellStyle name="Normal 5 5 3" xfId="966"/>
    <cellStyle name="Normal 5 5 4" xfId="967"/>
    <cellStyle name="Normal 5 6" xfId="968"/>
    <cellStyle name="Normal 5 6 2" xfId="969"/>
    <cellStyle name="Normal 5 6 2 2" xfId="970"/>
    <cellStyle name="Normal 5 6 2 3" xfId="971"/>
    <cellStyle name="Normal 5 6 3" xfId="972"/>
    <cellStyle name="Normal 5 6 4" xfId="973"/>
    <cellStyle name="Normal 5 7" xfId="974"/>
    <cellStyle name="Normal 5 7 2" xfId="975"/>
    <cellStyle name="Normal 5 7 3" xfId="976"/>
    <cellStyle name="Normal 5 8" xfId="339"/>
    <cellStyle name="Normal 6" xfId="246"/>
    <cellStyle name="Normal 6 2" xfId="247"/>
    <cellStyle name="Normal 6 2 2" xfId="248"/>
    <cellStyle name="Normal 6 2 2 2" xfId="249"/>
    <cellStyle name="Normal 6 2 2 2 2" xfId="980"/>
    <cellStyle name="Normal 6 2 2 2 2 2" xfId="981"/>
    <cellStyle name="Normal 6 2 2 2 2 3" xfId="982"/>
    <cellStyle name="Normal 6 2 2 2 3" xfId="983"/>
    <cellStyle name="Normal 6 2 2 2 4" xfId="984"/>
    <cellStyle name="Normal 6 2 2 2 5" xfId="979"/>
    <cellStyle name="Normal 6 2 2 3" xfId="985"/>
    <cellStyle name="Normal 6 2 2 3 2" xfId="986"/>
    <cellStyle name="Normal 6 2 2 3 3" xfId="987"/>
    <cellStyle name="Normal 6 2 2 4" xfId="988"/>
    <cellStyle name="Normal 6 2 2 5" xfId="989"/>
    <cellStyle name="Normal 6 2 2 6" xfId="978"/>
    <cellStyle name="Normal 6 2 3" xfId="250"/>
    <cellStyle name="Normal 6 2 3 2" xfId="991"/>
    <cellStyle name="Normal 6 2 3 2 2" xfId="992"/>
    <cellStyle name="Normal 6 2 3 2 3" xfId="993"/>
    <cellStyle name="Normal 6 2 3 3" xfId="994"/>
    <cellStyle name="Normal 6 2 3 4" xfId="995"/>
    <cellStyle name="Normal 6 2 3 5" xfId="990"/>
    <cellStyle name="Normal 6 2 4" xfId="996"/>
    <cellStyle name="Normal 6 2 4 2" xfId="997"/>
    <cellStyle name="Normal 6 2 4 3" xfId="998"/>
    <cellStyle name="Normal 6 2 5" xfId="999"/>
    <cellStyle name="Normal 6 2 6" xfId="1000"/>
    <cellStyle name="Normal 6 2 7" xfId="977"/>
    <cellStyle name="Normal 6 3" xfId="251"/>
    <cellStyle name="Normal 6 3 2" xfId="252"/>
    <cellStyle name="Normal 6 3 2 2" xfId="1003"/>
    <cellStyle name="Normal 6 3 2 2 2" xfId="1004"/>
    <cellStyle name="Normal 6 3 2 2 3" xfId="1005"/>
    <cellStyle name="Normal 6 3 2 3" xfId="1006"/>
    <cellStyle name="Normal 6 3 2 4" xfId="1007"/>
    <cellStyle name="Normal 6 3 2 5" xfId="1002"/>
    <cellStyle name="Normal 6 3 3" xfId="1008"/>
    <cellStyle name="Normal 6 3 3 2" xfId="1009"/>
    <cellStyle name="Normal 6 3 3 3" xfId="1010"/>
    <cellStyle name="Normal 6 3 4" xfId="1011"/>
    <cellStyle name="Normal 6 3 5" xfId="1012"/>
    <cellStyle name="Normal 6 3 6" xfId="1001"/>
    <cellStyle name="Normal 6 4" xfId="253"/>
    <cellStyle name="Normal 6 4 2" xfId="1014"/>
    <cellStyle name="Normal 6 4 2 2" xfId="1015"/>
    <cellStyle name="Normal 6 4 2 3" xfId="1016"/>
    <cellStyle name="Normal 6 4 3" xfId="1017"/>
    <cellStyle name="Normal 6 4 4" xfId="1018"/>
    <cellStyle name="Normal 6 4 5" xfId="1013"/>
    <cellStyle name="Normal 6 5" xfId="254"/>
    <cellStyle name="Normal 6 6" xfId="1019"/>
    <cellStyle name="Normal 6 6 2" xfId="1020"/>
    <cellStyle name="Normal 6 6 3" xfId="1021"/>
    <cellStyle name="Normal 6 7" xfId="1022"/>
    <cellStyle name="Normal 6 8" xfId="1023"/>
    <cellStyle name="Normal 7" xfId="255"/>
    <cellStyle name="Normal 7 2" xfId="256"/>
    <cellStyle name="Normal 7 2 2" xfId="257"/>
    <cellStyle name="Normal 7 2 2 2" xfId="1026"/>
    <cellStyle name="Normal 7 2 2 2 2" xfId="1027"/>
    <cellStyle name="Normal 7 2 2 2 3" xfId="1028"/>
    <cellStyle name="Normal 7 2 2 3" xfId="1029"/>
    <cellStyle name="Normal 7 2 2 4" xfId="1030"/>
    <cellStyle name="Normal 7 2 2 5" xfId="1025"/>
    <cellStyle name="Normal 7 2 3" xfId="1031"/>
    <cellStyle name="Normal 7 2 3 2" xfId="1032"/>
    <cellStyle name="Normal 7 2 3 3" xfId="1033"/>
    <cellStyle name="Normal 7 2 4" xfId="1034"/>
    <cellStyle name="Normal 7 2 5" xfId="1035"/>
    <cellStyle name="Normal 7 2 6" xfId="1024"/>
    <cellStyle name="Normal 7 3" xfId="258"/>
    <cellStyle name="Normal 7 3 2" xfId="1037"/>
    <cellStyle name="Normal 7 3 2 2" xfId="1038"/>
    <cellStyle name="Normal 7 3 2 3" xfId="1039"/>
    <cellStyle name="Normal 7 3 3" xfId="1040"/>
    <cellStyle name="Normal 7 3 4" xfId="1041"/>
    <cellStyle name="Normal 7 3 5" xfId="1036"/>
    <cellStyle name="Normal 7 4" xfId="259"/>
    <cellStyle name="Normal 7 5" xfId="1042"/>
    <cellStyle name="Normal 7 5 2" xfId="1043"/>
    <cellStyle name="Normal 7 5 3" xfId="1044"/>
    <cellStyle name="Normal 7 6" xfId="1045"/>
    <cellStyle name="Normal 7 7" xfId="1046"/>
    <cellStyle name="Normal 8" xfId="260"/>
    <cellStyle name="Normal 8 2" xfId="261"/>
    <cellStyle name="Normal 8 2 2" xfId="1047"/>
    <cellStyle name="Normal 8 2 2 2" xfId="1048"/>
    <cellStyle name="Normal 8 2 2 2 2" xfId="1049"/>
    <cellStyle name="Normal 8 2 2 2 3" xfId="1050"/>
    <cellStyle name="Normal 8 2 2 3" xfId="1051"/>
    <cellStyle name="Normal 8 2 2 4" xfId="1052"/>
    <cellStyle name="Normal 8 2 3" xfId="1053"/>
    <cellStyle name="Normal 8 2 3 2" xfId="1054"/>
    <cellStyle name="Normal 8 2 3 3" xfId="1055"/>
    <cellStyle name="Normal 8 2 4" xfId="1056"/>
    <cellStyle name="Normal 8 2 4 2" xfId="1057"/>
    <cellStyle name="Normal 8 2 4 3" xfId="1058"/>
    <cellStyle name="Normal 8 2 5" xfId="1059"/>
    <cellStyle name="Normal 8 2 6" xfId="1060"/>
    <cellStyle name="Normal 8 2 7" xfId="351"/>
    <cellStyle name="Normal 8 3" xfId="362"/>
    <cellStyle name="Normal 8 3 2" xfId="1061"/>
    <cellStyle name="Normal 8 3 2 2" xfId="1062"/>
    <cellStyle name="Normal 8 3 2 3" xfId="1063"/>
    <cellStyle name="Normal 8 3 3" xfId="1064"/>
    <cellStyle name="Normal 8 3 4" xfId="1065"/>
    <cellStyle name="Normal 8 4" xfId="1066"/>
    <cellStyle name="Normal 8 4 2" xfId="1067"/>
    <cellStyle name="Normal 8 4 2 2" xfId="1068"/>
    <cellStyle name="Normal 8 4 2 3" xfId="1069"/>
    <cellStyle name="Normal 8 4 3" xfId="1070"/>
    <cellStyle name="Normal 8 4 4" xfId="1071"/>
    <cellStyle name="Normal 8 5" xfId="1072"/>
    <cellStyle name="Normal 8 5 2" xfId="1073"/>
    <cellStyle name="Normal 8 5 2 2" xfId="1074"/>
    <cellStyle name="Normal 8 5 2 3" xfId="1075"/>
    <cellStyle name="Normal 8 5 3" xfId="1076"/>
    <cellStyle name="Normal 8 5 4" xfId="1077"/>
    <cellStyle name="Normal 8 6" xfId="1078"/>
    <cellStyle name="Normal 8 6 2" xfId="1079"/>
    <cellStyle name="Normal 8 6 2 2" xfId="1080"/>
    <cellStyle name="Normal 8 6 2 3" xfId="1081"/>
    <cellStyle name="Normal 8 6 3" xfId="1082"/>
    <cellStyle name="Normal 8 6 4" xfId="1083"/>
    <cellStyle name="Normal 8 7" xfId="1084"/>
    <cellStyle name="Normal 8 7 2" xfId="1085"/>
    <cellStyle name="Normal 8 7 3" xfId="1086"/>
    <cellStyle name="Normal 8 8" xfId="1087"/>
    <cellStyle name="Normal 8 9" xfId="340"/>
    <cellStyle name="Normal 9" xfId="262"/>
    <cellStyle name="Normal 9 2" xfId="1088"/>
    <cellStyle name="Normal 9 3" xfId="361"/>
    <cellStyle name="Normal_Attachment O &amp; GG Final 11_11_09" xfId="2"/>
    <cellStyle name="Normal_GRE_Rate_Zones_Allocation_11042004" xfId="5"/>
    <cellStyle name="Normal_Rate Zone Allocation" xfId="6"/>
    <cellStyle name="Percent" xfId="4" builtinId="5"/>
    <cellStyle name="Percent [2]" xfId="263"/>
    <cellStyle name="Percent 10" xfId="264"/>
    <cellStyle name="Percent 11" xfId="265"/>
    <cellStyle name="Percent 12" xfId="266"/>
    <cellStyle name="Percent 13" xfId="267"/>
    <cellStyle name="Percent 14" xfId="268"/>
    <cellStyle name="Percent 14 2" xfId="1090"/>
    <cellStyle name="Percent 14 3" xfId="1091"/>
    <cellStyle name="Percent 14 4" xfId="1089"/>
    <cellStyle name="Percent 15" xfId="269"/>
    <cellStyle name="Percent 15 2" xfId="1093"/>
    <cellStyle name="Percent 15 3" xfId="1094"/>
    <cellStyle name="Percent 15 4" xfId="1092"/>
    <cellStyle name="Percent 16" xfId="270"/>
    <cellStyle name="Percent 16 2" xfId="1096"/>
    <cellStyle name="Percent 16 3" xfId="1097"/>
    <cellStyle name="Percent 16 4" xfId="1095"/>
    <cellStyle name="Percent 17" xfId="271"/>
    <cellStyle name="Percent 17 2" xfId="1099"/>
    <cellStyle name="Percent 17 3" xfId="1100"/>
    <cellStyle name="Percent 17 4" xfId="1098"/>
    <cellStyle name="Percent 2" xfId="272"/>
    <cellStyle name="Percent 2 2" xfId="273"/>
    <cellStyle name="Percent 3" xfId="274"/>
    <cellStyle name="Percent 3 2" xfId="275"/>
    <cellStyle name="Percent 4" xfId="276"/>
    <cellStyle name="Percent 5" xfId="277"/>
    <cellStyle name="Percent 6" xfId="278"/>
    <cellStyle name="Percent 7" xfId="279"/>
    <cellStyle name="Percent 7 2" xfId="280"/>
    <cellStyle name="Percent 7 2 2" xfId="1103"/>
    <cellStyle name="Percent 7 2 2 2" xfId="1104"/>
    <cellStyle name="Percent 7 2 2 3" xfId="1105"/>
    <cellStyle name="Percent 7 2 3" xfId="1106"/>
    <cellStyle name="Percent 7 2 4" xfId="1107"/>
    <cellStyle name="Percent 7 2 5" xfId="1102"/>
    <cellStyle name="Percent 7 3" xfId="1108"/>
    <cellStyle name="Percent 7 3 2" xfId="1109"/>
    <cellStyle name="Percent 7 3 3" xfId="1110"/>
    <cellStyle name="Percent 7 4" xfId="1111"/>
    <cellStyle name="Percent 7 5" xfId="1112"/>
    <cellStyle name="Percent 7 6" xfId="1101"/>
    <cellStyle name="Percent 8" xfId="281"/>
    <cellStyle name="Percent 9" xfId="282"/>
    <cellStyle name="PSChar" xfId="283"/>
    <cellStyle name="PSDate" xfId="284"/>
    <cellStyle name="PSDec" xfId="285"/>
    <cellStyle name="PSdesc" xfId="286"/>
    <cellStyle name="PSHeading" xfId="287"/>
    <cellStyle name="PSInt" xfId="288"/>
    <cellStyle name="PSSpacer" xfId="289"/>
    <cellStyle name="PStest" xfId="290"/>
    <cellStyle name="R00A" xfId="291"/>
    <cellStyle name="R00B" xfId="292"/>
    <cellStyle name="R00L" xfId="293"/>
    <cellStyle name="R01A" xfId="294"/>
    <cellStyle name="R01B" xfId="295"/>
    <cellStyle name="R01H" xfId="296"/>
    <cellStyle name="R01L" xfId="297"/>
    <cellStyle name="R02A" xfId="298"/>
    <cellStyle name="R02B" xfId="299"/>
    <cellStyle name="R02H" xfId="300"/>
    <cellStyle name="R02L" xfId="301"/>
    <cellStyle name="R03A" xfId="302"/>
    <cellStyle name="R03B" xfId="303"/>
    <cellStyle name="R03H" xfId="304"/>
    <cellStyle name="R03L" xfId="305"/>
    <cellStyle name="R04A" xfId="306"/>
    <cellStyle name="R04B" xfId="307"/>
    <cellStyle name="R04H" xfId="308"/>
    <cellStyle name="R04L" xfId="309"/>
    <cellStyle name="R05A" xfId="310"/>
    <cellStyle name="R05B" xfId="311"/>
    <cellStyle name="R05H" xfId="312"/>
    <cellStyle name="R05L" xfId="313"/>
    <cellStyle name="R05L 2" xfId="314"/>
    <cellStyle name="R06A" xfId="315"/>
    <cellStyle name="R06B" xfId="316"/>
    <cellStyle name="R06H" xfId="317"/>
    <cellStyle name="R06L" xfId="318"/>
    <cellStyle name="R07A" xfId="319"/>
    <cellStyle name="R07B" xfId="320"/>
    <cellStyle name="R07H" xfId="321"/>
    <cellStyle name="R07L" xfId="322"/>
    <cellStyle name="STYLE1" xfId="323"/>
    <cellStyle name="STYLE2" xfId="324"/>
    <cellStyle name="STYLE3" xfId="325"/>
    <cellStyle name="STYLE4" xfId="326"/>
    <cellStyle name="Total 2" xfId="3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561975</xdr:colOff>
      <xdr:row>36</xdr:row>
      <xdr:rowOff>182880</xdr:rowOff>
    </xdr:from>
    <xdr:to>
      <xdr:col>5</xdr:col>
      <xdr:colOff>5715</xdr:colOff>
      <xdr:row>38</xdr:row>
      <xdr:rowOff>91440</xdr:rowOff>
    </xdr:to>
    <xdr:sp macro="" textlink="">
      <xdr:nvSpPr>
        <xdr:cNvPr id="2" name="Oval 1"/>
        <xdr:cNvSpPr/>
      </xdr:nvSpPr>
      <xdr:spPr>
        <a:xfrm>
          <a:off x="5591175" y="7279005"/>
          <a:ext cx="462915" cy="327660"/>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990600</xdr:colOff>
      <xdr:row>33</xdr:row>
      <xdr:rowOff>188595</xdr:rowOff>
    </xdr:from>
    <xdr:to>
      <xdr:col>2</xdr:col>
      <xdr:colOff>104775</xdr:colOff>
      <xdr:row>35</xdr:row>
      <xdr:rowOff>66675</xdr:rowOff>
    </xdr:to>
    <xdr:sp macro="" textlink="">
      <xdr:nvSpPr>
        <xdr:cNvPr id="3" name="Oval 2"/>
        <xdr:cNvSpPr/>
      </xdr:nvSpPr>
      <xdr:spPr>
        <a:xfrm>
          <a:off x="2324100" y="6675120"/>
          <a:ext cx="914400" cy="287655"/>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942974</xdr:colOff>
      <xdr:row>30</xdr:row>
      <xdr:rowOff>180975</xdr:rowOff>
    </xdr:from>
    <xdr:to>
      <xdr:col>2</xdr:col>
      <xdr:colOff>55244</xdr:colOff>
      <xdr:row>32</xdr:row>
      <xdr:rowOff>114300</xdr:rowOff>
    </xdr:to>
    <xdr:sp macro="" textlink="">
      <xdr:nvSpPr>
        <xdr:cNvPr id="4" name="Oval 3"/>
        <xdr:cNvSpPr/>
      </xdr:nvSpPr>
      <xdr:spPr>
        <a:xfrm>
          <a:off x="2276474" y="6057900"/>
          <a:ext cx="912495" cy="342900"/>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1000124</xdr:colOff>
      <xdr:row>28</xdr:row>
      <xdr:rowOff>20954</xdr:rowOff>
    </xdr:from>
    <xdr:to>
      <xdr:col>2</xdr:col>
      <xdr:colOff>100964</xdr:colOff>
      <xdr:row>29</xdr:row>
      <xdr:rowOff>114300</xdr:rowOff>
    </xdr:to>
    <xdr:sp macro="" textlink="">
      <xdr:nvSpPr>
        <xdr:cNvPr id="5" name="Oval 4"/>
        <xdr:cNvSpPr/>
      </xdr:nvSpPr>
      <xdr:spPr>
        <a:xfrm>
          <a:off x="2333624" y="5497829"/>
          <a:ext cx="901065" cy="293371"/>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990600</xdr:colOff>
      <xdr:row>25</xdr:row>
      <xdr:rowOff>28575</xdr:rowOff>
    </xdr:from>
    <xdr:to>
      <xdr:col>2</xdr:col>
      <xdr:colOff>87630</xdr:colOff>
      <xdr:row>26</xdr:row>
      <xdr:rowOff>114299</xdr:rowOff>
    </xdr:to>
    <xdr:sp macro="" textlink="">
      <xdr:nvSpPr>
        <xdr:cNvPr id="6" name="Oval 5"/>
        <xdr:cNvSpPr/>
      </xdr:nvSpPr>
      <xdr:spPr>
        <a:xfrm>
          <a:off x="2324100" y="4895850"/>
          <a:ext cx="897255" cy="285749"/>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3914\AppData\Local\Microsoft\Windows\Temporary%20Internet%20Files\Content.Outlook\DK82QTZA\Attach%20O%20-%20Cleco_2017%203%2012%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levelized-IOU"/>
      <sheetName val="1 - ADIT  Page 2"/>
      <sheetName val="2 - Mat.&amp;Supplies  P. 2"/>
      <sheetName val="3 - Regulatory Exp. P. 3"/>
      <sheetName val="4 - Taxes P. 3"/>
      <sheetName val="5 - Advertising Exp. P. 3"/>
      <sheetName val="6 - Excluded Assets P. 4"/>
      <sheetName val="7 - Excluded MISO Int Costs"/>
      <sheetName val="8 - Excluded ARO"/>
      <sheetName val="9 - Adjustment and Interest"/>
      <sheetName val="10 - Radial Lines"/>
      <sheetName val="2016 TP Peak p400"/>
    </sheetNames>
    <sheetDataSet>
      <sheetData sheetId="0">
        <row r="82">
          <cell r="D82">
            <v>722335688</v>
          </cell>
          <cell r="I82">
            <v>596101474.71999991</v>
          </cell>
        </row>
        <row r="116">
          <cell r="G116">
            <v>0.76511609343903186</v>
          </cell>
        </row>
      </sheetData>
      <sheetData sheetId="1"/>
      <sheetData sheetId="2"/>
      <sheetData sheetId="3"/>
      <sheetData sheetId="4"/>
      <sheetData sheetId="5"/>
      <sheetData sheetId="6"/>
      <sheetData sheetId="7"/>
      <sheetData sheetId="8"/>
      <sheetData sheetId="9"/>
      <sheetData sheetId="10">
        <row r="33">
          <cell r="B33">
            <v>8113066.1100000003</v>
          </cell>
          <cell r="C33">
            <v>18873795.220000003</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9"/>
  <sheetViews>
    <sheetView tabSelected="1" topLeftCell="A145" zoomScale="75" zoomScaleNormal="75" zoomScaleSheetLayoutView="75" workbookViewId="0">
      <selection activeCell="M178" sqref="M178"/>
    </sheetView>
  </sheetViews>
  <sheetFormatPr defaultColWidth="8.90625" defaultRowHeight="15.6"/>
  <cols>
    <col min="1" max="1" width="4.1796875" style="44" customWidth="1"/>
    <col min="2" max="2" width="28.54296875" style="44" customWidth="1"/>
    <col min="3" max="3" width="33.6328125" style="44" customWidth="1"/>
    <col min="4" max="4" width="11.54296875" style="44" customWidth="1"/>
    <col min="5" max="5" width="4.81640625" style="44" customWidth="1"/>
    <col min="6" max="6" width="4.6328125" style="44" customWidth="1"/>
    <col min="7" max="7" width="10.1796875" style="44" customWidth="1"/>
    <col min="8" max="8" width="3.81640625" style="44" customWidth="1"/>
    <col min="9" max="9" width="12.453125" style="44" customWidth="1"/>
    <col min="10" max="10" width="1.453125" style="44" customWidth="1"/>
    <col min="11" max="11" width="8.81640625" style="113" customWidth="1"/>
    <col min="12" max="12" width="9.90625" style="44" bestFit="1" customWidth="1"/>
    <col min="13" max="13" width="38.36328125" style="44" customWidth="1"/>
    <col min="14" max="14" width="14.1796875" style="44" customWidth="1"/>
    <col min="15" max="15" width="11.90625" style="44" customWidth="1"/>
    <col min="16" max="16" width="8.90625" style="44"/>
    <col min="17" max="17" width="10.36328125" style="44" customWidth="1"/>
    <col min="18" max="18" width="10.1796875" style="44" bestFit="1" customWidth="1"/>
    <col min="19" max="19" width="10.1796875" style="44" customWidth="1"/>
    <col min="20" max="16384" width="8.90625" style="44"/>
  </cols>
  <sheetData>
    <row r="1" spans="1:14">
      <c r="B1" s="81"/>
      <c r="C1" s="81"/>
      <c r="D1" s="82"/>
      <c r="E1" s="81"/>
      <c r="F1" s="81"/>
      <c r="G1" s="81"/>
      <c r="H1" s="83"/>
      <c r="I1" s="84"/>
      <c r="J1" s="84"/>
      <c r="K1" s="85"/>
    </row>
    <row r="2" spans="1:14">
      <c r="B2" s="81"/>
      <c r="C2" s="81"/>
      <c r="D2" s="82"/>
      <c r="E2" s="81"/>
      <c r="F2" s="81"/>
      <c r="G2" s="81"/>
      <c r="H2" s="83"/>
      <c r="I2" s="83"/>
      <c r="J2" s="83"/>
      <c r="K2" s="85" t="s">
        <v>200</v>
      </c>
    </row>
    <row r="3" spans="1:14">
      <c r="B3" s="81"/>
      <c r="C3" s="81"/>
      <c r="D3" s="82"/>
      <c r="E3" s="81"/>
      <c r="F3" s="81"/>
      <c r="G3" s="81"/>
      <c r="H3" s="83"/>
      <c r="I3" s="83"/>
      <c r="J3" s="83"/>
      <c r="K3" s="86"/>
    </row>
    <row r="4" spans="1:14">
      <c r="B4" s="81" t="s">
        <v>0</v>
      </c>
      <c r="C4" s="81"/>
      <c r="D4" s="82" t="s">
        <v>281</v>
      </c>
      <c r="E4" s="81"/>
      <c r="F4" s="81"/>
      <c r="G4" s="81"/>
      <c r="H4" s="87"/>
      <c r="I4" s="88"/>
      <c r="J4" s="87"/>
      <c r="K4" s="9" t="s">
        <v>391</v>
      </c>
    </row>
    <row r="5" spans="1:14">
      <c r="B5" s="81"/>
      <c r="C5" s="89" t="s">
        <v>2</v>
      </c>
      <c r="D5" s="89" t="s">
        <v>282</v>
      </c>
      <c r="E5" s="89"/>
      <c r="F5" s="89"/>
      <c r="G5" s="89"/>
      <c r="H5" s="83"/>
      <c r="I5" s="83"/>
      <c r="J5" s="83"/>
      <c r="K5" s="86"/>
    </row>
    <row r="6" spans="1:14">
      <c r="B6" s="83"/>
      <c r="C6" s="83"/>
      <c r="D6" s="83"/>
      <c r="E6" s="83"/>
      <c r="F6" s="83"/>
      <c r="G6" s="83"/>
      <c r="H6" s="83"/>
      <c r="I6" s="83"/>
      <c r="J6" s="83"/>
      <c r="K6" s="86"/>
    </row>
    <row r="7" spans="1:14">
      <c r="A7" s="90"/>
      <c r="B7" s="83"/>
      <c r="C7" s="83"/>
      <c r="D7" s="91" t="s">
        <v>327</v>
      </c>
      <c r="E7" s="83"/>
      <c r="F7" s="83"/>
      <c r="G7" s="83"/>
      <c r="H7" s="83"/>
      <c r="I7" s="83"/>
      <c r="J7" s="83"/>
      <c r="K7" s="86"/>
      <c r="M7" s="92"/>
      <c r="N7" s="92"/>
    </row>
    <row r="8" spans="1:14">
      <c r="A8" s="90"/>
      <c r="B8" s="83"/>
      <c r="C8" s="83"/>
      <c r="D8" s="93"/>
      <c r="E8" s="83"/>
      <c r="F8" s="83"/>
      <c r="G8" s="83"/>
      <c r="H8" s="83"/>
      <c r="I8" s="83"/>
      <c r="J8" s="83"/>
      <c r="K8" s="86"/>
      <c r="M8" s="92"/>
      <c r="N8" s="92"/>
    </row>
    <row r="9" spans="1:14">
      <c r="A9" s="90" t="s">
        <v>4</v>
      </c>
      <c r="B9" s="83"/>
      <c r="C9" s="83"/>
      <c r="D9" s="93"/>
      <c r="E9" s="83"/>
      <c r="F9" s="83"/>
      <c r="G9" s="83"/>
      <c r="H9" s="83"/>
      <c r="I9" s="90" t="s">
        <v>5</v>
      </c>
      <c r="J9" s="83"/>
      <c r="K9" s="86"/>
      <c r="M9" s="92"/>
      <c r="N9" s="92"/>
    </row>
    <row r="10" spans="1:14" ht="16.2" thickBot="1">
      <c r="A10" s="94" t="s">
        <v>6</v>
      </c>
      <c r="B10" s="83"/>
      <c r="C10" s="83"/>
      <c r="D10" s="83"/>
      <c r="E10" s="83"/>
      <c r="F10" s="83"/>
      <c r="G10" s="83"/>
      <c r="H10" s="83"/>
      <c r="I10" s="94" t="s">
        <v>7</v>
      </c>
      <c r="J10" s="83"/>
      <c r="K10" s="86"/>
      <c r="M10" s="92"/>
      <c r="N10" s="92"/>
    </row>
    <row r="11" spans="1:14">
      <c r="A11" s="90">
        <v>1</v>
      </c>
      <c r="B11" s="83" t="s">
        <v>290</v>
      </c>
      <c r="C11" s="83"/>
      <c r="D11" s="95"/>
      <c r="E11" s="83"/>
      <c r="F11" s="83"/>
      <c r="G11" s="83"/>
      <c r="H11" s="83"/>
      <c r="I11" s="15">
        <f>+I199</f>
        <v>62515752.61783503</v>
      </c>
      <c r="J11" s="83"/>
      <c r="K11" s="86"/>
    </row>
    <row r="12" spans="1:14">
      <c r="A12" s="90"/>
      <c r="B12" s="83"/>
      <c r="C12" s="83"/>
      <c r="D12" s="83"/>
      <c r="E12" s="83"/>
      <c r="F12" s="83"/>
      <c r="G12" s="83"/>
      <c r="H12" s="83"/>
      <c r="I12" s="95"/>
      <c r="J12" s="83"/>
      <c r="K12" s="86"/>
    </row>
    <row r="13" spans="1:14" ht="16.2" thickBot="1">
      <c r="A13" s="90" t="s">
        <v>2</v>
      </c>
      <c r="B13" s="81" t="s">
        <v>8</v>
      </c>
      <c r="C13" s="96" t="s">
        <v>197</v>
      </c>
      <c r="D13" s="94" t="s">
        <v>9</v>
      </c>
      <c r="E13" s="89"/>
      <c r="F13" s="97" t="s">
        <v>10</v>
      </c>
      <c r="G13" s="97"/>
      <c r="H13" s="83"/>
      <c r="I13" s="95"/>
      <c r="J13" s="83"/>
      <c r="K13" s="86"/>
    </row>
    <row r="14" spans="1:14">
      <c r="A14" s="90">
        <v>2</v>
      </c>
      <c r="B14" s="81" t="s">
        <v>12</v>
      </c>
      <c r="C14" s="89" t="s">
        <v>165</v>
      </c>
      <c r="D14" s="6">
        <f>I265</f>
        <v>0</v>
      </c>
      <c r="E14" s="89"/>
      <c r="F14" s="89" t="s">
        <v>11</v>
      </c>
      <c r="G14" s="16">
        <f>I216</f>
        <v>0.82524162189810002</v>
      </c>
      <c r="H14" s="89"/>
      <c r="I14" s="6">
        <f>+G14*D14</f>
        <v>0</v>
      </c>
      <c r="J14" s="83"/>
      <c r="K14" s="86"/>
    </row>
    <row r="15" spans="1:14">
      <c r="A15" s="90">
        <v>3</v>
      </c>
      <c r="B15" s="81" t="s">
        <v>222</v>
      </c>
      <c r="C15" s="89" t="s">
        <v>166</v>
      </c>
      <c r="D15" s="6">
        <f>I272</f>
        <v>1530060</v>
      </c>
      <c r="E15" s="89"/>
      <c r="F15" s="6" t="str">
        <f t="shared" ref="F15:G17" si="0">+F14</f>
        <v>TP</v>
      </c>
      <c r="G15" s="16">
        <f t="shared" si="0"/>
        <v>0.82524162189810002</v>
      </c>
      <c r="H15" s="89"/>
      <c r="I15" s="6">
        <f>+G15*D15</f>
        <v>1262669.196001407</v>
      </c>
      <c r="J15" s="83"/>
      <c r="K15" s="86"/>
    </row>
    <row r="16" spans="1:14">
      <c r="A16" s="90">
        <v>4</v>
      </c>
      <c r="B16" s="99" t="s">
        <v>155</v>
      </c>
      <c r="C16" s="89"/>
      <c r="D16" s="50">
        <v>15907850</v>
      </c>
      <c r="E16" s="89"/>
      <c r="F16" s="6" t="str">
        <f t="shared" si="0"/>
        <v>TP</v>
      </c>
      <c r="G16" s="16">
        <f t="shared" si="0"/>
        <v>0.82524162189810002</v>
      </c>
      <c r="H16" s="89"/>
      <c r="I16" s="6">
        <f>+G16*D16</f>
        <v>13127819.934911691</v>
      </c>
      <c r="J16" s="83"/>
      <c r="K16" s="86"/>
    </row>
    <row r="17" spans="1:19" ht="16.2" thickBot="1">
      <c r="A17" s="90">
        <v>5</v>
      </c>
      <c r="B17" s="99" t="s">
        <v>156</v>
      </c>
      <c r="C17" s="89"/>
      <c r="D17" s="50">
        <v>0</v>
      </c>
      <c r="E17" s="89"/>
      <c r="F17" s="6" t="str">
        <f t="shared" si="0"/>
        <v>TP</v>
      </c>
      <c r="G17" s="16">
        <f t="shared" si="0"/>
        <v>0.82524162189810002</v>
      </c>
      <c r="H17" s="89"/>
      <c r="I17" s="17">
        <f>+G17*D17</f>
        <v>0</v>
      </c>
      <c r="J17" s="83"/>
      <c r="K17" s="86"/>
    </row>
    <row r="18" spans="1:19">
      <c r="A18" s="90">
        <v>6</v>
      </c>
      <c r="B18" s="81" t="s">
        <v>145</v>
      </c>
      <c r="C18" s="83"/>
      <c r="D18" s="101" t="s">
        <v>2</v>
      </c>
      <c r="E18" s="89"/>
      <c r="F18" s="89"/>
      <c r="G18" s="98"/>
      <c r="H18" s="89"/>
      <c r="I18" s="6">
        <f>SUM(I14:I17)</f>
        <v>14390489.130913097</v>
      </c>
      <c r="J18" s="83"/>
      <c r="K18" s="86"/>
      <c r="M18" s="79"/>
      <c r="N18" s="80"/>
      <c r="O18" s="79"/>
    </row>
    <row r="19" spans="1:19">
      <c r="A19" s="90"/>
      <c r="B19" s="81"/>
      <c r="C19" s="83"/>
      <c r="I19" s="89"/>
      <c r="J19" s="83"/>
      <c r="K19" s="86"/>
      <c r="P19" s="60"/>
      <c r="Q19" s="60"/>
      <c r="R19" s="60"/>
      <c r="S19" s="60"/>
    </row>
    <row r="20" spans="1:19">
      <c r="A20" s="90" t="s">
        <v>346</v>
      </c>
      <c r="B20" s="81" t="s">
        <v>347</v>
      </c>
      <c r="C20" s="81"/>
      <c r="I20" s="51">
        <f>-'9 - Adjustment and Interest'!E8</f>
        <v>-793661.38806363195</v>
      </c>
      <c r="J20" s="83"/>
      <c r="K20" s="86"/>
      <c r="M20" s="42"/>
      <c r="N20" s="43"/>
      <c r="O20" s="42"/>
    </row>
    <row r="21" spans="1:19">
      <c r="A21" s="90" t="s">
        <v>348</v>
      </c>
      <c r="B21" s="81" t="s">
        <v>349</v>
      </c>
      <c r="C21" s="81"/>
      <c r="I21" s="51">
        <f>-'9 - Adjustment and Interest'!D20</f>
        <v>-29573.577413173451</v>
      </c>
      <c r="J21" s="83"/>
      <c r="K21" s="86"/>
      <c r="M21" s="42"/>
      <c r="N21" s="43"/>
      <c r="O21" s="42"/>
    </row>
    <row r="22" spans="1:19" ht="16.2" thickBot="1">
      <c r="A22" s="90" t="s">
        <v>350</v>
      </c>
      <c r="B22" s="81" t="s">
        <v>351</v>
      </c>
      <c r="C22" s="81"/>
      <c r="I22" s="18">
        <f>I20+I21</f>
        <v>-823234.96547680534</v>
      </c>
      <c r="J22" s="83"/>
      <c r="K22" s="86"/>
      <c r="M22" s="45" t="s">
        <v>329</v>
      </c>
      <c r="N22" s="46"/>
      <c r="O22" s="47"/>
    </row>
    <row r="23" spans="1:19">
      <c r="A23" s="90"/>
      <c r="B23" s="81"/>
      <c r="C23" s="83"/>
      <c r="I23" s="89"/>
      <c r="J23" s="83"/>
      <c r="K23" s="86"/>
      <c r="M23" s="42" t="s">
        <v>337</v>
      </c>
      <c r="N23" s="43" t="s">
        <v>330</v>
      </c>
      <c r="O23" s="42" t="s">
        <v>331</v>
      </c>
    </row>
    <row r="24" spans="1:19" ht="16.2" thickBot="1">
      <c r="A24" s="90">
        <v>7</v>
      </c>
      <c r="B24" s="81" t="s">
        <v>13</v>
      </c>
      <c r="C24" s="83" t="s">
        <v>358</v>
      </c>
      <c r="D24" s="101" t="s">
        <v>2</v>
      </c>
      <c r="E24" s="89"/>
      <c r="F24" s="89"/>
      <c r="G24" s="89"/>
      <c r="H24" s="89"/>
      <c r="I24" s="19">
        <f>+I11-I18+I22</f>
        <v>47302028.521445133</v>
      </c>
      <c r="J24" s="83"/>
      <c r="K24" s="86"/>
      <c r="M24" s="48" t="s">
        <v>339</v>
      </c>
      <c r="N24" s="77">
        <f>O85*$I$24</f>
        <v>44711859.167684101</v>
      </c>
      <c r="O24" s="72">
        <f>SUM(O31-(O25+O26+O27+O28+O29+O30))</f>
        <v>1554166</v>
      </c>
    </row>
    <row r="25" spans="1:19" ht="16.2" thickTop="1">
      <c r="A25" s="90"/>
      <c r="C25" s="83"/>
      <c r="D25" s="101"/>
      <c r="E25" s="89"/>
      <c r="F25" s="89"/>
      <c r="G25" s="89"/>
      <c r="H25" s="89"/>
      <c r="J25" s="83"/>
      <c r="K25" s="86"/>
      <c r="M25" s="48" t="s">
        <v>340</v>
      </c>
      <c r="N25" s="77">
        <f>O86*$I$24</f>
        <v>2590169.3537610313</v>
      </c>
      <c r="O25" s="103">
        <v>425667</v>
      </c>
    </row>
    <row r="26" spans="1:19">
      <c r="A26" s="90"/>
      <c r="B26" s="81" t="s">
        <v>14</v>
      </c>
      <c r="C26" s="83"/>
      <c r="D26" s="95"/>
      <c r="E26" s="83"/>
      <c r="F26" s="83"/>
      <c r="G26" s="83"/>
      <c r="H26" s="83"/>
      <c r="I26" s="95"/>
      <c r="J26" s="83"/>
      <c r="K26" s="86"/>
      <c r="M26" s="48" t="s">
        <v>342</v>
      </c>
      <c r="N26" s="77">
        <f>O87*$I$24</f>
        <v>0</v>
      </c>
      <c r="O26" s="104">
        <v>415250</v>
      </c>
    </row>
    <row r="27" spans="1:19">
      <c r="A27" s="90">
        <v>8</v>
      </c>
      <c r="B27" s="81" t="s">
        <v>15</v>
      </c>
      <c r="D27" s="95"/>
      <c r="E27" s="83"/>
      <c r="F27" s="83"/>
      <c r="G27" s="86" t="s">
        <v>16</v>
      </c>
      <c r="H27" s="83"/>
      <c r="I27" s="54">
        <v>2867750</v>
      </c>
      <c r="J27" s="83"/>
      <c r="K27" s="86"/>
      <c r="M27" s="48" t="s">
        <v>626</v>
      </c>
      <c r="N27" s="77">
        <f>O88*$I$24</f>
        <v>0</v>
      </c>
      <c r="O27" s="103">
        <v>2500</v>
      </c>
    </row>
    <row r="28" spans="1:19">
      <c r="A28" s="90">
        <v>9</v>
      </c>
      <c r="B28" s="81" t="s">
        <v>167</v>
      </c>
      <c r="C28" s="89"/>
      <c r="D28" s="89"/>
      <c r="E28" s="89"/>
      <c r="F28" s="89"/>
      <c r="G28" s="96" t="s">
        <v>17</v>
      </c>
      <c r="H28" s="89"/>
      <c r="I28" s="54">
        <v>0</v>
      </c>
      <c r="J28" s="83"/>
      <c r="K28" s="86"/>
      <c r="M28" s="48" t="s">
        <v>627</v>
      </c>
      <c r="N28" s="77">
        <f>O90*$I$24</f>
        <v>0</v>
      </c>
      <c r="O28" s="102">
        <v>3333</v>
      </c>
    </row>
    <row r="29" spans="1:19">
      <c r="A29" s="90">
        <v>10</v>
      </c>
      <c r="B29" s="99" t="s">
        <v>168</v>
      </c>
      <c r="C29" s="83"/>
      <c r="D29" s="83"/>
      <c r="E29" s="83"/>
      <c r="G29" s="86" t="s">
        <v>18</v>
      </c>
      <c r="H29" s="83"/>
      <c r="I29" s="54">
        <v>0</v>
      </c>
      <c r="J29" s="83"/>
      <c r="K29" s="86"/>
      <c r="M29" s="48" t="s">
        <v>345</v>
      </c>
      <c r="N29" s="77">
        <f>O90*$I$24</f>
        <v>0</v>
      </c>
      <c r="O29" s="102">
        <v>10417</v>
      </c>
    </row>
    <row r="30" spans="1:19">
      <c r="A30" s="90">
        <v>11</v>
      </c>
      <c r="B30" s="81" t="s">
        <v>157</v>
      </c>
      <c r="C30" s="83"/>
      <c r="D30" s="83"/>
      <c r="E30" s="83"/>
      <c r="G30" s="86" t="s">
        <v>19</v>
      </c>
      <c r="H30" s="83"/>
      <c r="I30" s="53">
        <v>0</v>
      </c>
      <c r="J30" s="83"/>
      <c r="K30" s="86"/>
      <c r="M30" s="49" t="s">
        <v>628</v>
      </c>
      <c r="N30" s="77">
        <f>O90*$I$24</f>
        <v>0</v>
      </c>
      <c r="O30" s="73">
        <v>41667</v>
      </c>
    </row>
    <row r="31" spans="1:19">
      <c r="A31" s="90">
        <v>12</v>
      </c>
      <c r="B31" s="99" t="s">
        <v>144</v>
      </c>
      <c r="C31" s="83"/>
      <c r="D31" s="83"/>
      <c r="E31" s="83"/>
      <c r="F31" s="83"/>
      <c r="G31" s="83"/>
      <c r="H31" s="83"/>
      <c r="I31" s="53">
        <v>0</v>
      </c>
      <c r="J31" s="83"/>
      <c r="K31" s="86"/>
      <c r="M31" s="49" t="s">
        <v>338</v>
      </c>
      <c r="N31" s="360">
        <f>SUM(N24:N30)</f>
        <v>47302028.521445133</v>
      </c>
      <c r="O31" s="359">
        <f>I34</f>
        <v>2453000</v>
      </c>
    </row>
    <row r="32" spans="1:19">
      <c r="A32" s="90">
        <v>13</v>
      </c>
      <c r="B32" s="99" t="s">
        <v>254</v>
      </c>
      <c r="C32" s="83"/>
      <c r="D32" s="83"/>
      <c r="E32" s="83"/>
      <c r="F32" s="83"/>
      <c r="G32" s="86"/>
      <c r="H32" s="83"/>
      <c r="I32" s="53">
        <v>-414750</v>
      </c>
      <c r="J32" s="83"/>
      <c r="K32" s="86"/>
      <c r="N32" s="12"/>
      <c r="O32" s="12"/>
    </row>
    <row r="33" spans="1:15" ht="16.2" thickBot="1">
      <c r="A33" s="90">
        <v>14</v>
      </c>
      <c r="B33" s="99" t="s">
        <v>184</v>
      </c>
      <c r="C33" s="83"/>
      <c r="D33" s="83"/>
      <c r="E33" s="83"/>
      <c r="F33" s="83"/>
      <c r="G33" s="83"/>
      <c r="H33" s="83"/>
      <c r="I33" s="52">
        <v>0</v>
      </c>
      <c r="J33" s="83"/>
      <c r="K33" s="86"/>
      <c r="M33" s="44" t="s">
        <v>332</v>
      </c>
      <c r="N33" s="44">
        <f>I24-N31</f>
        <v>0</v>
      </c>
      <c r="O33" s="358">
        <f>O31-I34</f>
        <v>0</v>
      </c>
    </row>
    <row r="34" spans="1:15">
      <c r="A34" s="90">
        <v>15</v>
      </c>
      <c r="B34" s="81" t="s">
        <v>158</v>
      </c>
      <c r="C34" s="83"/>
      <c r="D34" s="83"/>
      <c r="E34" s="83"/>
      <c r="F34" s="83"/>
      <c r="G34" s="83"/>
      <c r="H34" s="83"/>
      <c r="I34" s="14">
        <f>SUM(I27:I33)</f>
        <v>2453000</v>
      </c>
      <c r="J34" s="83"/>
      <c r="K34" s="86"/>
    </row>
    <row r="35" spans="1:15">
      <c r="A35" s="90"/>
      <c r="B35" s="81"/>
      <c r="C35" s="83"/>
      <c r="D35" s="83"/>
      <c r="E35" s="83"/>
      <c r="F35" s="83"/>
      <c r="G35" s="83"/>
      <c r="H35" s="83"/>
      <c r="I35" s="95"/>
      <c r="J35" s="83"/>
      <c r="K35" s="86"/>
      <c r="M35" s="44" t="s">
        <v>333</v>
      </c>
    </row>
    <row r="36" spans="1:15">
      <c r="A36" s="90">
        <v>16</v>
      </c>
      <c r="B36" s="81" t="s">
        <v>20</v>
      </c>
      <c r="C36" s="83" t="s">
        <v>159</v>
      </c>
      <c r="D36" s="20">
        <f>IF(I34&gt;0,I24/I34,0)</f>
        <v>19.283338166100748</v>
      </c>
      <c r="E36" s="83"/>
      <c r="F36" s="83"/>
      <c r="G36" s="83"/>
      <c r="H36" s="83"/>
      <c r="J36" s="83"/>
      <c r="K36" s="86"/>
      <c r="M36" s="12"/>
      <c r="N36" s="12"/>
    </row>
    <row r="37" spans="1:15">
      <c r="A37" s="90">
        <v>17</v>
      </c>
      <c r="B37" s="81" t="s">
        <v>146</v>
      </c>
      <c r="C37" s="83" t="s">
        <v>160</v>
      </c>
      <c r="D37" s="20">
        <f>+D36/12</f>
        <v>1.6069448471750623</v>
      </c>
      <c r="E37" s="83"/>
      <c r="F37" s="83"/>
      <c r="G37" s="83"/>
      <c r="H37" s="83"/>
      <c r="J37" s="83"/>
      <c r="K37" s="86"/>
      <c r="M37" s="44">
        <f>N24/O24</f>
        <v>28.769037006139691</v>
      </c>
      <c r="N37" s="74">
        <f>I34</f>
        <v>2453000</v>
      </c>
    </row>
    <row r="38" spans="1:15">
      <c r="A38" s="90"/>
      <c r="B38" s="81"/>
      <c r="C38" s="83"/>
      <c r="D38" s="105"/>
      <c r="E38" s="83"/>
      <c r="F38" s="83"/>
      <c r="G38" s="83"/>
      <c r="H38" s="83"/>
      <c r="J38" s="83"/>
      <c r="K38" s="86"/>
      <c r="N38" s="74">
        <f>SUM(O25:O30)</f>
        <v>898834</v>
      </c>
    </row>
    <row r="39" spans="1:15">
      <c r="A39" s="90"/>
      <c r="B39" s="81"/>
      <c r="C39" s="83"/>
      <c r="D39" s="106" t="s">
        <v>21</v>
      </c>
      <c r="E39" s="83"/>
      <c r="F39" s="83"/>
      <c r="G39" s="83"/>
      <c r="H39" s="83"/>
      <c r="I39" s="107" t="s">
        <v>22</v>
      </c>
      <c r="J39" s="83"/>
      <c r="K39" s="86"/>
      <c r="N39" s="358">
        <f>SUM(N37-N38)</f>
        <v>1554166</v>
      </c>
    </row>
    <row r="40" spans="1:15">
      <c r="A40" s="90">
        <v>18</v>
      </c>
      <c r="B40" s="81" t="s">
        <v>23</v>
      </c>
      <c r="C40" s="82" t="s">
        <v>161</v>
      </c>
      <c r="D40" s="20">
        <f>+D36/52</f>
        <v>0.37083342627116822</v>
      </c>
      <c r="E40" s="83"/>
      <c r="F40" s="83"/>
      <c r="G40" s="83"/>
      <c r="H40" s="83"/>
      <c r="I40" s="21">
        <f>+D36/52</f>
        <v>0.37083342627116822</v>
      </c>
      <c r="J40" s="83"/>
      <c r="K40" s="86"/>
    </row>
    <row r="41" spans="1:15">
      <c r="A41" s="90">
        <v>19</v>
      </c>
      <c r="B41" s="81" t="s">
        <v>24</v>
      </c>
      <c r="C41" s="108" t="s">
        <v>291</v>
      </c>
      <c r="D41" s="20">
        <f>+D36/260</f>
        <v>7.4166685254233644E-2</v>
      </c>
      <c r="E41" s="83" t="s">
        <v>25</v>
      </c>
      <c r="G41" s="83"/>
      <c r="H41" s="83"/>
      <c r="I41" s="21">
        <f>+D36/365</f>
        <v>5.2831063468769174E-2</v>
      </c>
      <c r="J41" s="83"/>
      <c r="K41" s="86"/>
    </row>
    <row r="42" spans="1:15">
      <c r="A42" s="90">
        <v>20</v>
      </c>
      <c r="B42" s="81" t="s">
        <v>26</v>
      </c>
      <c r="C42" s="108" t="s">
        <v>292</v>
      </c>
      <c r="D42" s="20">
        <f>+D36/4160*1000</f>
        <v>4.6354178283896026</v>
      </c>
      <c r="E42" s="83" t="s">
        <v>27</v>
      </c>
      <c r="G42" s="83"/>
      <c r="H42" s="83"/>
      <c r="I42" s="22">
        <f>+D36/8760*1000</f>
        <v>2.2012943111987155</v>
      </c>
      <c r="J42" s="83"/>
      <c r="K42" s="86" t="s">
        <v>2</v>
      </c>
    </row>
    <row r="43" spans="1:15">
      <c r="A43" s="90"/>
      <c r="B43" s="81"/>
      <c r="C43" s="83" t="s">
        <v>28</v>
      </c>
      <c r="D43" s="83"/>
      <c r="E43" s="83" t="s">
        <v>29</v>
      </c>
      <c r="G43" s="83"/>
      <c r="H43" s="83"/>
      <c r="J43" s="83"/>
      <c r="K43" s="86" t="s">
        <v>2</v>
      </c>
    </row>
    <row r="44" spans="1:15">
      <c r="A44" s="90"/>
      <c r="B44" s="81"/>
      <c r="C44" s="83"/>
      <c r="D44" s="83"/>
      <c r="E44" s="83"/>
      <c r="G44" s="83"/>
      <c r="H44" s="83"/>
      <c r="J44" s="83"/>
      <c r="K44" s="86" t="s">
        <v>2</v>
      </c>
    </row>
    <row r="45" spans="1:15">
      <c r="A45" s="90">
        <v>21</v>
      </c>
      <c r="B45" s="81" t="s">
        <v>247</v>
      </c>
      <c r="C45" s="83" t="s">
        <v>245</v>
      </c>
      <c r="D45" s="1">
        <v>7.3191999999999993E-2</v>
      </c>
      <c r="E45" s="109" t="s">
        <v>30</v>
      </c>
      <c r="F45" s="109"/>
      <c r="G45" s="109"/>
      <c r="H45" s="109"/>
      <c r="I45" s="23">
        <f>D45</f>
        <v>7.3191999999999993E-2</v>
      </c>
      <c r="J45" s="109" t="s">
        <v>30</v>
      </c>
      <c r="K45" s="86"/>
    </row>
    <row r="46" spans="1:15">
      <c r="A46" s="90">
        <v>22</v>
      </c>
      <c r="B46" s="81"/>
      <c r="C46" s="83"/>
      <c r="D46" s="1">
        <f>D45</f>
        <v>7.3191999999999993E-2</v>
      </c>
      <c r="E46" s="109" t="s">
        <v>31</v>
      </c>
      <c r="F46" s="109"/>
      <c r="G46" s="109"/>
      <c r="H46" s="109"/>
      <c r="I46" s="23">
        <f>D46</f>
        <v>7.3191999999999993E-2</v>
      </c>
      <c r="J46" s="109" t="s">
        <v>31</v>
      </c>
      <c r="K46" s="86"/>
    </row>
    <row r="47" spans="1:15" s="113" customFormat="1">
      <c r="A47" s="110"/>
      <c r="B47" s="111"/>
      <c r="C47" s="86"/>
      <c r="D47" s="112"/>
      <c r="E47" s="112"/>
      <c r="F47" s="112"/>
      <c r="G47" s="112"/>
      <c r="H47" s="112"/>
      <c r="I47" s="112"/>
      <c r="J47" s="112"/>
      <c r="K47" s="86"/>
      <c r="M47" s="44"/>
      <c r="N47" s="44"/>
      <c r="O47" s="44"/>
    </row>
    <row r="48" spans="1:15" s="113" customFormat="1">
      <c r="A48" s="110"/>
      <c r="B48" s="111"/>
      <c r="C48" s="86"/>
      <c r="D48" s="112"/>
      <c r="E48" s="112"/>
      <c r="F48" s="112"/>
      <c r="G48" s="112"/>
      <c r="H48" s="112"/>
      <c r="I48" s="112"/>
      <c r="J48" s="112"/>
      <c r="K48" s="86"/>
    </row>
    <row r="49" spans="1:11" s="113" customFormat="1">
      <c r="A49" s="110"/>
      <c r="B49" s="111"/>
      <c r="C49" s="86"/>
      <c r="D49" s="112"/>
      <c r="E49" s="112"/>
      <c r="F49" s="112"/>
      <c r="G49" s="112"/>
      <c r="H49" s="112"/>
      <c r="I49" s="112"/>
      <c r="J49" s="112"/>
      <c r="K49" s="86"/>
    </row>
    <row r="50" spans="1:11" s="113" customFormat="1">
      <c r="A50" s="110"/>
      <c r="B50" s="111"/>
      <c r="C50" s="86"/>
      <c r="D50" s="112"/>
      <c r="E50" s="112"/>
      <c r="F50" s="112"/>
      <c r="G50" s="112"/>
      <c r="H50" s="112"/>
      <c r="I50" s="112"/>
      <c r="J50" s="112"/>
      <c r="K50" s="86"/>
    </row>
    <row r="51" spans="1:11" s="113" customFormat="1">
      <c r="A51" s="110"/>
      <c r="B51" s="111"/>
      <c r="C51" s="86"/>
      <c r="D51" s="112"/>
      <c r="E51" s="112"/>
      <c r="F51" s="112"/>
      <c r="G51" s="112"/>
      <c r="H51" s="112"/>
      <c r="I51" s="112"/>
      <c r="J51" s="112"/>
      <c r="K51" s="86"/>
    </row>
    <row r="52" spans="1:11" s="113" customFormat="1">
      <c r="A52" s="110"/>
      <c r="B52" s="111"/>
      <c r="C52" s="86"/>
      <c r="D52" s="112"/>
      <c r="E52" s="112"/>
      <c r="F52" s="112"/>
      <c r="G52" s="112"/>
      <c r="H52" s="112"/>
      <c r="I52" s="112"/>
      <c r="J52" s="112"/>
      <c r="K52" s="86"/>
    </row>
    <row r="53" spans="1:11" s="113" customFormat="1">
      <c r="A53" s="110"/>
      <c r="B53" s="111"/>
      <c r="C53" s="86"/>
      <c r="D53" s="112"/>
      <c r="E53" s="112"/>
      <c r="F53" s="112"/>
      <c r="G53" s="112"/>
      <c r="H53" s="112"/>
      <c r="I53" s="112"/>
      <c r="J53" s="112"/>
      <c r="K53" s="86"/>
    </row>
    <row r="54" spans="1:11" s="113" customFormat="1">
      <c r="A54" s="110"/>
      <c r="B54" s="111"/>
      <c r="C54" s="86"/>
      <c r="D54" s="112"/>
      <c r="E54" s="112"/>
      <c r="F54" s="112"/>
      <c r="G54" s="112"/>
      <c r="H54" s="112"/>
      <c r="I54" s="112"/>
      <c r="J54" s="112"/>
      <c r="K54" s="86"/>
    </row>
    <row r="55" spans="1:11" s="113" customFormat="1">
      <c r="A55" s="110"/>
      <c r="B55" s="111"/>
      <c r="C55" s="86"/>
      <c r="D55" s="112"/>
      <c r="E55" s="112"/>
      <c r="F55" s="112"/>
      <c r="G55" s="112"/>
      <c r="H55" s="112"/>
      <c r="I55" s="112"/>
      <c r="J55" s="112"/>
      <c r="K55" s="86"/>
    </row>
    <row r="56" spans="1:11" s="113" customFormat="1">
      <c r="A56" s="110"/>
      <c r="B56" s="111"/>
      <c r="C56" s="86"/>
      <c r="D56" s="112"/>
      <c r="E56" s="112"/>
      <c r="F56" s="112"/>
      <c r="G56" s="112"/>
      <c r="H56" s="112"/>
      <c r="I56" s="112"/>
      <c r="J56" s="112"/>
      <c r="K56" s="86"/>
    </row>
    <row r="57" spans="1:11" s="113" customFormat="1">
      <c r="A57" s="110"/>
      <c r="B57" s="111"/>
      <c r="C57" s="86"/>
      <c r="D57" s="112"/>
      <c r="E57" s="112"/>
      <c r="F57" s="112"/>
      <c r="G57" s="112"/>
      <c r="H57" s="112"/>
      <c r="I57" s="112"/>
      <c r="J57" s="112"/>
      <c r="K57" s="86"/>
    </row>
    <row r="58" spans="1:11" s="113" customFormat="1">
      <c r="A58" s="110"/>
      <c r="B58" s="111"/>
      <c r="C58" s="86"/>
      <c r="D58" s="112"/>
      <c r="E58" s="112"/>
      <c r="F58" s="112"/>
      <c r="G58" s="112"/>
      <c r="H58" s="112"/>
      <c r="I58" s="112"/>
      <c r="J58" s="112"/>
      <c r="K58" s="86"/>
    </row>
    <row r="59" spans="1:11" s="113" customFormat="1">
      <c r="A59" s="110"/>
      <c r="B59" s="111"/>
      <c r="C59" s="86"/>
      <c r="D59" s="112"/>
      <c r="E59" s="112"/>
      <c r="F59" s="112"/>
      <c r="G59" s="112"/>
      <c r="H59" s="112"/>
      <c r="I59" s="112"/>
      <c r="J59" s="112"/>
      <c r="K59" s="86"/>
    </row>
    <row r="60" spans="1:11" s="113" customFormat="1">
      <c r="A60" s="110"/>
      <c r="B60" s="111"/>
      <c r="C60" s="86"/>
      <c r="D60" s="112"/>
      <c r="E60" s="112"/>
      <c r="F60" s="112"/>
      <c r="G60" s="112"/>
      <c r="H60" s="112"/>
      <c r="I60" s="112"/>
      <c r="J60" s="112"/>
      <c r="K60" s="86"/>
    </row>
    <row r="61" spans="1:11" s="113" customFormat="1">
      <c r="A61" s="110"/>
      <c r="B61" s="111"/>
      <c r="C61" s="86"/>
      <c r="D61" s="112"/>
      <c r="E61" s="112"/>
      <c r="F61" s="112"/>
      <c r="G61" s="112"/>
      <c r="H61" s="112"/>
      <c r="I61" s="112"/>
      <c r="J61" s="112"/>
      <c r="K61" s="86"/>
    </row>
    <row r="62" spans="1:11" s="113" customFormat="1">
      <c r="A62" s="110"/>
      <c r="B62" s="111"/>
      <c r="C62" s="86"/>
      <c r="D62" s="112"/>
      <c r="E62" s="112"/>
      <c r="F62" s="112"/>
      <c r="G62" s="112"/>
      <c r="H62" s="112"/>
      <c r="I62" s="112"/>
      <c r="J62" s="112"/>
      <c r="K62" s="86"/>
    </row>
    <row r="63" spans="1:11" s="113" customFormat="1">
      <c r="A63" s="110"/>
      <c r="B63" s="111"/>
      <c r="C63" s="86"/>
      <c r="D63" s="112"/>
      <c r="E63" s="112"/>
      <c r="F63" s="112"/>
      <c r="G63" s="112"/>
      <c r="H63" s="112"/>
      <c r="I63" s="112"/>
      <c r="J63" s="112"/>
      <c r="K63" s="86"/>
    </row>
    <row r="64" spans="1:11" s="113" customFormat="1">
      <c r="A64" s="110"/>
      <c r="B64" s="111"/>
      <c r="C64" s="86"/>
      <c r="D64" s="112"/>
      <c r="E64" s="112"/>
      <c r="F64" s="112"/>
      <c r="G64" s="112"/>
      <c r="H64" s="112"/>
      <c r="I64" s="112"/>
      <c r="J64" s="112"/>
      <c r="K64" s="86"/>
    </row>
    <row r="65" spans="1:15" s="113" customFormat="1">
      <c r="A65" s="110"/>
      <c r="B65" s="111"/>
      <c r="C65" s="86"/>
      <c r="D65" s="112"/>
      <c r="E65" s="112"/>
      <c r="F65" s="112"/>
      <c r="G65" s="112"/>
      <c r="H65" s="112"/>
      <c r="I65" s="112"/>
      <c r="J65" s="112"/>
      <c r="K65" s="86"/>
    </row>
    <row r="66" spans="1:15" s="113" customFormat="1">
      <c r="A66" s="110"/>
      <c r="B66" s="111"/>
      <c r="C66" s="86"/>
      <c r="D66" s="112"/>
      <c r="E66" s="112"/>
      <c r="F66" s="112"/>
      <c r="G66" s="112"/>
      <c r="H66" s="112"/>
      <c r="I66" s="112"/>
      <c r="J66" s="112"/>
      <c r="K66" s="86"/>
    </row>
    <row r="67" spans="1:15" s="113" customFormat="1">
      <c r="A67" s="110"/>
      <c r="B67" s="111"/>
      <c r="C67" s="86"/>
      <c r="D67" s="112"/>
      <c r="E67" s="112"/>
      <c r="F67" s="112"/>
      <c r="G67" s="112"/>
      <c r="H67" s="112"/>
      <c r="I67" s="112"/>
      <c r="J67" s="112"/>
      <c r="K67" s="86"/>
    </row>
    <row r="68" spans="1:15" s="113" customFormat="1">
      <c r="A68" s="110"/>
      <c r="B68" s="111"/>
      <c r="C68" s="86"/>
      <c r="D68" s="112"/>
      <c r="E68" s="112"/>
      <c r="F68" s="112"/>
      <c r="G68" s="112"/>
      <c r="H68" s="112"/>
      <c r="I68" s="112"/>
      <c r="J68" s="112"/>
      <c r="K68" s="86"/>
    </row>
    <row r="69" spans="1:15" s="113" customFormat="1">
      <c r="A69" s="110"/>
      <c r="B69" s="111"/>
      <c r="C69" s="86"/>
      <c r="D69" s="112"/>
      <c r="E69" s="112"/>
      <c r="F69" s="112"/>
      <c r="G69" s="112"/>
      <c r="H69" s="112"/>
      <c r="I69" s="112"/>
      <c r="J69" s="112"/>
      <c r="K69" s="86"/>
    </row>
    <row r="70" spans="1:15">
      <c r="B70" s="81"/>
      <c r="C70" s="81"/>
      <c r="D70" s="82"/>
      <c r="E70" s="81"/>
      <c r="F70" s="81"/>
      <c r="G70" s="81"/>
      <c r="H70" s="83"/>
      <c r="I70" s="83"/>
      <c r="J70" s="365" t="s">
        <v>201</v>
      </c>
      <c r="K70" s="365"/>
      <c r="M70" s="113"/>
      <c r="N70" s="113"/>
      <c r="O70" s="113"/>
    </row>
    <row r="71" spans="1:15">
      <c r="B71" s="81"/>
      <c r="C71" s="81"/>
      <c r="D71" s="82"/>
      <c r="E71" s="81"/>
      <c r="F71" s="81"/>
      <c r="G71" s="81"/>
      <c r="H71" s="83"/>
      <c r="I71" s="83"/>
      <c r="J71" s="83"/>
      <c r="K71" s="85"/>
    </row>
    <row r="72" spans="1:15">
      <c r="B72" s="81" t="s">
        <v>0</v>
      </c>
      <c r="C72" s="81"/>
      <c r="D72" s="82" t="s">
        <v>281</v>
      </c>
      <c r="E72" s="81"/>
      <c r="F72" s="81"/>
      <c r="G72" s="81"/>
      <c r="H72" s="83"/>
      <c r="I72" s="83"/>
      <c r="J72" s="83"/>
      <c r="K72" s="209" t="str">
        <f>K4</f>
        <v>For the 12 months ended 12/31/17</v>
      </c>
    </row>
    <row r="73" spans="1:15">
      <c r="B73" s="81"/>
      <c r="C73" s="89" t="s">
        <v>2</v>
      </c>
      <c r="D73" s="89" t="s">
        <v>282</v>
      </c>
      <c r="E73" s="89"/>
      <c r="F73" s="89"/>
      <c r="G73" s="89"/>
      <c r="H73" s="83"/>
      <c r="I73" s="83"/>
      <c r="J73" s="83"/>
      <c r="K73" s="86"/>
    </row>
    <row r="74" spans="1:15">
      <c r="B74" s="81"/>
      <c r="C74" s="89"/>
      <c r="D74" s="89"/>
      <c r="E74" s="89"/>
      <c r="F74" s="89"/>
      <c r="G74" s="89"/>
      <c r="H74" s="83"/>
      <c r="I74" s="83"/>
      <c r="J74" s="83"/>
      <c r="K74" s="86"/>
    </row>
    <row r="75" spans="1:15">
      <c r="B75" s="81"/>
      <c r="C75" s="83"/>
      <c r="D75" s="6" t="str">
        <f>D7</f>
        <v>Cleco Power LLC</v>
      </c>
      <c r="E75" s="89"/>
      <c r="F75" s="89"/>
      <c r="G75" s="89"/>
      <c r="H75" s="89"/>
      <c r="I75" s="89"/>
      <c r="J75" s="89"/>
      <c r="K75" s="96"/>
    </row>
    <row r="76" spans="1:15">
      <c r="B76" s="90" t="s">
        <v>32</v>
      </c>
      <c r="C76" s="90" t="s">
        <v>33</v>
      </c>
      <c r="D76" s="90" t="s">
        <v>34</v>
      </c>
      <c r="E76" s="89" t="s">
        <v>2</v>
      </c>
      <c r="F76" s="89"/>
      <c r="G76" s="114" t="s">
        <v>35</v>
      </c>
      <c r="H76" s="89"/>
      <c r="I76" s="115" t="s">
        <v>36</v>
      </c>
      <c r="J76" s="89"/>
      <c r="K76" s="110"/>
    </row>
    <row r="77" spans="1:15">
      <c r="B77" s="81"/>
      <c r="C77" s="116" t="s">
        <v>37</v>
      </c>
      <c r="D77" s="89"/>
      <c r="E77" s="89"/>
      <c r="F77" s="89"/>
      <c r="G77" s="90"/>
      <c r="H77" s="89"/>
      <c r="I77" s="117" t="s">
        <v>38</v>
      </c>
      <c r="J77" s="89"/>
      <c r="K77" s="110"/>
    </row>
    <row r="78" spans="1:15">
      <c r="A78" s="90" t="s">
        <v>4</v>
      </c>
      <c r="B78" s="81"/>
      <c r="C78" s="118" t="s">
        <v>39</v>
      </c>
      <c r="D78" s="117" t="s">
        <v>40</v>
      </c>
      <c r="E78" s="119"/>
      <c r="F78" s="117" t="s">
        <v>41</v>
      </c>
      <c r="H78" s="119"/>
      <c r="I78" s="90" t="s">
        <v>42</v>
      </c>
      <c r="J78" s="89"/>
      <c r="K78" s="110"/>
    </row>
    <row r="79" spans="1:15" ht="16.2" thickBot="1">
      <c r="A79" s="94" t="s">
        <v>6</v>
      </c>
      <c r="B79" s="120" t="s">
        <v>43</v>
      </c>
      <c r="C79" s="89"/>
      <c r="D79" s="89"/>
      <c r="E79" s="89"/>
      <c r="F79" s="89"/>
      <c r="G79" s="89"/>
      <c r="H79" s="89"/>
      <c r="I79" s="89"/>
      <c r="J79" s="89"/>
      <c r="K79" s="96"/>
    </row>
    <row r="80" spans="1:15">
      <c r="A80" s="90"/>
      <c r="B80" s="81" t="s">
        <v>307</v>
      </c>
      <c r="C80" s="89"/>
      <c r="D80" s="89"/>
      <c r="E80" s="89"/>
      <c r="F80" s="89"/>
      <c r="G80" s="89"/>
      <c r="H80" s="89"/>
      <c r="I80" s="89"/>
      <c r="J80" s="89"/>
      <c r="K80" s="96"/>
    </row>
    <row r="81" spans="1:15">
      <c r="A81" s="90">
        <v>1</v>
      </c>
      <c r="B81" s="81" t="s">
        <v>44</v>
      </c>
      <c r="C81" s="96" t="s">
        <v>226</v>
      </c>
      <c r="D81" s="50">
        <f>'8 - Excluded ARO '!C10</f>
        <v>2321136974</v>
      </c>
      <c r="E81" s="89"/>
      <c r="F81" s="89" t="s">
        <v>45</v>
      </c>
      <c r="G81" s="121" t="s">
        <v>2</v>
      </c>
      <c r="H81" s="89"/>
      <c r="I81" s="89" t="s">
        <v>2</v>
      </c>
      <c r="J81" s="89"/>
      <c r="K81" s="96"/>
    </row>
    <row r="82" spans="1:15">
      <c r="A82" s="90">
        <v>2</v>
      </c>
      <c r="B82" s="81" t="s">
        <v>46</v>
      </c>
      <c r="C82" s="96" t="s">
        <v>219</v>
      </c>
      <c r="D82" s="50">
        <v>722335688</v>
      </c>
      <c r="E82" s="89"/>
      <c r="F82" s="89" t="s">
        <v>11</v>
      </c>
      <c r="G82" s="24">
        <f>I216</f>
        <v>0.82524162189810002</v>
      </c>
      <c r="H82" s="89"/>
      <c r="I82" s="6">
        <f>+G82*D82</f>
        <v>596101474.71999991</v>
      </c>
      <c r="J82" s="89"/>
      <c r="K82" s="96"/>
      <c r="M82" s="61" t="s">
        <v>343</v>
      </c>
      <c r="N82" s="62"/>
      <c r="O82" s="62"/>
    </row>
    <row r="83" spans="1:15">
      <c r="A83" s="90">
        <v>3</v>
      </c>
      <c r="B83" s="81" t="s">
        <v>47</v>
      </c>
      <c r="C83" s="96" t="s">
        <v>220</v>
      </c>
      <c r="D83" s="50">
        <v>1455913615</v>
      </c>
      <c r="E83" s="89"/>
      <c r="F83" s="89" t="s">
        <v>45</v>
      </c>
      <c r="G83" s="121" t="s">
        <v>2</v>
      </c>
      <c r="H83" s="89"/>
      <c r="I83" s="89" t="s">
        <v>2</v>
      </c>
      <c r="J83" s="89"/>
      <c r="K83" s="96"/>
      <c r="M83" s="42"/>
      <c r="N83" s="63"/>
      <c r="O83" s="64"/>
    </row>
    <row r="84" spans="1:15">
      <c r="A84" s="90">
        <v>4</v>
      </c>
      <c r="B84" s="81" t="s">
        <v>48</v>
      </c>
      <c r="C84" s="96" t="s">
        <v>227</v>
      </c>
      <c r="D84" s="50">
        <f>67238742+194726006</f>
        <v>261964748</v>
      </c>
      <c r="E84" s="89"/>
      <c r="F84" s="89" t="s">
        <v>49</v>
      </c>
      <c r="G84" s="24">
        <f>I233</f>
        <v>4.2731860610064905E-2</v>
      </c>
      <c r="H84" s="89"/>
      <c r="I84" s="6">
        <f>+G84*D84</f>
        <v>11194241.096286779</v>
      </c>
      <c r="J84" s="89"/>
      <c r="K84" s="96"/>
      <c r="M84" s="65"/>
      <c r="N84" s="66" t="s">
        <v>334</v>
      </c>
      <c r="O84" s="67" t="s">
        <v>5</v>
      </c>
    </row>
    <row r="85" spans="1:15" ht="16.2" thickBot="1">
      <c r="A85" s="90">
        <v>5</v>
      </c>
      <c r="B85" s="81" t="s">
        <v>50</v>
      </c>
      <c r="C85" s="96" t="s">
        <v>51</v>
      </c>
      <c r="D85" s="55"/>
      <c r="E85" s="89"/>
      <c r="F85" s="89" t="s">
        <v>100</v>
      </c>
      <c r="G85" s="24">
        <f>K237</f>
        <v>4.2731860610064905E-2</v>
      </c>
      <c r="H85" s="89"/>
      <c r="I85" s="17">
        <f>+G85*D85</f>
        <v>0</v>
      </c>
      <c r="J85" s="89"/>
      <c r="K85" s="96"/>
      <c r="M85" s="48" t="s">
        <v>339</v>
      </c>
      <c r="N85" s="68">
        <f>I82-N86</f>
        <v>563460088.71999991</v>
      </c>
      <c r="O85" s="70">
        <f>N85/SUM($N$85:$N$90)</f>
        <v>0.9452418969180838</v>
      </c>
    </row>
    <row r="86" spans="1:15">
      <c r="A86" s="90">
        <v>6</v>
      </c>
      <c r="B86" s="81" t="s">
        <v>278</v>
      </c>
      <c r="C86" s="96"/>
      <c r="D86" s="6">
        <f>SUM(D81:D85)</f>
        <v>4761351025</v>
      </c>
      <c r="E86" s="89"/>
      <c r="F86" s="89" t="s">
        <v>52</v>
      </c>
      <c r="G86" s="25">
        <f>IF(I86&gt;0,I86/D86,0)</f>
        <v>0.12754693208453091</v>
      </c>
      <c r="H86" s="89"/>
      <c r="I86" s="6">
        <f>SUM(I81:I85)</f>
        <v>607295715.81628668</v>
      </c>
      <c r="J86" s="89"/>
      <c r="K86" s="124"/>
      <c r="M86" s="48" t="s">
        <v>340</v>
      </c>
      <c r="N86" s="68">
        <v>32641386</v>
      </c>
      <c r="O86" s="70">
        <f>N86/SUM($N$85:$N$90)</f>
        <v>5.4758103081916171E-2</v>
      </c>
    </row>
    <row r="87" spans="1:15">
      <c r="B87" s="81"/>
      <c r="C87" s="96"/>
      <c r="D87" s="89"/>
      <c r="E87" s="89"/>
      <c r="F87" s="89"/>
      <c r="G87" s="123"/>
      <c r="H87" s="89"/>
      <c r="I87" s="89"/>
      <c r="J87" s="89"/>
      <c r="K87" s="124"/>
      <c r="M87" s="48" t="s">
        <v>341</v>
      </c>
      <c r="N87" s="68">
        <v>0</v>
      </c>
      <c r="O87" s="70">
        <f>N87/SUM($N$85:$N$90)</f>
        <v>0</v>
      </c>
    </row>
    <row r="88" spans="1:15">
      <c r="B88" s="81" t="s">
        <v>308</v>
      </c>
      <c r="C88" s="96"/>
      <c r="D88" s="89"/>
      <c r="E88" s="89"/>
      <c r="F88" s="89"/>
      <c r="G88" s="89"/>
      <c r="H88" s="89"/>
      <c r="I88" s="89"/>
      <c r="J88" s="89"/>
      <c r="K88" s="96"/>
      <c r="M88" s="48" t="s">
        <v>342</v>
      </c>
      <c r="N88" s="68">
        <v>0</v>
      </c>
      <c r="O88" s="70">
        <f>N88/SUM($N$85:$N$90)</f>
        <v>0</v>
      </c>
    </row>
    <row r="89" spans="1:15">
      <c r="A89" s="90">
        <v>7</v>
      </c>
      <c r="B89" s="13" t="str">
        <f>+B81</f>
        <v xml:space="preserve">  Production</v>
      </c>
      <c r="C89" s="96" t="s">
        <v>205</v>
      </c>
      <c r="D89" s="50">
        <f>830591282+9324279</f>
        <v>839915561</v>
      </c>
      <c r="E89" s="89"/>
      <c r="F89" s="6" t="str">
        <f>+F81</f>
        <v>NA</v>
      </c>
      <c r="G89" s="24" t="str">
        <f>+G81</f>
        <v xml:space="preserve"> </v>
      </c>
      <c r="H89" s="89"/>
      <c r="I89" s="89" t="s">
        <v>2</v>
      </c>
      <c r="J89" s="89"/>
      <c r="K89" s="96"/>
      <c r="M89" s="48"/>
      <c r="N89" s="68"/>
      <c r="O89" s="122"/>
    </row>
    <row r="90" spans="1:15">
      <c r="A90" s="90">
        <v>8</v>
      </c>
      <c r="B90" s="13" t="str">
        <f>+B82</f>
        <v xml:space="preserve">  Transmission</v>
      </c>
      <c r="C90" s="96" t="s">
        <v>206</v>
      </c>
      <c r="D90" s="50">
        <v>233670602</v>
      </c>
      <c r="E90" s="89"/>
      <c r="F90" s="6" t="str">
        <f t="shared" ref="F90:G93" si="1">+F82</f>
        <v>TP</v>
      </c>
      <c r="G90" s="24">
        <f t="shared" si="1"/>
        <v>0.82524162189810002</v>
      </c>
      <c r="H90" s="89"/>
      <c r="I90" s="6">
        <f>+G90*D90</f>
        <v>192834706.58438542</v>
      </c>
      <c r="J90" s="89"/>
      <c r="K90" s="96"/>
      <c r="M90" s="48"/>
      <c r="N90" s="68">
        <v>0</v>
      </c>
      <c r="O90" s="70">
        <f>N90/SUM($N$85:$N$90)</f>
        <v>0</v>
      </c>
    </row>
    <row r="91" spans="1:15">
      <c r="A91" s="90">
        <v>9</v>
      </c>
      <c r="B91" s="13" t="str">
        <f>+B83</f>
        <v xml:space="preserve">  Distribution</v>
      </c>
      <c r="C91" s="96" t="s">
        <v>207</v>
      </c>
      <c r="D91" s="50">
        <v>492741280</v>
      </c>
      <c r="E91" s="89"/>
      <c r="F91" s="6" t="str">
        <f t="shared" si="1"/>
        <v>NA</v>
      </c>
      <c r="G91" s="24" t="str">
        <f t="shared" si="1"/>
        <v xml:space="preserve"> </v>
      </c>
      <c r="H91" s="89"/>
      <c r="I91" s="89" t="s">
        <v>2</v>
      </c>
      <c r="J91" s="89"/>
      <c r="K91" s="96"/>
      <c r="M91" s="69" t="s">
        <v>344</v>
      </c>
      <c r="N91" s="78">
        <f>SUM(N85:N90)</f>
        <v>596101474.71999991</v>
      </c>
      <c r="O91" s="71">
        <f>SUM(O85:O90)</f>
        <v>1</v>
      </c>
    </row>
    <row r="92" spans="1:15">
      <c r="A92" s="90">
        <v>10</v>
      </c>
      <c r="B92" s="13" t="str">
        <f>+B84</f>
        <v xml:space="preserve">  General &amp; Intangible</v>
      </c>
      <c r="C92" s="96" t="s">
        <v>309</v>
      </c>
      <c r="D92" s="50">
        <f>45195197+70937096</f>
        <v>116132293</v>
      </c>
      <c r="E92" s="89"/>
      <c r="F92" s="6" t="str">
        <f t="shared" si="1"/>
        <v>W/S</v>
      </c>
      <c r="G92" s="24">
        <f t="shared" si="1"/>
        <v>4.2731860610064905E-2</v>
      </c>
      <c r="H92" s="89"/>
      <c r="I92" s="6">
        <f>+G92*D92</f>
        <v>4962548.9568032166</v>
      </c>
      <c r="J92" s="89"/>
      <c r="K92" s="96"/>
    </row>
    <row r="93" spans="1:15" ht="16.2" thickBot="1">
      <c r="A93" s="90">
        <v>11</v>
      </c>
      <c r="B93" s="13" t="str">
        <f>+B85</f>
        <v xml:space="preserve">  Common</v>
      </c>
      <c r="C93" s="96" t="s">
        <v>51</v>
      </c>
      <c r="D93" s="55"/>
      <c r="E93" s="89"/>
      <c r="F93" s="6" t="str">
        <f t="shared" si="1"/>
        <v>CE</v>
      </c>
      <c r="G93" s="24">
        <f t="shared" si="1"/>
        <v>4.2731860610064905E-2</v>
      </c>
      <c r="H93" s="89"/>
      <c r="I93" s="17">
        <f>+G93*D93</f>
        <v>0</v>
      </c>
      <c r="J93" s="89"/>
      <c r="K93" s="96"/>
      <c r="M93" s="44" t="s">
        <v>335</v>
      </c>
      <c r="N93" s="12">
        <f>I82-N91</f>
        <v>0</v>
      </c>
    </row>
    <row r="94" spans="1:15">
      <c r="A94" s="90">
        <v>12</v>
      </c>
      <c r="B94" s="81" t="s">
        <v>279</v>
      </c>
      <c r="C94" s="89"/>
      <c r="D94" s="6">
        <f>SUM(D89:D93)</f>
        <v>1682459736</v>
      </c>
      <c r="E94" s="89"/>
      <c r="F94" s="89"/>
      <c r="G94" s="89"/>
      <c r="H94" s="89"/>
      <c r="I94" s="6">
        <f>SUM(I89:I93)</f>
        <v>197797255.54118863</v>
      </c>
      <c r="J94" s="89"/>
      <c r="K94" s="96"/>
    </row>
    <row r="95" spans="1:15">
      <c r="A95" s="90"/>
      <c r="C95" s="89" t="s">
        <v>2</v>
      </c>
      <c r="E95" s="89"/>
      <c r="F95" s="89"/>
      <c r="G95" s="123"/>
      <c r="H95" s="89"/>
      <c r="J95" s="89"/>
      <c r="K95" s="124"/>
      <c r="M95" s="44" t="s">
        <v>336</v>
      </c>
    </row>
    <row r="96" spans="1:15">
      <c r="A96" s="90"/>
      <c r="B96" s="81" t="s">
        <v>53</v>
      </c>
      <c r="C96" s="89"/>
      <c r="D96" s="89"/>
      <c r="E96" s="89"/>
      <c r="F96" s="89"/>
      <c r="G96" s="89"/>
      <c r="H96" s="89"/>
      <c r="I96" s="89"/>
      <c r="J96" s="89"/>
      <c r="K96" s="96"/>
    </row>
    <row r="97" spans="1:12">
      <c r="A97" s="90">
        <v>13</v>
      </c>
      <c r="B97" s="13" t="str">
        <f>+B89</f>
        <v xml:space="preserve">  Production</v>
      </c>
      <c r="C97" s="89" t="s">
        <v>248</v>
      </c>
      <c r="D97" s="6">
        <f>D81-D89</f>
        <v>1481221413</v>
      </c>
      <c r="E97" s="89"/>
      <c r="F97" s="89"/>
      <c r="G97" s="123"/>
      <c r="H97" s="89"/>
      <c r="I97" s="89" t="s">
        <v>2</v>
      </c>
      <c r="J97" s="89"/>
      <c r="K97" s="124"/>
    </row>
    <row r="98" spans="1:12">
      <c r="A98" s="90">
        <v>14</v>
      </c>
      <c r="B98" s="13" t="str">
        <f>+B90</f>
        <v xml:space="preserve">  Transmission</v>
      </c>
      <c r="C98" s="89" t="s">
        <v>249</v>
      </c>
      <c r="D98" s="6">
        <f>D82-D90</f>
        <v>488665086</v>
      </c>
      <c r="E98" s="89"/>
      <c r="F98" s="89"/>
      <c r="G98" s="121"/>
      <c r="H98" s="89"/>
      <c r="I98" s="6">
        <f>I82-I90</f>
        <v>403266768.13561451</v>
      </c>
      <c r="J98" s="89"/>
      <c r="K98" s="124"/>
    </row>
    <row r="99" spans="1:12">
      <c r="A99" s="90">
        <v>15</v>
      </c>
      <c r="B99" s="13" t="str">
        <f>+B91</f>
        <v xml:space="preserve">  Distribution</v>
      </c>
      <c r="C99" s="89" t="s">
        <v>250</v>
      </c>
      <c r="D99" s="6">
        <f>D83-D91</f>
        <v>963172335</v>
      </c>
      <c r="E99" s="89"/>
      <c r="F99" s="89"/>
      <c r="G99" s="123"/>
      <c r="H99" s="89"/>
      <c r="I99" s="89" t="s">
        <v>2</v>
      </c>
      <c r="J99" s="89"/>
      <c r="K99" s="124"/>
    </row>
    <row r="100" spans="1:12">
      <c r="A100" s="90">
        <v>16</v>
      </c>
      <c r="B100" s="13" t="str">
        <f>+B92</f>
        <v xml:space="preserve">  General &amp; Intangible</v>
      </c>
      <c r="C100" s="89" t="s">
        <v>251</v>
      </c>
      <c r="D100" s="6">
        <f>D84-D92</f>
        <v>145832455</v>
      </c>
      <c r="E100" s="89"/>
      <c r="F100" s="89"/>
      <c r="G100" s="123"/>
      <c r="H100" s="89"/>
      <c r="I100" s="6">
        <f>I84-I92</f>
        <v>6231692.1394835627</v>
      </c>
      <c r="J100" s="89"/>
      <c r="K100" s="124"/>
    </row>
    <row r="101" spans="1:12" ht="16.2" thickBot="1">
      <c r="A101" s="90">
        <v>17</v>
      </c>
      <c r="B101" s="13" t="str">
        <f>+B93</f>
        <v xml:space="preserve">  Common</v>
      </c>
      <c r="C101" s="89" t="s">
        <v>252</v>
      </c>
      <c r="D101" s="17">
        <f>D85-D93</f>
        <v>0</v>
      </c>
      <c r="E101" s="89"/>
      <c r="F101" s="89"/>
      <c r="G101" s="123"/>
      <c r="H101" s="89"/>
      <c r="I101" s="17">
        <f>I85-I93</f>
        <v>0</v>
      </c>
      <c r="J101" s="89"/>
      <c r="K101" s="124"/>
    </row>
    <row r="102" spans="1:12">
      <c r="A102" s="90">
        <v>18</v>
      </c>
      <c r="B102" s="81" t="s">
        <v>277</v>
      </c>
      <c r="C102" s="89"/>
      <c r="D102" s="6">
        <f>SUM(D97:D101)</f>
        <v>3078891289</v>
      </c>
      <c r="E102" s="89"/>
      <c r="F102" s="89" t="s">
        <v>54</v>
      </c>
      <c r="G102" s="25">
        <f>IF(I102&gt;0,I102/D102,0)</f>
        <v>0.13300192239268702</v>
      </c>
      <c r="H102" s="89"/>
      <c r="I102" s="6">
        <f>SUM(I97:I101)</f>
        <v>409498460.27509809</v>
      </c>
      <c r="J102" s="89"/>
      <c r="K102" s="96"/>
    </row>
    <row r="103" spans="1:12">
      <c r="A103" s="90"/>
      <c r="C103" s="89"/>
      <c r="E103" s="89"/>
      <c r="H103" s="89"/>
      <c r="J103" s="89"/>
      <c r="K103" s="124"/>
    </row>
    <row r="104" spans="1:12">
      <c r="A104" s="90"/>
      <c r="B104" s="81" t="s">
        <v>253</v>
      </c>
      <c r="C104" s="89"/>
      <c r="D104" s="89"/>
      <c r="E104" s="89"/>
      <c r="F104" s="89"/>
      <c r="G104" s="89"/>
      <c r="H104" s="89"/>
      <c r="I104" s="89"/>
      <c r="J104" s="89"/>
      <c r="K104" s="96"/>
    </row>
    <row r="105" spans="1:12">
      <c r="A105" s="90">
        <v>19</v>
      </c>
      <c r="B105" s="81" t="s">
        <v>147</v>
      </c>
      <c r="C105" s="89" t="s">
        <v>55</v>
      </c>
      <c r="D105" s="50"/>
      <c r="E105" s="96"/>
      <c r="F105" s="8" t="str">
        <f>+F89</f>
        <v>NA</v>
      </c>
      <c r="G105" s="125" t="s">
        <v>194</v>
      </c>
      <c r="H105" s="89"/>
      <c r="I105" s="89">
        <v>0</v>
      </c>
      <c r="J105" s="89"/>
      <c r="K105" s="124"/>
    </row>
    <row r="106" spans="1:12">
      <c r="A106" s="90">
        <v>20</v>
      </c>
      <c r="B106" s="81" t="s">
        <v>148</v>
      </c>
      <c r="C106" s="89" t="s">
        <v>57</v>
      </c>
      <c r="D106" s="50">
        <f>'1 - ADIT  Page 2'!C15</f>
        <v>-650659250</v>
      </c>
      <c r="E106" s="89"/>
      <c r="F106" s="89" t="s">
        <v>56</v>
      </c>
      <c r="G106" s="24">
        <f>+G102</f>
        <v>0.13300192239268702</v>
      </c>
      <c r="H106" s="89"/>
      <c r="I106" s="6">
        <f>D106*G106</f>
        <v>-86538931.072583944</v>
      </c>
      <c r="J106" s="89"/>
      <c r="K106" s="124"/>
      <c r="L106" s="126"/>
    </row>
    <row r="107" spans="1:12">
      <c r="A107" s="90">
        <v>21</v>
      </c>
      <c r="B107" s="81" t="s">
        <v>149</v>
      </c>
      <c r="C107" s="89" t="s">
        <v>58</v>
      </c>
      <c r="D107" s="56"/>
      <c r="E107" s="89"/>
      <c r="F107" s="89" t="s">
        <v>56</v>
      </c>
      <c r="G107" s="24">
        <f>+G106</f>
        <v>0.13300192239268702</v>
      </c>
      <c r="H107" s="89"/>
      <c r="I107" s="6">
        <f>D107*G107</f>
        <v>0</v>
      </c>
      <c r="J107" s="89"/>
      <c r="K107" s="124"/>
    </row>
    <row r="108" spans="1:12">
      <c r="A108" s="90">
        <v>22</v>
      </c>
      <c r="B108" s="81" t="s">
        <v>151</v>
      </c>
      <c r="C108" s="89" t="s">
        <v>59</v>
      </c>
      <c r="D108" s="56">
        <f>'1 - ADIT  Page 2'!C20</f>
        <v>126704084</v>
      </c>
      <c r="E108" s="89"/>
      <c r="F108" s="6" t="str">
        <f>+F107</f>
        <v>NP</v>
      </c>
      <c r="G108" s="24">
        <f>+G107</f>
        <v>0.13300192239268702</v>
      </c>
      <c r="H108" s="89"/>
      <c r="I108" s="6">
        <f>D108*G108</f>
        <v>16851886.747004498</v>
      </c>
      <c r="J108" s="89"/>
      <c r="K108" s="124"/>
    </row>
    <row r="109" spans="1:12" ht="16.2" thickBot="1">
      <c r="A109" s="90">
        <v>23</v>
      </c>
      <c r="B109" s="44" t="s">
        <v>150</v>
      </c>
      <c r="C109" s="44" t="s">
        <v>213</v>
      </c>
      <c r="D109" s="55"/>
      <c r="E109" s="89"/>
      <c r="F109" s="89" t="s">
        <v>56</v>
      </c>
      <c r="G109" s="24">
        <f>+G107</f>
        <v>0.13300192239268702</v>
      </c>
      <c r="H109" s="89"/>
      <c r="I109" s="17">
        <f>D109*G109</f>
        <v>0</v>
      </c>
      <c r="J109" s="89"/>
      <c r="K109" s="124"/>
    </row>
    <row r="110" spans="1:12">
      <c r="A110" s="90">
        <v>24</v>
      </c>
      <c r="B110" s="81" t="s">
        <v>275</v>
      </c>
      <c r="C110" s="89"/>
      <c r="D110" s="6">
        <f>SUM(D105:D109)</f>
        <v>-523955166</v>
      </c>
      <c r="E110" s="89"/>
      <c r="F110" s="89"/>
      <c r="G110" s="89"/>
      <c r="H110" s="89"/>
      <c r="I110" s="6">
        <f>SUM(I105:I109)</f>
        <v>-69687044.32557945</v>
      </c>
      <c r="J110" s="89"/>
      <c r="K110" s="96"/>
    </row>
    <row r="111" spans="1:12">
      <c r="A111" s="90"/>
      <c r="C111" s="89"/>
      <c r="E111" s="89"/>
      <c r="F111" s="89"/>
      <c r="G111" s="123"/>
      <c r="H111" s="89"/>
      <c r="J111" s="89"/>
      <c r="K111" s="124"/>
    </row>
    <row r="112" spans="1:12">
      <c r="A112" s="90">
        <v>25</v>
      </c>
      <c r="B112" s="81" t="s">
        <v>60</v>
      </c>
      <c r="C112" s="96" t="s">
        <v>61</v>
      </c>
      <c r="D112" s="50">
        <v>309996</v>
      </c>
      <c r="E112" s="89"/>
      <c r="F112" s="6" t="str">
        <f>+F90</f>
        <v>TP</v>
      </c>
      <c r="G112" s="24">
        <f>+G90</f>
        <v>0.82524162189810002</v>
      </c>
      <c r="H112" s="89"/>
      <c r="I112" s="6">
        <f>+G112*D112</f>
        <v>255821.60182192342</v>
      </c>
      <c r="J112" s="89"/>
      <c r="K112" s="96"/>
    </row>
    <row r="113" spans="1:11">
      <c r="A113" s="90"/>
      <c r="B113" s="81"/>
      <c r="C113" s="89"/>
      <c r="D113" s="89"/>
      <c r="E113" s="89"/>
      <c r="F113" s="89"/>
      <c r="G113" s="89"/>
      <c r="H113" s="89"/>
      <c r="I113" s="89"/>
      <c r="J113" s="89"/>
      <c r="K113" s="96"/>
    </row>
    <row r="114" spans="1:11">
      <c r="A114" s="90"/>
      <c r="B114" s="81" t="s">
        <v>185</v>
      </c>
      <c r="C114" s="89" t="s">
        <v>2</v>
      </c>
      <c r="D114" s="89"/>
      <c r="E114" s="89"/>
      <c r="F114" s="89"/>
      <c r="G114" s="89"/>
      <c r="H114" s="89"/>
      <c r="I114" s="89"/>
      <c r="J114" s="89"/>
      <c r="K114" s="96"/>
    </row>
    <row r="115" spans="1:11">
      <c r="A115" s="90">
        <v>26</v>
      </c>
      <c r="B115" s="81" t="s">
        <v>186</v>
      </c>
      <c r="C115" s="44" t="s">
        <v>182</v>
      </c>
      <c r="D115" s="6">
        <f>+D156/8</f>
        <v>7771266.4037499996</v>
      </c>
      <c r="E115" s="89"/>
      <c r="F115" s="89"/>
      <c r="G115" s="123"/>
      <c r="H115" s="89"/>
      <c r="I115" s="6">
        <f>+I156/8</f>
        <v>1156740.7973572356</v>
      </c>
      <c r="J115" s="83"/>
      <c r="K115" s="124"/>
    </row>
    <row r="116" spans="1:11">
      <c r="A116" s="90">
        <v>27</v>
      </c>
      <c r="B116" s="81" t="s">
        <v>62</v>
      </c>
      <c r="C116" s="89" t="s">
        <v>235</v>
      </c>
      <c r="D116" s="50">
        <f>124365+'2 - Mat.&amp;Supplies  P. 2'!E20+'2 - Mat.&amp;Supplies  P. 2'!B23</f>
        <v>558266.97714535613</v>
      </c>
      <c r="E116" s="89"/>
      <c r="F116" s="89" t="s">
        <v>63</v>
      </c>
      <c r="G116" s="24">
        <f>I225</f>
        <v>0.76511609343903186</v>
      </c>
      <c r="H116" s="89"/>
      <c r="I116" s="6">
        <f>+G116*D116</f>
        <v>427139.04864947218</v>
      </c>
      <c r="J116" s="89" t="s">
        <v>2</v>
      </c>
      <c r="K116" s="124"/>
    </row>
    <row r="117" spans="1:11" ht="16.2" thickBot="1">
      <c r="A117" s="90">
        <v>28</v>
      </c>
      <c r="B117" s="81" t="s">
        <v>153</v>
      </c>
      <c r="C117" s="89" t="s">
        <v>218</v>
      </c>
      <c r="D117" s="55">
        <v>9123151</v>
      </c>
      <c r="E117" s="89"/>
      <c r="F117" s="89" t="s">
        <v>64</v>
      </c>
      <c r="G117" s="24">
        <f>+G86</f>
        <v>0.12754693208453091</v>
      </c>
      <c r="H117" s="89"/>
      <c r="I117" s="17">
        <f>+G117*D117</f>
        <v>1163629.9209939202</v>
      </c>
      <c r="J117" s="89"/>
      <c r="K117" s="124"/>
    </row>
    <row r="118" spans="1:11">
      <c r="A118" s="90">
        <v>29</v>
      </c>
      <c r="B118" s="81" t="s">
        <v>276</v>
      </c>
      <c r="C118" s="83"/>
      <c r="D118" s="6">
        <f>D115+D116+D117</f>
        <v>17452684.380895354</v>
      </c>
      <c r="E118" s="83"/>
      <c r="F118" s="83"/>
      <c r="G118" s="83"/>
      <c r="H118" s="83"/>
      <c r="I118" s="6">
        <f>I115+I116+I117</f>
        <v>2747509.7670006277</v>
      </c>
      <c r="J118" s="83"/>
      <c r="K118" s="86"/>
    </row>
    <row r="119" spans="1:11" ht="16.2" thickBot="1">
      <c r="C119" s="89"/>
      <c r="D119" s="127"/>
      <c r="E119" s="89"/>
      <c r="F119" s="89"/>
      <c r="G119" s="89"/>
      <c r="H119" s="89"/>
      <c r="I119" s="127"/>
      <c r="J119" s="89"/>
      <c r="K119" s="96"/>
    </row>
    <row r="120" spans="1:11" ht="16.2" thickBot="1">
      <c r="A120" s="90">
        <v>30</v>
      </c>
      <c r="B120" s="81" t="s">
        <v>152</v>
      </c>
      <c r="C120" s="89"/>
      <c r="D120" s="27">
        <f>+D118+D112+D110+D102</f>
        <v>2572698803.3808956</v>
      </c>
      <c r="E120" s="89"/>
      <c r="F120" s="89"/>
      <c r="G120" s="123"/>
      <c r="H120" s="89"/>
      <c r="I120" s="27">
        <f>+I118+I112+I110+I102</f>
        <v>342814747.3183412</v>
      </c>
      <c r="J120" s="89"/>
      <c r="K120" s="124"/>
    </row>
    <row r="121" spans="1:11" ht="16.2" thickTop="1">
      <c r="A121" s="90"/>
      <c r="B121" s="81"/>
      <c r="C121" s="89"/>
      <c r="D121" s="128"/>
      <c r="E121" s="89"/>
      <c r="F121" s="89"/>
      <c r="G121" s="123"/>
      <c r="H121" s="89"/>
      <c r="I121" s="128"/>
      <c r="J121" s="89"/>
      <c r="K121" s="124"/>
    </row>
    <row r="122" spans="1:11">
      <c r="A122" s="90"/>
      <c r="B122" s="81"/>
      <c r="C122" s="89"/>
      <c r="D122" s="128"/>
      <c r="E122" s="89"/>
      <c r="F122" s="89"/>
      <c r="G122" s="123"/>
      <c r="H122" s="89"/>
      <c r="I122" s="128"/>
      <c r="J122" s="89"/>
      <c r="K122" s="124"/>
    </row>
    <row r="123" spans="1:11">
      <c r="A123" s="90"/>
      <c r="B123" s="81"/>
      <c r="C123" s="89"/>
      <c r="D123" s="128"/>
      <c r="E123" s="89"/>
      <c r="F123" s="89"/>
      <c r="G123" s="123"/>
      <c r="H123" s="89"/>
      <c r="I123" s="128"/>
      <c r="J123" s="89"/>
      <c r="K123" s="124"/>
    </row>
    <row r="124" spans="1:11">
      <c r="A124" s="90"/>
      <c r="B124" s="81"/>
      <c r="C124" s="89"/>
      <c r="D124" s="128"/>
      <c r="E124" s="89"/>
      <c r="F124" s="89"/>
      <c r="G124" s="123"/>
      <c r="H124" s="89"/>
      <c r="I124" s="128"/>
      <c r="J124" s="89"/>
      <c r="K124" s="124"/>
    </row>
    <row r="125" spans="1:11">
      <c r="A125" s="90"/>
      <c r="B125" s="81"/>
      <c r="C125" s="89"/>
      <c r="D125" s="128"/>
      <c r="E125" s="89"/>
      <c r="F125" s="89"/>
      <c r="G125" s="123"/>
      <c r="H125" s="89"/>
      <c r="I125" s="128"/>
      <c r="J125" s="89"/>
      <c r="K125" s="124"/>
    </row>
    <row r="126" spans="1:11">
      <c r="A126" s="90"/>
      <c r="B126" s="81"/>
      <c r="C126" s="89"/>
      <c r="D126" s="128"/>
      <c r="E126" s="89"/>
      <c r="F126" s="89"/>
      <c r="G126" s="123"/>
      <c r="H126" s="89"/>
      <c r="I126" s="128"/>
      <c r="J126" s="89"/>
      <c r="K126" s="124"/>
    </row>
    <row r="127" spans="1:11">
      <c r="A127" s="90"/>
      <c r="B127" s="81"/>
      <c r="C127" s="89"/>
      <c r="D127" s="128"/>
      <c r="E127" s="89"/>
      <c r="F127" s="89"/>
      <c r="G127" s="123"/>
      <c r="H127" s="89"/>
      <c r="I127" s="128"/>
      <c r="J127" s="89"/>
      <c r="K127" s="124"/>
    </row>
    <row r="128" spans="1:11">
      <c r="A128" s="90"/>
      <c r="B128" s="81"/>
      <c r="C128" s="89"/>
      <c r="D128" s="128"/>
      <c r="E128" s="89"/>
      <c r="F128" s="89"/>
      <c r="G128" s="123"/>
      <c r="H128" s="89"/>
      <c r="I128" s="128"/>
      <c r="J128" s="89"/>
      <c r="K128" s="124"/>
    </row>
    <row r="129" spans="1:11">
      <c r="A129" s="90"/>
      <c r="B129" s="81"/>
      <c r="C129" s="89"/>
      <c r="D129" s="128"/>
      <c r="E129" s="89"/>
      <c r="F129" s="89"/>
      <c r="G129" s="123"/>
      <c r="H129" s="89"/>
      <c r="I129" s="128"/>
      <c r="J129" s="89"/>
      <c r="K129" s="124"/>
    </row>
    <row r="130" spans="1:11">
      <c r="A130" s="90"/>
      <c r="B130" s="81"/>
      <c r="C130" s="89"/>
      <c r="D130" s="128"/>
      <c r="E130" s="89"/>
      <c r="F130" s="89"/>
      <c r="G130" s="123"/>
      <c r="H130" s="89"/>
      <c r="I130" s="128"/>
      <c r="J130" s="89"/>
      <c r="K130" s="124"/>
    </row>
    <row r="131" spans="1:11">
      <c r="A131" s="90"/>
      <c r="B131" s="81"/>
      <c r="C131" s="89"/>
      <c r="D131" s="128"/>
      <c r="E131" s="89"/>
      <c r="F131" s="89"/>
      <c r="G131" s="123"/>
      <c r="H131" s="89"/>
      <c r="I131" s="128"/>
      <c r="J131" s="89"/>
      <c r="K131" s="124"/>
    </row>
    <row r="132" spans="1:11">
      <c r="A132" s="90"/>
      <c r="B132" s="81"/>
      <c r="C132" s="89"/>
      <c r="D132" s="128"/>
      <c r="E132" s="89"/>
      <c r="F132" s="89"/>
      <c r="G132" s="123"/>
      <c r="H132" s="89"/>
      <c r="I132" s="128"/>
      <c r="J132" s="89"/>
      <c r="K132" s="124"/>
    </row>
    <row r="133" spans="1:11">
      <c r="A133" s="90"/>
      <c r="B133" s="81"/>
      <c r="C133" s="89"/>
      <c r="D133" s="128"/>
      <c r="E133" s="89"/>
      <c r="F133" s="89"/>
      <c r="G133" s="123"/>
      <c r="H133" s="89"/>
      <c r="I133" s="128"/>
      <c r="J133" s="89"/>
      <c r="K133" s="124"/>
    </row>
    <row r="134" spans="1:11">
      <c r="A134" s="90"/>
      <c r="B134" s="81"/>
      <c r="C134" s="89"/>
      <c r="D134" s="128"/>
      <c r="E134" s="89"/>
      <c r="F134" s="89"/>
      <c r="G134" s="123"/>
      <c r="H134" s="89"/>
      <c r="I134" s="128"/>
      <c r="J134" s="89"/>
      <c r="K134" s="124"/>
    </row>
    <row r="135" spans="1:11">
      <c r="A135" s="90"/>
      <c r="B135" s="81"/>
      <c r="C135" s="89"/>
      <c r="D135" s="128"/>
      <c r="E135" s="89"/>
      <c r="F135" s="89"/>
      <c r="G135" s="123"/>
      <c r="H135" s="89"/>
      <c r="I135" s="128"/>
      <c r="J135" s="89"/>
      <c r="K135" s="124"/>
    </row>
    <row r="136" spans="1:11">
      <c r="A136" s="90"/>
      <c r="B136" s="81"/>
      <c r="C136" s="89"/>
      <c r="D136" s="128"/>
      <c r="E136" s="89"/>
      <c r="F136" s="89"/>
      <c r="G136" s="123"/>
      <c r="H136" s="89"/>
      <c r="I136" s="128"/>
      <c r="J136" s="89"/>
      <c r="K136" s="124"/>
    </row>
    <row r="137" spans="1:11">
      <c r="B137" s="81"/>
      <c r="C137" s="81"/>
      <c r="D137" s="82"/>
      <c r="E137" s="81"/>
      <c r="F137" s="81"/>
      <c r="G137" s="81"/>
      <c r="H137" s="83"/>
      <c r="I137" s="83"/>
      <c r="J137" s="365" t="s">
        <v>202</v>
      </c>
      <c r="K137" s="365"/>
    </row>
    <row r="138" spans="1:11">
      <c r="B138" s="81"/>
      <c r="C138" s="81"/>
      <c r="D138" s="82"/>
      <c r="E138" s="81"/>
      <c r="F138" s="81"/>
      <c r="G138" s="81"/>
      <c r="H138" s="83"/>
      <c r="I138" s="83"/>
      <c r="J138" s="83"/>
      <c r="K138" s="85"/>
    </row>
    <row r="139" spans="1:11">
      <c r="B139" s="81" t="s">
        <v>0</v>
      </c>
      <c r="C139" s="81"/>
      <c r="D139" s="82" t="s">
        <v>1</v>
      </c>
      <c r="E139" s="81"/>
      <c r="F139" s="81"/>
      <c r="G139" s="81"/>
      <c r="H139" s="83"/>
      <c r="I139" s="83"/>
      <c r="J139" s="83"/>
      <c r="K139" s="209" t="str">
        <f>K4</f>
        <v>For the 12 months ended 12/31/17</v>
      </c>
    </row>
    <row r="140" spans="1:11">
      <c r="B140" s="81"/>
      <c r="C140" s="89" t="s">
        <v>2</v>
      </c>
      <c r="D140" s="89" t="s">
        <v>3</v>
      </c>
      <c r="E140" s="89"/>
      <c r="F140" s="89"/>
      <c r="G140" s="89"/>
      <c r="H140" s="83"/>
      <c r="I140" s="83"/>
      <c r="J140" s="83"/>
      <c r="K140" s="86"/>
    </row>
    <row r="141" spans="1:11">
      <c r="B141" s="81"/>
      <c r="C141" s="89"/>
      <c r="D141" s="89"/>
      <c r="E141" s="89"/>
      <c r="F141" s="89"/>
      <c r="G141" s="89"/>
      <c r="H141" s="83"/>
      <c r="I141" s="83"/>
      <c r="J141" s="83"/>
      <c r="K141" s="86"/>
    </row>
    <row r="142" spans="1:11">
      <c r="A142" s="90"/>
      <c r="D142" s="12" t="str">
        <f>D7</f>
        <v>Cleco Power LLC</v>
      </c>
      <c r="J142" s="89"/>
      <c r="K142" s="96"/>
    </row>
    <row r="143" spans="1:11">
      <c r="A143" s="90"/>
      <c r="B143" s="90" t="s">
        <v>32</v>
      </c>
      <c r="C143" s="90" t="s">
        <v>33</v>
      </c>
      <c r="D143" s="90" t="s">
        <v>34</v>
      </c>
      <c r="E143" s="89" t="s">
        <v>2</v>
      </c>
      <c r="F143" s="89"/>
      <c r="G143" s="114" t="s">
        <v>35</v>
      </c>
      <c r="H143" s="89"/>
      <c r="I143" s="115" t="s">
        <v>36</v>
      </c>
      <c r="J143" s="89"/>
      <c r="K143" s="96"/>
    </row>
    <row r="144" spans="1:11">
      <c r="A144" s="90" t="s">
        <v>4</v>
      </c>
      <c r="B144" s="81"/>
      <c r="C144" s="116" t="s">
        <v>37</v>
      </c>
      <c r="D144" s="89"/>
      <c r="E144" s="89"/>
      <c r="F144" s="89"/>
      <c r="G144" s="90"/>
      <c r="H144" s="89"/>
      <c r="I144" s="117" t="s">
        <v>38</v>
      </c>
      <c r="J144" s="89"/>
      <c r="K144" s="129"/>
    </row>
    <row r="145" spans="1:15" ht="16.2" thickBot="1">
      <c r="A145" s="94" t="s">
        <v>6</v>
      </c>
      <c r="B145" s="81"/>
      <c r="C145" s="118" t="s">
        <v>39</v>
      </c>
      <c r="D145" s="117" t="s">
        <v>40</v>
      </c>
      <c r="E145" s="119"/>
      <c r="F145" s="117" t="s">
        <v>41</v>
      </c>
      <c r="H145" s="119"/>
      <c r="I145" s="90" t="s">
        <v>42</v>
      </c>
      <c r="J145" s="89"/>
      <c r="K145" s="129"/>
    </row>
    <row r="146" spans="1:15">
      <c r="A146" s="90"/>
      <c r="B146" s="81" t="s">
        <v>310</v>
      </c>
      <c r="C146" s="89"/>
      <c r="D146" s="89"/>
      <c r="E146" s="89"/>
      <c r="F146" s="89"/>
      <c r="G146" s="89"/>
      <c r="H146" s="89"/>
      <c r="I146" s="89"/>
      <c r="J146" s="89"/>
      <c r="K146" s="96"/>
    </row>
    <row r="147" spans="1:15">
      <c r="A147" s="90">
        <v>1</v>
      </c>
      <c r="B147" s="81" t="s">
        <v>65</v>
      </c>
      <c r="C147" s="89" t="s">
        <v>228</v>
      </c>
      <c r="D147" s="50">
        <f>35420965-'7 - Excluded MISO Int Costs'!B20</f>
        <v>34485161.439999998</v>
      </c>
      <c r="E147" s="89"/>
      <c r="F147" s="89" t="s">
        <v>63</v>
      </c>
      <c r="G147" s="24">
        <f>I225</f>
        <v>0.76511609343903186</v>
      </c>
      <c r="H147" s="89"/>
      <c r="I147" s="6">
        <f>+G147*D147</f>
        <v>26385152.002587136</v>
      </c>
      <c r="J147" s="83"/>
      <c r="K147" s="96"/>
    </row>
    <row r="148" spans="1:15">
      <c r="A148" s="110" t="s">
        <v>221</v>
      </c>
      <c r="B148" s="111" t="s">
        <v>255</v>
      </c>
      <c r="C148" s="96"/>
      <c r="D148" s="50">
        <v>299123</v>
      </c>
      <c r="E148" s="89"/>
      <c r="F148" s="130"/>
      <c r="G148" s="121">
        <v>1</v>
      </c>
      <c r="H148" s="89"/>
      <c r="I148" s="6">
        <f>+G148*D148</f>
        <v>299123</v>
      </c>
      <c r="J148" s="83"/>
      <c r="K148" s="96"/>
    </row>
    <row r="149" spans="1:15">
      <c r="A149" s="90">
        <v>2</v>
      </c>
      <c r="B149" s="81" t="s">
        <v>66</v>
      </c>
      <c r="C149" s="89" t="s">
        <v>229</v>
      </c>
      <c r="D149" s="50">
        <v>25228632</v>
      </c>
      <c r="E149" s="89"/>
      <c r="F149" s="89" t="s">
        <v>63</v>
      </c>
      <c r="G149" s="24">
        <f>+G147</f>
        <v>0.76511609343903186</v>
      </c>
      <c r="H149" s="89"/>
      <c r="I149" s="6">
        <f t="shared" ref="I149:I155" si="2">+G149*D149</f>
        <v>19302832.358650949</v>
      </c>
      <c r="J149" s="83"/>
      <c r="K149" s="96"/>
    </row>
    <row r="150" spans="1:15">
      <c r="A150" s="90">
        <v>3</v>
      </c>
      <c r="B150" s="81" t="s">
        <v>67</v>
      </c>
      <c r="C150" s="89" t="s">
        <v>230</v>
      </c>
      <c r="D150" s="50">
        <v>54701779</v>
      </c>
      <c r="E150" s="89"/>
      <c r="F150" s="89" t="s">
        <v>49</v>
      </c>
      <c r="G150" s="24">
        <f>+G92</f>
        <v>4.2731860610064905E-2</v>
      </c>
      <c r="H150" s="89"/>
      <c r="I150" s="6">
        <f t="shared" si="2"/>
        <v>2337508.7953505758</v>
      </c>
      <c r="J150" s="89"/>
      <c r="K150" s="96" t="s">
        <v>2</v>
      </c>
    </row>
    <row r="151" spans="1:15">
      <c r="A151" s="90">
        <v>4</v>
      </c>
      <c r="B151" s="81" t="s">
        <v>68</v>
      </c>
      <c r="C151" s="89"/>
      <c r="D151" s="50">
        <f>'3 - Regulatory Exp. P. 3'!C11</f>
        <v>554956</v>
      </c>
      <c r="E151" s="89"/>
      <c r="F151" s="6" t="str">
        <f>+F150</f>
        <v>W/S</v>
      </c>
      <c r="G151" s="24">
        <f>+G150</f>
        <v>4.2731860610064905E-2</v>
      </c>
      <c r="H151" s="89"/>
      <c r="I151" s="6">
        <f t="shared" si="2"/>
        <v>23714.302436719179</v>
      </c>
      <c r="J151" s="89"/>
      <c r="K151" s="96"/>
    </row>
    <row r="152" spans="1:15">
      <c r="A152" s="90">
        <v>5</v>
      </c>
      <c r="B152" s="111" t="s">
        <v>256</v>
      </c>
      <c r="C152" s="96"/>
      <c r="D152" s="50">
        <f>'3 - Regulatory Exp. P. 3'!C20</f>
        <v>1206600</v>
      </c>
      <c r="E152" s="89"/>
      <c r="F152" s="6" t="str">
        <f>+F151</f>
        <v>W/S</v>
      </c>
      <c r="G152" s="24">
        <f>+G151</f>
        <v>4.2731860610064905E-2</v>
      </c>
      <c r="H152" s="89"/>
      <c r="I152" s="6">
        <f t="shared" si="2"/>
        <v>51560.263012104311</v>
      </c>
      <c r="J152" s="89"/>
      <c r="K152" s="96"/>
    </row>
    <row r="153" spans="1:15">
      <c r="A153" s="90" t="s">
        <v>193</v>
      </c>
      <c r="B153" s="111" t="s">
        <v>257</v>
      </c>
      <c r="C153" s="96"/>
      <c r="D153" s="50">
        <f>'3 - Regulatory Exp. P. 3'!C30</f>
        <v>272501.79000000004</v>
      </c>
      <c r="E153" s="89"/>
      <c r="F153" s="29" t="str">
        <f>+F147</f>
        <v>TE</v>
      </c>
      <c r="G153" s="30">
        <f>+G147</f>
        <v>0.76511609343903186</v>
      </c>
      <c r="H153" s="89"/>
      <c r="I153" s="6">
        <f>+G153*D153</f>
        <v>208495.50501994346</v>
      </c>
      <c r="J153" s="89"/>
      <c r="K153" s="96"/>
    </row>
    <row r="154" spans="1:15">
      <c r="A154" s="90">
        <v>6</v>
      </c>
      <c r="B154" s="81" t="s">
        <v>50</v>
      </c>
      <c r="C154" s="6" t="str">
        <f>+C93</f>
        <v>356.1</v>
      </c>
      <c r="D154" s="50"/>
      <c r="E154" s="89"/>
      <c r="F154" s="89" t="s">
        <v>100</v>
      </c>
      <c r="G154" s="24">
        <f>+G93</f>
        <v>4.2731860610064905E-2</v>
      </c>
      <c r="H154" s="89"/>
      <c r="I154" s="6">
        <f t="shared" si="2"/>
        <v>0</v>
      </c>
      <c r="J154" s="89"/>
      <c r="K154" s="96"/>
    </row>
    <row r="155" spans="1:15" ht="16.2" thickBot="1">
      <c r="A155" s="90">
        <v>7</v>
      </c>
      <c r="B155" s="81" t="s">
        <v>69</v>
      </c>
      <c r="C155" s="89"/>
      <c r="D155" s="55"/>
      <c r="E155" s="89"/>
      <c r="F155" s="89" t="s">
        <v>2</v>
      </c>
      <c r="G155" s="121">
        <v>1</v>
      </c>
      <c r="H155" s="89"/>
      <c r="I155" s="17">
        <f t="shared" si="2"/>
        <v>0</v>
      </c>
      <c r="J155" s="89"/>
      <c r="K155" s="96"/>
    </row>
    <row r="156" spans="1:15">
      <c r="A156" s="110">
        <v>8</v>
      </c>
      <c r="B156" s="111" t="s">
        <v>294</v>
      </c>
      <c r="C156" s="96"/>
      <c r="D156" s="8">
        <f>+D147-D149+D150-D151-D152-D148+D154+D155+D153</f>
        <v>62170131.229999997</v>
      </c>
      <c r="E156" s="96"/>
      <c r="F156" s="96"/>
      <c r="G156" s="96"/>
      <c r="H156" s="96"/>
      <c r="I156" s="8">
        <f>+I147-I149+I150-I151-I152-I148+I154+I155+I153</f>
        <v>9253926.3788578846</v>
      </c>
      <c r="J156" s="96"/>
      <c r="K156" s="96"/>
      <c r="L156" s="113"/>
    </row>
    <row r="157" spans="1:15">
      <c r="A157" s="90"/>
      <c r="C157" s="89"/>
      <c r="E157" s="89"/>
      <c r="F157" s="89"/>
      <c r="G157" s="89"/>
      <c r="H157" s="89"/>
      <c r="J157" s="89"/>
      <c r="K157" s="96"/>
    </row>
    <row r="158" spans="1:15">
      <c r="A158" s="90"/>
      <c r="B158" s="81" t="s">
        <v>311</v>
      </c>
      <c r="C158" s="89"/>
      <c r="D158" s="89"/>
      <c r="E158" s="89"/>
      <c r="F158" s="89"/>
      <c r="G158" s="89"/>
      <c r="H158" s="89"/>
      <c r="I158" s="89"/>
      <c r="J158" s="89"/>
      <c r="K158" s="96"/>
      <c r="M158" s="113"/>
      <c r="N158" s="113"/>
      <c r="O158" s="113"/>
    </row>
    <row r="159" spans="1:15">
      <c r="A159" s="90">
        <v>9</v>
      </c>
      <c r="B159" s="13" t="str">
        <f>+B147</f>
        <v xml:space="preserve">  Transmission </v>
      </c>
      <c r="C159" s="89" t="s">
        <v>70</v>
      </c>
      <c r="D159" s="50">
        <v>16723648</v>
      </c>
      <c r="E159" s="89"/>
      <c r="F159" s="89" t="s">
        <v>11</v>
      </c>
      <c r="G159" s="24">
        <f>+G112</f>
        <v>0.82524162189810002</v>
      </c>
      <c r="H159" s="89"/>
      <c r="I159" s="6">
        <f>+G159*D159</f>
        <v>13801050.399572916</v>
      </c>
      <c r="J159" s="89"/>
      <c r="K159" s="124"/>
    </row>
    <row r="160" spans="1:15">
      <c r="A160" s="90">
        <v>10</v>
      </c>
      <c r="B160" s="81" t="s">
        <v>48</v>
      </c>
      <c r="C160" s="89" t="s">
        <v>312</v>
      </c>
      <c r="D160" s="50">
        <f>7688177+2430784</f>
        <v>10118961</v>
      </c>
      <c r="E160" s="89"/>
      <c r="F160" s="89" t="s">
        <v>49</v>
      </c>
      <c r="G160" s="24">
        <f>+G150</f>
        <v>4.2731860610064905E-2</v>
      </c>
      <c r="H160" s="89"/>
      <c r="I160" s="6">
        <f>+G160*D160</f>
        <v>432402.03097068297</v>
      </c>
      <c r="J160" s="89"/>
      <c r="K160" s="124"/>
    </row>
    <row r="161" spans="1:11" ht="16.2" thickBot="1">
      <c r="A161" s="90">
        <v>11</v>
      </c>
      <c r="B161" s="13" t="str">
        <f>+B154</f>
        <v xml:space="preserve">  Common</v>
      </c>
      <c r="C161" s="89" t="s">
        <v>231</v>
      </c>
      <c r="D161" s="55"/>
      <c r="E161" s="89"/>
      <c r="F161" s="89" t="s">
        <v>100</v>
      </c>
      <c r="G161" s="24">
        <f>+G154</f>
        <v>4.2731860610064905E-2</v>
      </c>
      <c r="H161" s="89"/>
      <c r="I161" s="17">
        <f>+G161*D161</f>
        <v>0</v>
      </c>
      <c r="J161" s="89"/>
      <c r="K161" s="124"/>
    </row>
    <row r="162" spans="1:11">
      <c r="A162" s="90">
        <v>12</v>
      </c>
      <c r="B162" s="81" t="s">
        <v>280</v>
      </c>
      <c r="C162" s="89"/>
      <c r="D162" s="6">
        <f>SUM(D159:D161)</f>
        <v>26842609</v>
      </c>
      <c r="E162" s="89"/>
      <c r="F162" s="89"/>
      <c r="G162" s="89"/>
      <c r="H162" s="89"/>
      <c r="I162" s="6">
        <f>SUM(I159:I161)</f>
        <v>14233452.4305436</v>
      </c>
      <c r="J162" s="89"/>
      <c r="K162" s="96"/>
    </row>
    <row r="163" spans="1:11">
      <c r="A163" s="90"/>
      <c r="B163" s="81"/>
      <c r="C163" s="89"/>
      <c r="D163" s="89"/>
      <c r="E163" s="89"/>
      <c r="F163" s="89"/>
      <c r="G163" s="89"/>
      <c r="H163" s="89"/>
      <c r="I163" s="89"/>
      <c r="J163" s="89"/>
      <c r="K163" s="96"/>
    </row>
    <row r="164" spans="1:11">
      <c r="A164" s="90" t="s">
        <v>2</v>
      </c>
      <c r="B164" s="81" t="s">
        <v>258</v>
      </c>
      <c r="D164" s="89"/>
      <c r="E164" s="89"/>
      <c r="F164" s="89"/>
      <c r="G164" s="89"/>
      <c r="H164" s="89"/>
      <c r="I164" s="89"/>
      <c r="J164" s="89"/>
      <c r="K164" s="96"/>
    </row>
    <row r="165" spans="1:11">
      <c r="A165" s="90"/>
      <c r="B165" s="81" t="s">
        <v>71</v>
      </c>
      <c r="E165" s="89"/>
      <c r="F165" s="89"/>
      <c r="H165" s="89"/>
      <c r="J165" s="89"/>
      <c r="K165" s="124"/>
    </row>
    <row r="166" spans="1:11">
      <c r="A166" s="90">
        <v>13</v>
      </c>
      <c r="B166" s="81" t="s">
        <v>72</v>
      </c>
      <c r="C166" s="89" t="s">
        <v>208</v>
      </c>
      <c r="D166" s="50">
        <f>'4 - Taxes P. 3'!C16</f>
        <v>7310823</v>
      </c>
      <c r="E166" s="89"/>
      <c r="F166" s="89" t="s">
        <v>49</v>
      </c>
      <c r="G166" s="16">
        <f>+G160</f>
        <v>4.2731860610064905E-2</v>
      </c>
      <c r="H166" s="89"/>
      <c r="I166" s="6">
        <f>+G166*D166</f>
        <v>312405.06938085653</v>
      </c>
      <c r="J166" s="89"/>
      <c r="K166" s="124"/>
    </row>
    <row r="167" spans="1:11">
      <c r="A167" s="90">
        <v>14</v>
      </c>
      <c r="B167" s="81" t="s">
        <v>73</v>
      </c>
      <c r="C167" s="6" t="str">
        <f>+C166</f>
        <v>263.i</v>
      </c>
      <c r="D167" s="50"/>
      <c r="E167" s="89"/>
      <c r="F167" s="6" t="str">
        <f>+F166</f>
        <v>W/S</v>
      </c>
      <c r="G167" s="16">
        <f>+G166</f>
        <v>4.2731860610064905E-2</v>
      </c>
      <c r="H167" s="89"/>
      <c r="I167" s="6">
        <f>+G167*D167</f>
        <v>0</v>
      </c>
      <c r="J167" s="89"/>
      <c r="K167" s="124"/>
    </row>
    <row r="168" spans="1:11">
      <c r="A168" s="90">
        <v>15</v>
      </c>
      <c r="B168" s="81" t="s">
        <v>74</v>
      </c>
      <c r="C168" s="89" t="s">
        <v>2</v>
      </c>
      <c r="E168" s="89"/>
      <c r="F168" s="89"/>
      <c r="H168" s="89"/>
      <c r="J168" s="89"/>
      <c r="K168" s="124"/>
    </row>
    <row r="169" spans="1:11">
      <c r="A169" s="90">
        <v>16</v>
      </c>
      <c r="B169" s="81" t="s">
        <v>75</v>
      </c>
      <c r="C169" s="89" t="s">
        <v>208</v>
      </c>
      <c r="D169" s="50">
        <f>'4 - Taxes P. 3'!C20</f>
        <v>34407985</v>
      </c>
      <c r="E169" s="89"/>
      <c r="F169" s="89" t="s">
        <v>64</v>
      </c>
      <c r="G169" s="16">
        <f>+G86</f>
        <v>0.12754693208453091</v>
      </c>
      <c r="H169" s="89"/>
      <c r="I169" s="6">
        <f>+G169*D169</f>
        <v>4388632.9259605585</v>
      </c>
      <c r="J169" s="89"/>
      <c r="K169" s="124"/>
    </row>
    <row r="170" spans="1:11">
      <c r="A170" s="90">
        <v>17</v>
      </c>
      <c r="B170" s="81" t="s">
        <v>76</v>
      </c>
      <c r="C170" s="89" t="s">
        <v>208</v>
      </c>
      <c r="D170" s="50"/>
      <c r="E170" s="89"/>
      <c r="F170" s="8" t="str">
        <f>+F105</f>
        <v>NA</v>
      </c>
      <c r="G170" s="131" t="s">
        <v>194</v>
      </c>
      <c r="H170" s="89"/>
      <c r="I170" s="89">
        <v>0</v>
      </c>
      <c r="J170" s="89"/>
      <c r="K170" s="124"/>
    </row>
    <row r="171" spans="1:11">
      <c r="A171" s="90">
        <v>18</v>
      </c>
      <c r="B171" s="81" t="s">
        <v>77</v>
      </c>
      <c r="C171" s="6" t="str">
        <f>+C170</f>
        <v>263.i</v>
      </c>
      <c r="D171" s="50">
        <f>'4 - Taxes P. 3'!C30</f>
        <v>-1107279</v>
      </c>
      <c r="E171" s="89"/>
      <c r="F171" s="6" t="str">
        <f>+F169</f>
        <v>GP</v>
      </c>
      <c r="G171" s="16">
        <f>+G169</f>
        <v>0.12754693208453091</v>
      </c>
      <c r="H171" s="89"/>
      <c r="I171" s="6">
        <f>+G171*D171</f>
        <v>-141230.03941162731</v>
      </c>
      <c r="J171" s="89"/>
      <c r="K171" s="124"/>
    </row>
    <row r="172" spans="1:11" ht="16.2" thickBot="1">
      <c r="A172" s="90">
        <v>19</v>
      </c>
      <c r="B172" s="81" t="s">
        <v>78</v>
      </c>
      <c r="C172" s="89"/>
      <c r="D172" s="55"/>
      <c r="E172" s="89"/>
      <c r="F172" s="89" t="s">
        <v>64</v>
      </c>
      <c r="G172" s="16">
        <f>+G169</f>
        <v>0.12754693208453091</v>
      </c>
      <c r="H172" s="89"/>
      <c r="I172" s="17">
        <f>+G172*D172</f>
        <v>0</v>
      </c>
      <c r="J172" s="89"/>
      <c r="K172" s="124"/>
    </row>
    <row r="173" spans="1:11">
      <c r="A173" s="90">
        <v>20</v>
      </c>
      <c r="B173" s="81" t="s">
        <v>79</v>
      </c>
      <c r="C173" s="89"/>
      <c r="D173" s="6">
        <f>SUM(D166:D172)</f>
        <v>40611529</v>
      </c>
      <c r="E173" s="89"/>
      <c r="F173" s="89"/>
      <c r="G173" s="98"/>
      <c r="H173" s="89"/>
      <c r="I173" s="6">
        <f>SUM(I166:I172)</f>
        <v>4559807.9559297869</v>
      </c>
      <c r="J173" s="89"/>
      <c r="K173" s="96"/>
    </row>
    <row r="174" spans="1:11">
      <c r="A174" s="90"/>
      <c r="B174" s="81"/>
      <c r="C174" s="89"/>
      <c r="D174" s="89"/>
      <c r="E174" s="89"/>
      <c r="F174" s="89"/>
      <c r="G174" s="98"/>
      <c r="H174" s="89"/>
      <c r="I174" s="89"/>
      <c r="J174" s="89"/>
      <c r="K174" s="96"/>
    </row>
    <row r="175" spans="1:11">
      <c r="A175" s="90" t="s">
        <v>2</v>
      </c>
      <c r="B175" s="81" t="s">
        <v>80</v>
      </c>
      <c r="C175" s="89" t="s">
        <v>259</v>
      </c>
      <c r="D175" s="89"/>
      <c r="E175" s="89"/>
      <c r="G175" s="132"/>
      <c r="H175" s="89"/>
      <c r="J175" s="89"/>
    </row>
    <row r="176" spans="1:11">
      <c r="A176" s="90">
        <v>21</v>
      </c>
      <c r="B176" s="133" t="s">
        <v>174</v>
      </c>
      <c r="C176" s="89"/>
      <c r="D176" s="31">
        <f>IF(D296&gt;0,1-(((1-D297)*(1-D296))/(1-D297*D296*D298)),0)</f>
        <v>0.26078112286411703</v>
      </c>
      <c r="E176" s="89"/>
      <c r="G176" s="132"/>
      <c r="H176" s="89"/>
      <c r="J176" s="89"/>
    </row>
    <row r="177" spans="1:11">
      <c r="A177" s="90">
        <v>22</v>
      </c>
      <c r="B177" s="44" t="s">
        <v>175</v>
      </c>
      <c r="C177" s="89"/>
      <c r="D177" s="31">
        <f>IF(I256&gt;0,(D176/(1-D176))*(1-I253/I256),0)</f>
        <v>0.25173042850420946</v>
      </c>
      <c r="E177" s="89"/>
      <c r="G177" s="132"/>
      <c r="H177" s="89"/>
      <c r="J177" s="89"/>
    </row>
    <row r="178" spans="1:11">
      <c r="A178" s="90"/>
      <c r="B178" s="81" t="s">
        <v>246</v>
      </c>
      <c r="C178" s="89"/>
      <c r="D178" s="89"/>
      <c r="E178" s="89"/>
      <c r="G178" s="132"/>
      <c r="H178" s="89"/>
      <c r="J178" s="89"/>
    </row>
    <row r="179" spans="1:11">
      <c r="A179" s="90"/>
      <c r="B179" s="81" t="s">
        <v>177</v>
      </c>
      <c r="C179" s="89"/>
      <c r="D179" s="89"/>
      <c r="E179" s="89"/>
      <c r="G179" s="132"/>
      <c r="H179" s="89"/>
      <c r="J179" s="89"/>
    </row>
    <row r="180" spans="1:11">
      <c r="A180" s="90">
        <v>23</v>
      </c>
      <c r="B180" s="133" t="s">
        <v>176</v>
      </c>
      <c r="C180" s="89"/>
      <c r="D180" s="32">
        <f>IF(D176&gt;0,1/(1-D176),0)</f>
        <v>1.3527793065492568</v>
      </c>
      <c r="E180" s="89"/>
      <c r="G180" s="132"/>
      <c r="H180" s="89"/>
      <c r="J180" s="89"/>
    </row>
    <row r="181" spans="1:11">
      <c r="A181" s="90">
        <v>24</v>
      </c>
      <c r="B181" s="81" t="s">
        <v>318</v>
      </c>
      <c r="C181" s="89"/>
      <c r="D181" s="50">
        <v>-661908</v>
      </c>
      <c r="E181" s="89"/>
      <c r="G181" s="132"/>
      <c r="H181" s="89"/>
      <c r="J181" s="89"/>
    </row>
    <row r="182" spans="1:11">
      <c r="A182" s="90"/>
      <c r="B182" s="81"/>
      <c r="C182" s="89"/>
      <c r="D182" s="89"/>
      <c r="E182" s="89"/>
      <c r="G182" s="132"/>
      <c r="H182" s="89"/>
      <c r="J182" s="89"/>
    </row>
    <row r="183" spans="1:11">
      <c r="A183" s="90">
        <v>25</v>
      </c>
      <c r="B183" s="133" t="s">
        <v>178</v>
      </c>
      <c r="C183" s="134"/>
      <c r="D183" s="6">
        <f>D177*D187</f>
        <v>52200601.521840245</v>
      </c>
      <c r="E183" s="89"/>
      <c r="F183" s="89" t="s">
        <v>45</v>
      </c>
      <c r="G183" s="98"/>
      <c r="H183" s="89"/>
      <c r="I183" s="6">
        <f>D177*I187</f>
        <v>6955783.5519098863</v>
      </c>
      <c r="J183" s="89"/>
      <c r="K183" s="135" t="s">
        <v>2</v>
      </c>
    </row>
    <row r="184" spans="1:11" ht="16.2" thickBot="1">
      <c r="A184" s="90">
        <v>26</v>
      </c>
      <c r="B184" s="44" t="s">
        <v>180</v>
      </c>
      <c r="C184" s="134"/>
      <c r="D184" s="17">
        <f>D180*D181</f>
        <v>-895415.4452394055</v>
      </c>
      <c r="E184" s="89"/>
      <c r="F184" s="44" t="s">
        <v>56</v>
      </c>
      <c r="G184" s="16">
        <f>G102</f>
        <v>0.13300192239268702</v>
      </c>
      <c r="H184" s="89"/>
      <c r="I184" s="17">
        <f>G184*D184</f>
        <v>-119091.9755569447</v>
      </c>
      <c r="J184" s="89"/>
      <c r="K184" s="135"/>
    </row>
    <row r="185" spans="1:11">
      <c r="A185" s="90">
        <v>27</v>
      </c>
      <c r="B185" s="133" t="s">
        <v>162</v>
      </c>
      <c r="C185" s="44" t="s">
        <v>181</v>
      </c>
      <c r="D185" s="33">
        <f>+D183+D184</f>
        <v>51305186.076600842</v>
      </c>
      <c r="E185" s="89"/>
      <c r="F185" s="89" t="s">
        <v>2</v>
      </c>
      <c r="G185" s="98" t="s">
        <v>2</v>
      </c>
      <c r="H185" s="89"/>
      <c r="I185" s="33">
        <f>+I183+I184</f>
        <v>6836691.5763529418</v>
      </c>
      <c r="J185" s="89"/>
      <c r="K185" s="96"/>
    </row>
    <row r="186" spans="1:11">
      <c r="A186" s="90" t="s">
        <v>2</v>
      </c>
      <c r="C186" s="137"/>
      <c r="D186" s="89"/>
      <c r="E186" s="89"/>
      <c r="F186" s="89"/>
      <c r="G186" s="98"/>
      <c r="H186" s="89"/>
      <c r="I186" s="89"/>
      <c r="J186" s="89"/>
      <c r="K186" s="96"/>
    </row>
    <row r="187" spans="1:11">
      <c r="A187" s="90">
        <v>28</v>
      </c>
      <c r="B187" s="81" t="s">
        <v>81</v>
      </c>
      <c r="C187" s="123"/>
      <c r="D187" s="6">
        <f>+$I256*D120</f>
        <v>207367070.52865222</v>
      </c>
      <c r="E187" s="89"/>
      <c r="F187" s="89" t="s">
        <v>45</v>
      </c>
      <c r="G187" s="132"/>
      <c r="H187" s="89"/>
      <c r="I187" s="6">
        <f>+$I256*I120</f>
        <v>27631874.276150811</v>
      </c>
      <c r="J187" s="89"/>
    </row>
    <row r="188" spans="1:11">
      <c r="A188" s="90"/>
      <c r="B188" s="133" t="s">
        <v>242</v>
      </c>
      <c r="D188" s="89"/>
      <c r="E188" s="89"/>
      <c r="F188" s="89"/>
      <c r="G188" s="132"/>
      <c r="H188" s="89"/>
      <c r="I188" s="89"/>
      <c r="J188" s="89"/>
      <c r="K188" s="124"/>
    </row>
    <row r="189" spans="1:11">
      <c r="A189" s="90"/>
      <c r="B189" s="81"/>
      <c r="D189" s="128"/>
      <c r="E189" s="89"/>
      <c r="F189" s="89"/>
      <c r="G189" s="132"/>
      <c r="H189" s="89"/>
      <c r="I189" s="128"/>
      <c r="J189" s="89"/>
      <c r="K189" s="124"/>
    </row>
    <row r="190" spans="1:11">
      <c r="A190" s="90">
        <v>29</v>
      </c>
      <c r="B190" s="81" t="s">
        <v>179</v>
      </c>
      <c r="C190" s="89"/>
      <c r="D190" s="28">
        <f>+D187+D185+D173+D162+D156</f>
        <v>388296525.83525312</v>
      </c>
      <c r="E190" s="89"/>
      <c r="F190" s="89"/>
      <c r="G190" s="89"/>
      <c r="H190" s="89"/>
      <c r="I190" s="28">
        <f>+I187+I185+I173+I162+I156</f>
        <v>62515752.61783503</v>
      </c>
      <c r="J190" s="83"/>
      <c r="K190" s="86"/>
    </row>
    <row r="191" spans="1:11">
      <c r="A191" s="90"/>
      <c r="B191" s="81"/>
      <c r="C191" s="89"/>
      <c r="D191" s="128"/>
      <c r="E191" s="89"/>
      <c r="F191" s="89"/>
      <c r="G191" s="89"/>
      <c r="H191" s="89"/>
      <c r="I191" s="128"/>
      <c r="J191" s="83"/>
      <c r="K191" s="86"/>
    </row>
    <row r="192" spans="1:11">
      <c r="A192" s="110">
        <v>30</v>
      </c>
      <c r="B192" s="111" t="s">
        <v>296</v>
      </c>
      <c r="C192" s="96"/>
      <c r="D192" s="128"/>
      <c r="E192" s="89"/>
      <c r="F192" s="89"/>
      <c r="G192" s="89"/>
      <c r="H192" s="89"/>
      <c r="I192" s="128"/>
      <c r="J192" s="83"/>
      <c r="K192" s="86"/>
    </row>
    <row r="193" spans="1:14">
      <c r="A193" s="110"/>
      <c r="B193" s="363" t="s">
        <v>241</v>
      </c>
      <c r="C193" s="363"/>
      <c r="J193" s="83"/>
      <c r="K193" s="86"/>
    </row>
    <row r="194" spans="1:14">
      <c r="A194" s="110"/>
      <c r="B194" s="111" t="s">
        <v>240</v>
      </c>
      <c r="C194" s="96"/>
      <c r="D194" s="56">
        <v>0</v>
      </c>
      <c r="E194" s="89"/>
      <c r="F194" s="89"/>
      <c r="G194" s="89"/>
      <c r="H194" s="89"/>
      <c r="I194" s="56">
        <v>0</v>
      </c>
      <c r="J194" s="83"/>
      <c r="K194" s="86"/>
    </row>
    <row r="195" spans="1:14">
      <c r="A195" s="110"/>
      <c r="B195" s="111"/>
      <c r="C195" s="96"/>
      <c r="D195" s="96"/>
      <c r="E195" s="96"/>
      <c r="F195" s="96"/>
      <c r="G195" s="96"/>
      <c r="H195" s="96"/>
      <c r="I195" s="96"/>
      <c r="J195" s="83"/>
      <c r="K195" s="86"/>
    </row>
    <row r="196" spans="1:14" ht="15.75" customHeight="1">
      <c r="A196" s="110" t="s">
        <v>300</v>
      </c>
      <c r="B196" s="111" t="s">
        <v>322</v>
      </c>
      <c r="C196" s="96"/>
      <c r="D196" s="138"/>
      <c r="E196" s="96"/>
      <c r="F196" s="89"/>
      <c r="G196" s="89"/>
      <c r="H196" s="89"/>
      <c r="I196" s="128"/>
      <c r="J196" s="83"/>
      <c r="K196" s="86"/>
    </row>
    <row r="197" spans="1:14">
      <c r="A197" s="110"/>
      <c r="B197" s="363" t="s">
        <v>241</v>
      </c>
      <c r="C197" s="363"/>
      <c r="J197" s="83"/>
      <c r="K197" s="86"/>
    </row>
    <row r="198" spans="1:14" ht="16.2" thickBot="1">
      <c r="A198" s="110"/>
      <c r="B198" s="111" t="s">
        <v>301</v>
      </c>
      <c r="C198" s="96"/>
      <c r="D198" s="55">
        <v>0</v>
      </c>
      <c r="E198" s="89"/>
      <c r="F198" s="89"/>
      <c r="G198" s="89"/>
      <c r="H198" s="89"/>
      <c r="I198" s="55">
        <v>0</v>
      </c>
      <c r="J198" s="83"/>
      <c r="K198" s="86"/>
    </row>
    <row r="199" spans="1:14" ht="16.2" thickBot="1">
      <c r="A199" s="110">
        <v>31</v>
      </c>
      <c r="B199" s="113" t="s">
        <v>239</v>
      </c>
      <c r="C199" s="96"/>
      <c r="D199" s="34">
        <f>D190-D194-D198</f>
        <v>388296525.83525312</v>
      </c>
      <c r="E199" s="96"/>
      <c r="F199" s="96"/>
      <c r="G199" s="96"/>
      <c r="H199" s="96"/>
      <c r="I199" s="34">
        <f>I190-I194-I198</f>
        <v>62515752.61783503</v>
      </c>
      <c r="J199" s="86"/>
      <c r="K199" s="96"/>
      <c r="L199" s="113"/>
    </row>
    <row r="200" spans="1:14" ht="16.2" thickTop="1">
      <c r="A200" s="110"/>
      <c r="B200" s="111" t="s">
        <v>302</v>
      </c>
      <c r="C200" s="96"/>
      <c r="D200" s="128"/>
      <c r="E200" s="89"/>
      <c r="F200" s="89"/>
      <c r="G200" s="89"/>
      <c r="H200" s="89"/>
      <c r="I200" s="128"/>
      <c r="J200" s="83"/>
      <c r="K200" s="86"/>
    </row>
    <row r="201" spans="1:14">
      <c r="A201" s="90"/>
      <c r="B201" s="81"/>
      <c r="C201" s="89"/>
      <c r="D201" s="128"/>
      <c r="E201" s="89"/>
      <c r="F201" s="89"/>
      <c r="G201" s="89"/>
      <c r="H201" s="89"/>
      <c r="I201" s="128"/>
      <c r="J201" s="83"/>
      <c r="K201" s="86"/>
      <c r="M201" s="113"/>
      <c r="N201" s="113"/>
    </row>
    <row r="202" spans="1:14">
      <c r="A202" s="90"/>
      <c r="B202" s="81"/>
      <c r="C202" s="89"/>
      <c r="D202" s="128"/>
      <c r="E202" s="89"/>
      <c r="F202" s="89"/>
      <c r="G202" s="89"/>
      <c r="H202" s="89"/>
      <c r="I202" s="128"/>
      <c r="J202" s="83"/>
      <c r="K202" s="86"/>
    </row>
    <row r="203" spans="1:14">
      <c r="B203" s="81"/>
      <c r="C203" s="81"/>
      <c r="D203" s="82"/>
      <c r="E203" s="81"/>
      <c r="F203" s="81"/>
      <c r="G203" s="81"/>
      <c r="H203" s="83"/>
      <c r="I203" s="83"/>
      <c r="J203" s="365" t="s">
        <v>203</v>
      </c>
      <c r="K203" s="365"/>
    </row>
    <row r="204" spans="1:14">
      <c r="B204" s="81" t="s">
        <v>0</v>
      </c>
      <c r="C204" s="81"/>
      <c r="D204" s="82" t="s">
        <v>1</v>
      </c>
      <c r="E204" s="81"/>
      <c r="F204" s="81"/>
      <c r="G204" s="81"/>
      <c r="H204" s="364" t="str">
        <f>K4</f>
        <v>For the 12 months ended 12/31/17</v>
      </c>
      <c r="I204" s="364"/>
      <c r="J204" s="364"/>
      <c r="K204" s="364"/>
    </row>
    <row r="205" spans="1:14">
      <c r="B205" s="81"/>
      <c r="C205" s="89" t="s">
        <v>2</v>
      </c>
      <c r="D205" s="89" t="s">
        <v>3</v>
      </c>
      <c r="E205" s="89"/>
      <c r="F205" s="89"/>
      <c r="G205" s="89"/>
      <c r="H205" s="83"/>
      <c r="I205" s="83"/>
      <c r="J205" s="83"/>
      <c r="K205" s="86"/>
    </row>
    <row r="206" spans="1:14" ht="9" customHeight="1">
      <c r="A206" s="90"/>
      <c r="J206" s="89"/>
      <c r="K206" s="96"/>
    </row>
    <row r="207" spans="1:14">
      <c r="A207" s="90"/>
      <c r="D207" s="12" t="str">
        <f>D7</f>
        <v>Cleco Power LLC</v>
      </c>
      <c r="J207" s="89"/>
      <c r="K207" s="96"/>
    </row>
    <row r="208" spans="1:14">
      <c r="A208" s="90"/>
      <c r="C208" s="120" t="s">
        <v>82</v>
      </c>
      <c r="E208" s="83"/>
      <c r="F208" s="83"/>
      <c r="G208" s="83"/>
      <c r="H208" s="83"/>
      <c r="I208" s="83"/>
      <c r="J208" s="89"/>
      <c r="K208" s="96"/>
    </row>
    <row r="209" spans="1:20">
      <c r="A209" s="90" t="s">
        <v>4</v>
      </c>
      <c r="B209" s="120"/>
      <c r="C209" s="83"/>
      <c r="D209" s="83"/>
      <c r="E209" s="83"/>
      <c r="F209" s="83"/>
      <c r="G209" s="83"/>
      <c r="H209" s="83"/>
      <c r="I209" s="83"/>
      <c r="J209" s="89"/>
      <c r="K209" s="96"/>
    </row>
    <row r="210" spans="1:20" ht="16.2" thickBot="1">
      <c r="A210" s="94" t="s">
        <v>6</v>
      </c>
      <c r="B210" s="111" t="s">
        <v>85</v>
      </c>
      <c r="C210" s="86"/>
      <c r="D210" s="86"/>
      <c r="E210" s="86"/>
      <c r="F210" s="86"/>
      <c r="G210" s="86"/>
      <c r="H210" s="113"/>
      <c r="I210" s="113"/>
      <c r="J210" s="96"/>
      <c r="K210" s="96"/>
    </row>
    <row r="211" spans="1:20">
      <c r="A211" s="90">
        <v>1</v>
      </c>
      <c r="B211" s="86" t="s">
        <v>261</v>
      </c>
      <c r="C211" s="86"/>
      <c r="D211" s="96"/>
      <c r="E211" s="96"/>
      <c r="F211" s="96"/>
      <c r="G211" s="96"/>
      <c r="H211" s="96"/>
      <c r="I211" s="8">
        <f>D82</f>
        <v>722335688</v>
      </c>
      <c r="J211" s="96"/>
      <c r="K211" s="96"/>
    </row>
    <row r="212" spans="1:20">
      <c r="A212" s="90">
        <v>2</v>
      </c>
      <c r="B212" s="86" t="s">
        <v>260</v>
      </c>
      <c r="C212" s="113"/>
      <c r="D212" s="139"/>
      <c r="E212" s="113"/>
      <c r="F212" s="113"/>
      <c r="G212" s="113"/>
      <c r="H212" s="113"/>
      <c r="I212" s="50">
        <f>'6 - Excluded Assets P. 4'!C23</f>
        <v>124187486.33</v>
      </c>
      <c r="J212" s="96"/>
      <c r="K212" s="96"/>
    </row>
    <row r="213" spans="1:20" ht="16.2" thickBot="1">
      <c r="A213" s="90">
        <v>3</v>
      </c>
      <c r="B213" s="140" t="s">
        <v>262</v>
      </c>
      <c r="C213" s="140"/>
      <c r="D213" s="138"/>
      <c r="E213" s="96"/>
      <c r="F213" s="96"/>
      <c r="G213" s="141"/>
      <c r="H213" s="96"/>
      <c r="I213" s="55">
        <f>'6 - Excluded Assets P. 4'!C11</f>
        <v>2046726.9500000002</v>
      </c>
      <c r="J213" s="96"/>
      <c r="K213" s="96"/>
    </row>
    <row r="214" spans="1:20">
      <c r="A214" s="90">
        <v>4</v>
      </c>
      <c r="B214" s="86" t="s">
        <v>199</v>
      </c>
      <c r="C214" s="86"/>
      <c r="D214" s="138"/>
      <c r="E214" s="96"/>
      <c r="F214" s="96"/>
      <c r="G214" s="141"/>
      <c r="H214" s="96"/>
      <c r="I214" s="8">
        <f>I211-I212-I213</f>
        <v>596101474.71999991</v>
      </c>
      <c r="J214" s="96"/>
      <c r="K214" s="96"/>
    </row>
    <row r="215" spans="1:20" ht="9" customHeight="1">
      <c r="A215" s="90"/>
      <c r="B215" s="113"/>
      <c r="C215" s="86"/>
      <c r="D215" s="138"/>
      <c r="E215" s="96"/>
      <c r="F215" s="96"/>
      <c r="G215" s="141"/>
      <c r="H215" s="96"/>
      <c r="I215" s="113"/>
      <c r="J215" s="96"/>
      <c r="K215" s="96"/>
    </row>
    <row r="216" spans="1:20">
      <c r="A216" s="90">
        <v>5</v>
      </c>
      <c r="B216" s="86" t="s">
        <v>263</v>
      </c>
      <c r="C216" s="142"/>
      <c r="D216" s="143"/>
      <c r="E216" s="144"/>
      <c r="F216" s="144"/>
      <c r="G216" s="145"/>
      <c r="H216" s="96" t="s">
        <v>86</v>
      </c>
      <c r="I216" s="26">
        <f>IF(I211&gt;0,I214/I211,0)</f>
        <v>0.82524162189810002</v>
      </c>
      <c r="J216" s="96"/>
      <c r="K216" s="96"/>
      <c r="M216" s="139"/>
      <c r="N216" s="139"/>
      <c r="O216" s="139"/>
      <c r="P216" s="139"/>
      <c r="Q216" s="139"/>
      <c r="R216" s="139"/>
      <c r="S216" s="139"/>
      <c r="T216" s="139"/>
    </row>
    <row r="217" spans="1:20" ht="9" customHeight="1">
      <c r="A217" s="90"/>
      <c r="B217" s="113"/>
      <c r="C217" s="113"/>
      <c r="D217" s="139"/>
      <c r="E217" s="113"/>
      <c r="F217" s="113"/>
      <c r="G217" s="113"/>
      <c r="H217" s="113"/>
      <c r="I217" s="113"/>
      <c r="J217" s="96"/>
      <c r="K217" s="96"/>
      <c r="M217" s="139"/>
      <c r="N217" s="139"/>
      <c r="O217" s="139"/>
      <c r="P217" s="139"/>
      <c r="Q217" s="139"/>
      <c r="R217" s="139"/>
      <c r="S217" s="139"/>
      <c r="T217" s="139"/>
    </row>
    <row r="218" spans="1:20">
      <c r="A218" s="90"/>
      <c r="B218" s="111" t="s">
        <v>83</v>
      </c>
      <c r="C218" s="113"/>
      <c r="D218" s="139"/>
      <c r="E218" s="113"/>
      <c r="F218" s="113"/>
      <c r="G218" s="113"/>
      <c r="H218" s="113"/>
      <c r="I218" s="113"/>
      <c r="J218" s="96"/>
      <c r="K218" s="96"/>
      <c r="M218" s="139"/>
      <c r="N218" s="146"/>
      <c r="O218" s="146"/>
      <c r="P218" s="146"/>
      <c r="Q218" s="139"/>
      <c r="R218" s="139"/>
      <c r="S218" s="139"/>
      <c r="T218" s="139"/>
    </row>
    <row r="219" spans="1:20">
      <c r="A219" s="90">
        <v>6</v>
      </c>
      <c r="B219" s="113" t="s">
        <v>264</v>
      </c>
      <c r="C219" s="113"/>
      <c r="D219" s="147"/>
      <c r="E219" s="86"/>
      <c r="F219" s="86"/>
      <c r="G219" s="110"/>
      <c r="H219" s="86"/>
      <c r="I219" s="8">
        <f>D147</f>
        <v>34485161.439999998</v>
      </c>
      <c r="J219" s="96"/>
      <c r="K219" s="96"/>
      <c r="M219" s="139"/>
      <c r="N219" s="148"/>
      <c r="O219" s="149"/>
      <c r="P219" s="150"/>
      <c r="Q219" s="148"/>
      <c r="R219" s="149"/>
      <c r="S219" s="149"/>
      <c r="T219" s="139"/>
    </row>
    <row r="220" spans="1:20" ht="16.2" thickBot="1">
      <c r="A220" s="90">
        <v>7</v>
      </c>
      <c r="B220" s="140" t="s">
        <v>265</v>
      </c>
      <c r="C220" s="140"/>
      <c r="D220" s="138"/>
      <c r="E220" s="138"/>
      <c r="F220" s="96"/>
      <c r="G220" s="96"/>
      <c r="H220" s="96"/>
      <c r="I220" s="55">
        <f>681404+1278875+552244</f>
        <v>2512523</v>
      </c>
      <c r="J220" s="96"/>
      <c r="K220" s="96"/>
      <c r="M220" s="139"/>
      <c r="N220" s="151"/>
      <c r="O220" s="152"/>
      <c r="P220" s="152"/>
      <c r="Q220" s="152"/>
      <c r="R220" s="152"/>
      <c r="S220" s="152"/>
      <c r="T220" s="139"/>
    </row>
    <row r="221" spans="1:20">
      <c r="A221" s="90">
        <v>8</v>
      </c>
      <c r="B221" s="86" t="s">
        <v>266</v>
      </c>
      <c r="C221" s="142"/>
      <c r="D221" s="143"/>
      <c r="E221" s="144"/>
      <c r="F221" s="144"/>
      <c r="G221" s="145"/>
      <c r="H221" s="144"/>
      <c r="I221" s="8">
        <f>+I219-I220</f>
        <v>31972638.439999998</v>
      </c>
      <c r="J221" s="113"/>
      <c r="M221" s="139"/>
      <c r="N221" s="153"/>
      <c r="O221" s="149"/>
      <c r="P221" s="150"/>
      <c r="Q221" s="148"/>
      <c r="R221" s="149"/>
      <c r="S221" s="149"/>
      <c r="T221" s="139"/>
    </row>
    <row r="222" spans="1:20">
      <c r="A222" s="90"/>
      <c r="B222" s="86"/>
      <c r="C222" s="86"/>
      <c r="D222" s="138"/>
      <c r="E222" s="96"/>
      <c r="F222" s="96"/>
      <c r="G222" s="96"/>
      <c r="H222" s="113"/>
      <c r="I222" s="113"/>
      <c r="J222" s="113"/>
      <c r="M222" s="139"/>
      <c r="N222" s="154"/>
      <c r="O222" s="155"/>
      <c r="P222" s="150"/>
      <c r="Q222" s="148"/>
      <c r="R222" s="149"/>
      <c r="S222" s="149"/>
      <c r="T222" s="139"/>
    </row>
    <row r="223" spans="1:20">
      <c r="A223" s="90">
        <v>9</v>
      </c>
      <c r="B223" s="86" t="s">
        <v>267</v>
      </c>
      <c r="C223" s="86"/>
      <c r="D223" s="138"/>
      <c r="E223" s="96"/>
      <c r="F223" s="96"/>
      <c r="G223" s="96"/>
      <c r="H223" s="96"/>
      <c r="I223" s="30">
        <f>IF(I219&gt;0,I221/I219,0)</f>
        <v>0.92714190987994982</v>
      </c>
      <c r="J223" s="113"/>
      <c r="M223" s="139"/>
      <c r="N223" s="156"/>
      <c r="O223" s="157"/>
      <c r="P223" s="158"/>
      <c r="Q223" s="158"/>
      <c r="R223" s="153"/>
      <c r="S223" s="153"/>
      <c r="T223" s="139"/>
    </row>
    <row r="224" spans="1:20">
      <c r="A224" s="90">
        <v>10</v>
      </c>
      <c r="B224" s="86" t="s">
        <v>268</v>
      </c>
      <c r="C224" s="86"/>
      <c r="D224" s="96"/>
      <c r="E224" s="96"/>
      <c r="F224" s="96"/>
      <c r="G224" s="96"/>
      <c r="H224" s="86" t="s">
        <v>11</v>
      </c>
      <c r="I224" s="35">
        <f>I216</f>
        <v>0.82524162189810002</v>
      </c>
      <c r="J224" s="113"/>
      <c r="M224" s="139"/>
      <c r="N224" s="156"/>
      <c r="O224" s="157"/>
      <c r="P224" s="153"/>
      <c r="Q224" s="153"/>
      <c r="R224" s="153"/>
      <c r="S224" s="153"/>
      <c r="T224" s="139"/>
    </row>
    <row r="225" spans="1:20">
      <c r="A225" s="90">
        <v>11</v>
      </c>
      <c r="B225" s="86" t="s">
        <v>269</v>
      </c>
      <c r="C225" s="86"/>
      <c r="D225" s="86"/>
      <c r="E225" s="86"/>
      <c r="F225" s="86"/>
      <c r="G225" s="86"/>
      <c r="H225" s="86" t="s">
        <v>84</v>
      </c>
      <c r="I225" s="36">
        <f>+I224*I223</f>
        <v>0.76511609343903186</v>
      </c>
      <c r="J225" s="113"/>
      <c r="M225" s="139"/>
      <c r="N225" s="148"/>
      <c r="O225" s="159"/>
      <c r="P225" s="160"/>
      <c r="Q225" s="160"/>
      <c r="R225" s="149"/>
      <c r="S225" s="149"/>
      <c r="T225" s="139"/>
    </row>
    <row r="226" spans="1:20">
      <c r="A226" s="90"/>
      <c r="C226" s="83"/>
      <c r="D226" s="89"/>
      <c r="E226" s="89"/>
      <c r="F226" s="89"/>
      <c r="G226" s="161"/>
      <c r="H226" s="89"/>
      <c r="M226" s="139"/>
      <c r="N226" s="162"/>
      <c r="O226" s="160"/>
      <c r="P226" s="153"/>
      <c r="Q226" s="160"/>
      <c r="R226" s="149"/>
      <c r="S226" s="149"/>
      <c r="T226" s="139"/>
    </row>
    <row r="227" spans="1:20">
      <c r="A227" s="90" t="s">
        <v>2</v>
      </c>
      <c r="B227" s="81" t="s">
        <v>87</v>
      </c>
      <c r="C227" s="89"/>
      <c r="D227" s="89"/>
      <c r="E227" s="89"/>
      <c r="F227" s="89"/>
      <c r="G227" s="89"/>
      <c r="H227" s="89"/>
      <c r="I227" s="89"/>
      <c r="J227" s="89"/>
      <c r="K227" s="96"/>
      <c r="M227" s="139"/>
      <c r="N227" s="154"/>
      <c r="O227" s="160"/>
      <c r="P227" s="153"/>
      <c r="Q227" s="160"/>
      <c r="R227" s="149"/>
      <c r="S227" s="149"/>
      <c r="T227" s="139"/>
    </row>
    <row r="228" spans="1:20" ht="16.2" thickBot="1">
      <c r="A228" s="90" t="s">
        <v>2</v>
      </c>
      <c r="B228" s="81"/>
      <c r="C228" s="100" t="s">
        <v>88</v>
      </c>
      <c r="D228" s="163" t="s">
        <v>89</v>
      </c>
      <c r="E228" s="163" t="s">
        <v>11</v>
      </c>
      <c r="F228" s="89"/>
      <c r="G228" s="163" t="s">
        <v>90</v>
      </c>
      <c r="H228" s="89"/>
      <c r="I228" s="89"/>
      <c r="J228" s="89"/>
      <c r="K228" s="96"/>
      <c r="M228" s="139"/>
      <c r="N228" s="154"/>
      <c r="O228" s="160"/>
      <c r="P228" s="153"/>
      <c r="Q228" s="164"/>
      <c r="R228" s="149"/>
      <c r="S228" s="149"/>
      <c r="T228" s="139"/>
    </row>
    <row r="229" spans="1:20">
      <c r="A229" s="90">
        <v>12</v>
      </c>
      <c r="B229" s="81" t="s">
        <v>44</v>
      </c>
      <c r="C229" s="89" t="s">
        <v>232</v>
      </c>
      <c r="D229" s="50">
        <v>42203103</v>
      </c>
      <c r="E229" s="165">
        <v>0</v>
      </c>
      <c r="F229" s="165"/>
      <c r="G229" s="6">
        <f>D229*E229</f>
        <v>0</v>
      </c>
      <c r="H229" s="89"/>
      <c r="I229" s="89"/>
      <c r="J229" s="89"/>
      <c r="K229" s="96"/>
      <c r="M229" s="139"/>
      <c r="N229" s="156"/>
      <c r="O229" s="157"/>
      <c r="P229" s="150"/>
      <c r="Q229" s="148"/>
      <c r="R229" s="149"/>
      <c r="S229" s="149"/>
      <c r="T229" s="139"/>
    </row>
    <row r="230" spans="1:20">
      <c r="A230" s="90">
        <v>13</v>
      </c>
      <c r="B230" s="81" t="s">
        <v>46</v>
      </c>
      <c r="C230" s="89" t="s">
        <v>233</v>
      </c>
      <c r="D230" s="50">
        <v>3325994</v>
      </c>
      <c r="E230" s="37">
        <f>+I216</f>
        <v>0.82524162189810002</v>
      </c>
      <c r="F230" s="165"/>
      <c r="G230" s="6">
        <f>D230*E230</f>
        <v>2744748.6829833491</v>
      </c>
      <c r="H230" s="89"/>
      <c r="I230" s="89"/>
      <c r="J230" s="89"/>
      <c r="K230" s="96"/>
      <c r="M230" s="139"/>
      <c r="N230" s="166"/>
      <c r="O230" s="157"/>
      <c r="P230" s="150"/>
      <c r="Q230" s="148"/>
      <c r="R230" s="149"/>
      <c r="S230" s="149"/>
      <c r="T230" s="139"/>
    </row>
    <row r="231" spans="1:20">
      <c r="A231" s="90">
        <v>14</v>
      </c>
      <c r="B231" s="81" t="s">
        <v>47</v>
      </c>
      <c r="C231" s="89" t="s">
        <v>234</v>
      </c>
      <c r="D231" s="50">
        <v>9470448</v>
      </c>
      <c r="E231" s="165">
        <v>0</v>
      </c>
      <c r="F231" s="165"/>
      <c r="G231" s="6">
        <f>D231*E231</f>
        <v>0</v>
      </c>
      <c r="H231" s="89"/>
      <c r="I231" s="167" t="s">
        <v>91</v>
      </c>
      <c r="J231" s="89"/>
      <c r="K231" s="96"/>
      <c r="M231" s="139"/>
      <c r="N231" s="139"/>
      <c r="O231" s="139"/>
      <c r="P231" s="139"/>
      <c r="Q231" s="139"/>
      <c r="R231" s="139"/>
      <c r="S231" s="139"/>
      <c r="T231" s="139"/>
    </row>
    <row r="232" spans="1:20" ht="16.2" thickBot="1">
      <c r="A232" s="90">
        <v>15</v>
      </c>
      <c r="B232" s="81" t="s">
        <v>92</v>
      </c>
      <c r="C232" s="89" t="s">
        <v>270</v>
      </c>
      <c r="D232" s="55">
        <f>3735956+2984008+2512393</f>
        <v>9232357</v>
      </c>
      <c r="E232" s="165">
        <v>0</v>
      </c>
      <c r="F232" s="165"/>
      <c r="G232" s="17">
        <f>D232*E232</f>
        <v>0</v>
      </c>
      <c r="H232" s="89"/>
      <c r="I232" s="94" t="s">
        <v>93</v>
      </c>
      <c r="J232" s="89"/>
      <c r="K232" s="96"/>
      <c r="M232" s="139"/>
      <c r="N232" s="139"/>
      <c r="O232" s="139"/>
      <c r="P232" s="139"/>
      <c r="Q232" s="139"/>
      <c r="R232" s="139"/>
      <c r="S232" s="139"/>
      <c r="T232" s="139"/>
    </row>
    <row r="233" spans="1:20">
      <c r="A233" s="90">
        <v>16</v>
      </c>
      <c r="B233" s="81" t="s">
        <v>191</v>
      </c>
      <c r="C233" s="89"/>
      <c r="D233" s="6">
        <f>SUM(D229:D232)</f>
        <v>64231902</v>
      </c>
      <c r="E233" s="89"/>
      <c r="F233" s="89"/>
      <c r="G233" s="6">
        <f>SUM(G229:G232)</f>
        <v>2744748.6829833491</v>
      </c>
      <c r="H233" s="90" t="s">
        <v>94</v>
      </c>
      <c r="I233" s="24">
        <f>IF(G233&gt;0,G233/D233,0)</f>
        <v>4.2731860610064905E-2</v>
      </c>
      <c r="J233" s="161" t="s">
        <v>94</v>
      </c>
      <c r="K233" s="96" t="s">
        <v>183</v>
      </c>
    </row>
    <row r="234" spans="1:20" ht="9" customHeight="1">
      <c r="A234" s="90"/>
      <c r="B234" s="81"/>
      <c r="C234" s="89"/>
      <c r="D234" s="89"/>
      <c r="E234" s="89"/>
      <c r="F234" s="89"/>
      <c r="G234" s="89"/>
      <c r="H234" s="89"/>
      <c r="I234" s="89"/>
      <c r="J234" s="89"/>
      <c r="K234" s="96"/>
    </row>
    <row r="235" spans="1:20">
      <c r="A235" s="90"/>
      <c r="B235" s="81" t="s">
        <v>271</v>
      </c>
      <c r="C235" s="89"/>
      <c r="D235" s="116" t="s">
        <v>89</v>
      </c>
      <c r="E235" s="89"/>
      <c r="F235" s="89"/>
      <c r="G235" s="161" t="s">
        <v>95</v>
      </c>
      <c r="H235" s="132" t="s">
        <v>2</v>
      </c>
      <c r="I235" s="25" t="str">
        <f>+I231</f>
        <v>W&amp;S Allocator</v>
      </c>
      <c r="J235" s="89"/>
      <c r="K235" s="96"/>
    </row>
    <row r="236" spans="1:20">
      <c r="A236" s="90">
        <v>17</v>
      </c>
      <c r="B236" s="81" t="s">
        <v>96</v>
      </c>
      <c r="C236" s="89" t="s">
        <v>97</v>
      </c>
      <c r="D236" s="50">
        <v>4485695569</v>
      </c>
      <c r="E236" s="89"/>
      <c r="G236" s="90" t="s">
        <v>98</v>
      </c>
      <c r="H236" s="132"/>
      <c r="I236" s="90" t="s">
        <v>99</v>
      </c>
      <c r="J236" s="89"/>
      <c r="K236" s="110" t="s">
        <v>100</v>
      </c>
    </row>
    <row r="237" spans="1:20">
      <c r="A237" s="90">
        <v>18</v>
      </c>
      <c r="B237" s="81" t="s">
        <v>101</v>
      </c>
      <c r="C237" s="89" t="s">
        <v>209</v>
      </c>
      <c r="D237" s="50">
        <v>0</v>
      </c>
      <c r="E237" s="89"/>
      <c r="G237" s="16">
        <f>IF(D239&gt;0,D236/D239,0)</f>
        <v>1</v>
      </c>
      <c r="H237" s="161" t="s">
        <v>102</v>
      </c>
      <c r="I237" s="16">
        <f>I233</f>
        <v>4.2731860610064905E-2</v>
      </c>
      <c r="J237" s="132" t="s">
        <v>94</v>
      </c>
      <c r="K237" s="38">
        <f>I237*G237</f>
        <v>4.2731860610064905E-2</v>
      </c>
    </row>
    <row r="238" spans="1:20" ht="16.2" thickBot="1">
      <c r="A238" s="90">
        <v>19</v>
      </c>
      <c r="B238" s="168" t="s">
        <v>103</v>
      </c>
      <c r="C238" s="100" t="s">
        <v>210</v>
      </c>
      <c r="D238" s="55">
        <v>0</v>
      </c>
      <c r="E238" s="89"/>
      <c r="F238" s="89"/>
      <c r="G238" s="89" t="s">
        <v>2</v>
      </c>
      <c r="H238" s="89"/>
      <c r="I238" s="89"/>
      <c r="J238" s="89"/>
      <c r="K238" s="96"/>
    </row>
    <row r="239" spans="1:20">
      <c r="A239" s="90">
        <v>20</v>
      </c>
      <c r="B239" s="81" t="s">
        <v>163</v>
      </c>
      <c r="C239" s="89"/>
      <c r="D239" s="6">
        <f>D236+D237+D238</f>
        <v>4485695569</v>
      </c>
      <c r="E239" s="89"/>
      <c r="F239" s="89"/>
      <c r="G239" s="89"/>
      <c r="H239" s="89"/>
      <c r="I239" s="89"/>
      <c r="J239" s="89"/>
      <c r="K239" s="96"/>
    </row>
    <row r="240" spans="1:20" ht="9" customHeight="1">
      <c r="A240" s="90"/>
      <c r="B240" s="81"/>
      <c r="C240" s="89"/>
      <c r="E240" s="89"/>
      <c r="F240" s="89"/>
      <c r="G240" s="89"/>
      <c r="H240" s="89"/>
      <c r="I240" s="89"/>
      <c r="J240" s="89"/>
      <c r="K240" s="96"/>
    </row>
    <row r="241" spans="1:17" ht="16.2" thickBot="1">
      <c r="A241" s="90"/>
      <c r="B241" s="81" t="s">
        <v>104</v>
      </c>
      <c r="C241" s="89"/>
      <c r="D241" s="89"/>
      <c r="E241" s="89"/>
      <c r="F241" s="89"/>
      <c r="G241" s="89"/>
      <c r="H241" s="89"/>
      <c r="I241" s="163" t="s">
        <v>89</v>
      </c>
      <c r="J241" s="89"/>
      <c r="K241" s="96"/>
    </row>
    <row r="242" spans="1:17">
      <c r="A242" s="90">
        <v>21</v>
      </c>
      <c r="B242" s="83"/>
      <c r="C242" s="89" t="s">
        <v>214</v>
      </c>
      <c r="D242" s="89"/>
      <c r="E242" s="89"/>
      <c r="F242" s="89"/>
      <c r="G242" s="89"/>
      <c r="H242" s="89"/>
      <c r="I242" s="57">
        <f>59539697+2130647+2395266+3263875</f>
        <v>67329485</v>
      </c>
      <c r="J242" s="89"/>
      <c r="K242" s="96"/>
    </row>
    <row r="243" spans="1:17" ht="9" customHeight="1">
      <c r="A243" s="90"/>
      <c r="B243" s="81"/>
      <c r="C243" s="89"/>
      <c r="D243" s="89"/>
      <c r="E243" s="89"/>
      <c r="F243" s="89"/>
      <c r="G243" s="89"/>
      <c r="H243" s="89"/>
      <c r="I243" s="89"/>
      <c r="J243" s="89"/>
      <c r="K243" s="96"/>
    </row>
    <row r="244" spans="1:17">
      <c r="A244" s="90">
        <v>22</v>
      </c>
      <c r="B244" s="81"/>
      <c r="C244" s="89" t="s">
        <v>105</v>
      </c>
      <c r="D244" s="89"/>
      <c r="E244" s="89"/>
      <c r="F244" s="89"/>
      <c r="G244" s="89"/>
      <c r="H244" s="96"/>
      <c r="I244" s="58">
        <v>0</v>
      </c>
      <c r="J244" s="89"/>
      <c r="K244" s="96"/>
    </row>
    <row r="245" spans="1:17" ht="9" customHeight="1">
      <c r="A245" s="90"/>
      <c r="B245" s="81"/>
      <c r="C245" s="89"/>
      <c r="D245" s="89"/>
      <c r="E245" s="89"/>
      <c r="F245" s="89"/>
      <c r="G245" s="89"/>
      <c r="H245" s="89"/>
      <c r="I245" s="89"/>
      <c r="J245" s="89"/>
      <c r="K245" s="96"/>
    </row>
    <row r="246" spans="1:17">
      <c r="A246" s="90"/>
      <c r="B246" s="81" t="s">
        <v>106</v>
      </c>
      <c r="C246" s="89"/>
      <c r="D246" s="89"/>
      <c r="E246" s="89"/>
      <c r="F246" s="89"/>
      <c r="G246" s="89"/>
      <c r="H246" s="89"/>
      <c r="I246" s="89"/>
      <c r="J246" s="89"/>
      <c r="K246" s="96"/>
    </row>
    <row r="247" spans="1:17">
      <c r="A247" s="90">
        <v>23</v>
      </c>
      <c r="B247" s="81"/>
      <c r="C247" s="89" t="s">
        <v>215</v>
      </c>
      <c r="D247" s="83"/>
      <c r="E247" s="89"/>
      <c r="F247" s="89"/>
      <c r="G247" s="89"/>
      <c r="H247" s="89"/>
      <c r="I247" s="50">
        <v>1550678574</v>
      </c>
      <c r="J247" s="89"/>
      <c r="K247" s="96"/>
    </row>
    <row r="248" spans="1:17">
      <c r="A248" s="90">
        <v>24</v>
      </c>
      <c r="B248" s="81"/>
      <c r="C248" s="89" t="s">
        <v>192</v>
      </c>
      <c r="D248" s="89"/>
      <c r="E248" s="89"/>
      <c r="F248" s="89"/>
      <c r="G248" s="89"/>
      <c r="H248" s="89"/>
      <c r="I248" s="8">
        <f>-D254</f>
        <v>0</v>
      </c>
      <c r="J248" s="89"/>
      <c r="K248" s="96"/>
    </row>
    <row r="249" spans="1:17" ht="16.2" thickBot="1">
      <c r="A249" s="90">
        <v>25</v>
      </c>
      <c r="B249" s="81"/>
      <c r="C249" s="89" t="s">
        <v>216</v>
      </c>
      <c r="D249" s="89"/>
      <c r="E249" s="89"/>
      <c r="F249" s="89"/>
      <c r="G249" s="89"/>
      <c r="H249" s="89"/>
      <c r="I249" s="55">
        <v>-498140</v>
      </c>
      <c r="J249" s="89"/>
      <c r="K249" s="96"/>
    </row>
    <row r="250" spans="1:17">
      <c r="A250" s="90">
        <v>26</v>
      </c>
      <c r="B250" s="83"/>
      <c r="C250" s="89" t="s">
        <v>107</v>
      </c>
      <c r="D250" s="83" t="s">
        <v>108</v>
      </c>
      <c r="E250" s="83"/>
      <c r="F250" s="83"/>
      <c r="G250" s="83"/>
      <c r="H250" s="83"/>
      <c r="I250" s="6">
        <f>+I247+I248+I249</f>
        <v>1550180434</v>
      </c>
      <c r="J250" s="89"/>
      <c r="K250" s="96"/>
    </row>
    <row r="251" spans="1:17">
      <c r="A251" s="90"/>
      <c r="B251" s="81"/>
      <c r="C251" s="89"/>
      <c r="D251" s="89"/>
      <c r="E251" s="89"/>
      <c r="F251" s="89"/>
      <c r="G251" s="161" t="s">
        <v>109</v>
      </c>
      <c r="H251" s="89"/>
      <c r="I251" s="89"/>
      <c r="J251" s="89"/>
      <c r="K251" s="96"/>
    </row>
    <row r="252" spans="1:17" ht="16.2" thickBot="1">
      <c r="A252" s="90"/>
      <c r="B252" s="81"/>
      <c r="C252" s="89"/>
      <c r="D252" s="94" t="s">
        <v>89</v>
      </c>
      <c r="E252" s="94" t="s">
        <v>110</v>
      </c>
      <c r="F252" s="89"/>
      <c r="G252" s="94" t="s">
        <v>111</v>
      </c>
      <c r="H252" s="89"/>
      <c r="I252" s="94" t="s">
        <v>112</v>
      </c>
      <c r="J252" s="89"/>
      <c r="K252" s="96"/>
    </row>
    <row r="253" spans="1:17">
      <c r="A253" s="90">
        <v>27</v>
      </c>
      <c r="B253" s="81" t="s">
        <v>217</v>
      </c>
      <c r="D253" s="50">
        <f>1417000000-92000000+41078290</f>
        <v>1366078290</v>
      </c>
      <c r="E253" s="39">
        <f>IF($D$256&gt;0,D253/$D$256,0)</f>
        <v>0.46843521761548618</v>
      </c>
      <c r="F253" s="169"/>
      <c r="G253" s="40">
        <f>IF(D253&gt;0,I242/D253,0)</f>
        <v>4.9286695713464564E-2</v>
      </c>
      <c r="I253" s="40">
        <f>G253*E253</f>
        <v>2.3087624032085023E-2</v>
      </c>
      <c r="J253" s="170" t="s">
        <v>113</v>
      </c>
      <c r="M253" s="171"/>
      <c r="N253" s="172"/>
      <c r="O253" s="172"/>
      <c r="P253" s="172"/>
      <c r="Q253" s="173"/>
    </row>
    <row r="254" spans="1:17">
      <c r="A254" s="90">
        <v>28</v>
      </c>
      <c r="B254" s="81" t="s">
        <v>272</v>
      </c>
      <c r="D254" s="50">
        <v>0</v>
      </c>
      <c r="E254" s="39">
        <f>IF($D$256&gt;0,D254/$D$256,0)</f>
        <v>0</v>
      </c>
      <c r="F254" s="169"/>
      <c r="G254" s="40">
        <f>IF(D254&gt;0,I244/D254,0)</f>
        <v>0</v>
      </c>
      <c r="I254" s="40">
        <f>G254*E254</f>
        <v>0</v>
      </c>
      <c r="J254" s="89"/>
      <c r="M254" s="174" t="s">
        <v>360</v>
      </c>
      <c r="N254" s="60"/>
      <c r="O254" s="60"/>
      <c r="P254" s="60"/>
      <c r="Q254" s="175"/>
    </row>
    <row r="255" spans="1:17" ht="16.2" thickBot="1">
      <c r="A255" s="90">
        <v>29</v>
      </c>
      <c r="B255" s="81" t="s">
        <v>114</v>
      </c>
      <c r="D255" s="17">
        <f>I250</f>
        <v>1550180434</v>
      </c>
      <c r="E255" s="39">
        <f>IF($D$256&gt;0,D255/$D$256,0)</f>
        <v>0.53156478238451388</v>
      </c>
      <c r="F255" s="169"/>
      <c r="G255" s="75">
        <f>Q255+Q256</f>
        <v>0.1082</v>
      </c>
      <c r="I255" s="41">
        <f>G255*E255</f>
        <v>5.7515309454004404E-2</v>
      </c>
      <c r="J255" s="89"/>
      <c r="M255" s="174" t="s">
        <v>361</v>
      </c>
      <c r="N255" s="60"/>
      <c r="O255" s="60"/>
      <c r="P255" s="60"/>
      <c r="Q255" s="76">
        <v>0.1032</v>
      </c>
    </row>
    <row r="256" spans="1:17">
      <c r="A256" s="90">
        <v>30</v>
      </c>
      <c r="B256" s="81" t="s">
        <v>187</v>
      </c>
      <c r="D256" s="6">
        <f>D255+D254+D253</f>
        <v>2916258724</v>
      </c>
      <c r="E256" s="89" t="s">
        <v>2</v>
      </c>
      <c r="F256" s="89"/>
      <c r="G256" s="89"/>
      <c r="H256" s="89"/>
      <c r="I256" s="40">
        <f>SUM(I253:I255)</f>
        <v>8.0602933486089434E-2</v>
      </c>
      <c r="J256" s="170" t="s">
        <v>115</v>
      </c>
      <c r="M256" s="174" t="s">
        <v>362</v>
      </c>
      <c r="N256" s="60"/>
      <c r="O256" s="60"/>
      <c r="P256" s="60"/>
      <c r="Q256" s="76">
        <v>5.0000000000000001E-3</v>
      </c>
    </row>
    <row r="257" spans="1:17" ht="9" customHeight="1">
      <c r="E257" s="89"/>
      <c r="F257" s="89"/>
      <c r="G257" s="89"/>
      <c r="H257" s="89"/>
      <c r="M257" s="176"/>
      <c r="N257" s="62"/>
      <c r="O257" s="62"/>
      <c r="P257" s="62"/>
      <c r="Q257" s="177"/>
    </row>
    <row r="258" spans="1:17">
      <c r="A258" s="90"/>
      <c r="B258" s="81" t="s">
        <v>116</v>
      </c>
      <c r="C258" s="83"/>
      <c r="D258" s="83"/>
      <c r="E258" s="83"/>
      <c r="F258" s="83"/>
      <c r="G258" s="83"/>
      <c r="H258" s="83"/>
      <c r="I258" s="83"/>
      <c r="J258" s="83"/>
      <c r="K258" s="86"/>
    </row>
    <row r="259" spans="1:17" ht="9" customHeight="1">
      <c r="A259" s="90"/>
      <c r="B259" s="81"/>
      <c r="C259" s="81"/>
      <c r="D259" s="81"/>
      <c r="E259" s="81"/>
      <c r="F259" s="81"/>
      <c r="G259" s="81"/>
      <c r="H259" s="81"/>
      <c r="J259" s="178"/>
    </row>
    <row r="260" spans="1:17" ht="16.2" thickBot="1">
      <c r="A260" s="90"/>
      <c r="B260" s="81" t="s">
        <v>117</v>
      </c>
      <c r="C260" s="83"/>
      <c r="D260" s="83" t="s">
        <v>118</v>
      </c>
      <c r="E260" s="83" t="s">
        <v>119</v>
      </c>
      <c r="F260" s="83"/>
      <c r="G260" s="179" t="s">
        <v>2</v>
      </c>
      <c r="H260" s="180"/>
      <c r="I260" s="94" t="s">
        <v>164</v>
      </c>
      <c r="J260" s="113"/>
    </row>
    <row r="261" spans="1:17">
      <c r="A261" s="90">
        <v>31</v>
      </c>
      <c r="B261" s="44" t="s">
        <v>154</v>
      </c>
      <c r="C261" s="83"/>
      <c r="D261" s="83"/>
      <c r="F261" s="83"/>
      <c r="H261" s="180"/>
      <c r="I261" s="2">
        <v>0</v>
      </c>
      <c r="J261" s="181"/>
    </row>
    <row r="262" spans="1:17" ht="16.2" thickBot="1">
      <c r="A262" s="90">
        <v>32</v>
      </c>
      <c r="B262" s="127" t="s">
        <v>189</v>
      </c>
      <c r="C262" s="182"/>
      <c r="D262" s="60"/>
      <c r="E262" s="183"/>
      <c r="F262" s="183"/>
      <c r="G262" s="183"/>
      <c r="H262" s="83"/>
      <c r="I262" s="3">
        <v>0</v>
      </c>
      <c r="J262" s="181"/>
    </row>
    <row r="263" spans="1:17">
      <c r="A263" s="90">
        <v>33</v>
      </c>
      <c r="B263" s="44" t="s">
        <v>120</v>
      </c>
      <c r="C263" s="83"/>
      <c r="E263" s="83"/>
      <c r="F263" s="83"/>
      <c r="G263" s="83"/>
      <c r="H263" s="83"/>
      <c r="I263" s="4">
        <f>+I261-I262</f>
        <v>0</v>
      </c>
      <c r="J263" s="181"/>
    </row>
    <row r="264" spans="1:17" ht="9" customHeight="1">
      <c r="A264" s="90"/>
      <c r="B264" s="44" t="s">
        <v>2</v>
      </c>
      <c r="C264" s="83"/>
      <c r="E264" s="83"/>
      <c r="F264" s="83"/>
      <c r="G264" s="109"/>
      <c r="H264" s="83"/>
      <c r="I264" s="184" t="s">
        <v>2</v>
      </c>
      <c r="J264" s="113"/>
      <c r="K264" s="185"/>
    </row>
    <row r="265" spans="1:17">
      <c r="A265" s="90">
        <v>34</v>
      </c>
      <c r="B265" s="81" t="s">
        <v>273</v>
      </c>
      <c r="C265" s="83"/>
      <c r="E265" s="83"/>
      <c r="F265" s="83"/>
      <c r="G265" s="105"/>
      <c r="H265" s="83"/>
      <c r="I265" s="59">
        <v>0</v>
      </c>
      <c r="J265" s="113"/>
      <c r="K265" s="185"/>
    </row>
    <row r="266" spans="1:17" ht="9" customHeight="1">
      <c r="A266" s="90"/>
      <c r="C266" s="83"/>
      <c r="D266" s="83"/>
      <c r="E266" s="83"/>
      <c r="F266" s="83"/>
      <c r="G266" s="83"/>
      <c r="H266" s="83"/>
      <c r="I266" s="184"/>
      <c r="J266" s="113"/>
      <c r="K266" s="185"/>
    </row>
    <row r="267" spans="1:17">
      <c r="B267" s="81" t="s">
        <v>274</v>
      </c>
      <c r="C267" s="83"/>
      <c r="D267" s="83" t="s">
        <v>211</v>
      </c>
      <c r="E267" s="83"/>
      <c r="F267" s="83"/>
      <c r="G267" s="83"/>
      <c r="H267" s="83"/>
      <c r="K267" s="186"/>
    </row>
    <row r="268" spans="1:17">
      <c r="A268" s="90">
        <v>35</v>
      </c>
      <c r="B268" s="81" t="s">
        <v>121</v>
      </c>
      <c r="C268" s="89"/>
      <c r="D268" s="89"/>
      <c r="E268" s="89"/>
      <c r="F268" s="89"/>
      <c r="G268" s="89"/>
      <c r="H268" s="89"/>
      <c r="I268" s="5">
        <v>31574717</v>
      </c>
      <c r="J268" s="89"/>
      <c r="K268" s="186"/>
      <c r="M268" s="60"/>
    </row>
    <row r="269" spans="1:17">
      <c r="A269" s="90">
        <v>36</v>
      </c>
      <c r="B269" s="187" t="s">
        <v>188</v>
      </c>
      <c r="C269" s="183"/>
      <c r="D269" s="183"/>
      <c r="E269" s="183"/>
      <c r="F269" s="183"/>
      <c r="G269" s="183"/>
      <c r="H269" s="83"/>
      <c r="I269" s="5">
        <v>30044657</v>
      </c>
      <c r="K269" s="136"/>
      <c r="M269" s="60"/>
    </row>
    <row r="270" spans="1:17">
      <c r="A270" s="110" t="s">
        <v>236</v>
      </c>
      <c r="B270" s="188" t="s">
        <v>323</v>
      </c>
      <c r="C270" s="147"/>
      <c r="D270" s="183"/>
      <c r="E270" s="183"/>
      <c r="F270" s="183"/>
      <c r="G270" s="183"/>
      <c r="H270" s="83"/>
      <c r="I270" s="5">
        <v>0</v>
      </c>
      <c r="K270" s="136"/>
      <c r="M270" s="60"/>
    </row>
    <row r="271" spans="1:17" ht="16.2" thickBot="1">
      <c r="A271" s="110" t="s">
        <v>303</v>
      </c>
      <c r="B271" s="189" t="s">
        <v>324</v>
      </c>
      <c r="C271" s="140"/>
      <c r="D271" s="183"/>
      <c r="E271" s="183"/>
      <c r="F271" s="183"/>
      <c r="G271" s="183"/>
      <c r="H271" s="83"/>
      <c r="I271" s="11">
        <v>0</v>
      </c>
      <c r="K271" s="136"/>
      <c r="M271" s="60"/>
    </row>
    <row r="272" spans="1:17">
      <c r="A272" s="90">
        <v>37</v>
      </c>
      <c r="B272" s="190" t="s">
        <v>304</v>
      </c>
      <c r="C272" s="90"/>
      <c r="D272" s="89"/>
      <c r="E272" s="89"/>
      <c r="F272" s="89"/>
      <c r="G272" s="89"/>
      <c r="H272" s="83"/>
      <c r="I272" s="7">
        <f>+I268-I269-I270-I271</f>
        <v>1530060</v>
      </c>
      <c r="J272" s="89"/>
      <c r="K272" s="96"/>
    </row>
    <row r="273" spans="1:11">
      <c r="A273" s="90"/>
      <c r="B273" s="190"/>
      <c r="C273" s="90"/>
      <c r="D273" s="89"/>
      <c r="E273" s="89"/>
      <c r="F273" s="89"/>
      <c r="G273" s="89"/>
      <c r="H273" s="83"/>
      <c r="I273" s="191"/>
      <c r="J273" s="89"/>
      <c r="K273" s="96"/>
    </row>
    <row r="274" spans="1:11">
      <c r="B274" s="81"/>
      <c r="C274" s="81"/>
      <c r="D274" s="82"/>
      <c r="E274" s="81"/>
      <c r="F274" s="81"/>
      <c r="G274" s="81"/>
      <c r="H274" s="83"/>
      <c r="I274" s="83"/>
      <c r="J274" s="365" t="s">
        <v>204</v>
      </c>
      <c r="K274" s="365"/>
    </row>
    <row r="275" spans="1:11">
      <c r="B275" s="81"/>
      <c r="C275" s="81"/>
      <c r="D275" s="82"/>
      <c r="E275" s="81"/>
      <c r="F275" s="81"/>
      <c r="G275" s="81"/>
      <c r="H275" s="83"/>
      <c r="I275" s="83"/>
      <c r="J275" s="83"/>
      <c r="K275" s="85"/>
    </row>
    <row r="276" spans="1:11">
      <c r="B276" s="81" t="s">
        <v>0</v>
      </c>
      <c r="C276" s="81"/>
      <c r="D276" s="82" t="s">
        <v>1</v>
      </c>
      <c r="E276" s="81"/>
      <c r="F276" s="81"/>
      <c r="G276" s="81"/>
      <c r="H276" s="83"/>
      <c r="I276" s="83"/>
      <c r="J276" s="83"/>
      <c r="K276" s="209" t="str">
        <f>K4</f>
        <v>For the 12 months ended 12/31/17</v>
      </c>
    </row>
    <row r="277" spans="1:11">
      <c r="B277" s="81"/>
      <c r="C277" s="89" t="s">
        <v>2</v>
      </c>
      <c r="D277" s="89" t="s">
        <v>3</v>
      </c>
      <c r="E277" s="89"/>
      <c r="F277" s="89"/>
      <c r="G277" s="89"/>
      <c r="H277" s="83"/>
      <c r="I277" s="83"/>
      <c r="J277" s="83"/>
      <c r="K277" s="86"/>
    </row>
    <row r="278" spans="1:11">
      <c r="A278" s="90"/>
      <c r="B278" s="190"/>
      <c r="C278" s="90"/>
      <c r="D278" s="89"/>
      <c r="E278" s="89"/>
      <c r="F278" s="89"/>
      <c r="G278" s="89"/>
      <c r="H278" s="83"/>
      <c r="I278" s="192"/>
      <c r="J278" s="113"/>
      <c r="K278" s="96"/>
    </row>
    <row r="279" spans="1:11">
      <c r="A279" s="90"/>
      <c r="B279" s="190"/>
      <c r="C279" s="90"/>
      <c r="D279" s="6" t="str">
        <f>D7</f>
        <v>Cleco Power LLC</v>
      </c>
      <c r="E279" s="89"/>
      <c r="F279" s="89"/>
      <c r="G279" s="89"/>
      <c r="H279" s="83"/>
      <c r="I279" s="192"/>
      <c r="J279" s="113"/>
      <c r="K279" s="96"/>
    </row>
    <row r="280" spans="1:11">
      <c r="A280" s="90"/>
      <c r="B280" s="190"/>
      <c r="C280" s="90"/>
      <c r="D280" s="89"/>
      <c r="E280" s="89"/>
      <c r="F280" s="89"/>
      <c r="G280" s="89"/>
      <c r="H280" s="83"/>
      <c r="I280" s="192"/>
      <c r="J280" s="113"/>
      <c r="K280" s="96"/>
    </row>
    <row r="281" spans="1:11">
      <c r="A281" s="90"/>
      <c r="B281" s="81" t="s">
        <v>244</v>
      </c>
      <c r="C281" s="90"/>
      <c r="D281" s="89"/>
      <c r="E281" s="89"/>
      <c r="F281" s="89"/>
      <c r="G281" s="89"/>
      <c r="H281" s="83"/>
      <c r="I281" s="89"/>
      <c r="J281" s="83"/>
      <c r="K281" s="96"/>
    </row>
    <row r="282" spans="1:11">
      <c r="A282" s="90"/>
      <c r="B282" s="193" t="s">
        <v>243</v>
      </c>
      <c r="C282" s="90"/>
      <c r="D282" s="89"/>
      <c r="E282" s="89"/>
      <c r="F282" s="89"/>
      <c r="G282" s="89"/>
      <c r="H282" s="83"/>
      <c r="I282" s="89"/>
      <c r="J282" s="83"/>
      <c r="K282" s="96"/>
    </row>
    <row r="283" spans="1:11">
      <c r="A283" s="90" t="s">
        <v>122</v>
      </c>
      <c r="B283" s="81"/>
      <c r="C283" s="83"/>
      <c r="D283" s="89"/>
      <c r="E283" s="89"/>
      <c r="F283" s="89"/>
      <c r="G283" s="89"/>
      <c r="H283" s="83"/>
      <c r="I283" s="89"/>
      <c r="J283" s="83"/>
      <c r="K283" s="96"/>
    </row>
    <row r="284" spans="1:11" ht="16.2" thickBot="1">
      <c r="A284" s="94" t="s">
        <v>123</v>
      </c>
      <c r="B284" s="81"/>
      <c r="C284" s="83"/>
      <c r="D284" s="89"/>
      <c r="E284" s="89"/>
      <c r="F284" s="89"/>
      <c r="G284" s="89"/>
      <c r="H284" s="83"/>
      <c r="I284" s="89"/>
      <c r="J284" s="83"/>
      <c r="K284" s="96"/>
    </row>
    <row r="285" spans="1:11">
      <c r="A285" s="194" t="s">
        <v>124</v>
      </c>
      <c r="B285" s="366" t="s">
        <v>328</v>
      </c>
      <c r="C285" s="366"/>
      <c r="D285" s="366"/>
      <c r="E285" s="366"/>
      <c r="F285" s="366"/>
      <c r="G285" s="366"/>
      <c r="H285" s="366"/>
      <c r="I285" s="366"/>
      <c r="J285" s="366"/>
      <c r="K285" s="366"/>
    </row>
    <row r="286" spans="1:11">
      <c r="A286" s="194" t="s">
        <v>125</v>
      </c>
      <c r="B286" s="366" t="s">
        <v>319</v>
      </c>
      <c r="C286" s="366"/>
      <c r="D286" s="366"/>
      <c r="E286" s="366"/>
      <c r="F286" s="366"/>
      <c r="G286" s="366"/>
      <c r="H286" s="366"/>
      <c r="I286" s="366"/>
      <c r="J286" s="366"/>
      <c r="K286" s="366"/>
    </row>
    <row r="287" spans="1:11">
      <c r="A287" s="194" t="s">
        <v>126</v>
      </c>
      <c r="B287" s="366" t="s">
        <v>299</v>
      </c>
      <c r="C287" s="366"/>
      <c r="D287" s="366"/>
      <c r="E287" s="366"/>
      <c r="F287" s="366"/>
      <c r="G287" s="366"/>
      <c r="H287" s="366"/>
      <c r="I287" s="366"/>
      <c r="J287" s="366"/>
      <c r="K287" s="366"/>
    </row>
    <row r="288" spans="1:11">
      <c r="A288" s="194" t="s">
        <v>127</v>
      </c>
      <c r="B288" s="366" t="s">
        <v>299</v>
      </c>
      <c r="C288" s="366"/>
      <c r="D288" s="366"/>
      <c r="E288" s="366"/>
      <c r="F288" s="366"/>
      <c r="G288" s="366"/>
      <c r="H288" s="366"/>
      <c r="I288" s="366"/>
      <c r="J288" s="366"/>
      <c r="K288" s="366"/>
    </row>
    <row r="289" spans="1:11">
      <c r="A289" s="194" t="s">
        <v>128</v>
      </c>
      <c r="B289" s="366" t="s">
        <v>195</v>
      </c>
      <c r="C289" s="366"/>
      <c r="D289" s="366"/>
      <c r="E289" s="366"/>
      <c r="F289" s="366"/>
      <c r="G289" s="366"/>
      <c r="H289" s="366"/>
      <c r="I289" s="366"/>
      <c r="J289" s="366"/>
      <c r="K289" s="366"/>
    </row>
    <row r="290" spans="1:11" ht="47.25" customHeight="1">
      <c r="A290" s="194" t="s">
        <v>129</v>
      </c>
      <c r="B290" s="366" t="s">
        <v>295</v>
      </c>
      <c r="C290" s="366"/>
      <c r="D290" s="366"/>
      <c r="E290" s="366"/>
      <c r="F290" s="366"/>
      <c r="G290" s="366"/>
      <c r="H290" s="366"/>
      <c r="I290" s="366"/>
      <c r="J290" s="366"/>
      <c r="K290" s="366"/>
    </row>
    <row r="291" spans="1:11">
      <c r="A291" s="194" t="s">
        <v>130</v>
      </c>
      <c r="B291" s="366" t="s">
        <v>131</v>
      </c>
      <c r="C291" s="366"/>
      <c r="D291" s="366"/>
      <c r="E291" s="366"/>
      <c r="F291" s="366"/>
      <c r="G291" s="366"/>
      <c r="H291" s="366"/>
      <c r="I291" s="366"/>
      <c r="J291" s="366"/>
      <c r="K291" s="366"/>
    </row>
    <row r="292" spans="1:11" ht="32.25" customHeight="1">
      <c r="A292" s="194" t="s">
        <v>132</v>
      </c>
      <c r="B292" s="366" t="s">
        <v>284</v>
      </c>
      <c r="C292" s="366"/>
      <c r="D292" s="366"/>
      <c r="E292" s="366"/>
      <c r="F292" s="366"/>
      <c r="G292" s="366"/>
      <c r="H292" s="366"/>
      <c r="I292" s="366"/>
      <c r="J292" s="366"/>
      <c r="K292" s="366"/>
    </row>
    <row r="293" spans="1:11" ht="35.25" customHeight="1">
      <c r="A293" s="194" t="s">
        <v>133</v>
      </c>
      <c r="B293" s="366" t="s">
        <v>285</v>
      </c>
      <c r="C293" s="366"/>
      <c r="D293" s="366"/>
      <c r="E293" s="366"/>
      <c r="F293" s="366"/>
      <c r="G293" s="366"/>
      <c r="H293" s="366"/>
      <c r="I293" s="366"/>
      <c r="J293" s="366"/>
      <c r="K293" s="366"/>
    </row>
    <row r="294" spans="1:11" ht="32.25" customHeight="1">
      <c r="A294" s="194" t="s">
        <v>134</v>
      </c>
      <c r="B294" s="366" t="s">
        <v>286</v>
      </c>
      <c r="C294" s="366"/>
      <c r="D294" s="366"/>
      <c r="E294" s="366"/>
      <c r="F294" s="366"/>
      <c r="G294" s="366"/>
      <c r="H294" s="366"/>
      <c r="I294" s="366"/>
      <c r="J294" s="366"/>
      <c r="K294" s="366"/>
    </row>
    <row r="295" spans="1:11" ht="82.5" customHeight="1">
      <c r="A295" s="194" t="s">
        <v>135</v>
      </c>
      <c r="B295" s="366" t="s">
        <v>287</v>
      </c>
      <c r="C295" s="366"/>
      <c r="D295" s="366"/>
      <c r="E295" s="366"/>
      <c r="F295" s="366"/>
      <c r="G295" s="366"/>
      <c r="H295" s="366"/>
      <c r="I295" s="366"/>
      <c r="J295" s="366"/>
      <c r="K295" s="366"/>
    </row>
    <row r="296" spans="1:11">
      <c r="A296" s="194" t="s">
        <v>2</v>
      </c>
      <c r="B296" s="195" t="s">
        <v>283</v>
      </c>
      <c r="C296" s="196" t="s">
        <v>169</v>
      </c>
      <c r="D296" s="10">
        <v>0.21</v>
      </c>
      <c r="E296" s="196"/>
      <c r="F296" s="196"/>
      <c r="G296" s="196"/>
      <c r="H296" s="196"/>
      <c r="I296" s="196"/>
      <c r="J296" s="196"/>
      <c r="K296" s="196"/>
    </row>
    <row r="297" spans="1:11">
      <c r="A297" s="194"/>
      <c r="B297" s="196"/>
      <c r="C297" s="196" t="s">
        <v>170</v>
      </c>
      <c r="D297" s="10">
        <v>0.08</v>
      </c>
      <c r="E297" s="366" t="s">
        <v>171</v>
      </c>
      <c r="F297" s="366"/>
      <c r="G297" s="366"/>
      <c r="H297" s="366"/>
      <c r="I297" s="366"/>
      <c r="J297" s="366"/>
      <c r="K297" s="366"/>
    </row>
    <row r="298" spans="1:11">
      <c r="A298" s="194"/>
      <c r="B298" s="196"/>
      <c r="C298" s="196" t="s">
        <v>172</v>
      </c>
      <c r="D298" s="10">
        <v>1</v>
      </c>
      <c r="E298" s="366" t="s">
        <v>173</v>
      </c>
      <c r="F298" s="366"/>
      <c r="G298" s="366"/>
      <c r="H298" s="366"/>
      <c r="I298" s="366"/>
      <c r="J298" s="366"/>
      <c r="K298" s="366"/>
    </row>
    <row r="299" spans="1:11">
      <c r="A299" s="194" t="s">
        <v>136</v>
      </c>
      <c r="B299" s="366" t="s">
        <v>223</v>
      </c>
      <c r="C299" s="366"/>
      <c r="D299" s="366"/>
      <c r="E299" s="366"/>
      <c r="F299" s="366"/>
      <c r="G299" s="366"/>
      <c r="H299" s="366"/>
      <c r="I299" s="366"/>
      <c r="J299" s="366"/>
      <c r="K299" s="366"/>
    </row>
    <row r="300" spans="1:11" ht="32.25" customHeight="1">
      <c r="A300" s="194" t="s">
        <v>137</v>
      </c>
      <c r="B300" s="366" t="s">
        <v>288</v>
      </c>
      <c r="C300" s="366"/>
      <c r="D300" s="366"/>
      <c r="E300" s="366"/>
      <c r="F300" s="366"/>
      <c r="G300" s="366"/>
      <c r="H300" s="366"/>
      <c r="I300" s="366"/>
      <c r="J300" s="366"/>
      <c r="K300" s="366"/>
    </row>
    <row r="301" spans="1:11" ht="48" customHeight="1">
      <c r="A301" s="194" t="s">
        <v>138</v>
      </c>
      <c r="B301" s="366" t="s">
        <v>293</v>
      </c>
      <c r="C301" s="366"/>
      <c r="D301" s="366"/>
      <c r="E301" s="366"/>
      <c r="F301" s="366"/>
      <c r="G301" s="366"/>
      <c r="H301" s="366"/>
      <c r="I301" s="366"/>
      <c r="J301" s="366"/>
      <c r="K301" s="366"/>
    </row>
    <row r="302" spans="1:11">
      <c r="A302" s="194" t="s">
        <v>139</v>
      </c>
      <c r="B302" s="366" t="s">
        <v>190</v>
      </c>
      <c r="C302" s="366"/>
      <c r="D302" s="366"/>
      <c r="E302" s="366"/>
      <c r="F302" s="366"/>
      <c r="G302" s="366"/>
      <c r="H302" s="366"/>
      <c r="I302" s="366"/>
      <c r="J302" s="366"/>
      <c r="K302" s="366"/>
    </row>
    <row r="303" spans="1:11" ht="52.5" customHeight="1">
      <c r="A303" s="194" t="s">
        <v>140</v>
      </c>
      <c r="B303" s="366" t="s">
        <v>359</v>
      </c>
      <c r="C303" s="366"/>
      <c r="D303" s="366"/>
      <c r="E303" s="366"/>
      <c r="F303" s="366"/>
      <c r="G303" s="366"/>
      <c r="H303" s="366"/>
      <c r="I303" s="366"/>
      <c r="J303" s="366"/>
      <c r="K303" s="366"/>
    </row>
    <row r="304" spans="1:11" ht="32.25" customHeight="1">
      <c r="A304" s="194" t="s">
        <v>141</v>
      </c>
      <c r="B304" s="366" t="s">
        <v>289</v>
      </c>
      <c r="C304" s="366"/>
      <c r="D304" s="366"/>
      <c r="E304" s="366"/>
      <c r="F304" s="366"/>
      <c r="G304" s="366"/>
      <c r="H304" s="366"/>
      <c r="I304" s="366"/>
      <c r="J304" s="366"/>
      <c r="K304" s="366"/>
    </row>
    <row r="305" spans="1:19">
      <c r="A305" s="194" t="s">
        <v>142</v>
      </c>
      <c r="B305" s="366" t="s">
        <v>143</v>
      </c>
      <c r="C305" s="366"/>
      <c r="D305" s="366"/>
      <c r="E305" s="366"/>
      <c r="F305" s="366"/>
      <c r="G305" s="366"/>
      <c r="H305" s="366"/>
      <c r="I305" s="366"/>
      <c r="J305" s="366"/>
      <c r="K305" s="366"/>
    </row>
    <row r="306" spans="1:19" ht="48" customHeight="1">
      <c r="A306" s="194" t="s">
        <v>196</v>
      </c>
      <c r="B306" s="366" t="s">
        <v>297</v>
      </c>
      <c r="C306" s="366"/>
      <c r="D306" s="366"/>
      <c r="E306" s="366"/>
      <c r="F306" s="366"/>
      <c r="G306" s="366"/>
      <c r="H306" s="366"/>
      <c r="I306" s="366"/>
      <c r="J306" s="366"/>
      <c r="K306" s="366"/>
    </row>
    <row r="307" spans="1:19" ht="51.75" customHeight="1">
      <c r="A307" s="197" t="s">
        <v>198</v>
      </c>
      <c r="B307" s="366" t="s">
        <v>298</v>
      </c>
      <c r="C307" s="366"/>
      <c r="D307" s="366"/>
      <c r="E307" s="366"/>
      <c r="F307" s="366"/>
      <c r="G307" s="366"/>
      <c r="H307" s="366"/>
      <c r="I307" s="366"/>
      <c r="J307" s="366"/>
      <c r="K307" s="366"/>
    </row>
    <row r="308" spans="1:19">
      <c r="A308" s="197" t="s">
        <v>212</v>
      </c>
      <c r="B308" s="366" t="s">
        <v>224</v>
      </c>
      <c r="C308" s="366"/>
      <c r="D308" s="366"/>
      <c r="E308" s="366"/>
      <c r="F308" s="366"/>
      <c r="G308" s="366"/>
      <c r="H308" s="366"/>
      <c r="I308" s="366"/>
      <c r="J308" s="366"/>
      <c r="K308" s="366"/>
    </row>
    <row r="309" spans="1:19">
      <c r="A309" s="198" t="s">
        <v>225</v>
      </c>
      <c r="B309" s="366" t="s">
        <v>313</v>
      </c>
      <c r="C309" s="366"/>
      <c r="D309" s="366"/>
      <c r="E309" s="366"/>
      <c r="F309" s="366"/>
      <c r="G309" s="366"/>
      <c r="H309" s="366"/>
      <c r="I309" s="366"/>
      <c r="J309" s="366"/>
      <c r="K309" s="366"/>
      <c r="L309" s="113"/>
    </row>
    <row r="310" spans="1:19" s="113" customFormat="1">
      <c r="A310" s="198" t="s">
        <v>237</v>
      </c>
      <c r="B310" s="366" t="s">
        <v>320</v>
      </c>
      <c r="C310" s="366"/>
      <c r="D310" s="366"/>
      <c r="E310" s="366"/>
      <c r="F310" s="366"/>
      <c r="G310" s="366"/>
      <c r="H310" s="366"/>
      <c r="I310" s="366"/>
      <c r="J310" s="366"/>
      <c r="K310" s="366"/>
      <c r="L310" s="44"/>
      <c r="M310" s="44"/>
      <c r="N310" s="44"/>
      <c r="O310" s="44"/>
      <c r="P310" s="44"/>
      <c r="Q310" s="44"/>
      <c r="R310" s="44"/>
      <c r="S310" s="44"/>
    </row>
    <row r="311" spans="1:19" ht="32.25" customHeight="1">
      <c r="A311" s="198" t="s">
        <v>238</v>
      </c>
      <c r="B311" s="366" t="s">
        <v>325</v>
      </c>
      <c r="C311" s="366"/>
      <c r="D311" s="366"/>
      <c r="E311" s="366"/>
      <c r="F311" s="366"/>
      <c r="G311" s="366"/>
      <c r="H311" s="366"/>
      <c r="I311" s="366"/>
      <c r="J311" s="366"/>
      <c r="K311" s="366"/>
    </row>
    <row r="312" spans="1:19">
      <c r="A312" s="198" t="s">
        <v>305</v>
      </c>
      <c r="B312" s="366" t="s">
        <v>321</v>
      </c>
      <c r="C312" s="366"/>
      <c r="D312" s="366"/>
      <c r="E312" s="366"/>
      <c r="F312" s="366"/>
      <c r="G312" s="366"/>
      <c r="H312" s="366"/>
      <c r="I312" s="366"/>
      <c r="J312" s="366"/>
      <c r="K312" s="366"/>
      <c r="M312" s="113"/>
      <c r="N312" s="113"/>
      <c r="O312" s="113"/>
      <c r="P312" s="113"/>
      <c r="Q312" s="113"/>
      <c r="R312" s="113"/>
      <c r="S312" s="113"/>
    </row>
    <row r="313" spans="1:19" ht="37.5" customHeight="1">
      <c r="A313" s="198" t="s">
        <v>306</v>
      </c>
      <c r="B313" s="366" t="s">
        <v>326</v>
      </c>
      <c r="C313" s="366"/>
      <c r="D313" s="366"/>
      <c r="E313" s="366"/>
      <c r="F313" s="366"/>
      <c r="G313" s="366"/>
      <c r="H313" s="366"/>
      <c r="I313" s="366"/>
      <c r="J313" s="366"/>
      <c r="K313" s="366"/>
    </row>
    <row r="314" spans="1:19">
      <c r="A314" s="107" t="s">
        <v>314</v>
      </c>
      <c r="B314" s="199" t="s">
        <v>315</v>
      </c>
      <c r="C314" s="83"/>
      <c r="D314" s="83"/>
      <c r="E314" s="83"/>
      <c r="F314" s="83"/>
      <c r="G314" s="83"/>
      <c r="H314" s="83"/>
      <c r="I314" s="86"/>
      <c r="J314" s="86"/>
      <c r="K314" s="86"/>
    </row>
    <row r="315" spans="1:19">
      <c r="A315" s="107" t="s">
        <v>317</v>
      </c>
      <c r="B315" s="200" t="s">
        <v>316</v>
      </c>
      <c r="C315" s="83"/>
      <c r="D315" s="83"/>
      <c r="E315" s="83"/>
      <c r="F315" s="83"/>
      <c r="G315" s="83"/>
      <c r="H315" s="83"/>
      <c r="I315" s="86"/>
      <c r="J315" s="86"/>
      <c r="K315" s="86"/>
    </row>
    <row r="316" spans="1:19">
      <c r="A316" s="201" t="s">
        <v>352</v>
      </c>
      <c r="B316" s="86" t="s">
        <v>354</v>
      </c>
      <c r="D316" s="83"/>
      <c r="E316" s="83"/>
      <c r="F316" s="83"/>
      <c r="G316" s="83"/>
      <c r="H316" s="83"/>
      <c r="I316" s="86"/>
      <c r="J316" s="86"/>
      <c r="K316" s="86"/>
    </row>
    <row r="317" spans="1:19">
      <c r="A317" s="201"/>
      <c r="B317" s="86" t="s">
        <v>355</v>
      </c>
    </row>
    <row r="318" spans="1:19">
      <c r="A318" s="201" t="s">
        <v>353</v>
      </c>
      <c r="B318" s="86" t="s">
        <v>356</v>
      </c>
    </row>
    <row r="319" spans="1:19">
      <c r="A319" s="201"/>
      <c r="B319" s="86" t="s">
        <v>357</v>
      </c>
    </row>
  </sheetData>
  <sheetProtection password="D71B" sheet="1" objects="1" scenarios="1" formatCells="0" formatColumns="0"/>
  <protectedRanges>
    <protectedRange sqref="M1:Q1048576" name="Range4"/>
    <protectedRange sqref="M82:O96" name="Range2"/>
    <protectedRange sqref="M22:O36" name="Range1"/>
    <protectedRange sqref="M19:O41" name="Range3"/>
  </protectedRanges>
  <mergeCells count="35">
    <mergeCell ref="J137:K137"/>
    <mergeCell ref="J70:K70"/>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E297:K297"/>
    <mergeCell ref="B299:K299"/>
    <mergeCell ref="B310:K310"/>
    <mergeCell ref="B309:K309"/>
    <mergeCell ref="B308:K308"/>
    <mergeCell ref="B300:K300"/>
    <mergeCell ref="B197:C197"/>
    <mergeCell ref="H204:K204"/>
    <mergeCell ref="J203:K203"/>
    <mergeCell ref="B193:C193"/>
    <mergeCell ref="B295:K295"/>
    <mergeCell ref="B294:K294"/>
    <mergeCell ref="B293:K293"/>
    <mergeCell ref="B292:K292"/>
    <mergeCell ref="B291:K291"/>
    <mergeCell ref="B290:K290"/>
    <mergeCell ref="J274:K274"/>
    <mergeCell ref="B286:K286"/>
    <mergeCell ref="B287:K287"/>
  </mergeCells>
  <phoneticPr fontId="0" type="noConversion"/>
  <pageMargins left="0.5" right="0.5" top="0.75" bottom="0.75" header="0.5" footer="0.5"/>
  <pageSetup scale="63" fitToHeight="6" orientation="portrait" r:id="rId1"/>
  <headerFooter alignWithMargins="0">
    <oddFooter>&amp;RV32
EFF 06.01.15</oddFooter>
  </headerFooter>
  <rowBreaks count="4" manualBreakCount="4">
    <brk id="69" max="10" man="1"/>
    <brk id="136" max="10" man="1"/>
    <brk id="202" max="10" man="1"/>
    <brk id="273" max="10" man="1"/>
  </rowBreaks>
  <colBreaks count="1" manualBreakCount="1">
    <brk id="11"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election activeCell="A3" sqref="A3:G3"/>
    </sheetView>
  </sheetViews>
  <sheetFormatPr defaultColWidth="8.90625" defaultRowHeight="15"/>
  <cols>
    <col min="1" max="1" width="15.54296875" style="210" customWidth="1"/>
    <col min="2" max="2" width="21" style="210" customWidth="1"/>
    <col min="3" max="3" width="11.54296875" style="210" customWidth="1"/>
    <col min="4" max="4" width="10.54296875" style="210" bestFit="1" customWidth="1"/>
    <col min="5" max="5" width="11.90625" style="210" bestFit="1" customWidth="1"/>
    <col min="6" max="6" width="15" style="210" bestFit="1" customWidth="1"/>
    <col min="7" max="16384" width="8.90625" style="210"/>
  </cols>
  <sheetData>
    <row r="1" spans="1:7" ht="15.6">
      <c r="A1" s="367" t="s">
        <v>327</v>
      </c>
      <c r="B1" s="367"/>
      <c r="C1" s="367"/>
      <c r="D1" s="367"/>
      <c r="E1" s="367"/>
      <c r="F1" s="367"/>
      <c r="G1" s="367"/>
    </row>
    <row r="2" spans="1:7" ht="15.6">
      <c r="A2" s="367" t="s">
        <v>482</v>
      </c>
      <c r="B2" s="367"/>
      <c r="C2" s="367"/>
      <c r="D2" s="367"/>
      <c r="E2" s="367"/>
      <c r="F2" s="367"/>
      <c r="G2" s="367"/>
    </row>
    <row r="3" spans="1:7" ht="15.6">
      <c r="A3" s="367" t="s">
        <v>491</v>
      </c>
      <c r="B3" s="367"/>
      <c r="C3" s="367"/>
      <c r="D3" s="367"/>
      <c r="E3" s="367"/>
      <c r="F3" s="367"/>
      <c r="G3" s="367"/>
    </row>
    <row r="4" spans="1:7" ht="15.6">
      <c r="A4" s="324"/>
      <c r="B4" s="323"/>
      <c r="C4" s="323"/>
      <c r="D4" s="323"/>
      <c r="E4" s="324"/>
    </row>
    <row r="5" spans="1:7">
      <c r="A5" s="210" t="s">
        <v>592</v>
      </c>
      <c r="B5" s="210" t="s">
        <v>593</v>
      </c>
    </row>
    <row r="6" spans="1:7">
      <c r="A6" s="322" t="s">
        <v>492</v>
      </c>
      <c r="B6" s="322"/>
      <c r="C6" s="322"/>
      <c r="D6" s="322"/>
      <c r="E6" s="321">
        <v>48975107.539999999</v>
      </c>
    </row>
    <row r="7" spans="1:7">
      <c r="A7" s="322" t="s">
        <v>493</v>
      </c>
      <c r="B7" s="322"/>
      <c r="C7" s="322"/>
      <c r="D7" s="322"/>
      <c r="E7" s="320">
        <v>48181446.151936367</v>
      </c>
    </row>
    <row r="8" spans="1:7">
      <c r="A8" s="322"/>
      <c r="B8" s="322"/>
      <c r="C8" s="322"/>
      <c r="D8" s="322"/>
      <c r="E8" s="321">
        <f>SUM(E6-E7)</f>
        <v>793661.38806363195</v>
      </c>
    </row>
    <row r="9" spans="1:7">
      <c r="A9" s="322"/>
      <c r="B9" s="322"/>
      <c r="C9" s="322"/>
      <c r="D9" s="322"/>
      <c r="E9" s="321"/>
    </row>
    <row r="10" spans="1:7">
      <c r="A10" s="322"/>
      <c r="B10" s="322"/>
      <c r="C10" s="322"/>
      <c r="D10" s="322"/>
      <c r="E10" s="321"/>
    </row>
    <row r="11" spans="1:7">
      <c r="A11" s="322"/>
      <c r="B11" s="322"/>
      <c r="C11" s="322"/>
      <c r="D11" s="322"/>
      <c r="E11" s="321"/>
    </row>
    <row r="12" spans="1:7">
      <c r="A12" s="319"/>
      <c r="B12" s="319"/>
      <c r="C12" s="319"/>
      <c r="D12" s="319"/>
      <c r="E12" s="318"/>
    </row>
    <row r="13" spans="1:7">
      <c r="A13" s="319"/>
      <c r="B13" s="319"/>
      <c r="C13" s="319"/>
      <c r="D13" s="319"/>
      <c r="E13" s="318"/>
    </row>
    <row r="14" spans="1:7">
      <c r="A14" s="322"/>
      <c r="B14" s="322" t="s">
        <v>494</v>
      </c>
      <c r="C14" s="322" t="s">
        <v>495</v>
      </c>
      <c r="D14" s="322" t="s">
        <v>496</v>
      </c>
      <c r="E14" s="322" t="s">
        <v>497</v>
      </c>
    </row>
    <row r="15" spans="1:7">
      <c r="A15" s="317">
        <v>42887</v>
      </c>
      <c r="B15" s="316">
        <v>2.8999999999999998E-3</v>
      </c>
      <c r="C15" s="297">
        <f>SUM(E8)</f>
        <v>793661.38806363195</v>
      </c>
      <c r="D15" s="297">
        <f>SUM(B15*C15)</f>
        <v>2301.6180253845323</v>
      </c>
      <c r="E15" s="297">
        <f>SUM(C15+D15)</f>
        <v>795963.00608901645</v>
      </c>
      <c r="F15" s="330"/>
    </row>
    <row r="16" spans="1:7">
      <c r="A16" s="317" t="s">
        <v>594</v>
      </c>
      <c r="B16" s="329">
        <f>0.035/12*3</f>
        <v>8.7500000000000008E-3</v>
      </c>
      <c r="C16" s="297">
        <f>E15</f>
        <v>795963.00608901645</v>
      </c>
      <c r="D16" s="297">
        <f>SUM(B16*C16)</f>
        <v>6964.6763032788949</v>
      </c>
      <c r="E16" s="297">
        <f t="shared" ref="E16:E19" si="0">SUM(C16+D16)</f>
        <v>802927.68239229533</v>
      </c>
    </row>
    <row r="17" spans="1:6">
      <c r="A17" s="317" t="s">
        <v>595</v>
      </c>
      <c r="B17" s="329">
        <f>0.0355/12*3</f>
        <v>8.8749999999999992E-3</v>
      </c>
      <c r="C17" s="297">
        <f t="shared" ref="C17:C19" si="1">E16</f>
        <v>802927.68239229533</v>
      </c>
      <c r="D17" s="297">
        <f t="shared" ref="D17:D19" si="2">SUM(B17*C17)</f>
        <v>7125.9831812316206</v>
      </c>
      <c r="E17" s="297">
        <f t="shared" si="0"/>
        <v>810053.66557352699</v>
      </c>
    </row>
    <row r="18" spans="1:6">
      <c r="A18" s="317" t="s">
        <v>596</v>
      </c>
      <c r="B18" s="329">
        <f>0.0379/12*3</f>
        <v>9.4750000000000008E-3</v>
      </c>
      <c r="C18" s="297">
        <f t="shared" si="1"/>
        <v>810053.66557352699</v>
      </c>
      <c r="D18" s="297">
        <f t="shared" si="2"/>
        <v>7675.2584813091689</v>
      </c>
      <c r="E18" s="297">
        <f t="shared" si="0"/>
        <v>817728.92405483616</v>
      </c>
    </row>
    <row r="19" spans="1:6">
      <c r="A19" s="317" t="s">
        <v>597</v>
      </c>
      <c r="B19" s="329">
        <f>0.0404/12*2</f>
        <v>6.7333333333333334E-3</v>
      </c>
      <c r="C19" s="297">
        <f t="shared" si="1"/>
        <v>817728.92405483616</v>
      </c>
      <c r="D19" s="315">
        <f t="shared" si="2"/>
        <v>5506.0414219692302</v>
      </c>
      <c r="E19" s="297">
        <f t="shared" si="0"/>
        <v>823234.96547680534</v>
      </c>
    </row>
    <row r="20" spans="1:6" ht="15.6">
      <c r="A20" s="317"/>
      <c r="B20" s="322"/>
      <c r="C20" s="297"/>
      <c r="D20" s="300">
        <f>SUM(D15:D19)</f>
        <v>29573.577413173451</v>
      </c>
      <c r="E20" s="297"/>
    </row>
    <row r="21" spans="1:6">
      <c r="A21" s="314"/>
      <c r="B21" s="313"/>
      <c r="C21" s="312"/>
      <c r="D21" s="312"/>
      <c r="E21" s="312"/>
    </row>
    <row r="22" spans="1:6" ht="16.2" thickBot="1">
      <c r="A22" s="311"/>
      <c r="B22" s="311"/>
      <c r="C22" s="311"/>
      <c r="D22" s="311"/>
      <c r="E22" s="311"/>
      <c r="F22" s="311"/>
    </row>
    <row r="23" spans="1:6" ht="15.6">
      <c r="A23" s="310" t="s">
        <v>598</v>
      </c>
      <c r="B23" s="309" t="s">
        <v>599</v>
      </c>
      <c r="C23" s="310" t="s">
        <v>600</v>
      </c>
      <c r="D23" s="310" t="s">
        <v>601</v>
      </c>
      <c r="E23" s="310" t="s">
        <v>601</v>
      </c>
      <c r="F23" s="310" t="s">
        <v>598</v>
      </c>
    </row>
    <row r="24" spans="1:6" ht="15.6">
      <c r="A24" s="308" t="s">
        <v>602</v>
      </c>
      <c r="B24" s="308"/>
      <c r="C24" s="308" t="s">
        <v>603</v>
      </c>
      <c r="D24" s="308" t="s">
        <v>604</v>
      </c>
      <c r="E24" s="308" t="s">
        <v>605</v>
      </c>
      <c r="F24" s="308" t="s">
        <v>602</v>
      </c>
    </row>
    <row r="25" spans="1:6" ht="16.2" thickBot="1">
      <c r="A25" s="307"/>
      <c r="B25" s="307"/>
      <c r="C25" s="307"/>
      <c r="D25" s="307"/>
      <c r="E25" s="307" t="s">
        <v>606</v>
      </c>
      <c r="F25" s="307"/>
    </row>
    <row r="26" spans="1:6" ht="15.6">
      <c r="A26" s="310" t="s">
        <v>607</v>
      </c>
      <c r="B26" s="333">
        <v>4.043333333333333</v>
      </c>
      <c r="C26" s="310">
        <v>4.13</v>
      </c>
      <c r="D26" s="310" t="s">
        <v>531</v>
      </c>
      <c r="E26" s="306">
        <v>3.3694444444444444E-3</v>
      </c>
      <c r="F26" s="310" t="s">
        <v>608</v>
      </c>
    </row>
    <row r="27" spans="1:6" ht="15.6">
      <c r="A27" s="308"/>
      <c r="B27" s="308"/>
      <c r="C27" s="308">
        <v>4</v>
      </c>
      <c r="D27" s="308" t="s">
        <v>609</v>
      </c>
      <c r="E27" s="305"/>
      <c r="F27" s="308"/>
    </row>
    <row r="28" spans="1:6" ht="16.2" thickBot="1">
      <c r="A28" s="307"/>
      <c r="B28" s="307"/>
      <c r="C28" s="307">
        <v>4</v>
      </c>
      <c r="D28" s="307" t="s">
        <v>610</v>
      </c>
      <c r="E28" s="301"/>
      <c r="F28" s="307"/>
    </row>
    <row r="29" spans="1:6" ht="15.6">
      <c r="A29" s="310" t="s">
        <v>611</v>
      </c>
      <c r="B29" s="333">
        <v>3.793333333333333</v>
      </c>
      <c r="C29" s="310">
        <v>3.88</v>
      </c>
      <c r="D29" s="310" t="s">
        <v>527</v>
      </c>
      <c r="E29" s="306">
        <v>3.1611111111111111E-3</v>
      </c>
      <c r="F29" s="310" t="s">
        <v>612</v>
      </c>
    </row>
    <row r="30" spans="1:6" ht="15.6">
      <c r="A30" s="308"/>
      <c r="B30" s="308"/>
      <c r="C30" s="308">
        <v>3.75</v>
      </c>
      <c r="D30" s="308" t="s">
        <v>613</v>
      </c>
      <c r="E30" s="305"/>
      <c r="F30" s="308"/>
    </row>
    <row r="31" spans="1:6" ht="16.2" thickBot="1">
      <c r="A31" s="307"/>
      <c r="B31" s="307"/>
      <c r="C31" s="307">
        <v>3.75</v>
      </c>
      <c r="D31" s="307" t="s">
        <v>614</v>
      </c>
      <c r="E31" s="301"/>
      <c r="F31" s="307"/>
    </row>
    <row r="32" spans="1:6" ht="15.6">
      <c r="A32" s="310" t="s">
        <v>615</v>
      </c>
      <c r="B32" s="333">
        <v>3.5466666666666669</v>
      </c>
      <c r="C32" s="310">
        <v>3.64</v>
      </c>
      <c r="D32" s="310" t="s">
        <v>616</v>
      </c>
      <c r="E32" s="306">
        <v>2.9555555555555555E-3</v>
      </c>
      <c r="F32" s="310" t="s">
        <v>617</v>
      </c>
    </row>
    <row r="33" spans="1:6" ht="15.6">
      <c r="A33" s="308"/>
      <c r="B33" s="308"/>
      <c r="C33" s="308">
        <v>3.5</v>
      </c>
      <c r="D33" s="308" t="s">
        <v>618</v>
      </c>
      <c r="E33" s="305"/>
      <c r="F33" s="308"/>
    </row>
    <row r="34" spans="1:6" ht="16.2" thickBot="1">
      <c r="A34" s="307"/>
      <c r="B34" s="307"/>
      <c r="C34" s="307">
        <v>3.5</v>
      </c>
      <c r="D34" s="307" t="s">
        <v>619</v>
      </c>
      <c r="E34" s="301"/>
      <c r="F34" s="307"/>
    </row>
    <row r="35" spans="1:6" ht="15.6">
      <c r="A35" s="310" t="s">
        <v>620</v>
      </c>
      <c r="B35" s="333">
        <v>3.5</v>
      </c>
      <c r="C35" s="310">
        <v>3.5</v>
      </c>
      <c r="D35" s="310" t="s">
        <v>621</v>
      </c>
      <c r="E35" s="306">
        <v>2.9166666666666668E-3</v>
      </c>
      <c r="F35" s="310" t="s">
        <v>622</v>
      </c>
    </row>
    <row r="36" spans="1:6" ht="15.6">
      <c r="A36" s="308"/>
      <c r="B36" s="308"/>
      <c r="C36" s="308">
        <v>3.5</v>
      </c>
      <c r="D36" s="308" t="s">
        <v>623</v>
      </c>
      <c r="E36" s="305"/>
      <c r="F36" s="308"/>
    </row>
    <row r="37" spans="1:6" ht="16.2" thickBot="1">
      <c r="A37" s="307"/>
      <c r="B37" s="307"/>
      <c r="C37" s="307">
        <v>3.5</v>
      </c>
      <c r="D37" s="307" t="s">
        <v>532</v>
      </c>
      <c r="E37" s="301"/>
      <c r="F37" s="307"/>
    </row>
    <row r="38" spans="1:6" ht="16.2" thickBot="1">
      <c r="A38" s="299" t="s">
        <v>624</v>
      </c>
      <c r="B38" s="298">
        <v>3.5</v>
      </c>
      <c r="C38" s="299">
        <v>3.5</v>
      </c>
      <c r="D38" s="299" t="s">
        <v>531</v>
      </c>
      <c r="E38" s="304">
        <v>2.9166666666666668E-3</v>
      </c>
      <c r="F38" s="299" t="s">
        <v>607</v>
      </c>
    </row>
    <row r="39" spans="1:6">
      <c r="A39" s="317"/>
      <c r="B39" s="322"/>
      <c r="C39" s="330"/>
      <c r="D39" s="330"/>
      <c r="E39" s="330"/>
    </row>
  </sheetData>
  <mergeCells count="3">
    <mergeCell ref="A1:G1"/>
    <mergeCell ref="A2:G2"/>
    <mergeCell ref="A3:G3"/>
  </mergeCells>
  <pageMargins left="0.7" right="0.7" top="0.75" bottom="0.75" header="0.3" footer="0.3"/>
  <pageSetup scale="80" fitToHeight="0" orientation="portrait" r:id="rId1"/>
  <headerFooter>
    <oddFooter>&amp;C9 - Interest on Adjustments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G6" sqref="G6"/>
    </sheetView>
  </sheetViews>
  <sheetFormatPr defaultRowHeight="15"/>
  <cols>
    <col min="1" max="1" width="39.90625" customWidth="1"/>
    <col min="2" max="2" width="17.90625" customWidth="1"/>
    <col min="3" max="3" width="22.1796875" customWidth="1"/>
  </cols>
  <sheetData>
    <row r="1" spans="1:11" ht="15.6">
      <c r="A1" s="378" t="s">
        <v>327</v>
      </c>
      <c r="B1" s="378"/>
      <c r="C1" s="378"/>
      <c r="D1" s="303"/>
      <c r="E1" s="303"/>
      <c r="F1" s="303"/>
      <c r="G1" s="303"/>
      <c r="H1" s="303"/>
      <c r="I1" s="303"/>
      <c r="J1" s="303"/>
      <c r="K1" s="303"/>
    </row>
    <row r="2" spans="1:11" ht="15.6">
      <c r="A2" s="378" t="s">
        <v>482</v>
      </c>
      <c r="B2" s="378"/>
      <c r="C2" s="378"/>
      <c r="D2" s="303"/>
      <c r="E2" s="303"/>
      <c r="F2" s="303"/>
      <c r="G2" s="303"/>
      <c r="H2" s="303"/>
      <c r="I2" s="303"/>
      <c r="J2" s="303"/>
      <c r="K2" s="303"/>
    </row>
    <row r="3" spans="1:11" ht="15.6">
      <c r="A3" s="378" t="s">
        <v>591</v>
      </c>
      <c r="B3" s="378"/>
      <c r="C3" s="378"/>
      <c r="D3" s="303"/>
      <c r="E3" s="303"/>
      <c r="F3" s="303"/>
      <c r="G3" s="303"/>
      <c r="H3" s="303"/>
      <c r="I3" s="303"/>
      <c r="J3" s="303"/>
      <c r="K3" s="303"/>
    </row>
    <row r="4" spans="1:11" ht="15.6">
      <c r="A4" s="378" t="s">
        <v>629</v>
      </c>
      <c r="B4" s="378"/>
      <c r="C4" s="378"/>
      <c r="D4" s="303"/>
      <c r="E4" s="303"/>
      <c r="F4" s="303"/>
      <c r="G4" s="303"/>
      <c r="H4" s="303"/>
      <c r="I4" s="303"/>
      <c r="J4" s="303"/>
      <c r="K4" s="303"/>
    </row>
    <row r="5" spans="1:11" ht="15.6">
      <c r="A5" s="361"/>
      <c r="B5" s="361"/>
      <c r="C5" s="361"/>
      <c r="D5" s="303"/>
      <c r="E5" s="303"/>
      <c r="F5" s="303"/>
      <c r="G5" s="303"/>
      <c r="H5" s="303"/>
      <c r="I5" s="303"/>
      <c r="J5" s="303"/>
      <c r="K5" s="303"/>
    </row>
    <row r="6" spans="1:11" ht="15.6" thickBot="1">
      <c r="A6" s="272"/>
      <c r="B6" s="224"/>
      <c r="C6" s="224"/>
    </row>
    <row r="7" spans="1:11" ht="18.600000000000001" thickTop="1">
      <c r="A7" s="273"/>
      <c r="B7" s="274" t="s">
        <v>402</v>
      </c>
      <c r="C7" s="275" t="s">
        <v>498</v>
      </c>
    </row>
    <row r="8" spans="1:11" ht="18.600000000000001" thickBot="1">
      <c r="A8" s="276" t="s">
        <v>4</v>
      </c>
      <c r="B8" s="276" t="s">
        <v>499</v>
      </c>
      <c r="C8" s="277" t="s">
        <v>499</v>
      </c>
    </row>
    <row r="9" spans="1:11" ht="15.6" thickTop="1">
      <c r="A9" s="278" t="s">
        <v>500</v>
      </c>
      <c r="B9" s="279"/>
      <c r="C9" s="280">
        <v>478267.94</v>
      </c>
    </row>
    <row r="10" spans="1:11">
      <c r="A10" s="278" t="s">
        <v>501</v>
      </c>
      <c r="B10" s="281"/>
      <c r="C10" s="280">
        <v>903496.24</v>
      </c>
    </row>
    <row r="11" spans="1:11">
      <c r="A11" s="278" t="s">
        <v>502</v>
      </c>
      <c r="B11" s="281"/>
      <c r="C11" s="280">
        <v>179212.0800000001</v>
      </c>
    </row>
    <row r="12" spans="1:11">
      <c r="A12" s="278" t="s">
        <v>503</v>
      </c>
      <c r="B12" s="281"/>
      <c r="C12" s="280">
        <v>1922153.2599999993</v>
      </c>
    </row>
    <row r="13" spans="1:11">
      <c r="A13" s="278" t="s">
        <v>504</v>
      </c>
      <c r="B13" s="281"/>
      <c r="C13" s="280">
        <v>873331.04999999993</v>
      </c>
    </row>
    <row r="14" spans="1:11">
      <c r="A14" s="278" t="s">
        <v>505</v>
      </c>
      <c r="B14" s="281"/>
      <c r="C14" s="280">
        <v>563579.8600000001</v>
      </c>
    </row>
    <row r="15" spans="1:11">
      <c r="A15" s="278" t="s">
        <v>506</v>
      </c>
      <c r="B15" s="281"/>
      <c r="C15" s="280">
        <v>26954.67000000002</v>
      </c>
    </row>
    <row r="16" spans="1:11">
      <c r="A16" s="278" t="s">
        <v>507</v>
      </c>
      <c r="B16" s="281"/>
      <c r="C16" s="280">
        <v>78017.77</v>
      </c>
    </row>
    <row r="17" spans="1:3">
      <c r="A17" s="278" t="s">
        <v>508</v>
      </c>
      <c r="B17" s="281"/>
      <c r="C17" s="280">
        <v>17615.140000000003</v>
      </c>
    </row>
    <row r="18" spans="1:3">
      <c r="A18" s="278" t="s">
        <v>509</v>
      </c>
      <c r="B18" s="281"/>
      <c r="C18" s="280">
        <v>2424431.15</v>
      </c>
    </row>
    <row r="19" spans="1:3">
      <c r="A19" s="278" t="s">
        <v>510</v>
      </c>
      <c r="B19" s="283">
        <v>17734.23</v>
      </c>
      <c r="C19" s="284"/>
    </row>
    <row r="20" spans="1:3">
      <c r="A20" s="278" t="s">
        <v>511</v>
      </c>
      <c r="B20" s="281"/>
      <c r="C20" s="280">
        <v>262853.9499999999</v>
      </c>
    </row>
    <row r="21" spans="1:3">
      <c r="A21" s="278" t="s">
        <v>512</v>
      </c>
      <c r="B21" s="281"/>
      <c r="C21" s="280">
        <v>2821.0299999999966</v>
      </c>
    </row>
    <row r="22" spans="1:3">
      <c r="A22" s="278" t="s">
        <v>513</v>
      </c>
      <c r="B22" s="281"/>
      <c r="C22" s="280">
        <v>488315.81</v>
      </c>
    </row>
    <row r="23" spans="1:3">
      <c r="A23" s="278" t="s">
        <v>514</v>
      </c>
      <c r="B23" s="281"/>
      <c r="C23" s="280">
        <v>231009.46999999994</v>
      </c>
    </row>
    <row r="24" spans="1:3">
      <c r="A24" s="278" t="s">
        <v>515</v>
      </c>
      <c r="B24" s="281"/>
      <c r="C24" s="280">
        <v>586670.9700000002</v>
      </c>
    </row>
    <row r="25" spans="1:3">
      <c r="A25" s="278" t="s">
        <v>516</v>
      </c>
      <c r="B25" s="283">
        <v>148865.68999999994</v>
      </c>
      <c r="C25" s="284"/>
    </row>
    <row r="26" spans="1:3">
      <c r="A26" s="278" t="s">
        <v>517</v>
      </c>
      <c r="B26" s="281"/>
      <c r="C26" s="280">
        <v>97007.109999999986</v>
      </c>
    </row>
    <row r="27" spans="1:3">
      <c r="A27" s="278" t="s">
        <v>518</v>
      </c>
      <c r="B27" s="281"/>
      <c r="C27" s="280">
        <v>472752.63</v>
      </c>
    </row>
    <row r="28" spans="1:3">
      <c r="A28" s="278" t="s">
        <v>519</v>
      </c>
      <c r="B28" s="281"/>
      <c r="C28" s="280">
        <v>295037.39</v>
      </c>
    </row>
    <row r="29" spans="1:3">
      <c r="A29" s="278" t="s">
        <v>520</v>
      </c>
      <c r="B29" s="281"/>
      <c r="C29" s="280">
        <v>1462108.6499999997</v>
      </c>
    </row>
    <row r="30" spans="1:3">
      <c r="A30" s="278" t="s">
        <v>521</v>
      </c>
      <c r="B30" s="281"/>
      <c r="C30" s="280">
        <v>36340.660000000003</v>
      </c>
    </row>
    <row r="31" spans="1:3">
      <c r="A31" s="278" t="s">
        <v>522</v>
      </c>
      <c r="B31" s="283">
        <v>7946466.1900000004</v>
      </c>
      <c r="C31" s="284"/>
    </row>
    <row r="32" spans="1:3">
      <c r="A32" s="278" t="s">
        <v>523</v>
      </c>
      <c r="B32" s="281"/>
      <c r="C32" s="280">
        <v>6219409.5199999996</v>
      </c>
    </row>
    <row r="33" spans="1:8">
      <c r="A33" s="278" t="s">
        <v>524</v>
      </c>
      <c r="B33" s="281"/>
      <c r="C33" s="280">
        <v>1252408.8700000001</v>
      </c>
    </row>
    <row r="34" spans="1:8">
      <c r="A34" s="278"/>
      <c r="B34" s="281"/>
      <c r="C34" s="284"/>
    </row>
    <row r="35" spans="1:8" ht="18.600000000000001" thickBot="1">
      <c r="A35" s="285" t="s">
        <v>9</v>
      </c>
      <c r="B35" s="286">
        <f>+SUM(B9:B33)</f>
        <v>8113066.1100000003</v>
      </c>
      <c r="C35" s="287">
        <f>+SUM(C9:C33)</f>
        <v>18873795.220000003</v>
      </c>
    </row>
    <row r="36" spans="1:8" ht="15.6" thickTop="1">
      <c r="A36" s="272"/>
      <c r="B36" s="224"/>
      <c r="C36" s="224"/>
    </row>
    <row r="38" spans="1:8" ht="27.6">
      <c r="A38" s="302"/>
      <c r="B38" s="302"/>
      <c r="C38" s="282"/>
      <c r="D38" s="282"/>
      <c r="E38" s="302"/>
      <c r="F38" s="302"/>
      <c r="G38" s="302"/>
      <c r="H38" s="302"/>
    </row>
  </sheetData>
  <mergeCells count="4">
    <mergeCell ref="A1:C1"/>
    <mergeCell ref="A2:C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2"/>
  <sheetViews>
    <sheetView workbookViewId="0">
      <selection activeCell="N27" sqref="N27"/>
    </sheetView>
  </sheetViews>
  <sheetFormatPr defaultColWidth="8.90625" defaultRowHeight="15"/>
  <cols>
    <col min="1" max="1" width="4.90625" style="288" customWidth="1"/>
    <col min="2" max="2" width="17.453125" style="288" customWidth="1"/>
    <col min="3" max="3" width="9.81640625" style="288" customWidth="1"/>
    <col min="4" max="5" width="8.90625" style="288"/>
    <col min="6" max="6" width="11.08984375" style="288" customWidth="1"/>
    <col min="7" max="7" width="9.36328125" style="288" bestFit="1" customWidth="1"/>
    <col min="8" max="8" width="11.6328125" style="288" bestFit="1" customWidth="1"/>
    <col min="9" max="9" width="12.90625" style="288" customWidth="1"/>
    <col min="10" max="10" width="11.6328125" style="288" bestFit="1" customWidth="1"/>
    <col min="11" max="11" width="11.81640625" style="288" customWidth="1"/>
    <col min="12" max="14" width="8.90625" style="288"/>
    <col min="15" max="15" width="8.36328125" style="288" bestFit="1" customWidth="1"/>
    <col min="16" max="16384" width="8.90625" style="288"/>
  </cols>
  <sheetData>
    <row r="1" spans="1:15" ht="15.6">
      <c r="A1" s="378" t="s">
        <v>327</v>
      </c>
      <c r="B1" s="378"/>
      <c r="C1" s="378"/>
      <c r="D1" s="378"/>
      <c r="E1" s="378"/>
      <c r="F1" s="378"/>
      <c r="G1" s="378"/>
      <c r="H1" s="378"/>
      <c r="I1" s="378"/>
      <c r="J1" s="378"/>
      <c r="K1" s="378"/>
    </row>
    <row r="2" spans="1:15" ht="15.6">
      <c r="A2" s="378" t="s">
        <v>482</v>
      </c>
      <c r="B2" s="378"/>
      <c r="C2" s="378"/>
      <c r="D2" s="378"/>
      <c r="E2" s="378"/>
      <c r="F2" s="378"/>
      <c r="G2" s="378"/>
      <c r="H2" s="378"/>
      <c r="I2" s="378"/>
      <c r="J2" s="378"/>
      <c r="K2" s="378"/>
    </row>
    <row r="3" spans="1:15" ht="15.6">
      <c r="A3" s="378" t="s">
        <v>564</v>
      </c>
      <c r="B3" s="378"/>
      <c r="C3" s="378"/>
      <c r="D3" s="378"/>
      <c r="E3" s="378"/>
      <c r="F3" s="378"/>
      <c r="G3" s="378"/>
      <c r="H3" s="378"/>
      <c r="I3" s="378"/>
      <c r="J3" s="378"/>
      <c r="K3" s="378"/>
    </row>
    <row r="4" spans="1:15" ht="15.6" thickBot="1">
      <c r="I4" s="289" t="s">
        <v>590</v>
      </c>
    </row>
    <row r="5" spans="1:15">
      <c r="A5" s="336"/>
      <c r="B5" s="336"/>
      <c r="C5" s="336"/>
      <c r="D5" s="336" t="s">
        <v>565</v>
      </c>
      <c r="E5" s="336" t="s">
        <v>566</v>
      </c>
      <c r="F5" s="336" t="s">
        <v>567</v>
      </c>
      <c r="G5" s="336" t="s">
        <v>567</v>
      </c>
      <c r="H5" s="336" t="s">
        <v>568</v>
      </c>
      <c r="I5" s="352" t="s">
        <v>569</v>
      </c>
      <c r="J5" s="336" t="s">
        <v>570</v>
      </c>
      <c r="K5" s="336" t="s">
        <v>571</v>
      </c>
      <c r="L5" s="335"/>
    </row>
    <row r="6" spans="1:15">
      <c r="A6" s="337"/>
      <c r="B6" s="337" t="s">
        <v>572</v>
      </c>
      <c r="C6" s="337" t="s">
        <v>573</v>
      </c>
      <c r="D6" s="337" t="s">
        <v>574</v>
      </c>
      <c r="E6" s="337" t="s">
        <v>574</v>
      </c>
      <c r="F6" s="337" t="s">
        <v>575</v>
      </c>
      <c r="G6" s="337" t="s">
        <v>576</v>
      </c>
      <c r="H6" s="337" t="s">
        <v>577</v>
      </c>
      <c r="I6" s="353" t="s">
        <v>578</v>
      </c>
      <c r="J6" s="337" t="s">
        <v>579</v>
      </c>
      <c r="K6" s="337" t="s">
        <v>580</v>
      </c>
      <c r="L6" s="335"/>
      <c r="N6" s="290"/>
      <c r="O6" s="291"/>
    </row>
    <row r="7" spans="1:15">
      <c r="A7" s="337" t="s">
        <v>581</v>
      </c>
      <c r="B7" s="337"/>
      <c r="C7" s="337" t="s">
        <v>582</v>
      </c>
      <c r="D7" s="337" t="s">
        <v>583</v>
      </c>
      <c r="E7" s="337" t="s">
        <v>583</v>
      </c>
      <c r="F7" s="337"/>
      <c r="G7" s="337" t="s">
        <v>584</v>
      </c>
      <c r="H7" s="337" t="s">
        <v>585</v>
      </c>
      <c r="I7" s="353" t="s">
        <v>580</v>
      </c>
      <c r="J7" s="337" t="s">
        <v>585</v>
      </c>
      <c r="K7" s="337"/>
      <c r="L7" s="335"/>
      <c r="O7" s="292"/>
    </row>
    <row r="8" spans="1:15">
      <c r="A8" s="337" t="s">
        <v>6</v>
      </c>
      <c r="B8" s="337" t="s">
        <v>586</v>
      </c>
      <c r="C8" s="337" t="s">
        <v>541</v>
      </c>
      <c r="D8" s="337" t="s">
        <v>587</v>
      </c>
      <c r="E8" s="337" t="s">
        <v>545</v>
      </c>
      <c r="F8" s="337" t="s">
        <v>588</v>
      </c>
      <c r="G8" s="337" t="s">
        <v>549</v>
      </c>
      <c r="H8" s="337" t="s">
        <v>551</v>
      </c>
      <c r="I8" s="353" t="s">
        <v>553</v>
      </c>
      <c r="J8" s="337" t="s">
        <v>555</v>
      </c>
      <c r="K8" s="337" t="s">
        <v>557</v>
      </c>
      <c r="L8" s="335"/>
      <c r="O8" s="292"/>
    </row>
    <row r="9" spans="1:15">
      <c r="A9" s="349">
        <v>1</v>
      </c>
      <c r="B9" s="339" t="s">
        <v>525</v>
      </c>
      <c r="C9" s="338">
        <v>3370</v>
      </c>
      <c r="D9" s="342">
        <v>7</v>
      </c>
      <c r="E9" s="346">
        <v>0.375</v>
      </c>
      <c r="F9" s="343">
        <v>2494</v>
      </c>
      <c r="G9" s="343">
        <v>387</v>
      </c>
      <c r="H9" s="343">
        <v>0</v>
      </c>
      <c r="I9" s="351">
        <v>489</v>
      </c>
      <c r="J9" s="343">
        <v>0</v>
      </c>
      <c r="K9" s="328">
        <v>25</v>
      </c>
      <c r="L9" s="335"/>
      <c r="O9" s="292"/>
    </row>
    <row r="10" spans="1:15">
      <c r="A10" s="349">
        <v>2</v>
      </c>
      <c r="B10" s="339" t="s">
        <v>526</v>
      </c>
      <c r="C10" s="338">
        <v>2404</v>
      </c>
      <c r="D10" s="342">
        <v>4</v>
      </c>
      <c r="E10" s="345">
        <v>0.375</v>
      </c>
      <c r="F10" s="343">
        <v>1742</v>
      </c>
      <c r="G10" s="343">
        <v>251</v>
      </c>
      <c r="H10" s="343">
        <v>0</v>
      </c>
      <c r="I10" s="351">
        <v>411</v>
      </c>
      <c r="J10" s="343">
        <v>0</v>
      </c>
      <c r="K10" s="328">
        <v>17</v>
      </c>
      <c r="L10" s="335"/>
      <c r="O10" s="292"/>
    </row>
    <row r="11" spans="1:15">
      <c r="A11" s="349">
        <v>3</v>
      </c>
      <c r="B11" s="339" t="s">
        <v>527</v>
      </c>
      <c r="C11" s="338">
        <v>2195</v>
      </c>
      <c r="D11" s="342">
        <v>28</v>
      </c>
      <c r="E11" s="345">
        <v>0.70833333333333337</v>
      </c>
      <c r="F11" s="343">
        <v>1776</v>
      </c>
      <c r="G11" s="343">
        <v>280</v>
      </c>
      <c r="H11" s="338">
        <v>0</v>
      </c>
      <c r="I11" s="351">
        <v>139</v>
      </c>
      <c r="J11" s="343">
        <v>0</v>
      </c>
      <c r="K11" s="328">
        <v>22</v>
      </c>
      <c r="L11" s="335"/>
      <c r="O11" s="292"/>
    </row>
    <row r="12" spans="1:15">
      <c r="A12" s="349">
        <v>4</v>
      </c>
      <c r="B12" s="339" t="s">
        <v>528</v>
      </c>
      <c r="C12" s="338">
        <f>SUM(C9:C11)</f>
        <v>7969</v>
      </c>
      <c r="D12" s="342"/>
      <c r="E12" s="345"/>
      <c r="F12" s="343">
        <f>SUM(F9:F11)</f>
        <v>6012</v>
      </c>
      <c r="G12" s="343">
        <f>SUM(G9:G11)</f>
        <v>918</v>
      </c>
      <c r="H12" s="338">
        <f>SUM(H9:H11)</f>
        <v>0</v>
      </c>
      <c r="I12" s="351">
        <f t="shared" ref="I12:K12" si="0">SUM(I9:I11)</f>
        <v>1039</v>
      </c>
      <c r="J12" s="343">
        <f t="shared" si="0"/>
        <v>0</v>
      </c>
      <c r="K12" s="328">
        <f t="shared" si="0"/>
        <v>64</v>
      </c>
      <c r="L12" s="335"/>
      <c r="O12" s="292"/>
    </row>
    <row r="13" spans="1:15">
      <c r="A13" s="349">
        <v>5</v>
      </c>
      <c r="B13" s="339" t="s">
        <v>529</v>
      </c>
      <c r="C13" s="338">
        <v>2469</v>
      </c>
      <c r="D13" s="342">
        <v>29</v>
      </c>
      <c r="E13" s="345">
        <v>0.66666666666666663</v>
      </c>
      <c r="F13" s="343">
        <v>1815</v>
      </c>
      <c r="G13" s="343">
        <v>242</v>
      </c>
      <c r="H13" s="343">
        <v>0</v>
      </c>
      <c r="I13" s="351">
        <v>412</v>
      </c>
      <c r="J13" s="343">
        <v>0</v>
      </c>
      <c r="K13" s="328">
        <v>18</v>
      </c>
      <c r="L13" s="341"/>
      <c r="O13" s="292"/>
    </row>
    <row r="14" spans="1:15">
      <c r="A14" s="349">
        <v>6</v>
      </c>
      <c r="B14" s="339" t="s">
        <v>530</v>
      </c>
      <c r="C14" s="338">
        <v>2954</v>
      </c>
      <c r="D14" s="342">
        <v>18</v>
      </c>
      <c r="E14" s="345">
        <v>0.70833333333333337</v>
      </c>
      <c r="F14" s="343">
        <v>2169</v>
      </c>
      <c r="G14" s="343">
        <v>338</v>
      </c>
      <c r="H14" s="343">
        <v>0</v>
      </c>
      <c r="I14" s="351">
        <v>447</v>
      </c>
      <c r="J14" s="343">
        <v>0</v>
      </c>
      <c r="K14" s="328">
        <v>20</v>
      </c>
      <c r="L14" s="341"/>
      <c r="O14" s="292"/>
    </row>
    <row r="15" spans="1:15">
      <c r="A15" s="350">
        <v>7</v>
      </c>
      <c r="B15" s="355" t="s">
        <v>531</v>
      </c>
      <c r="C15" s="343">
        <v>3161</v>
      </c>
      <c r="D15" s="356">
        <v>16</v>
      </c>
      <c r="E15" s="357">
        <v>0.70833333333333337</v>
      </c>
      <c r="F15" s="343">
        <v>2354</v>
      </c>
      <c r="G15" s="343">
        <v>377</v>
      </c>
      <c r="H15" s="343">
        <v>0</v>
      </c>
      <c r="I15" s="351">
        <v>430</v>
      </c>
      <c r="J15" s="343">
        <v>0</v>
      </c>
      <c r="K15" s="328">
        <v>25</v>
      </c>
      <c r="L15" s="341"/>
      <c r="O15" s="292"/>
    </row>
    <row r="16" spans="1:15">
      <c r="A16" s="349">
        <v>8</v>
      </c>
      <c r="B16" s="339" t="s">
        <v>528</v>
      </c>
      <c r="C16" s="338">
        <f t="shared" ref="C16:K16" si="1">SUM(C13:C15)</f>
        <v>8584</v>
      </c>
      <c r="D16" s="354"/>
      <c r="E16" s="345"/>
      <c r="F16" s="343">
        <f t="shared" si="1"/>
        <v>6338</v>
      </c>
      <c r="G16" s="343">
        <f t="shared" si="1"/>
        <v>957</v>
      </c>
      <c r="H16" s="338">
        <f t="shared" si="1"/>
        <v>0</v>
      </c>
      <c r="I16" s="351">
        <f t="shared" si="1"/>
        <v>1289</v>
      </c>
      <c r="J16" s="343">
        <f t="shared" si="1"/>
        <v>0</v>
      </c>
      <c r="K16" s="328">
        <f t="shared" si="1"/>
        <v>63</v>
      </c>
      <c r="L16" s="335"/>
      <c r="O16" s="292"/>
    </row>
    <row r="17" spans="1:15">
      <c r="A17" s="349">
        <v>9</v>
      </c>
      <c r="B17" s="339" t="s">
        <v>532</v>
      </c>
      <c r="C17" s="338">
        <v>3436</v>
      </c>
      <c r="D17" s="342">
        <v>28</v>
      </c>
      <c r="E17" s="346">
        <v>0.70833333333333337</v>
      </c>
      <c r="F17" s="343">
        <v>2547</v>
      </c>
      <c r="G17" s="343">
        <v>402</v>
      </c>
      <c r="H17" s="338">
        <v>0</v>
      </c>
      <c r="I17" s="351">
        <v>487</v>
      </c>
      <c r="J17" s="343">
        <v>0</v>
      </c>
      <c r="K17" s="328">
        <v>27</v>
      </c>
      <c r="L17" s="335"/>
      <c r="O17" s="292"/>
    </row>
    <row r="18" spans="1:15">
      <c r="A18" s="350">
        <v>10</v>
      </c>
      <c r="B18" s="355" t="s">
        <v>533</v>
      </c>
      <c r="C18" s="343">
        <v>3155</v>
      </c>
      <c r="D18" s="356">
        <v>13</v>
      </c>
      <c r="E18" s="357">
        <v>0.75</v>
      </c>
      <c r="F18" s="343">
        <v>2332</v>
      </c>
      <c r="G18" s="343">
        <v>353</v>
      </c>
      <c r="H18" s="343">
        <v>0</v>
      </c>
      <c r="I18" s="351">
        <v>470</v>
      </c>
      <c r="J18" s="343">
        <v>0</v>
      </c>
      <c r="K18" s="328">
        <v>29</v>
      </c>
      <c r="L18" s="335"/>
      <c r="O18" s="292"/>
    </row>
    <row r="19" spans="1:15">
      <c r="A19" s="349">
        <v>11</v>
      </c>
      <c r="B19" s="339" t="s">
        <v>534</v>
      </c>
      <c r="C19" s="338">
        <v>3064</v>
      </c>
      <c r="D19" s="342">
        <v>18</v>
      </c>
      <c r="E19" s="345">
        <v>0.66666666666666663</v>
      </c>
      <c r="F19" s="343">
        <v>2246</v>
      </c>
      <c r="G19" s="343">
        <v>357</v>
      </c>
      <c r="H19" s="338">
        <v>0</v>
      </c>
      <c r="I19" s="351">
        <v>461</v>
      </c>
      <c r="J19" s="343">
        <v>0</v>
      </c>
      <c r="K19" s="328">
        <v>24</v>
      </c>
      <c r="L19" s="341"/>
    </row>
    <row r="20" spans="1:15">
      <c r="A20" s="349">
        <v>12</v>
      </c>
      <c r="B20" s="339" t="s">
        <v>528</v>
      </c>
      <c r="C20" s="338">
        <f t="shared" ref="C20:K20" si="2">SUM(C17:C19)</f>
        <v>9655</v>
      </c>
      <c r="D20" s="342"/>
      <c r="E20" s="345"/>
      <c r="F20" s="343">
        <f t="shared" si="2"/>
        <v>7125</v>
      </c>
      <c r="G20" s="343">
        <f t="shared" si="2"/>
        <v>1112</v>
      </c>
      <c r="H20" s="338">
        <f t="shared" si="2"/>
        <v>0</v>
      </c>
      <c r="I20" s="351">
        <f t="shared" si="2"/>
        <v>1418</v>
      </c>
      <c r="J20" s="343">
        <f t="shared" si="2"/>
        <v>0</v>
      </c>
      <c r="K20" s="328">
        <f t="shared" si="2"/>
        <v>80</v>
      </c>
      <c r="L20" s="335"/>
    </row>
    <row r="21" spans="1:15">
      <c r="A21" s="349">
        <v>13</v>
      </c>
      <c r="B21" s="339" t="s">
        <v>535</v>
      </c>
      <c r="C21" s="338">
        <v>2889</v>
      </c>
      <c r="D21" s="342">
        <v>10</v>
      </c>
      <c r="E21" s="345">
        <v>0.66666666666666663</v>
      </c>
      <c r="F21" s="343">
        <v>2108</v>
      </c>
      <c r="G21" s="343">
        <v>332</v>
      </c>
      <c r="H21" s="338">
        <v>0</v>
      </c>
      <c r="I21" s="351">
        <v>449</v>
      </c>
      <c r="J21" s="343">
        <v>0</v>
      </c>
      <c r="K21" s="328">
        <v>21</v>
      </c>
      <c r="L21" s="341"/>
    </row>
    <row r="22" spans="1:15">
      <c r="A22" s="349">
        <v>14</v>
      </c>
      <c r="B22" s="339" t="s">
        <v>536</v>
      </c>
      <c r="C22" s="338">
        <v>2457</v>
      </c>
      <c r="D22" s="342">
        <v>3</v>
      </c>
      <c r="E22" s="345">
        <v>0.66666666666666663</v>
      </c>
      <c r="F22" s="343">
        <v>1765</v>
      </c>
      <c r="G22" s="343">
        <v>278</v>
      </c>
      <c r="H22" s="338">
        <v>0</v>
      </c>
      <c r="I22" s="351">
        <v>414</v>
      </c>
      <c r="J22" s="343">
        <v>0</v>
      </c>
      <c r="K22" s="328">
        <v>17</v>
      </c>
      <c r="L22" s="341"/>
    </row>
    <row r="23" spans="1:15">
      <c r="A23" s="349">
        <v>15</v>
      </c>
      <c r="B23" s="339" t="s">
        <v>537</v>
      </c>
      <c r="C23" s="338">
        <v>2859</v>
      </c>
      <c r="D23" s="342">
        <v>31</v>
      </c>
      <c r="E23" s="345">
        <v>0</v>
      </c>
      <c r="F23" s="343">
        <v>2160</v>
      </c>
      <c r="G23" s="343">
        <v>331</v>
      </c>
      <c r="H23" s="338">
        <v>0</v>
      </c>
      <c r="I23" s="351">
        <v>368</v>
      </c>
      <c r="J23" s="343">
        <v>0</v>
      </c>
      <c r="K23" s="328">
        <v>25</v>
      </c>
      <c r="L23" s="341"/>
    </row>
    <row r="24" spans="1:15">
      <c r="A24" s="349">
        <v>16</v>
      </c>
      <c r="B24" s="339" t="s">
        <v>528</v>
      </c>
      <c r="C24" s="338">
        <f t="shared" ref="C24:K24" si="3">SUM(C21:C23)</f>
        <v>8205</v>
      </c>
      <c r="D24" s="342"/>
      <c r="E24" s="345"/>
      <c r="F24" s="343">
        <f t="shared" si="3"/>
        <v>6033</v>
      </c>
      <c r="G24" s="338">
        <f t="shared" si="3"/>
        <v>941</v>
      </c>
      <c r="H24" s="338">
        <f t="shared" si="3"/>
        <v>0</v>
      </c>
      <c r="I24" s="351">
        <f t="shared" si="3"/>
        <v>1231</v>
      </c>
      <c r="J24" s="343">
        <f t="shared" si="3"/>
        <v>0</v>
      </c>
      <c r="K24" s="327">
        <f t="shared" si="3"/>
        <v>63</v>
      </c>
      <c r="L24" s="335"/>
    </row>
    <row r="25" spans="1:15">
      <c r="A25" s="349">
        <v>17</v>
      </c>
      <c r="B25" s="339" t="s">
        <v>538</v>
      </c>
      <c r="C25" s="338">
        <f>SUM(C12+C16+C20+C24)</f>
        <v>34413</v>
      </c>
      <c r="D25" s="342"/>
      <c r="E25" s="345"/>
      <c r="F25" s="343">
        <f t="shared" ref="F25:K25" si="4">SUM(F12+F16+F20+F24)</f>
        <v>25508</v>
      </c>
      <c r="G25" s="338">
        <f t="shared" si="4"/>
        <v>3928</v>
      </c>
      <c r="H25" s="338">
        <f t="shared" si="4"/>
        <v>0</v>
      </c>
      <c r="I25" s="351">
        <f t="shared" si="4"/>
        <v>4977</v>
      </c>
      <c r="J25" s="343">
        <f t="shared" si="4"/>
        <v>0</v>
      </c>
      <c r="K25" s="327">
        <f t="shared" si="4"/>
        <v>270</v>
      </c>
      <c r="L25" s="335"/>
    </row>
    <row r="26" spans="1:15" ht="15.6" thickBot="1">
      <c r="A26" s="347"/>
      <c r="B26" s="348" t="s">
        <v>589</v>
      </c>
      <c r="C26" s="325">
        <f>C25/12</f>
        <v>2867.75</v>
      </c>
      <c r="D26" s="348"/>
      <c r="E26" s="326"/>
      <c r="F26" s="348">
        <f t="shared" ref="F26:K26" si="5">F25/12</f>
        <v>2125.6666666666665</v>
      </c>
      <c r="G26" s="348">
        <f t="shared" si="5"/>
        <v>327.33333333333331</v>
      </c>
      <c r="H26" s="348">
        <f t="shared" si="5"/>
        <v>0</v>
      </c>
      <c r="I26" s="332">
        <f t="shared" si="5"/>
        <v>414.75</v>
      </c>
      <c r="J26" s="348">
        <f t="shared" si="5"/>
        <v>0</v>
      </c>
      <c r="K26" s="331">
        <f t="shared" si="5"/>
        <v>22.5</v>
      </c>
      <c r="L26" s="335"/>
    </row>
    <row r="27" spans="1:15" s="334" customFormat="1">
      <c r="A27" s="340"/>
      <c r="B27" s="340"/>
      <c r="C27" s="340"/>
      <c r="D27" s="340"/>
      <c r="E27" s="344"/>
      <c r="F27" s="340"/>
      <c r="G27" s="340"/>
      <c r="H27" s="340"/>
      <c r="I27" s="340"/>
      <c r="J27" s="340"/>
      <c r="K27" s="340"/>
      <c r="L27" s="340"/>
    </row>
    <row r="28" spans="1:15" s="334" customFormat="1">
      <c r="A28" s="340"/>
      <c r="B28" s="340"/>
      <c r="C28" s="340"/>
      <c r="D28" s="340"/>
      <c r="E28" s="344"/>
      <c r="F28" s="340"/>
      <c r="G28" s="340"/>
      <c r="H28" s="340"/>
      <c r="I28" s="340"/>
      <c r="J28" s="340"/>
      <c r="K28" s="340"/>
      <c r="L28" s="340"/>
    </row>
    <row r="30" spans="1:15" ht="15.6">
      <c r="A30" s="294" t="s">
        <v>539</v>
      </c>
    </row>
    <row r="31" spans="1:15">
      <c r="A31" s="295" t="s">
        <v>540</v>
      </c>
    </row>
    <row r="32" spans="1:15" ht="38.4" customHeight="1">
      <c r="A32" s="296" t="s">
        <v>541</v>
      </c>
      <c r="B32" s="380" t="s">
        <v>542</v>
      </c>
      <c r="C32" s="380"/>
      <c r="D32" s="380"/>
      <c r="E32" s="380"/>
      <c r="F32" s="380"/>
      <c r="G32" s="380"/>
      <c r="H32" s="380"/>
      <c r="I32" s="380"/>
      <c r="J32" s="380"/>
      <c r="K32" s="380"/>
    </row>
    <row r="33" spans="1:12">
      <c r="A33" s="296" t="s">
        <v>543</v>
      </c>
      <c r="B33" s="381" t="s">
        <v>544</v>
      </c>
      <c r="C33" s="381"/>
      <c r="D33" s="381"/>
      <c r="E33" s="381"/>
      <c r="F33" s="381"/>
      <c r="G33" s="381"/>
      <c r="H33" s="381"/>
      <c r="I33" s="381"/>
      <c r="J33" s="381"/>
      <c r="K33" s="381"/>
    </row>
    <row r="34" spans="1:12">
      <c r="A34" s="296" t="s">
        <v>545</v>
      </c>
      <c r="B34" s="379" t="s">
        <v>546</v>
      </c>
      <c r="C34" s="379"/>
      <c r="D34" s="379"/>
      <c r="E34" s="379"/>
      <c r="F34" s="379"/>
      <c r="G34" s="379"/>
      <c r="H34" s="379"/>
      <c r="I34" s="379"/>
      <c r="J34" s="379"/>
      <c r="K34" s="379"/>
    </row>
    <row r="35" spans="1:12" ht="43.95" customHeight="1">
      <c r="A35" s="296" t="s">
        <v>547</v>
      </c>
      <c r="B35" s="380" t="s">
        <v>548</v>
      </c>
      <c r="C35" s="380"/>
      <c r="D35" s="380"/>
      <c r="E35" s="380"/>
      <c r="F35" s="380"/>
      <c r="G35" s="380"/>
      <c r="H35" s="380"/>
      <c r="I35" s="380"/>
      <c r="J35" s="380"/>
      <c r="K35" s="380"/>
    </row>
    <row r="36" spans="1:12" ht="33" customHeight="1">
      <c r="A36" s="296" t="s">
        <v>549</v>
      </c>
      <c r="B36" s="380" t="s">
        <v>550</v>
      </c>
      <c r="C36" s="380"/>
      <c r="D36" s="380"/>
      <c r="E36" s="380"/>
      <c r="F36" s="380"/>
      <c r="G36" s="380"/>
      <c r="H36" s="380"/>
      <c r="I36" s="380"/>
      <c r="J36" s="380"/>
      <c r="K36" s="380"/>
    </row>
    <row r="37" spans="1:12" ht="30" customHeight="1">
      <c r="A37" s="296" t="s">
        <v>551</v>
      </c>
      <c r="B37" s="382" t="s">
        <v>552</v>
      </c>
      <c r="C37" s="382"/>
      <c r="D37" s="382"/>
      <c r="E37" s="382"/>
      <c r="F37" s="382"/>
      <c r="G37" s="382"/>
      <c r="H37" s="382"/>
      <c r="I37" s="382"/>
      <c r="J37" s="382"/>
      <c r="K37" s="382"/>
    </row>
    <row r="38" spans="1:12" ht="33" customHeight="1">
      <c r="A38" s="296" t="s">
        <v>553</v>
      </c>
      <c r="B38" s="380" t="s">
        <v>554</v>
      </c>
      <c r="C38" s="380"/>
      <c r="D38" s="380"/>
      <c r="E38" s="380"/>
      <c r="F38" s="380"/>
      <c r="G38" s="380"/>
      <c r="H38" s="380"/>
      <c r="I38" s="380"/>
      <c r="J38" s="380"/>
      <c r="K38" s="380"/>
    </row>
    <row r="39" spans="1:12" ht="40.200000000000003" customHeight="1">
      <c r="A39" s="296" t="s">
        <v>555</v>
      </c>
      <c r="B39" s="380" t="s">
        <v>556</v>
      </c>
      <c r="C39" s="380"/>
      <c r="D39" s="380"/>
      <c r="E39" s="380"/>
      <c r="F39" s="380"/>
      <c r="G39" s="380"/>
      <c r="H39" s="380"/>
      <c r="I39" s="380"/>
      <c r="J39" s="380"/>
      <c r="K39" s="380"/>
    </row>
    <row r="40" spans="1:12" ht="409.6">
      <c r="A40" s="296" t="s">
        <v>557</v>
      </c>
      <c r="B40" s="379" t="s">
        <v>558</v>
      </c>
      <c r="C40" s="379"/>
      <c r="D40" s="379"/>
      <c r="E40" s="379"/>
      <c r="F40" s="379"/>
      <c r="G40" s="379"/>
      <c r="H40" s="379"/>
      <c r="I40" s="379"/>
      <c r="J40" s="379"/>
      <c r="K40" s="379"/>
    </row>
    <row r="43" spans="1:12" ht="409.6">
      <c r="A43" s="379" t="s">
        <v>559</v>
      </c>
      <c r="B43" s="379"/>
      <c r="C43" s="379"/>
      <c r="D43" s="379"/>
      <c r="E43" s="379"/>
      <c r="F43" s="379"/>
      <c r="G43" s="379"/>
      <c r="H43" s="379"/>
      <c r="I43" s="379"/>
      <c r="J43" s="379"/>
      <c r="K43" s="379"/>
    </row>
    <row r="44" spans="1:12" ht="409.6">
      <c r="A44" s="379" t="s">
        <v>560</v>
      </c>
      <c r="B44" s="379"/>
      <c r="C44" s="379"/>
      <c r="D44" s="379"/>
      <c r="E44" s="379"/>
      <c r="F44" s="379"/>
      <c r="G44" s="379"/>
      <c r="H44" s="379"/>
      <c r="I44" s="379"/>
      <c r="J44" s="379"/>
      <c r="K44" s="379"/>
    </row>
    <row r="46" spans="1:12" ht="31.95" customHeight="1">
      <c r="A46" s="383" t="s">
        <v>561</v>
      </c>
      <c r="B46" s="383"/>
      <c r="C46" s="383"/>
      <c r="D46" s="383"/>
      <c r="E46" s="383"/>
      <c r="F46" s="383"/>
      <c r="G46" s="383"/>
      <c r="H46" s="383"/>
      <c r="I46" s="383"/>
      <c r="J46" s="383"/>
      <c r="K46" s="383"/>
      <c r="L46" s="293"/>
    </row>
    <row r="47" spans="1:12" ht="409.6">
      <c r="A47" s="384" t="s">
        <v>562</v>
      </c>
      <c r="B47" s="384"/>
      <c r="C47" s="384"/>
      <c r="D47" s="384"/>
      <c r="E47" s="384"/>
      <c r="F47" s="384"/>
      <c r="G47" s="384"/>
      <c r="H47" s="384"/>
      <c r="I47" s="384"/>
      <c r="J47" s="384"/>
      <c r="K47" s="384"/>
      <c r="L47" s="293"/>
    </row>
    <row r="48" spans="1:12" ht="409.6">
      <c r="L48" s="293"/>
    </row>
    <row r="49" spans="1:12" ht="32.4" customHeight="1">
      <c r="A49" s="385" t="s">
        <v>563</v>
      </c>
      <c r="B49" s="385"/>
      <c r="C49" s="385"/>
      <c r="D49" s="385"/>
      <c r="E49" s="385"/>
      <c r="F49" s="385"/>
      <c r="G49" s="385"/>
      <c r="H49" s="385"/>
      <c r="I49" s="385"/>
      <c r="J49" s="385"/>
      <c r="K49" s="385"/>
      <c r="L49" s="293"/>
    </row>
    <row r="50" spans="1:12" ht="409.6">
      <c r="L50" s="293"/>
    </row>
    <row r="51" spans="1:12" ht="409.6">
      <c r="L51" s="293"/>
    </row>
    <row r="52" spans="1:12" ht="409.6">
      <c r="L52" s="293"/>
    </row>
  </sheetData>
  <mergeCells count="17">
    <mergeCell ref="A43:K43"/>
    <mergeCell ref="A44:K44"/>
    <mergeCell ref="A46:K46"/>
    <mergeCell ref="A47:K47"/>
    <mergeCell ref="A49:K49"/>
    <mergeCell ref="B40:K40"/>
    <mergeCell ref="A1:K1"/>
    <mergeCell ref="A2:K2"/>
    <mergeCell ref="A3:K3"/>
    <mergeCell ref="B32:K32"/>
    <mergeCell ref="B33:K33"/>
    <mergeCell ref="B34:K34"/>
    <mergeCell ref="B35:K35"/>
    <mergeCell ref="B36:K36"/>
    <mergeCell ref="B37:K37"/>
    <mergeCell ref="B38:K38"/>
    <mergeCell ref="B39:K39"/>
  </mergeCells>
  <pageMargins left="0.75" right="0.75" top="1" bottom="1" header="0.5" footer="0.5"/>
  <pageSetup scale="63" orientation="portrait" r:id="rId1"/>
  <headerFooter alignWithMargins="0">
    <oddFooter>&amp;C2016 TP Peak</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4"/>
  <sheetViews>
    <sheetView workbookViewId="0">
      <selection activeCell="E19" sqref="E19"/>
    </sheetView>
  </sheetViews>
  <sheetFormatPr defaultRowHeight="15"/>
  <cols>
    <col min="4" max="4" width="76.36328125" bestFit="1" customWidth="1"/>
    <col min="5" max="5" width="14.54296875" customWidth="1"/>
  </cols>
  <sheetData>
    <row r="4" spans="2:5" ht="15.6">
      <c r="B4" s="202" t="s">
        <v>363</v>
      </c>
      <c r="C4" s="202" t="s">
        <v>364</v>
      </c>
      <c r="D4" s="202" t="s">
        <v>365</v>
      </c>
      <c r="E4" s="202" t="s">
        <v>366</v>
      </c>
    </row>
    <row r="5" spans="2:5" ht="15.6">
      <c r="B5" s="90">
        <v>1</v>
      </c>
      <c r="D5" s="203" t="s">
        <v>367</v>
      </c>
      <c r="E5" s="204" t="str">
        <f>+'Nonlevelized-IOU'!D7</f>
        <v>Cleco Power LLC</v>
      </c>
    </row>
    <row r="6" spans="2:5" ht="15.6">
      <c r="B6" s="90">
        <v>1</v>
      </c>
      <c r="C6" s="90">
        <v>4</v>
      </c>
      <c r="D6" s="205" t="s">
        <v>368</v>
      </c>
      <c r="E6" s="206">
        <f>+'Nonlevelized-IOU'!D16</f>
        <v>15907850</v>
      </c>
    </row>
    <row r="7" spans="2:5" ht="15.6">
      <c r="B7" s="90">
        <v>1</v>
      </c>
      <c r="C7" s="90">
        <v>5</v>
      </c>
      <c r="D7" s="205" t="s">
        <v>369</v>
      </c>
      <c r="E7" s="206">
        <f>+'Nonlevelized-IOU'!D17</f>
        <v>0</v>
      </c>
    </row>
    <row r="8" spans="2:5" ht="15.6">
      <c r="B8" s="90">
        <v>1</v>
      </c>
      <c r="C8" s="90" t="s">
        <v>346</v>
      </c>
      <c r="D8" s="81" t="s">
        <v>347</v>
      </c>
      <c r="E8" s="206">
        <f>+'Nonlevelized-IOU'!I20</f>
        <v>-793661.38806363195</v>
      </c>
    </row>
    <row r="9" spans="2:5" ht="15.6">
      <c r="B9" s="90">
        <v>1</v>
      </c>
      <c r="C9" s="90" t="s">
        <v>348</v>
      </c>
      <c r="D9" s="81" t="s">
        <v>349</v>
      </c>
      <c r="E9" s="206">
        <f>+'Nonlevelized-IOU'!I21</f>
        <v>-29573.577413173451</v>
      </c>
    </row>
    <row r="10" spans="2:5" ht="15.6">
      <c r="B10" s="90">
        <v>1</v>
      </c>
      <c r="C10" s="90">
        <v>8</v>
      </c>
      <c r="D10" s="205" t="s">
        <v>15</v>
      </c>
      <c r="E10" s="206">
        <f>+'Nonlevelized-IOU'!I27</f>
        <v>2867750</v>
      </c>
    </row>
    <row r="11" spans="2:5" ht="15.6">
      <c r="B11" s="90">
        <v>1</v>
      </c>
      <c r="C11" s="90">
        <v>9</v>
      </c>
      <c r="D11" s="205" t="s">
        <v>167</v>
      </c>
      <c r="E11" s="206">
        <f>+'Nonlevelized-IOU'!I28</f>
        <v>0</v>
      </c>
    </row>
    <row r="12" spans="2:5" ht="15.6">
      <c r="B12" s="90">
        <v>1</v>
      </c>
      <c r="C12" s="90">
        <v>10</v>
      </c>
      <c r="D12" s="205" t="s">
        <v>168</v>
      </c>
      <c r="E12" s="206">
        <f>+'Nonlevelized-IOU'!I29</f>
        <v>0</v>
      </c>
    </row>
    <row r="13" spans="2:5" ht="15.6">
      <c r="B13" s="90">
        <v>1</v>
      </c>
      <c r="C13" s="90">
        <v>11</v>
      </c>
      <c r="D13" s="207" t="s">
        <v>157</v>
      </c>
      <c r="E13" s="206">
        <f>+'Nonlevelized-IOU'!I30</f>
        <v>0</v>
      </c>
    </row>
    <row r="14" spans="2:5" ht="15.6">
      <c r="B14" s="90">
        <v>1</v>
      </c>
      <c r="C14" s="90">
        <v>12</v>
      </c>
      <c r="D14" s="207" t="s">
        <v>144</v>
      </c>
      <c r="E14" s="206">
        <f>+'Nonlevelized-IOU'!I31</f>
        <v>0</v>
      </c>
    </row>
    <row r="15" spans="2:5" ht="15.6">
      <c r="B15" s="90">
        <v>1</v>
      </c>
      <c r="C15" s="90">
        <v>13</v>
      </c>
      <c r="D15" s="207" t="s">
        <v>370</v>
      </c>
      <c r="E15" s="206">
        <f>+'Nonlevelized-IOU'!I32</f>
        <v>-414750</v>
      </c>
    </row>
    <row r="16" spans="2:5" ht="15.6">
      <c r="B16" s="90">
        <v>1</v>
      </c>
      <c r="C16" s="90">
        <v>14</v>
      </c>
      <c r="D16" s="81" t="s">
        <v>371</v>
      </c>
      <c r="E16" s="206">
        <f>+'Nonlevelized-IOU'!I33</f>
        <v>0</v>
      </c>
    </row>
    <row r="17" spans="2:5" ht="15.6">
      <c r="B17" s="90">
        <v>2</v>
      </c>
      <c r="C17" s="90">
        <v>1</v>
      </c>
      <c r="D17" s="205" t="s">
        <v>44</v>
      </c>
      <c r="E17" s="206">
        <f>+'Nonlevelized-IOU'!D81</f>
        <v>2321136974</v>
      </c>
    </row>
    <row r="18" spans="2:5" ht="15.6">
      <c r="B18" s="90">
        <v>2</v>
      </c>
      <c r="C18" s="90">
        <v>2</v>
      </c>
      <c r="D18" s="205" t="s">
        <v>46</v>
      </c>
      <c r="E18" s="206">
        <f>+'Nonlevelized-IOU'!D82</f>
        <v>722335688</v>
      </c>
    </row>
    <row r="19" spans="2:5" ht="15.6">
      <c r="B19" s="90">
        <v>2</v>
      </c>
      <c r="C19" s="90">
        <v>3</v>
      </c>
      <c r="D19" s="205" t="s">
        <v>47</v>
      </c>
      <c r="E19" s="206">
        <f>+'Nonlevelized-IOU'!D83</f>
        <v>1455913615</v>
      </c>
    </row>
    <row r="20" spans="2:5" ht="15.6">
      <c r="B20" s="90">
        <v>2</v>
      </c>
      <c r="C20" s="90">
        <v>4</v>
      </c>
      <c r="D20" s="205" t="s">
        <v>48</v>
      </c>
      <c r="E20" s="206">
        <f>+'Nonlevelized-IOU'!D84</f>
        <v>261964748</v>
      </c>
    </row>
    <row r="21" spans="2:5" ht="15.6">
      <c r="B21" s="90">
        <v>2</v>
      </c>
      <c r="C21" s="90">
        <v>5</v>
      </c>
      <c r="D21" s="205" t="s">
        <v>50</v>
      </c>
      <c r="E21" s="206">
        <f>+'Nonlevelized-IOU'!D85</f>
        <v>0</v>
      </c>
    </row>
    <row r="22" spans="2:5" ht="15.6">
      <c r="B22" s="90">
        <v>2</v>
      </c>
      <c r="C22" s="90">
        <v>7</v>
      </c>
      <c r="D22" s="205" t="s">
        <v>44</v>
      </c>
      <c r="E22" s="206">
        <f>+'Nonlevelized-IOU'!D89</f>
        <v>839915561</v>
      </c>
    </row>
    <row r="23" spans="2:5" ht="15.6">
      <c r="B23" s="90">
        <v>2</v>
      </c>
      <c r="C23" s="90">
        <v>8</v>
      </c>
      <c r="D23" s="205" t="s">
        <v>46</v>
      </c>
      <c r="E23" s="206">
        <f>+'Nonlevelized-IOU'!D90</f>
        <v>233670602</v>
      </c>
    </row>
    <row r="24" spans="2:5" ht="15.6">
      <c r="B24" s="90">
        <v>2</v>
      </c>
      <c r="C24" s="90">
        <v>9</v>
      </c>
      <c r="D24" s="205" t="s">
        <v>47</v>
      </c>
      <c r="E24" s="206">
        <f>+'Nonlevelized-IOU'!D91</f>
        <v>492741280</v>
      </c>
    </row>
    <row r="25" spans="2:5" ht="15.6">
      <c r="B25" s="90">
        <v>2</v>
      </c>
      <c r="C25" s="90">
        <v>10</v>
      </c>
      <c r="D25" s="205" t="s">
        <v>48</v>
      </c>
      <c r="E25" s="206">
        <f>+'Nonlevelized-IOU'!D92</f>
        <v>116132293</v>
      </c>
    </row>
    <row r="26" spans="2:5" ht="15.6">
      <c r="B26" s="90">
        <v>2</v>
      </c>
      <c r="C26" s="90">
        <v>11</v>
      </c>
      <c r="D26" s="205" t="s">
        <v>50</v>
      </c>
      <c r="E26" s="206">
        <f>+'Nonlevelized-IOU'!D93</f>
        <v>0</v>
      </c>
    </row>
    <row r="27" spans="2:5" ht="15.6">
      <c r="B27" s="90">
        <v>2</v>
      </c>
      <c r="C27" s="90">
        <v>19</v>
      </c>
      <c r="D27" s="205" t="s">
        <v>372</v>
      </c>
      <c r="E27" s="206">
        <f>+'Nonlevelized-IOU'!D105</f>
        <v>0</v>
      </c>
    </row>
    <row r="28" spans="2:5" ht="15.6">
      <c r="B28" s="90">
        <v>2</v>
      </c>
      <c r="C28" s="90">
        <v>20</v>
      </c>
      <c r="D28" s="205" t="s">
        <v>148</v>
      </c>
      <c r="E28" s="206">
        <f>+'Nonlevelized-IOU'!D106</f>
        <v>-650659250</v>
      </c>
    </row>
    <row r="29" spans="2:5" ht="15.6">
      <c r="B29" s="90">
        <v>2</v>
      </c>
      <c r="C29" s="90">
        <v>21</v>
      </c>
      <c r="D29" s="205" t="s">
        <v>149</v>
      </c>
      <c r="E29" s="206">
        <f>+'Nonlevelized-IOU'!D107</f>
        <v>0</v>
      </c>
    </row>
    <row r="30" spans="2:5" ht="15.6">
      <c r="B30" s="90">
        <v>2</v>
      </c>
      <c r="C30" s="90">
        <v>22</v>
      </c>
      <c r="D30" s="205" t="s">
        <v>373</v>
      </c>
      <c r="E30" s="206">
        <f>+'Nonlevelized-IOU'!D108</f>
        <v>126704084</v>
      </c>
    </row>
    <row r="31" spans="2:5" ht="15.6">
      <c r="B31" s="90">
        <v>2</v>
      </c>
      <c r="C31" s="90">
        <v>23</v>
      </c>
      <c r="D31" s="203" t="s">
        <v>150</v>
      </c>
      <c r="E31" s="206">
        <f>+'Nonlevelized-IOU'!D109</f>
        <v>0</v>
      </c>
    </row>
    <row r="32" spans="2:5" ht="15.6">
      <c r="B32" s="90">
        <v>2</v>
      </c>
      <c r="C32" s="90">
        <v>25</v>
      </c>
      <c r="D32" s="81" t="s">
        <v>60</v>
      </c>
      <c r="E32" s="206">
        <f>+'Nonlevelized-IOU'!D112</f>
        <v>309996</v>
      </c>
    </row>
    <row r="33" spans="2:5" ht="15.6">
      <c r="B33" s="90">
        <v>2</v>
      </c>
      <c r="C33" s="90">
        <v>27</v>
      </c>
      <c r="D33" s="205" t="s">
        <v>374</v>
      </c>
      <c r="E33" s="206">
        <f>+'Nonlevelized-IOU'!D116</f>
        <v>558266.97714535613</v>
      </c>
    </row>
    <row r="34" spans="2:5" ht="15.6">
      <c r="B34" s="90">
        <v>2</v>
      </c>
      <c r="C34" s="90">
        <v>28</v>
      </c>
      <c r="D34" s="81" t="s">
        <v>153</v>
      </c>
      <c r="E34" s="206">
        <f>+'Nonlevelized-IOU'!D117</f>
        <v>9123151</v>
      </c>
    </row>
    <row r="35" spans="2:5" ht="15.6">
      <c r="B35" s="90">
        <v>3</v>
      </c>
      <c r="C35" s="90">
        <v>1</v>
      </c>
      <c r="D35" s="205" t="s">
        <v>65</v>
      </c>
      <c r="E35" s="206">
        <f>+'Nonlevelized-IOU'!D147</f>
        <v>34485161.439999998</v>
      </c>
    </row>
    <row r="36" spans="2:5" ht="15.6">
      <c r="B36" s="90">
        <v>3</v>
      </c>
      <c r="C36" s="90" t="s">
        <v>221</v>
      </c>
      <c r="D36" s="111" t="s">
        <v>255</v>
      </c>
      <c r="E36" s="206">
        <f>+'Nonlevelized-IOU'!D148</f>
        <v>299123</v>
      </c>
    </row>
    <row r="37" spans="2:5" ht="15.6">
      <c r="B37" s="90">
        <v>3</v>
      </c>
      <c r="C37" s="90">
        <v>2</v>
      </c>
      <c r="D37" s="205" t="s">
        <v>66</v>
      </c>
      <c r="E37" s="206">
        <f>+'Nonlevelized-IOU'!D149</f>
        <v>25228632</v>
      </c>
    </row>
    <row r="38" spans="2:5" ht="15.6">
      <c r="B38" s="90">
        <v>3</v>
      </c>
      <c r="C38" s="90">
        <v>3</v>
      </c>
      <c r="D38" s="205" t="s">
        <v>67</v>
      </c>
      <c r="E38" s="206">
        <f>+'Nonlevelized-IOU'!D150</f>
        <v>54701779</v>
      </c>
    </row>
    <row r="39" spans="2:5" ht="15.6">
      <c r="B39" s="90">
        <v>3</v>
      </c>
      <c r="C39" s="90">
        <v>4</v>
      </c>
      <c r="D39" s="205" t="s">
        <v>68</v>
      </c>
      <c r="E39" s="206">
        <f>+'Nonlevelized-IOU'!D151</f>
        <v>554956</v>
      </c>
    </row>
    <row r="40" spans="2:5" ht="15.6">
      <c r="B40" s="90">
        <v>3</v>
      </c>
      <c r="C40" s="90">
        <v>5</v>
      </c>
      <c r="D40" s="205" t="s">
        <v>375</v>
      </c>
      <c r="E40" s="206">
        <f>+'Nonlevelized-IOU'!D152</f>
        <v>1206600</v>
      </c>
    </row>
    <row r="41" spans="2:5" ht="15.6">
      <c r="B41" s="90">
        <v>3</v>
      </c>
      <c r="C41" s="90" t="s">
        <v>193</v>
      </c>
      <c r="D41" s="205" t="s">
        <v>376</v>
      </c>
      <c r="E41" s="206">
        <f>+'Nonlevelized-IOU'!D153</f>
        <v>272501.79000000004</v>
      </c>
    </row>
    <row r="42" spans="2:5" ht="15.6">
      <c r="B42" s="90">
        <v>3</v>
      </c>
      <c r="C42" s="90">
        <v>6</v>
      </c>
      <c r="D42" s="205" t="s">
        <v>50</v>
      </c>
      <c r="E42" s="206">
        <f>+'Nonlevelized-IOU'!D154</f>
        <v>0</v>
      </c>
    </row>
    <row r="43" spans="2:5" ht="15.6">
      <c r="B43" s="90">
        <v>3</v>
      </c>
      <c r="C43" s="90">
        <v>7</v>
      </c>
      <c r="D43" s="205" t="s">
        <v>69</v>
      </c>
      <c r="E43" s="206">
        <f>+'Nonlevelized-IOU'!D155</f>
        <v>0</v>
      </c>
    </row>
    <row r="44" spans="2:5" ht="15.6">
      <c r="B44" s="90">
        <v>3</v>
      </c>
      <c r="C44" s="90">
        <v>9</v>
      </c>
      <c r="D44" s="205" t="s">
        <v>65</v>
      </c>
      <c r="E44" s="206">
        <f>+'Nonlevelized-IOU'!D159</f>
        <v>16723648</v>
      </c>
    </row>
    <row r="45" spans="2:5" ht="15.6">
      <c r="B45" s="90">
        <v>3</v>
      </c>
      <c r="C45" s="90">
        <v>10</v>
      </c>
      <c r="D45" s="205" t="s">
        <v>48</v>
      </c>
      <c r="E45" s="206">
        <f>+'Nonlevelized-IOU'!D160</f>
        <v>10118961</v>
      </c>
    </row>
    <row r="46" spans="2:5" ht="15.6">
      <c r="B46" s="90">
        <v>3</v>
      </c>
      <c r="C46" s="90">
        <v>11</v>
      </c>
      <c r="D46" s="205" t="s">
        <v>50</v>
      </c>
      <c r="E46" s="206">
        <f>+'Nonlevelized-IOU'!D161</f>
        <v>0</v>
      </c>
    </row>
    <row r="47" spans="2:5" ht="15.6">
      <c r="B47" s="90">
        <v>3</v>
      </c>
      <c r="C47" s="90">
        <v>13</v>
      </c>
      <c r="D47" s="205" t="s">
        <v>72</v>
      </c>
      <c r="E47" s="206">
        <f>+'Nonlevelized-IOU'!D166</f>
        <v>7310823</v>
      </c>
    </row>
    <row r="48" spans="2:5" ht="15.6">
      <c r="B48" s="90">
        <v>3</v>
      </c>
      <c r="C48" s="90">
        <v>14</v>
      </c>
      <c r="D48" s="205" t="s">
        <v>73</v>
      </c>
      <c r="E48" s="206">
        <f>+'Nonlevelized-IOU'!D167</f>
        <v>0</v>
      </c>
    </row>
    <row r="49" spans="2:5" ht="15.6">
      <c r="B49" s="90">
        <v>3</v>
      </c>
      <c r="C49" s="90">
        <v>16</v>
      </c>
      <c r="D49" s="205" t="s">
        <v>75</v>
      </c>
      <c r="E49" s="206">
        <f>+'Nonlevelized-IOU'!D169</f>
        <v>34407985</v>
      </c>
    </row>
    <row r="50" spans="2:5" ht="15.6">
      <c r="B50" s="90">
        <v>3</v>
      </c>
      <c r="C50" s="90">
        <v>17</v>
      </c>
      <c r="D50" s="205" t="s">
        <v>76</v>
      </c>
      <c r="E50" s="206">
        <f>+'Nonlevelized-IOU'!D170</f>
        <v>0</v>
      </c>
    </row>
    <row r="51" spans="2:5" ht="15.6">
      <c r="B51" s="90">
        <v>3</v>
      </c>
      <c r="C51" s="90">
        <v>18</v>
      </c>
      <c r="D51" s="205" t="s">
        <v>77</v>
      </c>
      <c r="E51" s="206">
        <f>+'Nonlevelized-IOU'!D171</f>
        <v>-1107279</v>
      </c>
    </row>
    <row r="52" spans="2:5" ht="15.6">
      <c r="B52" s="90">
        <v>3</v>
      </c>
      <c r="C52" s="90">
        <v>19</v>
      </c>
      <c r="D52" s="205" t="s">
        <v>78</v>
      </c>
      <c r="E52" s="206">
        <f>+'Nonlevelized-IOU'!D172</f>
        <v>0</v>
      </c>
    </row>
    <row r="53" spans="2:5" ht="15.6">
      <c r="B53" s="90">
        <v>3</v>
      </c>
      <c r="C53" s="90">
        <v>24</v>
      </c>
      <c r="D53" s="81" t="s">
        <v>318</v>
      </c>
      <c r="E53" s="206">
        <f>+'Nonlevelized-IOU'!D181</f>
        <v>-661908</v>
      </c>
    </row>
    <row r="54" spans="2:5" ht="15.6">
      <c r="B54" s="90">
        <v>3</v>
      </c>
      <c r="C54" s="90">
        <v>30</v>
      </c>
      <c r="D54" s="205" t="s">
        <v>377</v>
      </c>
      <c r="E54" s="206">
        <f>+'Nonlevelized-IOU'!D194</f>
        <v>0</v>
      </c>
    </row>
    <row r="55" spans="2:5" ht="15.6">
      <c r="B55" s="90">
        <v>3</v>
      </c>
      <c r="C55" s="90" t="s">
        <v>300</v>
      </c>
      <c r="D55" s="205" t="s">
        <v>378</v>
      </c>
      <c r="E55" s="206">
        <f>+'Nonlevelized-IOU'!D195</f>
        <v>0</v>
      </c>
    </row>
    <row r="56" spans="2:5" ht="15.6">
      <c r="B56" s="90">
        <v>4</v>
      </c>
      <c r="C56" s="90">
        <v>2</v>
      </c>
      <c r="D56" s="83" t="s">
        <v>260</v>
      </c>
      <c r="E56" s="206">
        <f>+'Nonlevelized-IOU'!I212</f>
        <v>124187486.33</v>
      </c>
    </row>
    <row r="57" spans="2:5" ht="15.6">
      <c r="B57" s="90">
        <v>4</v>
      </c>
      <c r="C57" s="90">
        <v>3</v>
      </c>
      <c r="D57" s="83" t="s">
        <v>262</v>
      </c>
      <c r="E57" s="206">
        <f>+'Nonlevelized-IOU'!I213</f>
        <v>2046726.9500000002</v>
      </c>
    </row>
    <row r="58" spans="2:5" ht="15.6">
      <c r="B58" s="90">
        <v>4</v>
      </c>
      <c r="C58" s="90">
        <v>7</v>
      </c>
      <c r="D58" s="83" t="s">
        <v>265</v>
      </c>
      <c r="E58" s="206">
        <f>+'Nonlevelized-IOU'!I220</f>
        <v>2512523</v>
      </c>
    </row>
    <row r="59" spans="2:5" ht="15.6">
      <c r="B59" s="90">
        <v>4</v>
      </c>
      <c r="C59" s="90">
        <v>12</v>
      </c>
      <c r="D59" s="205" t="s">
        <v>44</v>
      </c>
      <c r="E59" s="206">
        <f>+'Nonlevelized-IOU'!D229</f>
        <v>42203103</v>
      </c>
    </row>
    <row r="60" spans="2:5" ht="15.6">
      <c r="B60" s="90">
        <v>4</v>
      </c>
      <c r="C60" s="90">
        <v>13</v>
      </c>
      <c r="D60" s="205" t="s">
        <v>46</v>
      </c>
      <c r="E60" s="206">
        <f>+'Nonlevelized-IOU'!D230</f>
        <v>3325994</v>
      </c>
    </row>
    <row r="61" spans="2:5" ht="15.6">
      <c r="B61" s="90">
        <v>4</v>
      </c>
      <c r="C61" s="90">
        <v>14</v>
      </c>
      <c r="D61" s="205" t="s">
        <v>47</v>
      </c>
      <c r="E61" s="206">
        <f>+'Nonlevelized-IOU'!D231</f>
        <v>9470448</v>
      </c>
    </row>
    <row r="62" spans="2:5" ht="15.6">
      <c r="B62" s="90">
        <v>4</v>
      </c>
      <c r="C62" s="90">
        <v>15</v>
      </c>
      <c r="D62" s="205" t="s">
        <v>92</v>
      </c>
      <c r="E62" s="206">
        <f>+'Nonlevelized-IOU'!D232</f>
        <v>9232357</v>
      </c>
    </row>
    <row r="63" spans="2:5" ht="15.6">
      <c r="B63" s="90">
        <v>4</v>
      </c>
      <c r="C63" s="90">
        <v>17</v>
      </c>
      <c r="D63" s="205" t="s">
        <v>96</v>
      </c>
      <c r="E63" s="206">
        <f>+'Nonlevelized-IOU'!D236</f>
        <v>4485695569</v>
      </c>
    </row>
    <row r="64" spans="2:5" ht="15.6">
      <c r="B64" s="90">
        <v>4</v>
      </c>
      <c r="C64" s="90">
        <v>18</v>
      </c>
      <c r="D64" s="205" t="s">
        <v>101</v>
      </c>
      <c r="E64" s="206">
        <f>+'Nonlevelized-IOU'!D237</f>
        <v>0</v>
      </c>
    </row>
    <row r="65" spans="2:5" ht="15.6">
      <c r="B65" s="90">
        <v>4</v>
      </c>
      <c r="C65" s="90">
        <v>19</v>
      </c>
      <c r="D65" s="205" t="s">
        <v>103</v>
      </c>
      <c r="E65" s="206">
        <f>+'Nonlevelized-IOU'!D238</f>
        <v>0</v>
      </c>
    </row>
    <row r="66" spans="2:5" ht="15.6">
      <c r="B66" s="90">
        <v>4</v>
      </c>
      <c r="C66" s="90">
        <v>21</v>
      </c>
      <c r="D66" s="89" t="s">
        <v>214</v>
      </c>
      <c r="E66" s="206">
        <f>+'Nonlevelized-IOU'!I242</f>
        <v>67329485</v>
      </c>
    </row>
    <row r="67" spans="2:5" ht="15.6">
      <c r="B67" s="90">
        <v>4</v>
      </c>
      <c r="C67" s="90">
        <v>22</v>
      </c>
      <c r="D67" s="89" t="s">
        <v>105</v>
      </c>
      <c r="E67" s="206">
        <f>+'Nonlevelized-IOU'!I244</f>
        <v>0</v>
      </c>
    </row>
    <row r="68" spans="2:5" ht="15.6">
      <c r="B68" s="90">
        <v>4</v>
      </c>
      <c r="C68" s="90">
        <v>23</v>
      </c>
      <c r="D68" s="89" t="s">
        <v>215</v>
      </c>
      <c r="E68" s="206">
        <f>+'Nonlevelized-IOU'!I247</f>
        <v>1550678574</v>
      </c>
    </row>
    <row r="69" spans="2:5" ht="15.6">
      <c r="B69" s="90">
        <v>4</v>
      </c>
      <c r="C69" s="90">
        <v>25</v>
      </c>
      <c r="D69" s="89" t="s">
        <v>216</v>
      </c>
      <c r="E69" s="206">
        <f>+'Nonlevelized-IOU'!I249</f>
        <v>-498140</v>
      </c>
    </row>
    <row r="70" spans="2:5" ht="15.6">
      <c r="B70" s="90">
        <v>4</v>
      </c>
      <c r="C70" s="90">
        <v>27</v>
      </c>
      <c r="D70" s="81" t="s">
        <v>217</v>
      </c>
      <c r="E70" s="206">
        <f>+'Nonlevelized-IOU'!D253</f>
        <v>1366078290</v>
      </c>
    </row>
    <row r="71" spans="2:5" ht="15.6">
      <c r="B71" s="90">
        <v>4</v>
      </c>
      <c r="C71" s="90">
        <v>28</v>
      </c>
      <c r="D71" s="81" t="s">
        <v>272</v>
      </c>
      <c r="E71" s="206">
        <f>+'Nonlevelized-IOU'!D254</f>
        <v>0</v>
      </c>
    </row>
    <row r="72" spans="2:5" ht="15.6">
      <c r="B72" s="90">
        <v>4</v>
      </c>
      <c r="C72" s="90">
        <v>29</v>
      </c>
      <c r="D72" s="81" t="s">
        <v>114</v>
      </c>
      <c r="E72" s="208">
        <f>+'Nonlevelized-IOU'!G255</f>
        <v>0.1082</v>
      </c>
    </row>
    <row r="73" spans="2:5" ht="15.6">
      <c r="B73" s="90">
        <v>4</v>
      </c>
      <c r="C73" s="90">
        <v>31</v>
      </c>
      <c r="D73" s="44" t="s">
        <v>154</v>
      </c>
      <c r="E73" s="206">
        <f>+'Nonlevelized-IOU'!I261</f>
        <v>0</v>
      </c>
    </row>
    <row r="74" spans="2:5" ht="15.6">
      <c r="B74" s="90">
        <v>4</v>
      </c>
      <c r="C74" s="90">
        <v>32</v>
      </c>
      <c r="D74" s="60" t="s">
        <v>189</v>
      </c>
      <c r="E74" s="206">
        <f>+'Nonlevelized-IOU'!I262</f>
        <v>0</v>
      </c>
    </row>
    <row r="75" spans="2:5" ht="15.6">
      <c r="B75" s="90">
        <v>4</v>
      </c>
      <c r="C75" s="90">
        <v>34</v>
      </c>
      <c r="D75" s="81" t="s">
        <v>273</v>
      </c>
      <c r="E75" s="206">
        <f>-+'Nonlevelized-IOU'!I265</f>
        <v>0</v>
      </c>
    </row>
    <row r="76" spans="2:5" ht="15.6">
      <c r="B76" s="90">
        <v>4</v>
      </c>
      <c r="C76" s="90">
        <v>35</v>
      </c>
      <c r="D76" s="81" t="s">
        <v>121</v>
      </c>
      <c r="E76" s="206">
        <f>+'Nonlevelized-IOU'!I268</f>
        <v>31574717</v>
      </c>
    </row>
    <row r="77" spans="2:5" ht="15.6">
      <c r="B77" s="90">
        <v>4</v>
      </c>
      <c r="C77" s="90">
        <v>36</v>
      </c>
      <c r="D77" s="187" t="s">
        <v>188</v>
      </c>
      <c r="E77" s="206">
        <f>+'Nonlevelized-IOU'!I269</f>
        <v>30044657</v>
      </c>
    </row>
    <row r="78" spans="2:5" ht="15.6">
      <c r="B78" s="90">
        <v>4</v>
      </c>
      <c r="C78" s="110" t="s">
        <v>236</v>
      </c>
      <c r="D78" s="188" t="s">
        <v>323</v>
      </c>
      <c r="E78" s="206">
        <f>+'Nonlevelized-IOU'!I270</f>
        <v>0</v>
      </c>
    </row>
    <row r="79" spans="2:5" ht="15.6">
      <c r="B79" s="90">
        <v>4</v>
      </c>
      <c r="C79" s="110" t="s">
        <v>303</v>
      </c>
      <c r="D79" s="188" t="s">
        <v>324</v>
      </c>
      <c r="E79" s="206">
        <f>+'Nonlevelized-IOU'!I271</f>
        <v>0</v>
      </c>
    </row>
    <row r="80" spans="2:5" ht="15.6">
      <c r="B80" s="90">
        <v>5</v>
      </c>
      <c r="D80" s="196" t="s">
        <v>379</v>
      </c>
      <c r="E80" s="208">
        <f>+'Nonlevelized-IOU'!D296</f>
        <v>0.21</v>
      </c>
    </row>
    <row r="81" spans="2:5" ht="15.6">
      <c r="B81" s="90">
        <v>5</v>
      </c>
      <c r="D81" s="196" t="s">
        <v>380</v>
      </c>
      <c r="E81" s="208">
        <f>+'Nonlevelized-IOU'!D297</f>
        <v>0.08</v>
      </c>
    </row>
    <row r="82" spans="2:5" ht="15.6">
      <c r="B82" s="90">
        <v>5</v>
      </c>
      <c r="D82" s="196" t="s">
        <v>381</v>
      </c>
      <c r="E82" s="208">
        <f>+'Nonlevelized-IOU'!D298</f>
        <v>1</v>
      </c>
    </row>
    <row r="84" spans="2:5" ht="15.6">
      <c r="C84" s="90"/>
      <c r="D84" s="81"/>
    </row>
  </sheetData>
  <sheetProtection password="D71B" sheet="1" objects="1" scenarios="1" formatCells="0" formatColumn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D7" sqref="D7"/>
    </sheetView>
  </sheetViews>
  <sheetFormatPr defaultColWidth="8.81640625" defaultRowHeight="15"/>
  <cols>
    <col min="1" max="1" width="8.81640625" style="210"/>
    <col min="2" max="2" width="20.81640625" style="210" customWidth="1"/>
    <col min="3" max="3" width="16.36328125" style="210" customWidth="1"/>
    <col min="4" max="4" width="16.81640625" style="210" customWidth="1"/>
    <col min="5" max="16384" width="8.81640625" style="210"/>
  </cols>
  <sheetData>
    <row r="1" spans="1:4" ht="15.6">
      <c r="A1" s="367" t="s">
        <v>327</v>
      </c>
      <c r="B1" s="367"/>
      <c r="C1" s="367"/>
      <c r="D1" s="367"/>
    </row>
    <row r="2" spans="1:4" ht="15.6">
      <c r="A2" s="367" t="s">
        <v>482</v>
      </c>
      <c r="B2" s="367"/>
      <c r="C2" s="367"/>
      <c r="D2" s="367"/>
    </row>
    <row r="3" spans="1:4" ht="15.6">
      <c r="A3" s="367" t="s">
        <v>382</v>
      </c>
      <c r="B3" s="367"/>
      <c r="C3" s="367"/>
      <c r="D3" s="367"/>
    </row>
    <row r="7" spans="1:4">
      <c r="A7" s="210" t="s">
        <v>383</v>
      </c>
    </row>
    <row r="9" spans="1:4" ht="31.2">
      <c r="B9" s="211" t="s">
        <v>384</v>
      </c>
      <c r="C9" s="212" t="s">
        <v>7</v>
      </c>
    </row>
    <row r="11" spans="1:4">
      <c r="B11" s="210" t="s">
        <v>385</v>
      </c>
      <c r="C11" s="213">
        <v>-783066236</v>
      </c>
    </row>
    <row r="12" spans="1:4">
      <c r="B12" s="210" t="s">
        <v>386</v>
      </c>
      <c r="C12" s="213">
        <v>140425787</v>
      </c>
    </row>
    <row r="13" spans="1:4">
      <c r="B13" s="210" t="s">
        <v>386</v>
      </c>
      <c r="C13" s="213">
        <v>-8018801</v>
      </c>
    </row>
    <row r="15" spans="1:4" ht="15.6" thickBot="1">
      <c r="B15" s="210" t="s">
        <v>9</v>
      </c>
      <c r="C15" s="214">
        <f>SUM(C11:C14)</f>
        <v>-650659250</v>
      </c>
      <c r="D15" s="210" t="s">
        <v>387</v>
      </c>
    </row>
    <row r="16" spans="1:4" ht="15.6" thickTop="1"/>
    <row r="19" spans="1:4">
      <c r="A19" s="210" t="s">
        <v>388</v>
      </c>
    </row>
    <row r="20" spans="1:4">
      <c r="B20" s="210" t="s">
        <v>389</v>
      </c>
      <c r="C20" s="213">
        <v>126704084</v>
      </c>
      <c r="D20" s="210" t="s">
        <v>390</v>
      </c>
    </row>
  </sheetData>
  <mergeCells count="3">
    <mergeCell ref="A1:D1"/>
    <mergeCell ref="A2:D2"/>
    <mergeCell ref="A3:D3"/>
  </mergeCells>
  <pageMargins left="0.7" right="0.7" top="0.75" bottom="0.75" header="0.3" footer="0.3"/>
  <pageSetup orientation="portrait" r:id="rId1"/>
  <headerFooter>
    <oddFooter>&amp;C1 - ADIT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election activeCell="B27" sqref="B27"/>
    </sheetView>
  </sheetViews>
  <sheetFormatPr defaultColWidth="8.81640625" defaultRowHeight="15"/>
  <cols>
    <col min="1" max="1" width="24.90625" style="210" customWidth="1"/>
    <col min="2" max="2" width="14.1796875" style="210" customWidth="1"/>
    <col min="3" max="3" width="15.54296875" style="210" customWidth="1"/>
    <col min="4" max="4" width="15.90625" style="210" customWidth="1"/>
    <col min="5" max="5" width="13.54296875" style="210" customWidth="1"/>
    <col min="6" max="6" width="17.36328125" style="210" bestFit="1" customWidth="1"/>
    <col min="7" max="8" width="8.81640625" style="210"/>
    <col min="9" max="9" width="12.453125" style="210" bestFit="1" customWidth="1"/>
    <col min="10" max="10" width="8.81640625" style="210"/>
    <col min="11" max="11" width="16.81640625" style="210" customWidth="1"/>
    <col min="12" max="16384" width="8.81640625" style="210"/>
  </cols>
  <sheetData>
    <row r="1" spans="1:6" ht="15.6">
      <c r="A1" s="367" t="s">
        <v>327</v>
      </c>
      <c r="B1" s="367"/>
      <c r="C1" s="367"/>
      <c r="D1" s="367"/>
      <c r="E1" s="367"/>
      <c r="F1" s="367"/>
    </row>
    <row r="2" spans="1:6" ht="15.6">
      <c r="A2" s="367" t="s">
        <v>482</v>
      </c>
      <c r="B2" s="367"/>
      <c r="C2" s="367"/>
      <c r="D2" s="367"/>
      <c r="E2" s="367"/>
      <c r="F2" s="367"/>
    </row>
    <row r="3" spans="1:6" ht="15.6">
      <c r="A3" s="367" t="s">
        <v>392</v>
      </c>
      <c r="B3" s="367"/>
      <c r="C3" s="367"/>
      <c r="D3" s="367"/>
      <c r="E3" s="367"/>
      <c r="F3" s="367"/>
    </row>
    <row r="8" spans="1:6" ht="31.2">
      <c r="A8" s="215" t="s">
        <v>393</v>
      </c>
      <c r="B8" s="215" t="s">
        <v>394</v>
      </c>
      <c r="C8" s="216" t="s">
        <v>395</v>
      </c>
      <c r="D8" s="215" t="s">
        <v>396</v>
      </c>
      <c r="E8" s="215" t="s">
        <v>397</v>
      </c>
    </row>
    <row r="9" spans="1:6">
      <c r="E9" s="213"/>
    </row>
    <row r="10" spans="1:6">
      <c r="A10" s="210" t="s">
        <v>398</v>
      </c>
      <c r="B10" s="210" t="s">
        <v>399</v>
      </c>
      <c r="E10" s="217">
        <v>5125268</v>
      </c>
    </row>
    <row r="11" spans="1:6">
      <c r="E11" s="213"/>
    </row>
    <row r="14" spans="1:6">
      <c r="A14" s="210" t="s">
        <v>400</v>
      </c>
      <c r="B14" s="210" t="s">
        <v>401</v>
      </c>
      <c r="C14" s="213">
        <v>124365</v>
      </c>
      <c r="D14" s="218">
        <f t="shared" ref="D14:D16" si="0">C14/$C$16</f>
        <v>7.720975798731268E-2</v>
      </c>
      <c r="E14" s="219">
        <f>D14*$E$10</f>
        <v>395720.70190011809</v>
      </c>
    </row>
    <row r="15" spans="1:6">
      <c r="A15" s="210" t="s">
        <v>402</v>
      </c>
      <c r="B15" s="210" t="s">
        <v>403</v>
      </c>
      <c r="C15" s="217">
        <v>1486377</v>
      </c>
      <c r="D15" s="220">
        <f t="shared" si="0"/>
        <v>0.92279024201268733</v>
      </c>
      <c r="E15" s="217">
        <f t="shared" ref="E15" si="1">D15*$E$10</f>
        <v>4729547.298099882</v>
      </c>
    </row>
    <row r="16" spans="1:6">
      <c r="A16" s="210" t="s">
        <v>404</v>
      </c>
      <c r="C16" s="213">
        <f>SUM(C14:C15)</f>
        <v>1610742</v>
      </c>
      <c r="D16" s="218">
        <f t="shared" si="0"/>
        <v>1</v>
      </c>
      <c r="E16" s="213">
        <f>SUM(E14:E15)</f>
        <v>5125268</v>
      </c>
    </row>
    <row r="18" spans="1:6">
      <c r="C18" s="213"/>
    </row>
    <row r="20" spans="1:6" ht="15.6" thickBot="1">
      <c r="D20" s="210" t="s">
        <v>9</v>
      </c>
      <c r="E20" s="214">
        <f>E14</f>
        <v>395720.70190011809</v>
      </c>
      <c r="F20" s="210" t="s">
        <v>405</v>
      </c>
    </row>
    <row r="21" spans="1:6" ht="15.6" thickTop="1"/>
    <row r="23" spans="1:6">
      <c r="A23" s="210" t="s">
        <v>406</v>
      </c>
      <c r="B23" s="210">
        <v>38181.275245238052</v>
      </c>
      <c r="C23" s="221" t="s">
        <v>407</v>
      </c>
    </row>
    <row r="27" spans="1:6">
      <c r="A27" s="210" t="s">
        <v>408</v>
      </c>
      <c r="B27" s="210">
        <v>124365</v>
      </c>
      <c r="C27" s="210" t="s">
        <v>409</v>
      </c>
      <c r="D27" s="210" t="s">
        <v>410</v>
      </c>
    </row>
    <row r="28" spans="1:6">
      <c r="B28" s="222">
        <f>E20*'[1]Nonlevelized-IOU'!G116</f>
        <v>302772.27753077005</v>
      </c>
      <c r="D28" s="210" t="s">
        <v>411</v>
      </c>
    </row>
    <row r="29" spans="1:6" ht="15.6" thickBot="1">
      <c r="A29" s="210" t="s">
        <v>412</v>
      </c>
      <c r="B29" s="223">
        <f>B27+B28</f>
        <v>427137.27753077005</v>
      </c>
      <c r="C29" s="213" t="s">
        <v>413</v>
      </c>
      <c r="D29" s="210" t="s">
        <v>414</v>
      </c>
    </row>
    <row r="30" spans="1:6" ht="15.6" thickTop="1"/>
  </sheetData>
  <mergeCells count="3">
    <mergeCell ref="A1:F1"/>
    <mergeCell ref="A2:F2"/>
    <mergeCell ref="A3:F3"/>
  </mergeCells>
  <pageMargins left="0.7" right="0.7" top="0.75" bottom="0.75" header="0.3" footer="0.3"/>
  <pageSetup scale="74" orientation="portrait" r:id="rId1"/>
  <headerFooter>
    <oddFooter>&amp;C2 - Materials &amp; Supplies Allocation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4" workbookViewId="0">
      <selection activeCell="F16" sqref="F16"/>
    </sheetView>
  </sheetViews>
  <sheetFormatPr defaultRowHeight="15"/>
  <cols>
    <col min="2" max="2" width="22.81640625" customWidth="1"/>
    <col min="3" max="3" width="16.36328125" customWidth="1"/>
    <col min="4" max="4" width="26" bestFit="1" customWidth="1"/>
  </cols>
  <sheetData>
    <row r="1" spans="1:4" ht="15.6">
      <c r="A1" s="368" t="s">
        <v>327</v>
      </c>
      <c r="B1" s="368"/>
      <c r="C1" s="368"/>
      <c r="D1" s="368"/>
    </row>
    <row r="2" spans="1:4" ht="15.6">
      <c r="A2" s="368" t="s">
        <v>482</v>
      </c>
      <c r="B2" s="368"/>
      <c r="C2" s="368"/>
      <c r="D2" s="368"/>
    </row>
    <row r="3" spans="1:4" ht="15.6">
      <c r="A3" s="368" t="s">
        <v>415</v>
      </c>
      <c r="B3" s="368"/>
      <c r="C3" s="368"/>
      <c r="D3" s="368"/>
    </row>
    <row r="8" spans="1:4">
      <c r="B8" s="224"/>
      <c r="C8" s="224"/>
    </row>
    <row r="9" spans="1:4" ht="31.2">
      <c r="B9" s="225" t="s">
        <v>384</v>
      </c>
      <c r="C9" s="226" t="s">
        <v>7</v>
      </c>
    </row>
    <row r="11" spans="1:4" ht="15.6">
      <c r="B11" t="s">
        <v>416</v>
      </c>
      <c r="C11" s="227">
        <v>554956</v>
      </c>
      <c r="D11" t="s">
        <v>417</v>
      </c>
    </row>
    <row r="12" spans="1:4">
      <c r="C12" s="228"/>
    </row>
    <row r="13" spans="1:4">
      <c r="C13" s="228"/>
    </row>
    <row r="14" spans="1:4">
      <c r="C14" s="228"/>
    </row>
    <row r="15" spans="1:4">
      <c r="C15" s="228"/>
    </row>
    <row r="16" spans="1:4">
      <c r="B16" t="s">
        <v>418</v>
      </c>
      <c r="C16" s="228">
        <v>4507323</v>
      </c>
    </row>
    <row r="17" spans="2:4">
      <c r="B17" t="s">
        <v>416</v>
      </c>
      <c r="C17" s="228">
        <f>-C11</f>
        <v>-554956</v>
      </c>
      <c r="D17" t="s">
        <v>419</v>
      </c>
    </row>
    <row r="18" spans="2:4">
      <c r="B18" t="s">
        <v>420</v>
      </c>
      <c r="C18" s="362">
        <f>'5 - Advertising Exp. P. 3'!C15</f>
        <v>72872</v>
      </c>
    </row>
    <row r="19" spans="2:4" s="386" customFormat="1">
      <c r="B19" s="386" t="s">
        <v>421</v>
      </c>
      <c r="C19" s="362">
        <v>-2818639</v>
      </c>
    </row>
    <row r="20" spans="2:4" ht="16.2" thickBot="1">
      <c r="B20" t="s">
        <v>9</v>
      </c>
      <c r="C20" s="229">
        <f>SUM(C16:C19)</f>
        <v>1206600</v>
      </c>
      <c r="D20" t="s">
        <v>422</v>
      </c>
    </row>
    <row r="21" spans="2:4" ht="15.6" thickTop="1"/>
    <row r="25" spans="2:4">
      <c r="B25" t="s">
        <v>423</v>
      </c>
      <c r="C25" s="228">
        <v>64696</v>
      </c>
    </row>
    <row r="26" spans="2:4">
      <c r="B26" t="s">
        <v>424</v>
      </c>
      <c r="C26" s="228">
        <v>50841</v>
      </c>
    </row>
    <row r="27" spans="2:4">
      <c r="B27" t="s">
        <v>425</v>
      </c>
      <c r="C27" s="228">
        <v>11150</v>
      </c>
    </row>
    <row r="28" spans="2:4">
      <c r="B28" t="s">
        <v>426</v>
      </c>
      <c r="C28" s="228">
        <v>0</v>
      </c>
    </row>
    <row r="29" spans="2:4">
      <c r="B29" t="s">
        <v>420</v>
      </c>
      <c r="C29" s="228">
        <f>'5 - Advertising Exp. P. 3'!D7</f>
        <v>145814.79</v>
      </c>
      <c r="D29" t="s">
        <v>427</v>
      </c>
    </row>
    <row r="30" spans="2:4" ht="16.2" thickBot="1">
      <c r="B30" t="s">
        <v>9</v>
      </c>
      <c r="C30" s="229">
        <f>SUM(C25:C29)</f>
        <v>272501.79000000004</v>
      </c>
      <c r="D30" t="s">
        <v>428</v>
      </c>
    </row>
    <row r="31" spans="2:4" ht="15.6" thickTop="1"/>
  </sheetData>
  <mergeCells count="3">
    <mergeCell ref="A1:D1"/>
    <mergeCell ref="A2:D2"/>
    <mergeCell ref="A3:D3"/>
  </mergeCells>
  <pageMargins left="0.7" right="0.7" top="0.75" bottom="0.75" header="0.3" footer="0.3"/>
  <pageSetup orientation="portrait" r:id="rId1"/>
  <headerFooter>
    <oddFooter>&amp;C3 - Regulatory Expense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7" workbookViewId="0">
      <selection activeCell="B39" sqref="B39"/>
    </sheetView>
  </sheetViews>
  <sheetFormatPr defaultColWidth="8.81640625" defaultRowHeight="15"/>
  <cols>
    <col min="1" max="1" width="8.81640625" style="210"/>
    <col min="2" max="2" width="17.453125" style="210" customWidth="1"/>
    <col min="3" max="3" width="13.36328125" style="210" customWidth="1"/>
    <col min="4" max="4" width="17.6328125" style="210" customWidth="1"/>
    <col min="5" max="16384" width="8.81640625" style="210"/>
  </cols>
  <sheetData>
    <row r="1" spans="1:4" ht="15.6">
      <c r="A1" s="367" t="s">
        <v>327</v>
      </c>
      <c r="B1" s="367"/>
      <c r="C1" s="367"/>
      <c r="D1" s="367"/>
    </row>
    <row r="2" spans="1:4" ht="15.6">
      <c r="A2" s="367" t="s">
        <v>482</v>
      </c>
      <c r="B2" s="367"/>
      <c r="C2" s="367"/>
      <c r="D2" s="367"/>
    </row>
    <row r="3" spans="1:4" ht="15.6">
      <c r="A3" s="367" t="s">
        <v>429</v>
      </c>
      <c r="B3" s="367"/>
      <c r="C3" s="367"/>
      <c r="D3" s="367"/>
    </row>
    <row r="9" spans="1:4">
      <c r="B9" s="230"/>
    </row>
    <row r="10" spans="1:4" ht="46.8">
      <c r="B10" s="216" t="s">
        <v>384</v>
      </c>
      <c r="C10" s="215" t="s">
        <v>7</v>
      </c>
    </row>
    <row r="12" spans="1:4">
      <c r="B12" s="210" t="s">
        <v>430</v>
      </c>
      <c r="C12" s="213">
        <v>23026</v>
      </c>
    </row>
    <row r="13" spans="1:4">
      <c r="B13" s="210" t="s">
        <v>431</v>
      </c>
      <c r="C13" s="213">
        <v>46597</v>
      </c>
    </row>
    <row r="14" spans="1:4">
      <c r="B14" s="210" t="s">
        <v>432</v>
      </c>
      <c r="C14" s="213">
        <v>7241200</v>
      </c>
    </row>
    <row r="16" spans="1:4" ht="16.2" thickBot="1">
      <c r="B16" s="210" t="s">
        <v>9</v>
      </c>
      <c r="C16" s="231">
        <f>SUM(C12:C15)</f>
        <v>7310823</v>
      </c>
      <c r="D16" s="210" t="s">
        <v>433</v>
      </c>
    </row>
    <row r="17" spans="2:4" ht="16.2" thickTop="1">
      <c r="C17" s="232"/>
    </row>
    <row r="18" spans="2:4" ht="15.6">
      <c r="C18" s="232"/>
    </row>
    <row r="19" spans="2:4">
      <c r="C19" s="213"/>
    </row>
    <row r="20" spans="2:4" ht="15.6">
      <c r="B20" s="210" t="s">
        <v>434</v>
      </c>
      <c r="C20" s="233">
        <v>34407985</v>
      </c>
      <c r="D20" s="210" t="s">
        <v>435</v>
      </c>
    </row>
    <row r="24" spans="2:4">
      <c r="B24" s="210" t="s">
        <v>436</v>
      </c>
      <c r="C24" s="213">
        <v>687613</v>
      </c>
    </row>
    <row r="25" spans="2:4">
      <c r="B25" s="210" t="s">
        <v>437</v>
      </c>
      <c r="C25" s="213">
        <v>970662</v>
      </c>
    </row>
    <row r="26" spans="2:4">
      <c r="B26" s="210" t="s">
        <v>438</v>
      </c>
      <c r="C26" s="213">
        <v>320715</v>
      </c>
    </row>
    <row r="27" spans="2:4">
      <c r="B27" s="210" t="s">
        <v>439</v>
      </c>
      <c r="C27" s="213">
        <v>0</v>
      </c>
    </row>
    <row r="28" spans="2:4">
      <c r="B28" s="210" t="s">
        <v>440</v>
      </c>
      <c r="C28" s="213">
        <v>-3089263</v>
      </c>
    </row>
    <row r="29" spans="2:4">
      <c r="B29" s="210" t="s">
        <v>441</v>
      </c>
      <c r="C29" s="213">
        <v>2994</v>
      </c>
    </row>
    <row r="30" spans="2:4" ht="16.2" thickBot="1">
      <c r="B30" s="210" t="s">
        <v>9</v>
      </c>
      <c r="C30" s="231">
        <f>SUM(C24:C29)</f>
        <v>-1107279</v>
      </c>
      <c r="D30" s="210" t="s">
        <v>442</v>
      </c>
    </row>
    <row r="31" spans="2:4" ht="15.6" thickTop="1"/>
  </sheetData>
  <mergeCells count="3">
    <mergeCell ref="A1:D1"/>
    <mergeCell ref="A2:D2"/>
    <mergeCell ref="A3:D3"/>
  </mergeCells>
  <pageMargins left="0.7" right="0.7" top="0.75" bottom="0.75" header="0.3" footer="0.3"/>
  <pageSetup orientation="portrait" r:id="rId1"/>
  <headerFooter>
    <oddFooter>&amp;C4 - Taxes Other Than Income Taxes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4" sqref="A4"/>
    </sheetView>
  </sheetViews>
  <sheetFormatPr defaultColWidth="8.90625" defaultRowHeight="15"/>
  <cols>
    <col min="1" max="1" width="17.1796875" style="239" customWidth="1"/>
    <col min="2" max="2" width="10" style="239" customWidth="1"/>
    <col min="3" max="3" width="15.54296875" style="239" customWidth="1"/>
    <col min="4" max="4" width="13" style="239" customWidth="1"/>
    <col min="5" max="5" width="12.1796875" style="239" customWidth="1"/>
    <col min="6" max="6" width="20.6328125" style="239" customWidth="1"/>
    <col min="7" max="24" width="22" style="239" customWidth="1"/>
    <col min="25" max="16384" width="8.90625" style="239"/>
  </cols>
  <sheetData>
    <row r="1" spans="1:7" s="236" customFormat="1" ht="15.6">
      <c r="A1" s="370" t="s">
        <v>327</v>
      </c>
      <c r="B1" s="370"/>
      <c r="C1" s="370"/>
      <c r="D1" s="370"/>
      <c r="E1" s="370"/>
      <c r="F1" s="234"/>
      <c r="G1" s="235"/>
    </row>
    <row r="2" spans="1:7" s="236" customFormat="1" ht="15.6">
      <c r="A2" s="371" t="s">
        <v>482</v>
      </c>
      <c r="B2" s="371"/>
      <c r="C2" s="371"/>
      <c r="D2" s="371"/>
      <c r="E2" s="371"/>
      <c r="F2" s="237"/>
    </row>
    <row r="3" spans="1:7" ht="15.6">
      <c r="A3" s="372" t="s">
        <v>625</v>
      </c>
      <c r="B3" s="372"/>
      <c r="C3" s="372"/>
      <c r="D3" s="372"/>
      <c r="E3" s="372"/>
      <c r="F3" s="238"/>
    </row>
    <row r="6" spans="1:7">
      <c r="D6" s="373" t="s">
        <v>443</v>
      </c>
      <c r="E6" s="373"/>
    </row>
    <row r="7" spans="1:7">
      <c r="A7" s="240" t="s">
        <v>444</v>
      </c>
      <c r="C7" s="241">
        <v>0</v>
      </c>
      <c r="D7" s="242">
        <f>E27</f>
        <v>145814.79</v>
      </c>
      <c r="E7" s="239" t="s">
        <v>444</v>
      </c>
    </row>
    <row r="8" spans="1:7">
      <c r="A8" s="239" t="s">
        <v>445</v>
      </c>
      <c r="C8" s="241">
        <v>33642</v>
      </c>
    </row>
    <row r="9" spans="1:7">
      <c r="A9" s="239" t="s">
        <v>446</v>
      </c>
      <c r="C9" s="241">
        <v>0</v>
      </c>
    </row>
    <row r="10" spans="1:7">
      <c r="A10" s="239" t="s">
        <v>447</v>
      </c>
      <c r="C10" s="243">
        <f>26820+12410</f>
        <v>39230</v>
      </c>
    </row>
    <row r="11" spans="1:7">
      <c r="C11" s="241"/>
    </row>
    <row r="12" spans="1:7">
      <c r="A12" s="239" t="s">
        <v>9</v>
      </c>
      <c r="C12" s="241">
        <f>SUM(C7:C11)</f>
        <v>72872</v>
      </c>
    </row>
    <row r="15" spans="1:7" ht="15.6">
      <c r="A15" s="239" t="s">
        <v>448</v>
      </c>
      <c r="C15" s="244">
        <f>C8+C9+C10</f>
        <v>72872</v>
      </c>
      <c r="D15" s="239" t="s">
        <v>422</v>
      </c>
    </row>
    <row r="18" spans="1:5" ht="15.6" thickBot="1"/>
    <row r="19" spans="1:5" ht="15.6">
      <c r="A19" s="374" t="s">
        <v>449</v>
      </c>
      <c r="B19" s="375"/>
      <c r="C19" s="375"/>
      <c r="D19" s="375"/>
      <c r="E19" s="376"/>
    </row>
    <row r="20" spans="1:5" ht="15.6">
      <c r="A20" s="245"/>
      <c r="B20" s="369" t="s">
        <v>450</v>
      </c>
      <c r="C20" s="369"/>
      <c r="D20" s="369"/>
      <c r="E20" s="246"/>
    </row>
    <row r="21" spans="1:5" ht="31.2">
      <c r="A21" s="247" t="s">
        <v>451</v>
      </c>
      <c r="B21" s="248" t="s">
        <v>452</v>
      </c>
      <c r="C21" s="248" t="s">
        <v>453</v>
      </c>
      <c r="D21" s="248" t="s">
        <v>454</v>
      </c>
      <c r="E21" s="246"/>
    </row>
    <row r="22" spans="1:5">
      <c r="A22" s="249" t="s">
        <v>455</v>
      </c>
      <c r="B22" s="250">
        <v>47756.899999999994</v>
      </c>
      <c r="C22" s="251">
        <v>0</v>
      </c>
      <c r="D22" s="251">
        <v>0</v>
      </c>
      <c r="E22" s="252">
        <f>SUM(B22:D22)</f>
        <v>47756.899999999994</v>
      </c>
    </row>
    <row r="23" spans="1:5">
      <c r="A23" s="253" t="s">
        <v>456</v>
      </c>
      <c r="B23" s="250">
        <v>24630.03</v>
      </c>
      <c r="C23" s="251">
        <v>0</v>
      </c>
      <c r="D23" s="251">
        <v>0</v>
      </c>
      <c r="E23" s="252">
        <f t="shared" ref="E23:E27" si="0">SUM(B23:D23)</f>
        <v>24630.03</v>
      </c>
    </row>
    <row r="24" spans="1:5">
      <c r="A24" s="253" t="s">
        <v>457</v>
      </c>
      <c r="B24" s="250">
        <v>197436.77999999997</v>
      </c>
      <c r="C24" s="251">
        <v>0</v>
      </c>
      <c r="D24" s="251">
        <v>0</v>
      </c>
      <c r="E24" s="252">
        <f t="shared" si="0"/>
        <v>197436.77999999997</v>
      </c>
    </row>
    <row r="25" spans="1:5">
      <c r="A25" s="253" t="s">
        <v>458</v>
      </c>
      <c r="B25" s="250">
        <v>4160</v>
      </c>
      <c r="C25" s="251">
        <v>0</v>
      </c>
      <c r="D25" s="251">
        <v>0</v>
      </c>
      <c r="E25" s="252">
        <f t="shared" si="0"/>
        <v>4160</v>
      </c>
    </row>
    <row r="26" spans="1:5">
      <c r="A26" s="253" t="s">
        <v>459</v>
      </c>
      <c r="B26" s="250">
        <v>1069.29</v>
      </c>
      <c r="C26" s="251">
        <v>0</v>
      </c>
      <c r="D26" s="251">
        <v>0</v>
      </c>
      <c r="E26" s="252">
        <f t="shared" si="0"/>
        <v>1069.29</v>
      </c>
    </row>
    <row r="27" spans="1:5">
      <c r="A27" s="254" t="s">
        <v>460</v>
      </c>
      <c r="B27" s="250">
        <v>145814.79</v>
      </c>
      <c r="C27" s="255">
        <v>0</v>
      </c>
      <c r="D27" s="255">
        <v>0</v>
      </c>
      <c r="E27" s="256">
        <f t="shared" si="0"/>
        <v>145814.79</v>
      </c>
    </row>
    <row r="28" spans="1:5">
      <c r="A28" s="253"/>
      <c r="B28" s="251"/>
      <c r="C28" s="251"/>
      <c r="D28" s="251"/>
      <c r="E28" s="246"/>
    </row>
    <row r="29" spans="1:5">
      <c r="A29" s="253" t="s">
        <v>461</v>
      </c>
      <c r="B29" s="251"/>
      <c r="C29" s="251"/>
      <c r="D29" s="251"/>
      <c r="E29" s="252">
        <f>SUM(E22:E27)</f>
        <v>420867.78999999992</v>
      </c>
    </row>
    <row r="30" spans="1:5" ht="15.6" thickBot="1">
      <c r="A30" s="257"/>
      <c r="B30" s="258"/>
      <c r="C30" s="258"/>
      <c r="D30" s="258"/>
      <c r="E30" s="259" t="s">
        <v>443</v>
      </c>
    </row>
    <row r="31" spans="1:5">
      <c r="B31" s="260"/>
      <c r="C31" s="260"/>
      <c r="D31" s="260"/>
    </row>
    <row r="32" spans="1:5">
      <c r="A32" s="239" t="s">
        <v>462</v>
      </c>
      <c r="B32" s="260"/>
      <c r="C32" s="260"/>
      <c r="D32" s="260"/>
    </row>
  </sheetData>
  <mergeCells count="6">
    <mergeCell ref="B20:D20"/>
    <mergeCell ref="A1:E1"/>
    <mergeCell ref="A2:E2"/>
    <mergeCell ref="A3:E3"/>
    <mergeCell ref="D6:E6"/>
    <mergeCell ref="A19:E19"/>
  </mergeCells>
  <pageMargins left="0.75" right="0.75" top="1" bottom="1" header="0.5" footer="0.5"/>
  <pageSetup orientation="portrait" r:id="rId1"/>
  <headerFooter alignWithMargins="0">
    <oddFooter>&amp;C5 - Advertising Costs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selection activeCell="A3" sqref="A3:D3"/>
    </sheetView>
  </sheetViews>
  <sheetFormatPr defaultColWidth="8.90625" defaultRowHeight="15"/>
  <cols>
    <col min="1" max="1" width="30.81640625" style="261" bestFit="1" customWidth="1"/>
    <col min="2" max="2" width="16.54296875" style="261" customWidth="1"/>
    <col min="3" max="3" width="19.08984375" style="261" customWidth="1"/>
    <col min="4" max="4" width="16.1796875" style="261" bestFit="1" customWidth="1"/>
    <col min="5" max="5" width="12.81640625" style="261" customWidth="1"/>
    <col min="6" max="16384" width="8.90625" style="261"/>
  </cols>
  <sheetData>
    <row r="1" spans="1:5" ht="15.6">
      <c r="A1" s="377" t="s">
        <v>327</v>
      </c>
      <c r="B1" s="377"/>
      <c r="C1" s="377"/>
      <c r="D1" s="377"/>
    </row>
    <row r="2" spans="1:5" ht="15.6">
      <c r="A2" s="377" t="s">
        <v>482</v>
      </c>
      <c r="B2" s="377"/>
      <c r="C2" s="377"/>
      <c r="D2" s="377"/>
    </row>
    <row r="3" spans="1:5" ht="15.6">
      <c r="A3" s="377" t="s">
        <v>463</v>
      </c>
      <c r="B3" s="377"/>
      <c r="C3" s="377"/>
      <c r="D3" s="377"/>
    </row>
    <row r="6" spans="1:5" ht="15.6">
      <c r="B6" s="262"/>
      <c r="C6" s="262"/>
    </row>
    <row r="7" spans="1:5" ht="31.2">
      <c r="B7" s="263" t="s">
        <v>464</v>
      </c>
      <c r="C7" s="263" t="s">
        <v>465</v>
      </c>
    </row>
    <row r="9" spans="1:5">
      <c r="A9" s="261" t="s">
        <v>466</v>
      </c>
      <c r="B9" s="264">
        <v>662634216</v>
      </c>
      <c r="C9" s="265">
        <f>'[1]Nonlevelized-IOU'!D82</f>
        <v>722335688</v>
      </c>
      <c r="E9" s="266"/>
    </row>
    <row r="10" spans="1:5">
      <c r="A10" s="261" t="s">
        <v>467</v>
      </c>
      <c r="B10" s="265">
        <v>1585296</v>
      </c>
      <c r="C10" s="265">
        <v>1585296</v>
      </c>
      <c r="D10" s="267"/>
    </row>
    <row r="11" spans="1:5">
      <c r="A11" s="261" t="s">
        <v>468</v>
      </c>
      <c r="B11" s="264">
        <v>2723711</v>
      </c>
      <c r="C11" s="265">
        <f>646247.18+783509.42+616970.35</f>
        <v>2046726.9500000002</v>
      </c>
      <c r="D11" s="261" t="s">
        <v>469</v>
      </c>
    </row>
    <row r="12" spans="1:5">
      <c r="A12" s="261" t="s">
        <v>470</v>
      </c>
      <c r="B12" s="265">
        <v>78502700</v>
      </c>
      <c r="C12" s="265">
        <v>94699426</v>
      </c>
      <c r="D12" s="266"/>
      <c r="E12" s="267"/>
    </row>
    <row r="13" spans="1:5">
      <c r="A13" s="261" t="s">
        <v>471</v>
      </c>
      <c r="B13" s="264">
        <f>B9-B10-B11-B12</f>
        <v>579822509</v>
      </c>
      <c r="C13" s="265">
        <f>C9-C10-C11-C12</f>
        <v>624004239.04999995</v>
      </c>
    </row>
    <row r="14" spans="1:5">
      <c r="B14" s="264"/>
      <c r="C14" s="265"/>
      <c r="D14" s="267"/>
    </row>
    <row r="15" spans="1:5">
      <c r="A15" s="261" t="s">
        <v>472</v>
      </c>
      <c r="B15" s="264">
        <v>8099204</v>
      </c>
      <c r="C15" s="265">
        <f>'[1]10 - Radial Lines'!B33</f>
        <v>8113066.1100000003</v>
      </c>
    </row>
    <row r="16" spans="1:5">
      <c r="A16" s="261" t="s">
        <v>472</v>
      </c>
      <c r="B16" s="264">
        <v>14909236</v>
      </c>
      <c r="C16" s="265">
        <f>'[1]10 - Radial Lines'!C33</f>
        <v>18873795.220000003</v>
      </c>
    </row>
    <row r="17" spans="1:4">
      <c r="A17" s="261" t="s">
        <v>473</v>
      </c>
      <c r="B17" s="264">
        <v>0</v>
      </c>
      <c r="C17" s="265">
        <f>218266+697637</f>
        <v>915903</v>
      </c>
      <c r="D17" s="268" t="s">
        <v>474</v>
      </c>
    </row>
    <row r="18" spans="1:4">
      <c r="B18" s="264"/>
      <c r="C18" s="265"/>
      <c r="D18" s="268"/>
    </row>
    <row r="19" spans="1:4">
      <c r="A19" s="261" t="s">
        <v>475</v>
      </c>
      <c r="B19" s="264">
        <f>B13-B15-B16</f>
        <v>556814069</v>
      </c>
      <c r="C19" s="265">
        <f>C13-C15-C16-C17</f>
        <v>596101474.71999991</v>
      </c>
      <c r="D19" s="269">
        <f>C19-'[1]Nonlevelized-IOU'!I82</f>
        <v>0</v>
      </c>
    </row>
    <row r="20" spans="1:4">
      <c r="B20" s="264"/>
      <c r="C20" s="265"/>
    </row>
    <row r="21" spans="1:4">
      <c r="B21" s="264"/>
      <c r="C21" s="265"/>
    </row>
    <row r="22" spans="1:4">
      <c r="B22" s="264"/>
      <c r="C22" s="265"/>
    </row>
    <row r="23" spans="1:4">
      <c r="A23" s="261" t="s">
        <v>476</v>
      </c>
      <c r="B23" s="265"/>
      <c r="C23" s="265">
        <f>C10+C12+C15+C16+C17</f>
        <v>124187486.33</v>
      </c>
      <c r="D23" s="261" t="s">
        <v>477</v>
      </c>
    </row>
    <row r="24" spans="1:4">
      <c r="C24" s="266"/>
    </row>
    <row r="27" spans="1:4">
      <c r="C27" s="265"/>
    </row>
    <row r="29" spans="1:4">
      <c r="C29" s="267"/>
    </row>
  </sheetData>
  <mergeCells count="3">
    <mergeCell ref="A1:D1"/>
    <mergeCell ref="A2:D2"/>
    <mergeCell ref="A3:D3"/>
  </mergeCells>
  <pageMargins left="0.7" right="0.7" top="0.75" bottom="0.75" header="0.3" footer="0.3"/>
  <pageSetup scale="92" orientation="portrait" r:id="rId1"/>
  <headerFooter>
    <oddFooter>&amp;C6 - Excluded Assets from Attachment 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3" sqref="A3:B3"/>
    </sheetView>
  </sheetViews>
  <sheetFormatPr defaultColWidth="8.81640625" defaultRowHeight="15"/>
  <cols>
    <col min="1" max="1" width="57.1796875" style="210" customWidth="1"/>
    <col min="2" max="2" width="10.90625" style="210" bestFit="1" customWidth="1"/>
    <col min="3" max="3" width="12.81640625" style="210" customWidth="1"/>
    <col min="4" max="16384" width="8.81640625" style="210"/>
  </cols>
  <sheetData>
    <row r="1" spans="1:2" ht="15.6">
      <c r="A1" s="367" t="s">
        <v>327</v>
      </c>
      <c r="B1" s="367"/>
    </row>
    <row r="2" spans="1:2" ht="15.6">
      <c r="A2" s="367" t="s">
        <v>482</v>
      </c>
      <c r="B2" s="367"/>
    </row>
    <row r="3" spans="1:2" ht="15.6">
      <c r="A3" s="367" t="s">
        <v>478</v>
      </c>
      <c r="B3" s="367"/>
    </row>
    <row r="6" spans="1:2">
      <c r="A6" s="210" t="s">
        <v>479</v>
      </c>
      <c r="B6" s="210" t="s">
        <v>480</v>
      </c>
    </row>
    <row r="7" spans="1:2">
      <c r="A7" s="210" t="s">
        <v>481</v>
      </c>
      <c r="B7" s="210">
        <v>77983.63</v>
      </c>
    </row>
    <row r="8" spans="1:2">
      <c r="A8" s="210" t="s">
        <v>481</v>
      </c>
      <c r="B8" s="210">
        <v>77983.63</v>
      </c>
    </row>
    <row r="9" spans="1:2">
      <c r="A9" s="210" t="s">
        <v>481</v>
      </c>
      <c r="B9" s="210">
        <v>77983.63</v>
      </c>
    </row>
    <row r="10" spans="1:2">
      <c r="A10" s="210" t="s">
        <v>481</v>
      </c>
      <c r="B10" s="210">
        <v>77983.63</v>
      </c>
    </row>
    <row r="11" spans="1:2">
      <c r="A11" s="210" t="s">
        <v>481</v>
      </c>
      <c r="B11" s="210">
        <v>77983.63</v>
      </c>
    </row>
    <row r="12" spans="1:2">
      <c r="A12" s="210" t="s">
        <v>481</v>
      </c>
      <c r="B12" s="210">
        <v>77983.63</v>
      </c>
    </row>
    <row r="13" spans="1:2">
      <c r="A13" s="210" t="s">
        <v>481</v>
      </c>
      <c r="B13" s="210">
        <v>77983.63</v>
      </c>
    </row>
    <row r="14" spans="1:2">
      <c r="A14" s="210" t="s">
        <v>481</v>
      </c>
      <c r="B14" s="210">
        <v>77983.63</v>
      </c>
    </row>
    <row r="15" spans="1:2">
      <c r="A15" s="210" t="s">
        <v>481</v>
      </c>
      <c r="B15" s="210">
        <v>77983.63</v>
      </c>
    </row>
    <row r="16" spans="1:2">
      <c r="A16" s="210" t="s">
        <v>481</v>
      </c>
      <c r="B16" s="210">
        <v>77983.63</v>
      </c>
    </row>
    <row r="17" spans="1:2">
      <c r="A17" s="210" t="s">
        <v>481</v>
      </c>
      <c r="B17" s="210">
        <v>77983.63</v>
      </c>
    </row>
    <row r="18" spans="1:2">
      <c r="A18" s="210" t="s">
        <v>481</v>
      </c>
      <c r="B18" s="210">
        <v>77983.63</v>
      </c>
    </row>
    <row r="20" spans="1:2">
      <c r="A20" s="210" t="s">
        <v>9</v>
      </c>
      <c r="B20" s="210">
        <f>SUM(B7:B19)</f>
        <v>935803.56</v>
      </c>
    </row>
  </sheetData>
  <mergeCells count="3">
    <mergeCell ref="A1:B1"/>
    <mergeCell ref="A2:B2"/>
    <mergeCell ref="A3:B3"/>
  </mergeCells>
  <pageMargins left="0.7" right="0.7" top="0.75" bottom="0.75" header="0.3" footer="0.3"/>
  <pageSetup orientation="portrait" horizontalDpi="1200" verticalDpi="1200" r:id="rId1"/>
  <headerFooter>
    <oddFooter>&amp;C7 - Excluded MISO Integration Costs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I18" sqref="I18"/>
    </sheetView>
  </sheetViews>
  <sheetFormatPr defaultRowHeight="15"/>
  <cols>
    <col min="1" max="1" width="39.36328125" bestFit="1" customWidth="1"/>
    <col min="2" max="2" width="9.6328125" bestFit="1" customWidth="1"/>
    <col min="3" max="3" width="16.08984375" bestFit="1" customWidth="1"/>
    <col min="4" max="4" width="18" customWidth="1"/>
  </cols>
  <sheetData>
    <row r="1" spans="1:3" ht="15.6">
      <c r="A1" s="368" t="s">
        <v>327</v>
      </c>
      <c r="B1" s="368"/>
      <c r="C1" s="368"/>
    </row>
    <row r="2" spans="1:3" ht="15.6">
      <c r="A2" s="368" t="s">
        <v>482</v>
      </c>
      <c r="B2" s="368"/>
      <c r="C2" s="368"/>
    </row>
    <row r="3" spans="1:3" ht="15.6">
      <c r="A3" s="368" t="s">
        <v>483</v>
      </c>
      <c r="B3" s="368"/>
      <c r="C3" s="368"/>
    </row>
    <row r="5" spans="1:3">
      <c r="C5" s="224"/>
    </row>
    <row r="6" spans="1:3" ht="31.2">
      <c r="A6" t="s">
        <v>484</v>
      </c>
      <c r="C6" s="225" t="s">
        <v>485</v>
      </c>
    </row>
    <row r="8" spans="1:3">
      <c r="A8" t="s">
        <v>486</v>
      </c>
      <c r="B8" t="s">
        <v>487</v>
      </c>
      <c r="C8" s="228">
        <v>2327232558</v>
      </c>
    </row>
    <row r="9" spans="1:3">
      <c r="A9" t="s">
        <v>488</v>
      </c>
      <c r="B9" t="s">
        <v>489</v>
      </c>
      <c r="C9" s="270">
        <v>6095584</v>
      </c>
    </row>
    <row r="10" spans="1:3" ht="15.6" thickBot="1">
      <c r="A10" t="s">
        <v>490</v>
      </c>
      <c r="C10" s="271">
        <f>C8-C9</f>
        <v>2321136974</v>
      </c>
    </row>
    <row r="11" spans="1:3" ht="15.6" thickTop="1"/>
  </sheetData>
  <mergeCells count="3">
    <mergeCell ref="A1:C1"/>
    <mergeCell ref="A2:C2"/>
    <mergeCell ref="A3:C3"/>
  </mergeCells>
  <pageMargins left="0.7" right="0.7" top="0.75" bottom="0.75" header="0.3" footer="0.3"/>
  <pageSetup orientation="portrait" r:id="rId1"/>
  <headerFooter>
    <oddFooter>&amp;C8 - Excluded ARO Amounts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Nonlevelized-IOU</vt:lpstr>
      <vt:lpstr>1 - ADIT  Page 2</vt:lpstr>
      <vt:lpstr>2 - Mat.&amp;Supplies  P. 2</vt:lpstr>
      <vt:lpstr>3 - Regulatory Exp. P. 3</vt:lpstr>
      <vt:lpstr>4 - Taxes P. 3</vt:lpstr>
      <vt:lpstr>5 - Advertising Exp. P. 3</vt:lpstr>
      <vt:lpstr>6 - Excluded Assets P. 4</vt:lpstr>
      <vt:lpstr>7 - Excluded MISO Int Costs</vt:lpstr>
      <vt:lpstr>8 - Excluded ARO </vt:lpstr>
      <vt:lpstr>9 - Adjustment and Interest</vt:lpstr>
      <vt:lpstr>10 - Radial Lines</vt:lpstr>
      <vt:lpstr>2017 TP Peak p400</vt:lpstr>
      <vt:lpstr>Export</vt:lpstr>
      <vt:lpstr>Sheet1</vt:lpstr>
      <vt:lpstr>Sheet2</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Kurt Vanderlick</cp:lastModifiedBy>
  <cp:lastPrinted>2018-04-12T15:41:07Z</cp:lastPrinted>
  <dcterms:created xsi:type="dcterms:W3CDTF">2008-03-20T17:17:47Z</dcterms:created>
  <dcterms:modified xsi:type="dcterms:W3CDTF">2018-04-26T14:43:41Z</dcterms:modified>
</cp:coreProperties>
</file>