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X:\Tariffs\Attachment O\Files for Lisa (April 2017)\Lisa's Draft for MISO Review 4-xx-16\"/>
    </mc:Choice>
  </mc:AlternateContent>
  <bookViews>
    <workbookView xWindow="-132" yWindow="12" windowWidth="15348" windowHeight="4392" tabRatio="399"/>
  </bookViews>
  <sheets>
    <sheet name="Nonlevelized RUS 12" sheetId="1" r:id="rId1"/>
    <sheet name="Unprotected" sheetId="6" r:id="rId2"/>
    <sheet name="Form 12" sheetId="4" r:id="rId3"/>
    <sheet name="Schedule 1-2-9" sheetId="2" r:id="rId4"/>
    <sheet name="Acct. 454-456" sheetId="5" r:id="rId5"/>
  </sheets>
  <definedNames>
    <definedName name="_xlnm.Print_Area" localSheetId="4">'Acct. 454-456'!$B$1:$H$73</definedName>
    <definedName name="_xlnm.Print_Area" localSheetId="0">'Nonlevelized RUS 12'!$A$1:$K$311</definedName>
    <definedName name="Print_Area_MI" localSheetId="4">'Acct. 454-456'!$A$1:$G$73</definedName>
  </definedNames>
  <calcPr calcId="171027"/>
</workbook>
</file>

<file path=xl/calcChain.xml><?xml version="1.0" encoding="utf-8"?>
<calcChain xmlns="http://schemas.openxmlformats.org/spreadsheetml/2006/main">
  <c r="D165" i="1" l="1"/>
  <c r="I219" i="6"/>
  <c r="D165" i="6"/>
  <c r="O226" i="6" l="1"/>
  <c r="N221" i="6"/>
  <c r="O223" i="6" s="1"/>
  <c r="N215" i="6"/>
  <c r="D273" i="6"/>
  <c r="D271" i="6"/>
  <c r="K270" i="6"/>
  <c r="D270" i="6"/>
  <c r="B270" i="6"/>
  <c r="I261" i="6"/>
  <c r="I264" i="6" s="1"/>
  <c r="D15" i="6" s="1"/>
  <c r="I255" i="6"/>
  <c r="G245" i="6"/>
  <c r="D244" i="6"/>
  <c r="D237" i="6"/>
  <c r="G235" i="6" s="1"/>
  <c r="D231" i="6"/>
  <c r="G230" i="6"/>
  <c r="G229" i="6"/>
  <c r="G227" i="6"/>
  <c r="I209" i="6"/>
  <c r="D205" i="6"/>
  <c r="D203" i="6"/>
  <c r="K202" i="6"/>
  <c r="D202" i="6"/>
  <c r="B202" i="6"/>
  <c r="D172" i="6"/>
  <c r="D176" i="6" s="1"/>
  <c r="D180" i="6" s="1"/>
  <c r="F167" i="6"/>
  <c r="D169" i="6"/>
  <c r="F163" i="6"/>
  <c r="B157" i="6"/>
  <c r="D156" i="6"/>
  <c r="D158" i="6" s="1"/>
  <c r="B155" i="6"/>
  <c r="I151" i="6"/>
  <c r="F149" i="6"/>
  <c r="F147" i="6"/>
  <c r="F148" i="6" s="1"/>
  <c r="D146" i="6"/>
  <c r="D144" i="6"/>
  <c r="I218" i="6" s="1"/>
  <c r="I220" i="6" s="1"/>
  <c r="D138" i="6"/>
  <c r="D136" i="6"/>
  <c r="K135" i="6"/>
  <c r="D135" i="6"/>
  <c r="B135" i="6"/>
  <c r="D117" i="6"/>
  <c r="D111" i="6"/>
  <c r="F109" i="6"/>
  <c r="D102" i="6"/>
  <c r="D101" i="6"/>
  <c r="D100" i="6"/>
  <c r="D99" i="6"/>
  <c r="F94" i="6"/>
  <c r="B94" i="6"/>
  <c r="B102" i="6" s="1"/>
  <c r="F93" i="6"/>
  <c r="D93" i="6"/>
  <c r="B93" i="6"/>
  <c r="B101" i="6" s="1"/>
  <c r="G92" i="6"/>
  <c r="F92" i="6"/>
  <c r="B92" i="6"/>
  <c r="B100" i="6" s="1"/>
  <c r="F91" i="6"/>
  <c r="F113" i="6" s="1"/>
  <c r="B91" i="6"/>
  <c r="B99" i="6" s="1"/>
  <c r="G90" i="6"/>
  <c r="F90" i="6"/>
  <c r="D90" i="6"/>
  <c r="B90" i="6"/>
  <c r="B98" i="6" s="1"/>
  <c r="D87" i="6"/>
  <c r="D85" i="6"/>
  <c r="D76" i="6"/>
  <c r="D74" i="6"/>
  <c r="K73" i="6"/>
  <c r="D73" i="6"/>
  <c r="B73" i="6"/>
  <c r="I46" i="6"/>
  <c r="I45" i="6"/>
  <c r="I34" i="6"/>
  <c r="I22" i="6"/>
  <c r="F15" i="6"/>
  <c r="D14" i="6"/>
  <c r="I261" i="1"/>
  <c r="H76" i="5"/>
  <c r="I73" i="5"/>
  <c r="H73" i="5"/>
  <c r="F68" i="5"/>
  <c r="D68" i="5"/>
  <c r="B37" i="5"/>
  <c r="H33" i="5"/>
  <c r="F33" i="5"/>
  <c r="F73" i="5" s="1"/>
  <c r="D33" i="5"/>
  <c r="D73" i="5" s="1"/>
  <c r="F7" i="5"/>
  <c r="D244" i="1"/>
  <c r="B21" i="2"/>
  <c r="A10" i="2"/>
  <c r="A16" i="2" s="1"/>
  <c r="O224" i="6" l="1"/>
  <c r="D95" i="6"/>
  <c r="D98" i="6"/>
  <c r="D103" i="6" s="1"/>
  <c r="I212" i="6"/>
  <c r="I214" i="6" s="1"/>
  <c r="I223" i="6" s="1"/>
  <c r="D246" i="6"/>
  <c r="G244" i="6"/>
  <c r="I222" i="6"/>
  <c r="D152" i="6"/>
  <c r="D116" i="6" s="1"/>
  <c r="D119" i="6" s="1"/>
  <c r="D121" i="6" s="1"/>
  <c r="D156" i="1"/>
  <c r="B50" i="4"/>
  <c r="D146" i="1"/>
  <c r="D144" i="1"/>
  <c r="D117" i="1"/>
  <c r="D93" i="1"/>
  <c r="D90" i="1"/>
  <c r="D85" i="1"/>
  <c r="I224" i="6" l="1"/>
  <c r="E228" i="6"/>
  <c r="G228" i="6" s="1"/>
  <c r="G231" i="6" s="1"/>
  <c r="I231" i="6" s="1"/>
  <c r="G91" i="6"/>
  <c r="G83" i="6"/>
  <c r="I83" i="6" s="1"/>
  <c r="G14" i="6"/>
  <c r="E244" i="6"/>
  <c r="I244" i="6" s="1"/>
  <c r="E246" i="6"/>
  <c r="E245" i="6"/>
  <c r="I245" i="6" s="1"/>
  <c r="I246" i="6" l="1"/>
  <c r="I249" i="6" s="1"/>
  <c r="D183" i="6"/>
  <c r="D173" i="6"/>
  <c r="I91" i="6"/>
  <c r="G113" i="6"/>
  <c r="G148" i="6"/>
  <c r="I148" i="6" s="1"/>
  <c r="I235" i="6"/>
  <c r="K235" i="6" s="1"/>
  <c r="G85" i="6"/>
  <c r="G146" i="6"/>
  <c r="G147" i="6"/>
  <c r="I147" i="6" s="1"/>
  <c r="G16" i="6"/>
  <c r="I16" i="6" s="1"/>
  <c r="G15" i="6"/>
  <c r="I15" i="6" s="1"/>
  <c r="G17" i="6"/>
  <c r="I17" i="6" s="1"/>
  <c r="I14" i="6"/>
  <c r="G117" i="6"/>
  <c r="I117" i="6" s="1"/>
  <c r="G144" i="6"/>
  <c r="I146" i="6" l="1"/>
  <c r="G156" i="6"/>
  <c r="G155" i="6"/>
  <c r="I155" i="6" s="1"/>
  <c r="I113" i="6"/>
  <c r="D179" i="6"/>
  <c r="D181" i="6" s="1"/>
  <c r="D186" i="6" s="1"/>
  <c r="D197" i="6" s="1"/>
  <c r="G149" i="6"/>
  <c r="I149" i="6" s="1"/>
  <c r="G145" i="6"/>
  <c r="I145" i="6" s="1"/>
  <c r="I144" i="6"/>
  <c r="G93" i="6"/>
  <c r="I93" i="6" s="1"/>
  <c r="I85" i="6"/>
  <c r="G86" i="6"/>
  <c r="G150" i="6"/>
  <c r="I99" i="6"/>
  <c r="I18" i="6"/>
  <c r="I150" i="6" l="1"/>
  <c r="I152" i="6" s="1"/>
  <c r="I116" i="6" s="1"/>
  <c r="G157" i="6"/>
  <c r="I157" i="6" s="1"/>
  <c r="I101" i="6"/>
  <c r="I86" i="6"/>
  <c r="G94" i="6"/>
  <c r="I94" i="6" s="1"/>
  <c r="I95" i="6" s="1"/>
  <c r="I156" i="6"/>
  <c r="G162" i="6"/>
  <c r="I158" i="6" l="1"/>
  <c r="I102" i="6"/>
  <c r="I103" i="6" s="1"/>
  <c r="G103" i="6" s="1"/>
  <c r="G163" i="6"/>
  <c r="I163" i="6" s="1"/>
  <c r="I162" i="6"/>
  <c r="I87" i="6"/>
  <c r="G87" i="6" s="1"/>
  <c r="G180" i="6" l="1"/>
  <c r="I180" i="6" s="1"/>
  <c r="G107" i="6"/>
  <c r="G165" i="6"/>
  <c r="G118" i="6"/>
  <c r="I118" i="6" s="1"/>
  <c r="I119" i="6" s="1"/>
  <c r="I165" i="6" l="1"/>
  <c r="G167" i="6"/>
  <c r="G108" i="6"/>
  <c r="I107" i="6"/>
  <c r="G109" i="6" l="1"/>
  <c r="I109" i="6" s="1"/>
  <c r="G110" i="6"/>
  <c r="I110" i="6" s="1"/>
  <c r="I108" i="6"/>
  <c r="I111" i="6" s="1"/>
  <c r="I121" i="6" s="1"/>
  <c r="I183" i="6" s="1"/>
  <c r="G168" i="6"/>
  <c r="I168" i="6" s="1"/>
  <c r="I167" i="6"/>
  <c r="I169" i="6" l="1"/>
  <c r="I179" i="6"/>
  <c r="I181" i="6" s="1"/>
  <c r="I186" i="6" s="1"/>
  <c r="I197" i="6" s="1"/>
  <c r="I11" i="6" s="1"/>
  <c r="I24" i="6" s="1"/>
  <c r="D36" i="6" s="1"/>
  <c r="I41" i="6" l="1"/>
  <c r="D37" i="6"/>
  <c r="O227" i="6" s="1"/>
  <c r="O228" i="6" s="1"/>
  <c r="D41" i="6"/>
  <c r="I40" i="6"/>
  <c r="D40" i="6"/>
  <c r="I42" i="6"/>
  <c r="D42" i="6"/>
  <c r="F59" i="4" l="1"/>
  <c r="F58" i="4"/>
  <c r="F53" i="4"/>
  <c r="F52" i="4"/>
  <c r="F51" i="4"/>
  <c r="F50" i="4"/>
  <c r="F47" i="4"/>
  <c r="F46" i="4"/>
  <c r="F42" i="4"/>
  <c r="F41" i="4"/>
  <c r="F40" i="4"/>
  <c r="F39" i="4"/>
  <c r="F38" i="4"/>
  <c r="F32" i="4"/>
  <c r="F24" i="4"/>
  <c r="F23" i="4"/>
  <c r="F20" i="4"/>
  <c r="F18" i="4"/>
  <c r="C19" i="4"/>
  <c r="F19" i="4" s="1"/>
  <c r="F7" i="4"/>
  <c r="F8" i="4"/>
  <c r="F9" i="4"/>
  <c r="F10" i="4"/>
  <c r="F6" i="4"/>
  <c r="I248" i="1" l="1"/>
  <c r="I22" i="1" l="1"/>
  <c r="I264" i="1" l="1"/>
  <c r="D15" i="1" s="1"/>
  <c r="I209" i="1"/>
  <c r="I212" i="1" s="1"/>
  <c r="G227" i="1"/>
  <c r="G229" i="1"/>
  <c r="G230" i="1"/>
  <c r="D231" i="1"/>
  <c r="D237" i="1"/>
  <c r="G235" i="1" s="1"/>
  <c r="D87" i="1"/>
  <c r="I218" i="1"/>
  <c r="I220" i="1" s="1"/>
  <c r="D99" i="1"/>
  <c r="D100" i="1"/>
  <c r="D101" i="1"/>
  <c r="D98" i="1"/>
  <c r="G244" i="1"/>
  <c r="D246" i="1"/>
  <c r="E244" i="1" s="1"/>
  <c r="G245" i="1"/>
  <c r="I34" i="1"/>
  <c r="B18" i="2" s="1"/>
  <c r="B19" i="2" s="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c r="I245" i="1" l="1"/>
  <c r="I222" i="1"/>
  <c r="D103" i="1"/>
  <c r="D121" i="1" s="1"/>
  <c r="I214" i="1"/>
  <c r="I223" i="1" s="1"/>
  <c r="G83" i="1" s="1"/>
  <c r="I83" i="1" s="1"/>
  <c r="I244" i="1"/>
  <c r="I246" i="1" s="1"/>
  <c r="D173" i="1" s="1"/>
  <c r="E246" i="1"/>
  <c r="I249" i="1" l="1"/>
  <c r="D183" i="1"/>
  <c r="D179" i="1" s="1"/>
  <c r="D181" i="1" s="1"/>
  <c r="D186" i="1" s="1"/>
  <c r="D197" i="1" s="1"/>
  <c r="I224" i="1"/>
  <c r="G144" i="1" s="1"/>
  <c r="E228" i="1"/>
  <c r="G228" i="1" s="1"/>
  <c r="G231" i="1" s="1"/>
  <c r="I231" i="1" s="1"/>
  <c r="G148" i="1" s="1"/>
  <c r="I148" i="1" s="1"/>
  <c r="G14" i="1"/>
  <c r="I14" i="1" s="1"/>
  <c r="G91" i="1"/>
  <c r="G113" i="1" s="1"/>
  <c r="I91" i="1" l="1"/>
  <c r="I99" i="1" s="1"/>
  <c r="G17" i="1"/>
  <c r="I17" i="1" s="1"/>
  <c r="G15" i="1"/>
  <c r="I15" i="1" s="1"/>
  <c r="G147" i="1"/>
  <c r="I147" i="1" s="1"/>
  <c r="G117" i="1"/>
  <c r="I117" i="1" s="1"/>
  <c r="G146" i="1"/>
  <c r="I146" i="1" s="1"/>
  <c r="G85" i="1"/>
  <c r="G93" i="1" s="1"/>
  <c r="I93" i="1" s="1"/>
  <c r="I235" i="1"/>
  <c r="K235" i="1" s="1"/>
  <c r="G150" i="1" s="1"/>
  <c r="G16" i="1"/>
  <c r="I16" i="1" s="1"/>
  <c r="I18" i="1" s="1"/>
  <c r="G149" i="1"/>
  <c r="I149" i="1" s="1"/>
  <c r="G145" i="1"/>
  <c r="I145" i="1" s="1"/>
  <c r="I144" i="1"/>
  <c r="G155" i="1"/>
  <c r="I155" i="1" s="1"/>
  <c r="I113" i="1"/>
  <c r="G156" i="1" l="1"/>
  <c r="I85" i="1"/>
  <c r="I101" i="1" s="1"/>
  <c r="G86" i="1"/>
  <c r="G94" i="1" s="1"/>
  <c r="I94" i="1" s="1"/>
  <c r="I95" i="1" s="1"/>
  <c r="G157" i="1"/>
  <c r="I157" i="1" s="1"/>
  <c r="I150" i="1"/>
  <c r="I152" i="1" s="1"/>
  <c r="I116" i="1" s="1"/>
  <c r="I156" i="1"/>
  <c r="G162" i="1"/>
  <c r="I86" i="1" l="1"/>
  <c r="I102" i="1" s="1"/>
  <c r="I103" i="1" s="1"/>
  <c r="G103" i="1" s="1"/>
  <c r="I158" i="1"/>
  <c r="I162" i="1"/>
  <c r="G163" i="1"/>
  <c r="I163" i="1" s="1"/>
  <c r="I87" i="1"/>
  <c r="G87" i="1" s="1"/>
  <c r="G165" i="1" l="1"/>
  <c r="G118" i="1"/>
  <c r="I118" i="1" s="1"/>
  <c r="I119" i="1" s="1"/>
  <c r="G180" i="1"/>
  <c r="I180" i="1" s="1"/>
  <c r="G107" i="1"/>
  <c r="I107" i="1" l="1"/>
  <c r="G108" i="1"/>
  <c r="I165" i="1"/>
  <c r="G167" i="1"/>
  <c r="G168" i="1" l="1"/>
  <c r="I168" i="1" s="1"/>
  <c r="I169" i="1" s="1"/>
  <c r="I167" i="1"/>
  <c r="G109" i="1"/>
  <c r="I109" i="1" s="1"/>
  <c r="G110" i="1"/>
  <c r="I110" i="1" s="1"/>
  <c r="I108" i="1"/>
  <c r="I111" i="1" l="1"/>
  <c r="I121" i="1" s="1"/>
  <c r="I183" i="1" s="1"/>
  <c r="I179" i="1" s="1"/>
  <c r="I181" i="1" s="1"/>
  <c r="I186" i="1" s="1"/>
  <c r="I197" i="1" l="1"/>
  <c r="I11" i="1" s="1"/>
  <c r="I24" i="1" s="1"/>
  <c r="D36" i="1" s="1"/>
  <c r="D42" i="1" l="1"/>
  <c r="D40" i="1"/>
  <c r="I42" i="1"/>
  <c r="I40" i="1"/>
  <c r="D37" i="1"/>
  <c r="B22" i="2" s="1"/>
  <c r="B23" i="2" s="1"/>
  <c r="D41" i="1"/>
  <c r="I41" i="1"/>
</calcChain>
</file>

<file path=xl/comments1.xml><?xml version="1.0" encoding="utf-8"?>
<comments xmlns="http://schemas.openxmlformats.org/spreadsheetml/2006/main">
  <authors>
    <author>Lisa Lowen</author>
  </authors>
  <commentList>
    <comment ref="N213" authorId="0" shapeId="0">
      <text>
        <r>
          <rPr>
            <b/>
            <sz val="9"/>
            <color indexed="81"/>
            <rFont val="Tahoma"/>
            <family val="2"/>
          </rPr>
          <t>Lisa Lowen:</t>
        </r>
        <r>
          <rPr>
            <sz val="9"/>
            <color indexed="81"/>
            <rFont val="Tahoma"/>
            <family val="2"/>
          </rPr>
          <t xml:space="preserve">
Load Dispatch 561.*****.3400/3403/3409
</t>
        </r>
      </text>
    </comment>
  </commentList>
</comments>
</file>

<file path=xl/comments2.xml><?xml version="1.0" encoding="utf-8"?>
<comments xmlns="http://schemas.openxmlformats.org/spreadsheetml/2006/main">
  <authors>
    <author>Lisa Lowen</author>
  </authors>
  <commentList>
    <comment ref="A8" authorId="0" shapeId="0">
      <text>
        <r>
          <rPr>
            <b/>
            <sz val="9"/>
            <color indexed="81"/>
            <rFont val="Tahoma"/>
            <family val="2"/>
          </rPr>
          <t>Lisa Lowen:</t>
        </r>
        <r>
          <rPr>
            <sz val="9"/>
            <color indexed="81"/>
            <rFont val="Tahoma"/>
            <family val="2"/>
          </rPr>
          <t xml:space="preserve">
Load Dispatch 561.*****.3400/3403/3409
</t>
        </r>
      </text>
    </comment>
  </commentList>
</comments>
</file>

<file path=xl/sharedStrings.xml><?xml version="1.0" encoding="utf-8"?>
<sst xmlns="http://schemas.openxmlformats.org/spreadsheetml/2006/main" count="1042" uniqueCount="464">
  <si>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</si>
  <si>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</si>
  <si>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</si>
  <si>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</si>
  <si>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</si>
  <si>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</si>
  <si>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</si>
  <si>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</si>
  <si>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</si>
  <si>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</si>
  <si>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</si>
  <si>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</si>
  <si>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</si>
  <si>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</si>
  <si>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</si>
  <si>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</si>
  <si>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</si>
  <si>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</si>
  <si>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</si>
  <si>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</si>
  <si>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</si>
  <si>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</si>
  <si>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</si>
  <si>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</si>
  <si>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</si>
  <si>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</si>
  <si>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</si>
  <si>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</si>
  <si>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</si>
  <si>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</si>
  <si>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</si>
  <si>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</si>
  <si>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</si>
  <si>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</si>
  <si>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</si>
  <si>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</si>
  <si>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</si>
  <si>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</si>
  <si>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</si>
  <si>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</si>
  <si>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</si>
  <si>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</si>
  <si>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</si>
  <si>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</si>
  <si>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</si>
  <si>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</si>
  <si>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</si>
  <si>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</si>
  <si>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</si>
  <si>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</si>
  <si>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</si>
  <si>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</si>
  <si>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</si>
  <si>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</si>
  <si>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</si>
  <si>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</si>
  <si>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</si>
  <si>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</si>
  <si>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</si>
  <si>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</si>
  <si>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</si>
  <si>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</si>
  <si>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</si>
  <si>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</si>
  <si>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</si>
  <si>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</si>
  <si>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</si>
  <si>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</si>
  <si>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</si>
  <si>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</si>
  <si>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</si>
  <si>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</si>
  <si>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</si>
  <si>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</si>
  <si>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</si>
  <si>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</si>
  <si>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</si>
  <si>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</si>
  <si>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</si>
  <si>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</si>
  <si>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</si>
  <si>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</si>
  <si>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</si>
  <si>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</si>
  <si>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</si>
  <si>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</si>
  <si>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</si>
  <si>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</si>
  <si>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</si>
  <si>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</si>
  <si>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</si>
  <si>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</si>
  <si>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</si>
  <si>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</si>
  <si>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</si>
  <si>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</si>
  <si>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</si>
  <si>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</si>
  <si>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</si>
  <si>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</si>
  <si>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</si>
  <si>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</si>
  <si>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</si>
  <si>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</si>
  <si>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</si>
  <si>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</si>
  <si>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</si>
  <si>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</si>
  <si>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</si>
  <si>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</si>
  <si>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</si>
  <si>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</si>
  <si>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</si>
  <si>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</si>
  <si>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</si>
  <si>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</si>
  <si>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</si>
  <si>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</si>
  <si>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</si>
  <si>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</si>
  <si>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</si>
  <si>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</si>
  <si>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</si>
  <si>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</si>
  <si>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</si>
  <si>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</si>
  <si>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</si>
  <si>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</si>
  <si>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</si>
  <si>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</si>
  <si>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</si>
  <si>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</si>
  <si>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</si>
  <si>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</si>
  <si>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</si>
  <si>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</si>
  <si>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</si>
  <si>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</si>
  <si>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</si>
  <si>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</si>
  <si>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</si>
  <si>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</si>
  <si>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</si>
  <si>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</si>
  <si>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</si>
  <si>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</si>
  <si>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</si>
  <si>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</si>
  <si>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</si>
  <si>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</si>
  <si>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</si>
  <si>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</si>
  <si>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</si>
  <si>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</si>
  <si>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</si>
  <si>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</si>
  <si>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</si>
  <si>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</si>
  <si>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</si>
  <si>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</si>
  <si>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</si>
  <si>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</si>
  <si>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</si>
  <si>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</si>
  <si>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</si>
  <si>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</si>
  <si>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</si>
  <si>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</si>
  <si>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</si>
  <si>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</si>
  <si>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</si>
  <si>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</si>
  <si>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</si>
  <si>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</si>
  <si>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</si>
  <si>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</si>
  <si>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</si>
  <si>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</si>
  <si>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</si>
  <si>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</si>
  <si>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</si>
  <si>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</si>
  <si>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</si>
  <si>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</si>
  <si>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</si>
  <si>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</si>
  <si>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</si>
  <si>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</si>
  <si>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</si>
  <si>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</si>
  <si>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</si>
  <si>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</si>
  <si>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</si>
  <si>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</si>
  <si>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</si>
  <si>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</si>
  <si>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</si>
  <si>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</si>
  <si>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</si>
  <si>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</si>
  <si>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</si>
  <si>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</si>
  <si>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</si>
  <si>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</si>
  <si>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</si>
  <si>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</si>
  <si>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</si>
  <si>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</si>
  <si>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</si>
  <si>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</si>
  <si>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</si>
  <si>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</si>
  <si>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</si>
  <si>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</si>
  <si>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</si>
  <si>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</si>
  <si>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</si>
  <si>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</si>
  <si>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</si>
  <si>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</si>
  <si>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</si>
  <si>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</si>
  <si>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</si>
  <si>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</si>
  <si>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</si>
  <si>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</si>
  <si>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</si>
  <si>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</si>
  <si>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</si>
  <si>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</si>
  <si>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</si>
  <si>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</si>
  <si>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</si>
  <si>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</si>
  <si>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</si>
  <si>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</si>
  <si>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</si>
  <si>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</si>
  <si>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</si>
  <si>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</si>
  <si>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</si>
  <si>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</si>
  <si>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</si>
  <si>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</si>
  <si>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</si>
  <si>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</si>
  <si>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</si>
  <si>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</si>
  <si>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</si>
  <si>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</si>
  <si>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</si>
  <si>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</si>
  <si>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</si>
  <si>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</si>
  <si>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</si>
  <si>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</si>
  <si>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</si>
  <si>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</si>
  <si>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</si>
  <si>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</si>
  <si>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</si>
  <si>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</si>
  <si>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</si>
  <si>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</si>
  <si>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</si>
  <si>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</si>
  <si>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</si>
  <si>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</si>
  <si>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</si>
  <si>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</si>
  <si>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</si>
  <si>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</si>
  <si>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</si>
  <si>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</si>
  <si>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</si>
  <si>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</si>
  <si>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</si>
  <si>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</si>
  <si>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</si>
  <si>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</si>
  <si>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</si>
  <si>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</si>
  <si>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</si>
  <si>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</si>
  <si>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</si>
  <si>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</si>
  <si>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</si>
  <si>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</si>
  <si>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</si>
  <si>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</si>
  <si>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</si>
  <si>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</si>
  <si>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</si>
  <si>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</si>
  <si>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</si>
  <si>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</si>
  <si>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</si>
  <si>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</si>
  <si>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</si>
  <si>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</si>
  <si>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</si>
  <si>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</si>
  <si>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</si>
  <si>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</si>
  <si>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</si>
  <si>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</si>
  <si>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</si>
  <si>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</si>
  <si>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</si>
  <si>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</si>
  <si>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</si>
  <si>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</si>
  <si>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</si>
  <si>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</si>
  <si>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</si>
  <si>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</si>
  <si>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</si>
  <si>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</si>
  <si>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</si>
  <si>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For the 12 months ended 12/31/_2016_</t>
  </si>
  <si>
    <t>SECTION A STATEMENT OF OPERATIONS</t>
  </si>
  <si>
    <t>IA0083</t>
  </si>
  <si>
    <t>B-2</t>
  </si>
  <si>
    <t>RUS FORM 12 CENTRAL IOWA POWER COOPERATIVE</t>
  </si>
  <si>
    <t/>
  </si>
  <si>
    <t>8.     Operating Expense - Transmission</t>
  </si>
  <si>
    <t>14.    Operating Expense - Administrative &amp; Information</t>
  </si>
  <si>
    <t>17.    Maintenance Expense - Transmission</t>
  </si>
  <si>
    <t>20.    Maintenance Expense - General Plant</t>
  </si>
  <si>
    <t>24.    Interest on LT Debt</t>
  </si>
  <si>
    <t>SECTION B: BALANCE SHEET</t>
  </si>
  <si>
    <t>IA003</t>
  </si>
  <si>
    <t>B-3</t>
  </si>
  <si>
    <t>RUS FORM 12 PART A</t>
  </si>
  <si>
    <t>25. Prepayments</t>
  </si>
  <si>
    <t>39.  Total Margins &amp; Equities (33+34d thru 38)</t>
  </si>
  <si>
    <t>46.    Total Long Term Debt (40 thru 44-45)</t>
  </si>
  <si>
    <t>47. Obligations Under Capital Leases NonCurrent</t>
  </si>
  <si>
    <t>52. Current Maturities LTDebt</t>
  </si>
  <si>
    <t>53. Current Mat LTD Rural Development</t>
  </si>
  <si>
    <t>54. Current Mat Capital Leases</t>
  </si>
  <si>
    <t>PART I LINES AND STATIONS</t>
  </si>
  <si>
    <t>B-39</t>
  </si>
  <si>
    <t>8.  Transmissions of Electricity by Others (565)</t>
  </si>
  <si>
    <t>PART H B</t>
  </si>
  <si>
    <t>Section A. Utility Plant</t>
  </si>
  <si>
    <t>B-28</t>
  </si>
  <si>
    <t>1.  Intangible Plant</t>
  </si>
  <si>
    <t>6.  Total Production Plant</t>
  </si>
  <si>
    <t>11.  Total Transmission Plant</t>
  </si>
  <si>
    <t>14.  Station Equipment</t>
  </si>
  <si>
    <t>18.  Total General Plant</t>
  </si>
  <si>
    <t>Section B Accumulated Provision for Depreciation and Amortization Utility Plant</t>
  </si>
  <si>
    <t>1.  Depr. Of Steam Prod Plant</t>
  </si>
  <si>
    <t>2.  Depr. Of Nuclear Prod. Plant</t>
  </si>
  <si>
    <t>3.  Depr. Of Hydraulic Prod. Plant</t>
  </si>
  <si>
    <t>4.  Depr. Of Other Prod Plant</t>
  </si>
  <si>
    <t>5.  Depr. Of Transmission Plant</t>
  </si>
  <si>
    <t>6.  Depr. Of Distribution Plant</t>
  </si>
  <si>
    <t>7.  Depr. Of General Plant</t>
  </si>
  <si>
    <t>12.  Amort. Of Elec. Plant in Service</t>
  </si>
  <si>
    <t>PART H MATERIALS AND SUPPLIES INVENTORY</t>
  </si>
  <si>
    <t>B-34</t>
  </si>
  <si>
    <t>4.  Station Transformers and Equipment</t>
  </si>
  <si>
    <t>5.  Line Materials and Supplies</t>
  </si>
  <si>
    <t xml:space="preserve">B </t>
  </si>
  <si>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</si>
  <si>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</si>
  <si>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</si>
  <si>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</si>
  <si>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</si>
  <si>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</si>
  <si>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</si>
  <si>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</si>
  <si>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</si>
  <si>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</si>
  <si>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</si>
  <si>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Schedule 1 rate =&gt;</t>
  </si>
  <si>
    <t>per kW yr</t>
  </si>
  <si>
    <t>per kW mo</t>
  </si>
  <si>
    <t>Schedule 2 rate =&gt;</t>
  </si>
  <si>
    <t>Schedule 9 rate =&gt;</t>
  </si>
  <si>
    <t>Sch 1+2+9 =&gt;</t>
  </si>
  <si>
    <t>CIPCO</t>
  </si>
  <si>
    <t>Other Electric Revenue</t>
  </si>
  <si>
    <t>12-31-16</t>
  </si>
  <si>
    <t>12-31-15</t>
  </si>
  <si>
    <t>BALANCE</t>
  </si>
  <si>
    <t>RENT INCOME  ACCT 454</t>
  </si>
  <si>
    <t>IPW Overinvestment</t>
  </si>
  <si>
    <t>454.00100</t>
  </si>
  <si>
    <t>Rent WSEC Joint Use Facilities</t>
  </si>
  <si>
    <t>454.00090</t>
  </si>
  <si>
    <t>Rent MEC Refined Coal Lease</t>
  </si>
  <si>
    <t>454.00080</t>
  </si>
  <si>
    <t>City of Ames - Boone Jct Tie</t>
  </si>
  <si>
    <t>454.00070</t>
  </si>
  <si>
    <t>Louisa Transm Capacity (Eldridge &amp; Geneseo)</t>
  </si>
  <si>
    <t>454.00010</t>
  </si>
  <si>
    <t>SW Iowa Service - Villisca Dist. Sub</t>
  </si>
  <si>
    <t>454.00030</t>
  </si>
  <si>
    <t>MidAmerican Energy - Fairport Radio Tower Rent</t>
  </si>
  <si>
    <t>454.00040</t>
  </si>
  <si>
    <t>Telecommunications Pole Use</t>
  </si>
  <si>
    <t>454.00050</t>
  </si>
  <si>
    <t>WAPA - Tower Rent at Creston</t>
  </si>
  <si>
    <t>454.00060</t>
  </si>
  <si>
    <t>Other</t>
  </si>
  <si>
    <t>454.00020</t>
  </si>
  <si>
    <t xml:space="preserve"> ELECTRIC REVENUES  ACCT 456</t>
  </si>
  <si>
    <t>Independence Light &amp; Power (2 MW min.)</t>
  </si>
  <si>
    <t>456.00060</t>
  </si>
  <si>
    <t>Alliant Massena Grant - NITS</t>
  </si>
  <si>
    <t>456.00010</t>
  </si>
  <si>
    <t>La Porte (prior to settlement)</t>
  </si>
  <si>
    <t>RPGI (prior to settlement)</t>
  </si>
  <si>
    <t>MISO Point-to-point Revenue sharing</t>
  </si>
  <si>
    <t>Wheeling -SIMECA - NITS</t>
  </si>
  <si>
    <t>456.00040</t>
  </si>
  <si>
    <t>Wheeling -Stanton - NITS</t>
  </si>
  <si>
    <t>456.00030</t>
  </si>
  <si>
    <t>MidAmerican Energy (Otley)</t>
  </si>
  <si>
    <t>456.00070</t>
  </si>
  <si>
    <t>Pella Municipal (Vermeer)</t>
  </si>
  <si>
    <t>456.00050</t>
  </si>
  <si>
    <t>Refined Coal Prod Credit - LGS</t>
  </si>
  <si>
    <t>456.20040</t>
  </si>
  <si>
    <t>Alliant IPW Area - NITS</t>
  </si>
  <si>
    <t>456.00020</t>
  </si>
  <si>
    <t>RPGI Settlement Agreement:</t>
  </si>
  <si>
    <t>RPGI</t>
  </si>
  <si>
    <t>456.20030</t>
  </si>
  <si>
    <t>WPPI Energy</t>
  </si>
  <si>
    <t>ITC</t>
  </si>
  <si>
    <t>456.20020</t>
  </si>
  <si>
    <t>IPL</t>
  </si>
  <si>
    <t>456.20010</t>
  </si>
  <si>
    <t>Total Other Electric Revenues</t>
  </si>
  <si>
    <t>A1</t>
  </si>
  <si>
    <t>A2</t>
  </si>
  <si>
    <t>B-28E</t>
  </si>
  <si>
    <t>B-28A</t>
  </si>
  <si>
    <t>B-28B</t>
  </si>
  <si>
    <t>B-28C/D</t>
  </si>
  <si>
    <t>B-28F/G/H/I</t>
  </si>
  <si>
    <t>B-28J</t>
  </si>
  <si>
    <t>B-28K</t>
  </si>
  <si>
    <t>B-28L/M</t>
  </si>
  <si>
    <t>B34A/B</t>
  </si>
  <si>
    <t>B3A</t>
  </si>
  <si>
    <t>B2A/B</t>
  </si>
  <si>
    <t>B39A</t>
  </si>
  <si>
    <t>B2F/G</t>
  </si>
  <si>
    <t>B28J</t>
  </si>
  <si>
    <t>B23L/M</t>
  </si>
  <si>
    <t>C1/2/3</t>
  </si>
  <si>
    <t>D1</t>
  </si>
  <si>
    <t>E1A</t>
  </si>
  <si>
    <t>E1B</t>
  </si>
  <si>
    <t>E1C</t>
  </si>
  <si>
    <t>F1D</t>
  </si>
  <si>
    <t>F1A</t>
  </si>
  <si>
    <t>F1C</t>
  </si>
  <si>
    <t>Central Iowa Power Cooperative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</si>
</sst>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 #,##0_);_(* \(#,##0\);_(* &quot;-&quot;??_);_(@_)"/>
    <numFmt numFmtId="173" formatCode="_(&quot;$&quot;* #,##0_);_(&quot;$&quot;* \(#,##0\);_(&quot;$&quot;* &quot;-&quot;??_);_(@_)"/>
    <numFmt numFmtId="174" formatCode="&quot;$&quot;#,##0.0000"/>
  </numFmts>
  <fonts count="29">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sz val="8.25"/>
      <color rgb="FF000000"/>
      <name val="Microsoft Sans Serif"/>
      <family val="2"/>
    </font>
    <font>
      <sz val="12"/>
      <name val="Arial"/>
      <family val="2"/>
    </font>
    <font>
      <sz val="10"/>
      <color rgb="FF000000"/>
      <name val="Arial"/>
      <family val="2"/>
    </font>
    <font>
      <sz val="10"/>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9"/>
      <color indexed="81"/>
      <name val="Tahoma"/>
      <family val="2"/>
    </font>
    <font>
      <sz val="9"/>
      <color indexed="81"/>
      <name val="Tahoma"/>
      <family val="2"/>
    </font>
    <font>
      <sz val="11"/>
      <name val="DUTCH"/>
    </font>
    <font>
      <sz val="11"/>
      <name val="Rockwell"/>
      <family val="1"/>
    </font>
    <font>
      <b/>
      <sz val="18"/>
      <name val="Arial"/>
      <family val="2"/>
    </font>
    <font>
      <b/>
      <sz val="12"/>
      <name val="Arial"/>
      <family val="2"/>
    </font>
    <font>
      <b/>
      <sz val="11"/>
      <name val="Arial"/>
      <family val="2"/>
    </font>
    <font>
      <b/>
      <sz val="11"/>
      <name val="Rockwell"/>
      <family val="1"/>
    </font>
    <font>
      <sz val="11"/>
      <name val="Arial"/>
      <family val="2"/>
    </font>
    <font>
      <u/>
      <sz val="12"/>
      <name val="Arial"/>
      <family val="2"/>
    </font>
    <font>
      <u val="double"/>
      <sz val="12"/>
      <name val="Arial"/>
      <family val="2"/>
    </font>
    <font>
      <sz val="11"/>
      <color rgb="FFFF0000"/>
      <name val="Arial"/>
      <family val="2"/>
    </font>
    <font>
      <sz val="11"/>
      <color theme="1"/>
      <name val="Rockwell"/>
      <family val="1"/>
    </font>
    <font>
      <u/>
      <sz val="11"/>
      <name val="Rockwell"/>
      <family val="1"/>
    </font>
    <font>
      <u/>
      <sz val="11"/>
      <color theme="1"/>
      <name val="Rockwell"/>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s>
  <borders count="1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double">
        <color indexed="8"/>
      </bottom>
      <diagonal/>
    </border>
  </borders>
  <cellStyleXfs count="11">
    <xf numFmtId="171" fontId="0" fillId="0" borderId="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6" fillId="0" borderId="0" applyAlignment="0"/>
    <xf numFmtId="43" fontId="6" fillId="0" borderId="0" applyFont="0" applyFill="0" applyBorder="0" applyAlignment="0" applyProtection="0"/>
    <xf numFmtId="0" fontId="16" fillId="0" borderId="0"/>
    <xf numFmtId="0" fontId="16" fillId="0" borderId="0"/>
    <xf numFmtId="171" fontId="4" fillId="0" borderId="0" applyProtection="0"/>
    <xf numFmtId="43" fontId="7" fillId="0" borderId="0" applyFont="0" applyFill="0" applyBorder="0" applyAlignment="0" applyProtection="0"/>
    <xf numFmtId="43" fontId="4" fillId="0" borderId="0" applyFont="0" applyFill="0" applyBorder="0" applyAlignment="0" applyProtection="0"/>
  </cellStyleXfs>
  <cellXfs count="265">
    <xf numFmtId="171" fontId="0" fillId="0" borderId="0" xfId="0"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69" fontId="1" fillId="0" borderId="0" xfId="0" applyNumberFormat="1" applyFont="1" applyFill="1" applyBorder="1" applyAlignment="1" applyProtection="1"/>
    <xf numFmtId="3" fontId="1" fillId="0" borderId="0" xfId="0" applyNumberFormat="1" applyFont="1" applyFill="1" applyAlignment="1" applyProtection="1"/>
    <xf numFmtId="171" fontId="1" fillId="0" borderId="4" xfId="0" applyFont="1" applyBorder="1" applyAlignment="1" applyProtection="1"/>
    <xf numFmtId="171" fontId="1" fillId="0" borderId="5" xfId="0" applyFont="1" applyBorder="1" applyAlignment="1" applyProtection="1"/>
    <xf numFmtId="171" fontId="1" fillId="0" borderId="6" xfId="0" applyFont="1" applyBorder="1" applyAlignment="1" applyProtection="1"/>
    <xf numFmtId="171" fontId="1" fillId="0" borderId="7" xfId="0" applyFont="1" applyBorder="1" applyAlignment="1" applyProtection="1"/>
    <xf numFmtId="171" fontId="1" fillId="0" borderId="0" xfId="0" applyFont="1" applyBorder="1" applyAlignment="1" applyProtection="1"/>
    <xf numFmtId="171" fontId="1" fillId="0" borderId="8" xfId="0" applyFont="1" applyBorder="1" applyAlignment="1" applyProtection="1"/>
    <xf numFmtId="10" fontId="5" fillId="4" borderId="8" xfId="1" applyNumberFormat="1" applyFont="1" applyFill="1" applyBorder="1" applyAlignment="1" applyProtection="1"/>
    <xf numFmtId="171" fontId="1" fillId="0" borderId="9" xfId="0" applyFont="1" applyBorder="1" applyAlignment="1" applyProtection="1"/>
    <xf numFmtId="171" fontId="1" fillId="0" borderId="10" xfId="0" applyFont="1" applyBorder="1" applyAlignment="1" applyProtection="1"/>
    <xf numFmtId="171" fontId="1" fillId="0" borderId="11" xfId="0" applyFont="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2" borderId="0" xfId="0" applyNumberFormat="1" applyFont="1" applyFill="1" applyProtection="1"/>
    <xf numFmtId="171" fontId="1" fillId="2" borderId="0" xfId="0" applyFont="1" applyFill="1" applyAlignment="1" applyProtection="1"/>
    <xf numFmtId="0" fontId="1" fillId="2" borderId="0" xfId="0" applyNumberFormat="1" applyFont="1" applyFill="1" applyAlignment="1" applyProtection="1">
      <alignment horizontal="right"/>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7" fontId="1" fillId="0" borderId="0" xfId="0" applyNumberFormat="1" applyFont="1" applyProtection="1"/>
    <xf numFmtId="167" fontId="1" fillId="0" borderId="0" xfId="0" applyNumberFormat="1" applyFont="1" applyAlignment="1" applyProtection="1">
      <alignment horizontal="center"/>
    </xf>
    <xf numFmtId="171" fontId="1" fillId="0" borderId="0" xfId="0" applyFont="1" applyAlignment="1" applyProtection="1">
      <alignment horizontal="center"/>
    </xf>
    <xf numFmtId="170" fontId="1" fillId="0" borderId="0" xfId="0" applyNumberFormat="1" applyFont="1" applyAlignment="1" applyProtection="1"/>
    <xf numFmtId="170" fontId="1" fillId="2" borderId="0" xfId="0" applyNumberFormat="1" applyFont="1" applyFill="1" applyProtection="1"/>
    <xf numFmtId="170" fontId="1" fillId="0" borderId="0" xfId="0" applyNumberFormat="1" applyFont="1" applyProtection="1"/>
    <xf numFmtId="170" fontId="1" fillId="0" borderId="0" xfId="0" applyNumberFormat="1" applyFont="1" applyFill="1" applyProtection="1"/>
    <xf numFmtId="0" fontId="1" fillId="0" borderId="0" xfId="0" applyNumberFormat="1" applyFont="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1"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171"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0" fontId="1" fillId="0" borderId="0" xfId="0" applyNumberFormat="1" applyFont="1" applyFill="1" applyAlignment="1" applyProtection="1"/>
    <xf numFmtId="0" fontId="1" fillId="0" borderId="0" xfId="0" applyNumberFormat="1" applyFont="1" applyFill="1" applyAlignment="1" applyProtection="1">
      <alignment horizontal="center"/>
    </xf>
    <xf numFmtId="3" fontId="1" fillId="0" borderId="2" xfId="0" applyNumberFormat="1" applyFont="1" applyFill="1" applyBorder="1" applyAlignment="1" applyProtection="1"/>
    <xf numFmtId="0" fontId="1" fillId="0" borderId="0" xfId="0" applyNumberFormat="1" applyFont="1" applyFill="1" applyProtection="1"/>
    <xf numFmtId="0" fontId="1" fillId="0" borderId="1" xfId="0" applyNumberFormat="1" applyFont="1" applyBorder="1" applyProtection="1"/>
    <xf numFmtId="3" fontId="1" fillId="0" borderId="0" xfId="0" applyNumberFormat="1" applyFont="1" applyAlignment="1" applyProtection="1">
      <alignment horizontal="center"/>
    </xf>
    <xf numFmtId="171" fontId="1" fillId="0" borderId="0" xfId="0" applyFont="1" applyFill="1" applyBorder="1" applyAlignment="1" applyProtection="1"/>
    <xf numFmtId="49" fontId="1" fillId="0" borderId="0" xfId="0" applyNumberFormat="1" applyFont="1" applyAlignment="1" applyProtection="1"/>
    <xf numFmtId="171" fontId="0" fillId="0" borderId="0" xfId="0" applyFont="1" applyFill="1" applyBorder="1" applyAlignment="1" applyProtection="1"/>
    <xf numFmtId="171" fontId="0" fillId="0" borderId="0" xfId="0" applyFill="1" applyBorder="1" applyAlignment="1" applyProtection="1"/>
    <xf numFmtId="165" fontId="1" fillId="0" borderId="0" xfId="0" applyNumberFormat="1" applyFont="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3" fontId="1" fillId="0" borderId="0" xfId="0" quotePrefix="1" applyNumberFormat="1" applyFont="1" applyAlignment="1" applyProtection="1"/>
    <xf numFmtId="0" fontId="1" fillId="0" borderId="1" xfId="0" applyNumberFormat="1" applyFont="1" applyBorder="1" applyAlignment="1" applyProtection="1"/>
    <xf numFmtId="169" fontId="1" fillId="2" borderId="0" xfId="0" applyNumberFormat="1" applyFont="1" applyFill="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0" fontId="3" fillId="0" borderId="0" xfId="0" applyNumberFormat="1" applyFont="1" applyProtection="1"/>
    <xf numFmtId="171" fontId="3" fillId="0" borderId="0" xfId="0" applyFont="1" applyAlignment="1" applyProtection="1"/>
    <xf numFmtId="0" fontId="1" fillId="0" borderId="0" xfId="0" applyNumberFormat="1" applyFont="1" applyBorder="1" applyProtection="1"/>
    <xf numFmtId="169"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0" xfId="0" applyNumberFormat="1" applyFont="1" applyFill="1" applyBorder="1" applyProtection="1"/>
    <xf numFmtId="0" fontId="1" fillId="0" borderId="1" xfId="0" applyNumberFormat="1" applyFont="1" applyFill="1" applyBorder="1" applyAlignment="1" applyProtection="1"/>
    <xf numFmtId="0" fontId="1" fillId="0" borderId="1" xfId="0" applyNumberFormat="1" applyFont="1" applyFill="1" applyBorder="1" applyProtection="1"/>
    <xf numFmtId="169" fontId="1" fillId="2" borderId="1" xfId="0" applyNumberFormat="1" applyFont="1" applyFill="1" applyBorder="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69"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vertical="top" wrapText="1"/>
    </xf>
    <xf numFmtId="10" fontId="1" fillId="0" borderId="0" xfId="0" applyNumberFormat="1" applyFont="1" applyFill="1" applyAlignment="1" applyProtection="1">
      <alignment vertical="top" wrapText="1"/>
    </xf>
    <xf numFmtId="3" fontId="1" fillId="0" borderId="0" xfId="0" applyNumberFormat="1" applyFont="1" applyFill="1" applyAlignment="1" applyProtection="1">
      <alignment vertical="top" wrapText="1"/>
    </xf>
    <xf numFmtId="171" fontId="1" fillId="0" borderId="0" xfId="0" applyFont="1" applyAlignment="1" applyProtection="1">
      <alignment horizontal="center" vertical="top" wrapText="1"/>
    </xf>
    <xf numFmtId="171" fontId="1" fillId="0" borderId="0" xfId="0" applyFont="1" applyAlignment="1" applyProtection="1">
      <alignment horizontal="center" vertical="top"/>
    </xf>
    <xf numFmtId="0" fontId="1" fillId="0" borderId="0" xfId="0" applyNumberFormat="1" applyFont="1" applyFill="1" applyAlignment="1" applyProtection="1">
      <alignment horizontal="left" vertical="top"/>
    </xf>
    <xf numFmtId="10" fontId="1" fillId="0" borderId="0" xfId="0" applyNumberFormat="1" applyFont="1" applyFill="1" applyProtection="1"/>
    <xf numFmtId="0" fontId="1" fillId="0" borderId="0" xfId="0" applyNumberFormat="1" applyFont="1" applyFill="1" applyAlignment="1" applyProtection="1">
      <alignment vertical="top"/>
    </xf>
    <xf numFmtId="0" fontId="3" fillId="0" borderId="0" xfId="0" applyNumberFormat="1" applyFont="1" applyFill="1" applyProtection="1"/>
    <xf numFmtId="10" fontId="3" fillId="0" borderId="0" xfId="0" applyNumberFormat="1" applyFont="1" applyFill="1" applyProtection="1"/>
    <xf numFmtId="3" fontId="3" fillId="0" borderId="0" xfId="0" applyNumberFormat="1" applyFont="1" applyAlignment="1" applyProtection="1"/>
    <xf numFmtId="171" fontId="0" fillId="0" borderId="0" xfId="0" applyFont="1" applyAlignment="1" applyProtection="1">
      <alignment horizontal="center"/>
    </xf>
    <xf numFmtId="0"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 fillId="0" borderId="0" xfId="0" applyNumberFormat="1" applyFont="1" applyAlignment="1" applyProtection="1">
      <alignment horizontal="center"/>
    </xf>
    <xf numFmtId="0" fontId="6" fillId="0" borderId="0" xfId="4" applyFont="1"/>
    <xf numFmtId="0" fontId="6" fillId="0" borderId="0" xfId="4"/>
    <xf numFmtId="172" fontId="0" fillId="0" borderId="0" xfId="5" applyNumberFormat="1" applyFont="1"/>
    <xf numFmtId="0" fontId="6" fillId="0" borderId="12" xfId="4" applyBorder="1"/>
    <xf numFmtId="172" fontId="6" fillId="0" borderId="0" xfId="4" applyNumberFormat="1"/>
    <xf numFmtId="172" fontId="6" fillId="0" borderId="0" xfId="5" applyNumberFormat="1" applyFont="1"/>
    <xf numFmtId="0" fontId="6" fillId="0" borderId="0" xfId="4" applyFont="1" applyAlignment="1">
      <alignment indent="1"/>
    </xf>
    <xf numFmtId="0" fontId="8" fillId="0" borderId="0" xfId="4" applyFont="1"/>
    <xf numFmtId="0" fontId="8" fillId="0" borderId="0" xfId="4" applyFont="1" applyAlignment="1">
      <alignment horizontal="center"/>
    </xf>
    <xf numFmtId="14" fontId="8" fillId="0" borderId="12" xfId="4" applyNumberFormat="1" applyFont="1" applyBorder="1" applyAlignment="1">
      <alignment horizontal="center"/>
    </xf>
    <xf numFmtId="172" fontId="9" fillId="0" borderId="0" xfId="5" applyNumberFormat="1" applyFont="1"/>
    <xf numFmtId="172" fontId="9" fillId="0" borderId="12" xfId="5" applyNumberFormat="1" applyFont="1" applyBorder="1"/>
    <xf numFmtId="172" fontId="8" fillId="0" borderId="0" xfId="5" applyNumberFormat="1" applyFont="1"/>
    <xf numFmtId="172" fontId="8" fillId="0" borderId="0" xfId="5" applyNumberFormat="1" applyFont="1" applyAlignment="1">
      <alignment horizontal="center"/>
    </xf>
    <xf numFmtId="172" fontId="8" fillId="0" borderId="12" xfId="5" applyNumberFormat="1" applyFont="1" applyBorder="1" applyAlignment="1">
      <alignment horizontal="center"/>
    </xf>
    <xf numFmtId="10" fontId="6" fillId="0" borderId="0" xfId="1" applyNumberFormat="1" applyFont="1"/>
    <xf numFmtId="172" fontId="6" fillId="0" borderId="0" xfId="2" applyNumberFormat="1" applyFont="1"/>
    <xf numFmtId="171" fontId="10" fillId="0" borderId="0" xfId="0" applyFont="1" applyAlignment="1"/>
    <xf numFmtId="0" fontId="0" fillId="0" borderId="0" xfId="0" applyNumberFormat="1" applyFont="1" applyAlignment="1"/>
    <xf numFmtId="171" fontId="0" fillId="0" borderId="0" xfId="0" applyFont="1" applyAlignment="1"/>
    <xf numFmtId="3" fontId="0" fillId="0" borderId="0" xfId="0" applyNumberFormat="1" applyFont="1" applyAlignment="1"/>
    <xf numFmtId="171" fontId="0" fillId="0" borderId="7" xfId="0" applyBorder="1" applyAlignment="1"/>
    <xf numFmtId="171"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1" fontId="0" fillId="0" borderId="8" xfId="0" applyFont="1" applyBorder="1" applyAlignment="1"/>
    <xf numFmtId="173" fontId="0" fillId="0" borderId="7" xfId="3" applyNumberFormat="1" applyFont="1" applyFill="1" applyBorder="1" applyAlignment="1"/>
    <xf numFmtId="3" fontId="11" fillId="0" borderId="0" xfId="0" applyNumberFormat="1" applyFont="1" applyBorder="1" applyAlignment="1"/>
    <xf numFmtId="173" fontId="0" fillId="2" borderId="9" xfId="3" applyNumberFormat="1" applyFont="1" applyFill="1" applyBorder="1" applyAlignment="1"/>
    <xf numFmtId="171" fontId="11" fillId="0" borderId="0" xfId="0" applyFont="1" applyAlignment="1"/>
    <xf numFmtId="171" fontId="12" fillId="0" borderId="0" xfId="0" applyFont="1" applyAlignment="1"/>
    <xf numFmtId="171" fontId="0" fillId="0" borderId="8" xfId="0" applyBorder="1" applyAlignment="1"/>
    <xf numFmtId="169" fontId="0" fillId="0" borderId="7" xfId="0" applyNumberFormat="1" applyBorder="1" applyAlignment="1"/>
    <xf numFmtId="0" fontId="0" fillId="0" borderId="7" xfId="0" applyNumberFormat="1" applyFont="1" applyBorder="1" applyAlignment="1"/>
    <xf numFmtId="171" fontId="13" fillId="0" borderId="0" xfId="0" applyFont="1" applyBorder="1"/>
    <xf numFmtId="171" fontId="11" fillId="0" borderId="0" xfId="0" applyFont="1" applyBorder="1"/>
    <xf numFmtId="173" fontId="0" fillId="2" borderId="7" xfId="3" applyNumberFormat="1" applyFont="1" applyFill="1" applyBorder="1" applyAlignment="1"/>
    <xf numFmtId="171" fontId="0" fillId="0" borderId="0" xfId="0" applyBorder="1" applyAlignment="1"/>
    <xf numFmtId="171" fontId="11" fillId="0" borderId="0" xfId="0" applyFont="1" applyBorder="1" applyAlignment="1">
      <alignment horizontal="left" wrapText="1"/>
    </xf>
    <xf numFmtId="171" fontId="11" fillId="0" borderId="0" xfId="0" applyFont="1" applyBorder="1" applyAlignment="1"/>
    <xf numFmtId="169" fontId="0" fillId="0" borderId="9" xfId="0" applyNumberFormat="1" applyFont="1" applyBorder="1" applyAlignment="1"/>
    <xf numFmtId="171" fontId="11" fillId="0" borderId="10" xfId="0" applyFont="1" applyBorder="1" applyAlignment="1"/>
    <xf numFmtId="3" fontId="0" fillId="0" borderId="10" xfId="0" applyNumberFormat="1" applyFont="1" applyBorder="1" applyAlignment="1"/>
    <xf numFmtId="0" fontId="0" fillId="0" borderId="10" xfId="0" applyNumberFormat="1" applyFont="1" applyBorder="1" applyAlignment="1"/>
    <xf numFmtId="171" fontId="0" fillId="0" borderId="10" xfId="0" applyFont="1" applyBorder="1" applyAlignment="1"/>
    <xf numFmtId="171" fontId="0" fillId="0" borderId="11" xfId="0" applyFont="1" applyBorder="1" applyAlignment="1"/>
    <xf numFmtId="171" fontId="1" fillId="0" borderId="0" xfId="0" applyFont="1" applyAlignment="1"/>
    <xf numFmtId="174" fontId="1" fillId="0" borderId="0" xfId="0" applyNumberFormat="1" applyFont="1" applyAlignment="1"/>
    <xf numFmtId="171" fontId="1" fillId="0" borderId="0" xfId="0" applyNumberFormat="1" applyFont="1" applyAlignment="1"/>
    <xf numFmtId="171" fontId="1" fillId="5" borderId="0" xfId="0" applyNumberFormat="1" applyFont="1" applyFill="1" applyAlignment="1"/>
    <xf numFmtId="0" fontId="17" fillId="0" borderId="0" xfId="6" applyFont="1"/>
    <xf numFmtId="0" fontId="19" fillId="0" borderId="0" xfId="6" quotePrefix="1" applyFont="1" applyAlignment="1">
      <alignment horizontal="center"/>
    </xf>
    <xf numFmtId="39" fontId="19" fillId="0" borderId="0" xfId="6" quotePrefix="1" applyNumberFormat="1" applyFont="1" applyAlignment="1">
      <alignment horizontal="center"/>
    </xf>
    <xf numFmtId="0" fontId="19" fillId="0" borderId="0" xfId="6" applyFont="1" applyFill="1" applyAlignment="1">
      <alignment horizontal="center"/>
    </xf>
    <xf numFmtId="0" fontId="20" fillId="0" borderId="0" xfId="6" quotePrefix="1" applyFont="1" applyAlignment="1">
      <alignment horizontal="center"/>
    </xf>
    <xf numFmtId="39" fontId="20" fillId="0" borderId="0" xfId="6" quotePrefix="1" applyNumberFormat="1" applyFont="1" applyAlignment="1">
      <alignment horizontal="center"/>
    </xf>
    <xf numFmtId="0" fontId="21" fillId="0" borderId="0" xfId="6" applyFont="1"/>
    <xf numFmtId="0" fontId="20" fillId="0" borderId="0" xfId="6" applyFont="1"/>
    <xf numFmtId="39" fontId="19" fillId="0" borderId="0" xfId="6" quotePrefix="1" applyNumberFormat="1" applyFont="1" applyAlignment="1">
      <alignment horizontal="right"/>
    </xf>
    <xf numFmtId="0" fontId="19" fillId="0" borderId="0" xfId="6" applyFont="1"/>
    <xf numFmtId="39" fontId="19" fillId="0" borderId="0" xfId="6" applyNumberFormat="1" applyFont="1" applyAlignment="1">
      <alignment horizontal="right"/>
    </xf>
    <xf numFmtId="39" fontId="20" fillId="0" borderId="0" xfId="6" applyNumberFormat="1" applyFont="1"/>
    <xf numFmtId="0" fontId="19" fillId="0" borderId="13" xfId="6" applyFont="1" applyBorder="1"/>
    <xf numFmtId="0" fontId="20" fillId="0" borderId="0" xfId="6" applyNumberFormat="1" applyFont="1"/>
    <xf numFmtId="0" fontId="22" fillId="0" borderId="0" xfId="6" applyFont="1"/>
    <xf numFmtId="0" fontId="22" fillId="0" borderId="0" xfId="6" applyNumberFormat="1" applyFont="1" applyProtection="1"/>
    <xf numFmtId="39" fontId="22" fillId="0" borderId="0" xfId="6" applyNumberFormat="1" applyFont="1"/>
    <xf numFmtId="0" fontId="7" fillId="0" borderId="0" xfId="6" quotePrefix="1" applyFont="1" applyAlignment="1">
      <alignment horizontal="left"/>
    </xf>
    <xf numFmtId="0" fontId="7" fillId="0" borderId="0" xfId="6" quotePrefix="1" applyNumberFormat="1" applyFont="1" applyProtection="1"/>
    <xf numFmtId="39" fontId="7" fillId="0" borderId="0" xfId="6" applyNumberFormat="1" applyFont="1" applyFill="1" applyProtection="1"/>
    <xf numFmtId="39" fontId="7" fillId="0" borderId="0" xfId="6" applyNumberFormat="1" applyFont="1" applyProtection="1"/>
    <xf numFmtId="0" fontId="7" fillId="0" borderId="0" xfId="6" applyFont="1"/>
    <xf numFmtId="0" fontId="7" fillId="0" borderId="0" xfId="6" applyNumberFormat="1" applyFont="1" applyProtection="1"/>
    <xf numFmtId="39" fontId="7" fillId="4" borderId="0" xfId="6" applyNumberFormat="1" applyFont="1" applyFill="1" applyProtection="1"/>
    <xf numFmtId="39" fontId="7" fillId="4" borderId="0" xfId="6" applyNumberFormat="1" applyFont="1" applyFill="1"/>
    <xf numFmtId="39" fontId="23" fillId="4" borderId="0" xfId="6" applyNumberFormat="1" applyFont="1" applyFill="1" applyProtection="1"/>
    <xf numFmtId="39" fontId="17" fillId="0" borderId="0" xfId="6" applyNumberFormat="1" applyFont="1"/>
    <xf numFmtId="7" fontId="7" fillId="0" borderId="0" xfId="6" applyNumberFormat="1" applyFont="1" applyProtection="1"/>
    <xf numFmtId="39" fontId="24" fillId="0" borderId="0" xfId="6" applyNumberFormat="1" applyFont="1" applyFill="1" applyProtection="1"/>
    <xf numFmtId="39" fontId="24" fillId="0" borderId="0" xfId="6" applyNumberFormat="1" applyFont="1" applyProtection="1"/>
    <xf numFmtId="39" fontId="17" fillId="0" borderId="0" xfId="6" applyNumberFormat="1" applyFont="1" applyProtection="1"/>
    <xf numFmtId="7" fontId="17" fillId="0" borderId="0" xfId="6" applyNumberFormat="1" applyFont="1" applyProtection="1"/>
    <xf numFmtId="0" fontId="22" fillId="0" borderId="0" xfId="6" applyFont="1" applyFill="1"/>
    <xf numFmtId="7" fontId="22" fillId="0" borderId="0" xfId="6" applyNumberFormat="1" applyFont="1" applyFill="1" applyProtection="1"/>
    <xf numFmtId="39" fontId="22" fillId="0" borderId="0" xfId="6" applyNumberFormat="1" applyFont="1" applyFill="1" applyProtection="1"/>
    <xf numFmtId="0" fontId="19" fillId="0" borderId="14" xfId="6" applyFont="1" applyFill="1" applyBorder="1"/>
    <xf numFmtId="7" fontId="22" fillId="0" borderId="15" xfId="6" applyNumberFormat="1" applyFont="1" applyFill="1" applyBorder="1" applyProtection="1"/>
    <xf numFmtId="39" fontId="25" fillId="0" borderId="0" xfId="6" applyNumberFormat="1" applyFont="1" applyFill="1" applyProtection="1"/>
    <xf numFmtId="7" fontId="17" fillId="0" borderId="0" xfId="7" applyNumberFormat="1" applyFont="1" applyProtection="1"/>
    <xf numFmtId="0" fontId="17" fillId="0" borderId="0" xfId="7" applyFont="1"/>
    <xf numFmtId="171" fontId="4" fillId="0" borderId="0" xfId="8" quotePrefix="1" applyAlignment="1"/>
    <xf numFmtId="171" fontId="4" fillId="0" borderId="0" xfId="8" applyAlignment="1"/>
    <xf numFmtId="0" fontId="7" fillId="0" borderId="0" xfId="6" quotePrefix="1" applyFont="1" applyFill="1" applyAlignment="1">
      <alignment horizontal="left"/>
    </xf>
    <xf numFmtId="7" fontId="7" fillId="0" borderId="0" xfId="6" quotePrefix="1" applyNumberFormat="1" applyFont="1" applyFill="1" applyProtection="1"/>
    <xf numFmtId="39" fontId="7" fillId="4" borderId="0" xfId="6" applyNumberFormat="1" applyFont="1" applyFill="1" applyAlignment="1" applyProtection="1"/>
    <xf numFmtId="0" fontId="17" fillId="0" borderId="0" xfId="7" applyFont="1" applyAlignment="1">
      <alignment horizontal="center"/>
    </xf>
    <xf numFmtId="0" fontId="7" fillId="0" borderId="0" xfId="6" applyFont="1" applyFill="1"/>
    <xf numFmtId="7" fontId="7" fillId="0" borderId="0" xfId="6" applyNumberFormat="1" applyFont="1" applyFill="1" applyProtection="1"/>
    <xf numFmtId="7" fontId="17" fillId="0" borderId="0" xfId="7" applyNumberFormat="1" applyFont="1" applyAlignment="1" applyProtection="1">
      <alignment horizontal="right"/>
    </xf>
    <xf numFmtId="43" fontId="17" fillId="0" borderId="0" xfId="9" applyFont="1"/>
    <xf numFmtId="43" fontId="17" fillId="0" borderId="0" xfId="10" applyFont="1"/>
    <xf numFmtId="43" fontId="17" fillId="0" borderId="0" xfId="10" applyFont="1" applyFill="1"/>
    <xf numFmtId="39" fontId="7" fillId="0" borderId="0" xfId="6" applyNumberFormat="1" applyFont="1" applyFill="1" applyAlignment="1" applyProtection="1"/>
    <xf numFmtId="43" fontId="26" fillId="0" borderId="0" xfId="10" applyFont="1"/>
    <xf numFmtId="43" fontId="26" fillId="0" borderId="0" xfId="10" applyFont="1" applyFill="1"/>
    <xf numFmtId="43" fontId="27" fillId="0" borderId="0" xfId="10" applyFont="1"/>
    <xf numFmtId="43" fontId="28" fillId="0" borderId="0" xfId="10" applyFont="1" applyFill="1"/>
    <xf numFmtId="43" fontId="17" fillId="0" borderId="0" xfId="7" applyNumberFormat="1" applyFont="1"/>
    <xf numFmtId="2" fontId="17" fillId="0" borderId="0" xfId="6" applyNumberFormat="1" applyFont="1"/>
    <xf numFmtId="0" fontId="7" fillId="0" borderId="0" xfId="6" quotePrefix="1" applyFont="1" applyFill="1" applyAlignment="1">
      <alignment horizontal="left" indent="1"/>
    </xf>
    <xf numFmtId="0" fontId="7" fillId="0" borderId="0" xfId="6" quotePrefix="1" applyNumberFormat="1" applyFont="1" applyFill="1" applyProtection="1"/>
    <xf numFmtId="39" fontId="23" fillId="0" borderId="0" xfId="6" applyNumberFormat="1" applyFont="1" applyFill="1" applyProtection="1"/>
    <xf numFmtId="7" fontId="17" fillId="0" borderId="0" xfId="6" applyNumberFormat="1" applyFont="1" applyFill="1" applyProtection="1"/>
    <xf numFmtId="39" fontId="17" fillId="0" borderId="0" xfId="6" applyNumberFormat="1" applyFont="1" applyFill="1" applyProtection="1"/>
    <xf numFmtId="0" fontId="17" fillId="0" borderId="0" xfId="6" applyFont="1" applyFill="1"/>
    <xf numFmtId="0" fontId="9" fillId="0" borderId="0" xfId="6" applyFont="1" applyFill="1"/>
    <xf numFmtId="7" fontId="9" fillId="0" borderId="0" xfId="6" applyNumberFormat="1" applyFont="1" applyFill="1" applyProtection="1"/>
    <xf numFmtId="39" fontId="9" fillId="0" borderId="0" xfId="6" applyNumberFormat="1" applyFont="1" applyFill="1" applyProtection="1"/>
    <xf numFmtId="0" fontId="21" fillId="0" borderId="0" xfId="6" applyFont="1" applyFill="1"/>
    <xf numFmtId="39" fontId="22" fillId="0" borderId="0" xfId="6" applyNumberFormat="1" applyFont="1" applyProtection="1"/>
    <xf numFmtId="39" fontId="7" fillId="0" borderId="16" xfId="6" applyNumberFormat="1" applyFont="1" applyBorder="1" applyProtection="1"/>
    <xf numFmtId="3" fontId="1" fillId="0" borderId="0" xfId="0" applyNumberFormat="1" applyFont="1" applyAlignment="1"/>
    <xf numFmtId="164" fontId="1" fillId="0" borderId="0" xfId="0" applyNumberFormat="1" applyFont="1" applyAlignment="1">
      <alignment horizontal="center"/>
    </xf>
    <xf numFmtId="0" fontId="0" fillId="0" borderId="0" xfId="0" applyNumberFormat="1" applyFont="1" applyFill="1" applyBorder="1" applyAlignment="1" applyProtection="1">
      <alignment horizontal="center"/>
    </xf>
    <xf numFmtId="0"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Alignment="1" applyProtection="1">
      <alignment horizontal="center"/>
    </xf>
    <xf numFmtId="0" fontId="1" fillId="0" borderId="0" xfId="0" applyNumberFormat="1" applyFont="1" applyAlignment="1" applyProtection="1">
      <alignment horizontal="left" wrapText="1"/>
    </xf>
    <xf numFmtId="0" fontId="0" fillId="0" borderId="4" xfId="0" applyNumberFormat="1" applyBorder="1" applyAlignment="1">
      <alignment horizontal="center"/>
    </xf>
    <xf numFmtId="0" fontId="0" fillId="0" borderId="5" xfId="0" applyNumberFormat="1" applyFont="1" applyBorder="1" applyAlignment="1">
      <alignment horizontal="center"/>
    </xf>
    <xf numFmtId="0" fontId="0" fillId="0" borderId="6" xfId="0" applyNumberFormat="1" applyFont="1" applyBorder="1" applyAlignment="1">
      <alignment horizontal="center"/>
    </xf>
    <xf numFmtId="0" fontId="19" fillId="0" borderId="0" xfId="6" quotePrefix="1" applyFont="1" applyFill="1" applyAlignment="1">
      <alignment horizontal="center"/>
    </xf>
    <xf numFmtId="0" fontId="18" fillId="0" borderId="0" xfId="6" quotePrefix="1" applyFont="1" applyAlignment="1">
      <alignment horizontal="center"/>
    </xf>
    <xf numFmtId="0" fontId="19" fillId="0" borderId="0" xfId="6" quotePrefix="1" applyFont="1" applyAlignment="1">
      <alignment horizontal="center"/>
    </xf>
  </cellXfs>
  <cellStyles count="11">
    <cellStyle name="Comma" xfId="2" builtinId="3"/>
    <cellStyle name="Comma 11" xfId="10"/>
    <cellStyle name="Comma 2" xfId="5"/>
    <cellStyle name="Comma 9" xfId="9"/>
    <cellStyle name="Currency" xfId="3" builtinId="4"/>
    <cellStyle name="Normal" xfId="0" builtinId="0"/>
    <cellStyle name="Normal 12" xfId="7"/>
    <cellStyle name="Normal 13" xfId="8"/>
    <cellStyle name="Normal 2" xfId="4"/>
    <cellStyle name="Normal 3" xfId="6"/>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zoomScaleNormal="100" zoomScaleSheetLayoutView="75" workbookViewId="0"/>
  </sheetViews>
  <sheetFormatPr defaultColWidth="8.90625" defaultRowHeight="15.6"/>
  <cols>
    <col min="1" max="1" width="4.1796875" style="19" customWidth="1"/>
    <col min="2" max="2" width="28" style="19" customWidth="1"/>
    <col min="3" max="3" width="31.6328125" style="19" customWidth="1"/>
    <col min="4" max="4" width="12.81640625" style="19" customWidth="1"/>
    <col min="5" max="5" width="5.81640625" style="19" customWidth="1"/>
    <col min="6" max="6" width="4.1796875" style="19" customWidth="1"/>
    <col min="7" max="7" width="10" style="19" customWidth="1"/>
    <col min="8" max="8" width="3.453125" style="19" customWidth="1"/>
    <col min="9" max="9" width="12.81640625" style="19" customWidth="1"/>
    <col min="10" max="10" width="1.81640625" style="19" customWidth="1"/>
    <col min="11" max="11" width="6.81640625" style="19" customWidth="1"/>
    <col min="12" max="12" width="8.90625" style="19"/>
    <col min="13" max="13" width="13.36328125" style="19" customWidth="1"/>
    <col min="14" max="16" width="8.90625" style="19"/>
    <col min="17" max="17" width="11.81640625" style="19" customWidth="1"/>
    <col min="18" max="16384" width="8.90625" style="19"/>
  </cols>
  <sheetData>
    <row r="1" spans="1:11" ht="15.75" customHeight="1">
      <c r="K1" s="20" t="s">
        <v>301</v>
      </c>
    </row>
    <row r="2" spans="1:11" ht="15.75" customHeight="1">
      <c r="B2" s="21"/>
      <c r="C2" s="21"/>
      <c r="D2" s="22"/>
      <c r="E2" s="21"/>
      <c r="F2" s="21"/>
      <c r="G2" s="21"/>
      <c r="H2" s="23"/>
      <c r="I2" s="23"/>
      <c r="J2" s="254" t="s">
        <v>185</v>
      </c>
      <c r="K2" s="254"/>
    </row>
    <row r="3" spans="1:11">
      <c r="B3" s="21"/>
      <c r="C3" s="21"/>
      <c r="D3" s="22"/>
      <c r="E3" s="21"/>
      <c r="F3" s="21"/>
      <c r="G3" s="21"/>
      <c r="H3" s="23"/>
      <c r="I3" s="23"/>
      <c r="J3" s="23"/>
      <c r="K3" s="23"/>
    </row>
    <row r="4" spans="1:11">
      <c r="B4" s="21" t="s">
        <v>0</v>
      </c>
      <c r="C4" s="21"/>
      <c r="D4" s="22" t="s">
        <v>1</v>
      </c>
      <c r="E4" s="21"/>
      <c r="F4" s="21"/>
      <c r="G4" s="21"/>
      <c r="H4" s="24"/>
      <c r="I4" s="25"/>
      <c r="J4" s="24"/>
      <c r="K4" s="26" t="s">
        <v>319</v>
      </c>
    </row>
    <row r="5" spans="1:11">
      <c r="B5" s="21"/>
      <c r="C5" s="6" t="s">
        <v>2</v>
      </c>
      <c r="D5" s="6" t="s">
        <v>3</v>
      </c>
      <c r="E5" s="6"/>
      <c r="F5" s="6"/>
      <c r="G5" s="6"/>
      <c r="H5" s="23"/>
      <c r="I5" s="23"/>
      <c r="J5" s="23"/>
      <c r="K5" s="23"/>
    </row>
    <row r="6" spans="1:11">
      <c r="B6" s="23"/>
      <c r="C6" s="23"/>
      <c r="D6" s="23"/>
      <c r="E6" s="23"/>
      <c r="F6" s="23"/>
      <c r="G6" s="23"/>
      <c r="H6" s="23"/>
      <c r="I6" s="23"/>
      <c r="J6" s="23"/>
      <c r="K6" s="23"/>
    </row>
    <row r="7" spans="1:11" ht="15.75" customHeight="1">
      <c r="A7" s="27"/>
      <c r="B7" s="23"/>
      <c r="C7" s="23"/>
      <c r="D7" s="28" t="s">
        <v>463</v>
      </c>
      <c r="E7" s="23"/>
      <c r="F7" s="23"/>
      <c r="G7" s="23"/>
      <c r="H7" s="23"/>
      <c r="I7" s="23"/>
      <c r="J7" s="23"/>
      <c r="K7" s="23"/>
    </row>
    <row r="8" spans="1:11">
      <c r="A8" s="27"/>
      <c r="B8" s="23"/>
      <c r="C8" s="23"/>
      <c r="D8" s="29"/>
      <c r="E8" s="23"/>
      <c r="F8" s="23"/>
      <c r="G8" s="23"/>
      <c r="H8" s="23"/>
      <c r="I8" s="23"/>
      <c r="J8" s="23"/>
      <c r="K8" s="23"/>
    </row>
    <row r="9" spans="1:11">
      <c r="A9" s="27" t="s">
        <v>4</v>
      </c>
      <c r="B9" s="23"/>
      <c r="C9" s="23"/>
      <c r="D9" s="29"/>
      <c r="E9" s="23"/>
      <c r="F9" s="23"/>
      <c r="G9" s="23"/>
      <c r="H9" s="23"/>
      <c r="I9" s="27" t="s">
        <v>5</v>
      </c>
      <c r="J9" s="23"/>
      <c r="K9" s="23"/>
    </row>
    <row r="10" spans="1:11" ht="16.2" thickBot="1">
      <c r="A10" s="30" t="s">
        <v>6</v>
      </c>
      <c r="B10" s="23"/>
      <c r="C10" s="23"/>
      <c r="D10" s="23"/>
      <c r="E10" s="23"/>
      <c r="F10" s="23"/>
      <c r="G10" s="23"/>
      <c r="H10" s="23"/>
      <c r="I10" s="30" t="s">
        <v>7</v>
      </c>
      <c r="J10" s="23"/>
      <c r="K10" s="23"/>
    </row>
    <row r="11" spans="1:11">
      <c r="A11" s="27">
        <v>1</v>
      </c>
      <c r="B11" s="23" t="s">
        <v>253</v>
      </c>
      <c r="C11" s="23"/>
      <c r="D11" s="31"/>
      <c r="E11" s="23"/>
      <c r="F11" s="23"/>
      <c r="G11" s="23"/>
      <c r="H11" s="23"/>
      <c r="I11" s="32">
        <f>+I197</f>
        <v>36014715.043414831</v>
      </c>
      <c r="J11" s="23"/>
      <c r="K11" s="23"/>
    </row>
    <row r="12" spans="1:11">
      <c r="A12" s="27"/>
      <c r="B12" s="23"/>
      <c r="C12" s="23"/>
      <c r="D12" s="23"/>
      <c r="E12" s="23"/>
      <c r="F12" s="23"/>
      <c r="G12" s="23"/>
      <c r="H12" s="23"/>
      <c r="I12" s="31"/>
      <c r="J12" s="23"/>
      <c r="K12" s="23"/>
    </row>
    <row r="13" spans="1:11" ht="16.2" thickBot="1">
      <c r="A13" s="27" t="s">
        <v>2</v>
      </c>
      <c r="B13" s="21" t="s">
        <v>8</v>
      </c>
      <c r="C13" s="6" t="s">
        <v>175</v>
      </c>
      <c r="D13" s="30" t="s">
        <v>9</v>
      </c>
      <c r="E13" s="6"/>
      <c r="F13" s="33" t="s">
        <v>10</v>
      </c>
      <c r="G13" s="33"/>
      <c r="H13" s="23"/>
      <c r="I13" s="31"/>
      <c r="J13" s="23"/>
      <c r="K13" s="23"/>
    </row>
    <row r="14" spans="1:11">
      <c r="A14" s="27">
        <v>2</v>
      </c>
      <c r="B14" s="21" t="s">
        <v>11</v>
      </c>
      <c r="C14" s="6" t="s">
        <v>173</v>
      </c>
      <c r="D14" s="6">
        <f>I257</f>
        <v>46300.72</v>
      </c>
      <c r="E14" s="6"/>
      <c r="F14" s="6" t="s">
        <v>12</v>
      </c>
      <c r="G14" s="34">
        <f>I223</f>
        <v>1</v>
      </c>
      <c r="H14" s="6"/>
      <c r="I14" s="6">
        <f>+G14*D14</f>
        <v>46300.72</v>
      </c>
      <c r="J14" s="23"/>
      <c r="K14" s="23"/>
    </row>
    <row r="15" spans="1:11">
      <c r="A15" s="27">
        <v>3</v>
      </c>
      <c r="B15" s="21" t="s">
        <v>13</v>
      </c>
      <c r="C15" s="6" t="s">
        <v>167</v>
      </c>
      <c r="D15" s="6">
        <f>I264</f>
        <v>245200.75</v>
      </c>
      <c r="E15" s="6"/>
      <c r="F15" s="6" t="str">
        <f>+F14</f>
        <v>TP</v>
      </c>
      <c r="G15" s="34">
        <f>+G14</f>
        <v>1</v>
      </c>
      <c r="H15" s="6"/>
      <c r="I15" s="6">
        <f>+G15*D15</f>
        <v>245200.75</v>
      </c>
      <c r="J15" s="23"/>
      <c r="K15" s="23"/>
    </row>
    <row r="16" spans="1:11">
      <c r="A16" s="27">
        <v>4</v>
      </c>
      <c r="B16" s="21" t="s">
        <v>14</v>
      </c>
      <c r="C16" s="6"/>
      <c r="D16" s="35">
        <v>0</v>
      </c>
      <c r="E16" s="6"/>
      <c r="F16" s="6" t="s">
        <v>12</v>
      </c>
      <c r="G16" s="34">
        <f>+G14</f>
        <v>1</v>
      </c>
      <c r="H16" s="6"/>
      <c r="I16" s="6">
        <f>+G16*D16</f>
        <v>0</v>
      </c>
      <c r="J16" s="23"/>
      <c r="K16" s="23"/>
    </row>
    <row r="17" spans="1:11" ht="16.2" thickBot="1">
      <c r="A17" s="27">
        <v>5</v>
      </c>
      <c r="B17" s="21" t="s">
        <v>15</v>
      </c>
      <c r="C17" s="6"/>
      <c r="D17" s="35">
        <v>0</v>
      </c>
      <c r="E17" s="6"/>
      <c r="F17" s="6" t="s">
        <v>12</v>
      </c>
      <c r="G17" s="34">
        <f>+G14</f>
        <v>1</v>
      </c>
      <c r="H17" s="6"/>
      <c r="I17" s="36">
        <f>+G17*D17</f>
        <v>0</v>
      </c>
      <c r="J17" s="23"/>
      <c r="K17" s="23"/>
    </row>
    <row r="18" spans="1:11">
      <c r="A18" s="27">
        <v>6</v>
      </c>
      <c r="B18" s="21" t="s">
        <v>16</v>
      </c>
      <c r="C18" s="23"/>
      <c r="D18" s="37" t="s">
        <v>2</v>
      </c>
      <c r="E18" s="6"/>
      <c r="F18" s="6"/>
      <c r="G18" s="34"/>
      <c r="H18" s="6"/>
      <c r="I18" s="6">
        <f>SUM(I14:I17)</f>
        <v>291501.46999999997</v>
      </c>
      <c r="J18" s="23"/>
      <c r="K18" s="23"/>
    </row>
    <row r="19" spans="1:11">
      <c r="A19" s="27"/>
      <c r="C19" s="23"/>
      <c r="D19" s="6" t="s">
        <v>2</v>
      </c>
      <c r="E19" s="23"/>
      <c r="F19" s="23"/>
      <c r="G19" s="34"/>
      <c r="H19" s="23"/>
      <c r="J19" s="23"/>
      <c r="K19" s="23"/>
    </row>
    <row r="20" spans="1:11">
      <c r="A20" s="27" t="s">
        <v>302</v>
      </c>
      <c r="B20" s="21" t="s">
        <v>303</v>
      </c>
      <c r="C20" s="23"/>
      <c r="D20" s="6"/>
      <c r="E20" s="23"/>
      <c r="F20" s="23"/>
      <c r="G20" s="34"/>
      <c r="H20" s="23"/>
      <c r="I20" s="38">
        <v>0</v>
      </c>
      <c r="J20" s="23"/>
      <c r="K20" s="23"/>
    </row>
    <row r="21" spans="1:11">
      <c r="A21" s="27" t="s">
        <v>304</v>
      </c>
      <c r="B21" s="21" t="s">
        <v>305</v>
      </c>
      <c r="C21" s="23"/>
      <c r="D21" s="6"/>
      <c r="E21" s="23"/>
      <c r="F21" s="23"/>
      <c r="G21" s="34"/>
      <c r="H21" s="23"/>
      <c r="I21" s="38">
        <v>0</v>
      </c>
      <c r="J21" s="23"/>
      <c r="K21" s="23"/>
    </row>
    <row r="22" spans="1:11" ht="16.2" thickBot="1">
      <c r="A22" s="27" t="s">
        <v>306</v>
      </c>
      <c r="B22" s="21" t="s">
        <v>307</v>
      </c>
      <c r="C22" s="23"/>
      <c r="D22" s="6"/>
      <c r="E22" s="23"/>
      <c r="F22" s="23"/>
      <c r="G22" s="34"/>
      <c r="H22" s="23"/>
      <c r="I22" s="39">
        <f>I20+I21</f>
        <v>0</v>
      </c>
      <c r="J22" s="23"/>
      <c r="K22" s="23"/>
    </row>
    <row r="23" spans="1:11">
      <c r="A23" s="27"/>
      <c r="C23" s="23"/>
      <c r="D23" s="6"/>
      <c r="E23" s="23"/>
      <c r="F23" s="23"/>
      <c r="G23" s="34"/>
      <c r="H23" s="23"/>
      <c r="J23" s="23"/>
      <c r="K23" s="23"/>
    </row>
    <row r="24" spans="1:11" ht="16.2" thickBot="1">
      <c r="A24" s="27">
        <v>7</v>
      </c>
      <c r="B24" s="21" t="s">
        <v>17</v>
      </c>
      <c r="C24" s="23" t="s">
        <v>314</v>
      </c>
      <c r="D24" s="37" t="s">
        <v>2</v>
      </c>
      <c r="E24" s="6"/>
      <c r="F24" s="6"/>
      <c r="G24" s="6"/>
      <c r="H24" s="6"/>
      <c r="I24" s="40">
        <f>+I11-I18+I22</f>
        <v>35723213.573414832</v>
      </c>
      <c r="J24" s="23"/>
      <c r="K24" s="23"/>
    </row>
    <row r="25" spans="1:11" ht="16.2" thickTop="1">
      <c r="A25" s="27"/>
      <c r="C25" s="23"/>
      <c r="D25" s="37"/>
      <c r="E25" s="6"/>
      <c r="F25" s="6"/>
      <c r="G25" s="6"/>
      <c r="H25" s="6"/>
      <c r="J25" s="23"/>
      <c r="K25" s="23"/>
    </row>
    <row r="26" spans="1:11">
      <c r="A26" s="27"/>
      <c r="B26" s="21" t="s">
        <v>18</v>
      </c>
      <c r="C26" s="23"/>
      <c r="D26" s="31"/>
      <c r="E26" s="23"/>
      <c r="F26" s="23"/>
      <c r="G26" s="23"/>
      <c r="H26" s="23"/>
      <c r="I26" s="31"/>
      <c r="J26" s="23"/>
      <c r="K26" s="23"/>
    </row>
    <row r="27" spans="1:11">
      <c r="A27" s="27">
        <v>8</v>
      </c>
      <c r="B27" s="21" t="s">
        <v>19</v>
      </c>
      <c r="D27" s="31"/>
      <c r="E27" s="23"/>
      <c r="F27" s="23"/>
      <c r="G27" s="23" t="s">
        <v>20</v>
      </c>
      <c r="H27" s="23"/>
      <c r="I27" s="35">
        <v>482854</v>
      </c>
      <c r="J27" s="23"/>
      <c r="K27" s="23"/>
    </row>
    <row r="28" spans="1:11">
      <c r="A28" s="27">
        <v>9</v>
      </c>
      <c r="B28" s="21" t="s">
        <v>21</v>
      </c>
      <c r="C28" s="6"/>
      <c r="D28" s="6"/>
      <c r="E28" s="6"/>
      <c r="F28" s="6"/>
      <c r="G28" s="6" t="s">
        <v>22</v>
      </c>
      <c r="H28" s="6"/>
      <c r="I28" s="35">
        <v>0</v>
      </c>
      <c r="J28" s="23"/>
      <c r="K28" s="23"/>
    </row>
    <row r="29" spans="1:11">
      <c r="A29" s="27">
        <v>10</v>
      </c>
      <c r="B29" s="21" t="s">
        <v>23</v>
      </c>
      <c r="C29" s="23"/>
      <c r="D29" s="23"/>
      <c r="E29" s="23"/>
      <c r="F29" s="23"/>
      <c r="G29" s="23" t="s">
        <v>24</v>
      </c>
      <c r="H29" s="23"/>
      <c r="I29" s="35">
        <v>50863</v>
      </c>
      <c r="J29" s="23"/>
      <c r="K29" s="23"/>
    </row>
    <row r="30" spans="1:11">
      <c r="A30" s="27">
        <v>11</v>
      </c>
      <c r="B30" s="41" t="s">
        <v>25</v>
      </c>
      <c r="C30" s="23"/>
      <c r="D30" s="23"/>
      <c r="E30" s="23"/>
      <c r="F30" s="23"/>
      <c r="G30" s="23" t="s">
        <v>26</v>
      </c>
      <c r="H30" s="23"/>
      <c r="I30" s="35">
        <v>0</v>
      </c>
      <c r="J30" s="23"/>
      <c r="K30" s="23"/>
    </row>
    <row r="31" spans="1:11">
      <c r="A31" s="27">
        <v>12</v>
      </c>
      <c r="B31" s="41" t="s">
        <v>27</v>
      </c>
      <c r="C31" s="23"/>
      <c r="D31" s="23"/>
      <c r="E31" s="23"/>
      <c r="F31" s="23"/>
      <c r="G31" s="23"/>
      <c r="H31" s="23"/>
      <c r="I31" s="35">
        <v>0</v>
      </c>
      <c r="J31" s="23"/>
      <c r="K31" s="23"/>
    </row>
    <row r="32" spans="1:11">
      <c r="A32" s="27">
        <v>13</v>
      </c>
      <c r="B32" s="41" t="s">
        <v>236</v>
      </c>
      <c r="C32" s="23"/>
      <c r="D32" s="23"/>
      <c r="E32" s="23"/>
      <c r="F32" s="23"/>
      <c r="G32" s="23"/>
      <c r="H32" s="23"/>
      <c r="I32" s="42">
        <v>0</v>
      </c>
      <c r="J32" s="23"/>
      <c r="K32" s="23"/>
    </row>
    <row r="33" spans="1:11" ht="16.2" thickBot="1">
      <c r="A33" s="27">
        <v>14</v>
      </c>
      <c r="B33" s="21" t="s">
        <v>168</v>
      </c>
      <c r="C33" s="23"/>
      <c r="D33" s="23"/>
      <c r="E33" s="23"/>
      <c r="F33" s="23"/>
      <c r="G33" s="23"/>
      <c r="H33" s="23"/>
      <c r="I33" s="43">
        <v>0</v>
      </c>
      <c r="J33" s="23"/>
      <c r="K33" s="23"/>
    </row>
    <row r="34" spans="1:11">
      <c r="A34" s="27">
        <v>15</v>
      </c>
      <c r="B34" s="21" t="s">
        <v>28</v>
      </c>
      <c r="C34" s="23"/>
      <c r="D34" s="23"/>
      <c r="E34" s="23"/>
      <c r="F34" s="23"/>
      <c r="G34" s="23"/>
      <c r="H34" s="23"/>
      <c r="I34" s="31">
        <f>SUM(I27:I33)</f>
        <v>533717</v>
      </c>
      <c r="J34" s="23"/>
      <c r="K34" s="23"/>
    </row>
    <row r="35" spans="1:11">
      <c r="A35" s="27"/>
      <c r="B35" s="21"/>
      <c r="C35" s="23"/>
      <c r="D35" s="23"/>
      <c r="E35" s="23"/>
      <c r="F35" s="23"/>
      <c r="G35" s="23"/>
      <c r="H35" s="23"/>
      <c r="I35" s="31"/>
      <c r="J35" s="23"/>
      <c r="K35" s="23"/>
    </row>
    <row r="36" spans="1:11">
      <c r="A36" s="27">
        <v>16</v>
      </c>
      <c r="B36" s="21" t="s">
        <v>29</v>
      </c>
      <c r="C36" s="23" t="s">
        <v>209</v>
      </c>
      <c r="D36" s="44">
        <f>IF(I34&gt;0,I24/I34,0)</f>
        <v>66.932875612758878</v>
      </c>
      <c r="E36" s="23"/>
      <c r="F36" s="23"/>
      <c r="G36" s="23"/>
      <c r="H36" s="23"/>
      <c r="J36" s="23"/>
      <c r="K36" s="23"/>
    </row>
    <row r="37" spans="1:11">
      <c r="A37" s="27">
        <v>17</v>
      </c>
      <c r="B37" s="21" t="s">
        <v>235</v>
      </c>
      <c r="C37" s="23"/>
      <c r="D37" s="44">
        <f>+D36/12</f>
        <v>5.5777396343965728</v>
      </c>
      <c r="E37" s="23"/>
      <c r="F37" s="23"/>
      <c r="G37" s="23"/>
      <c r="H37" s="23"/>
      <c r="J37" s="23"/>
      <c r="K37" s="23"/>
    </row>
    <row r="38" spans="1:11">
      <c r="A38" s="27"/>
      <c r="B38" s="21"/>
      <c r="C38" s="23"/>
      <c r="D38" s="44"/>
      <c r="E38" s="23"/>
      <c r="F38" s="23"/>
      <c r="G38" s="23"/>
      <c r="H38" s="23"/>
      <c r="J38" s="23"/>
      <c r="K38" s="23"/>
    </row>
    <row r="39" spans="1:11">
      <c r="A39" s="27"/>
      <c r="B39" s="21"/>
      <c r="C39" s="23"/>
      <c r="D39" s="45" t="s">
        <v>30</v>
      </c>
      <c r="E39" s="23"/>
      <c r="F39" s="23"/>
      <c r="G39" s="23"/>
      <c r="H39" s="23"/>
      <c r="I39" s="46" t="s">
        <v>31</v>
      </c>
      <c r="J39" s="23"/>
      <c r="K39" s="23"/>
    </row>
    <row r="40" spans="1:11">
      <c r="A40" s="27">
        <v>18</v>
      </c>
      <c r="B40" s="21" t="s">
        <v>32</v>
      </c>
      <c r="C40" s="23" t="s">
        <v>208</v>
      </c>
      <c r="D40" s="44">
        <f>+D36/52</f>
        <v>1.2871706848607476</v>
      </c>
      <c r="E40" s="23"/>
      <c r="F40" s="23"/>
      <c r="G40" s="23"/>
      <c r="H40" s="23"/>
      <c r="I40" s="47">
        <f>+D36/52</f>
        <v>1.2871706848607476</v>
      </c>
      <c r="J40" s="23"/>
      <c r="K40" s="23"/>
    </row>
    <row r="41" spans="1:11">
      <c r="A41" s="27">
        <v>19</v>
      </c>
      <c r="B41" s="21" t="s">
        <v>33</v>
      </c>
      <c r="C41" s="23" t="s">
        <v>254</v>
      </c>
      <c r="D41" s="44">
        <f>+D36/260</f>
        <v>0.25743413697214951</v>
      </c>
      <c r="E41" s="23" t="s">
        <v>34</v>
      </c>
      <c r="G41" s="23"/>
      <c r="H41" s="23"/>
      <c r="I41" s="47">
        <f>+D36/365</f>
        <v>0.18337774140481886</v>
      </c>
      <c r="J41" s="23"/>
      <c r="K41" s="23"/>
    </row>
    <row r="42" spans="1:11">
      <c r="A42" s="27">
        <v>20</v>
      </c>
      <c r="B42" s="21" t="s">
        <v>35</v>
      </c>
      <c r="C42" s="23" t="s">
        <v>255</v>
      </c>
      <c r="D42" s="44">
        <f>+D36/4160*1000</f>
        <v>16.089633560759346</v>
      </c>
      <c r="E42" s="23" t="s">
        <v>36</v>
      </c>
      <c r="G42" s="23"/>
      <c r="H42" s="23"/>
      <c r="I42" s="47">
        <f>+D36/8760*1000</f>
        <v>7.6407392252007851</v>
      </c>
      <c r="J42" s="23"/>
      <c r="K42" s="23"/>
    </row>
    <row r="43" spans="1:11">
      <c r="A43" s="27"/>
      <c r="B43" s="21"/>
      <c r="C43" s="23" t="s">
        <v>37</v>
      </c>
      <c r="D43" s="23"/>
      <c r="E43" s="23" t="s">
        <v>38</v>
      </c>
      <c r="G43" s="23"/>
      <c r="H43" s="23"/>
      <c r="J43" s="23"/>
      <c r="K43" s="23" t="s">
        <v>2</v>
      </c>
    </row>
    <row r="44" spans="1:11">
      <c r="A44" s="27"/>
      <c r="B44" s="21"/>
      <c r="C44" s="23"/>
      <c r="D44" s="23"/>
      <c r="E44" s="23"/>
      <c r="G44" s="23"/>
      <c r="H44" s="23"/>
      <c r="J44" s="23"/>
      <c r="K44" s="23" t="s">
        <v>2</v>
      </c>
    </row>
    <row r="45" spans="1:11">
      <c r="A45" s="27">
        <v>21</v>
      </c>
      <c r="B45" s="21" t="s">
        <v>234</v>
      </c>
      <c r="C45" s="23" t="s">
        <v>204</v>
      </c>
      <c r="D45" s="48">
        <v>0</v>
      </c>
      <c r="E45" s="49" t="s">
        <v>39</v>
      </c>
      <c r="F45" s="49"/>
      <c r="G45" s="49"/>
      <c r="H45" s="49"/>
      <c r="I45" s="49">
        <f>D45</f>
        <v>0</v>
      </c>
      <c r="J45" s="49" t="s">
        <v>39</v>
      </c>
      <c r="K45" s="23"/>
    </row>
    <row r="46" spans="1:11">
      <c r="A46" s="27">
        <v>22</v>
      </c>
      <c r="B46" s="21"/>
      <c r="C46" s="23"/>
      <c r="D46" s="48">
        <v>0</v>
      </c>
      <c r="E46" s="49" t="s">
        <v>40</v>
      </c>
      <c r="F46" s="49"/>
      <c r="G46" s="49"/>
      <c r="H46" s="49"/>
      <c r="I46" s="49">
        <f>D46</f>
        <v>0</v>
      </c>
      <c r="J46" s="49" t="s">
        <v>40</v>
      </c>
      <c r="K46" s="23"/>
    </row>
    <row r="47" spans="1:11">
      <c r="A47" s="27"/>
      <c r="B47" s="21"/>
      <c r="C47" s="23"/>
      <c r="D47" s="50"/>
      <c r="E47" s="49"/>
      <c r="F47" s="49"/>
      <c r="G47" s="49"/>
      <c r="H47" s="49"/>
      <c r="I47" s="49"/>
      <c r="J47" s="49"/>
      <c r="K47" s="23"/>
    </row>
    <row r="48" spans="1:11">
      <c r="B48" s="21"/>
      <c r="C48" s="21"/>
      <c r="D48" s="22"/>
      <c r="E48" s="21"/>
      <c r="F48" s="21"/>
      <c r="G48" s="21"/>
      <c r="H48" s="23"/>
      <c r="I48" s="51"/>
      <c r="J48" s="51"/>
      <c r="K48" s="51"/>
    </row>
    <row r="49" spans="2:11">
      <c r="B49" s="21"/>
      <c r="C49" s="21"/>
      <c r="D49" s="22"/>
      <c r="E49" s="21"/>
      <c r="F49" s="21"/>
      <c r="G49" s="21"/>
      <c r="H49" s="23"/>
      <c r="I49" s="51"/>
      <c r="J49" s="51"/>
      <c r="K49" s="51"/>
    </row>
    <row r="50" spans="2:11">
      <c r="B50" s="21"/>
      <c r="C50" s="21"/>
      <c r="D50" s="22"/>
      <c r="E50" s="21"/>
      <c r="F50" s="21"/>
      <c r="G50" s="21"/>
      <c r="H50" s="23"/>
      <c r="I50" s="51"/>
      <c r="J50" s="51"/>
      <c r="K50" s="51"/>
    </row>
    <row r="51" spans="2:11">
      <c r="B51" s="21"/>
      <c r="C51" s="21"/>
      <c r="D51" s="22"/>
      <c r="E51" s="21"/>
      <c r="F51" s="21"/>
      <c r="G51" s="21"/>
      <c r="H51" s="23"/>
      <c r="I51" s="51"/>
      <c r="J51" s="51"/>
      <c r="K51" s="51"/>
    </row>
    <row r="52" spans="2:11">
      <c r="B52" s="21"/>
      <c r="C52" s="21"/>
      <c r="D52" s="22"/>
      <c r="E52" s="21"/>
      <c r="F52" s="21"/>
      <c r="G52" s="21"/>
      <c r="H52" s="23"/>
      <c r="I52" s="51"/>
      <c r="J52" s="51"/>
      <c r="K52" s="51"/>
    </row>
    <row r="53" spans="2:11">
      <c r="B53" s="21"/>
      <c r="C53" s="21"/>
      <c r="D53" s="22"/>
      <c r="E53" s="21"/>
      <c r="F53" s="21"/>
      <c r="G53" s="21"/>
      <c r="H53" s="23"/>
      <c r="I53" s="51"/>
      <c r="J53" s="51"/>
      <c r="K53" s="51"/>
    </row>
    <row r="54" spans="2:11">
      <c r="B54" s="21"/>
      <c r="C54" s="21"/>
      <c r="D54" s="22"/>
      <c r="E54" s="21"/>
      <c r="F54" s="21"/>
      <c r="G54" s="21"/>
      <c r="H54" s="23"/>
      <c r="I54" s="51"/>
      <c r="J54" s="51"/>
      <c r="K54" s="51"/>
    </row>
    <row r="55" spans="2:11">
      <c r="B55" s="21"/>
      <c r="C55" s="21"/>
      <c r="D55" s="22"/>
      <c r="E55" s="21"/>
      <c r="F55" s="21"/>
      <c r="G55" s="21"/>
      <c r="H55" s="23"/>
      <c r="I55" s="51"/>
      <c r="J55" s="51"/>
      <c r="K55" s="51"/>
    </row>
    <row r="56" spans="2:11">
      <c r="B56" s="21"/>
      <c r="C56" s="21"/>
      <c r="D56" s="22"/>
      <c r="E56" s="21"/>
      <c r="F56" s="21"/>
      <c r="G56" s="21"/>
      <c r="H56" s="23"/>
      <c r="I56" s="51"/>
      <c r="J56" s="51"/>
      <c r="K56" s="51"/>
    </row>
    <row r="57" spans="2:11">
      <c r="B57" s="21"/>
      <c r="C57" s="21"/>
      <c r="D57" s="22"/>
      <c r="E57" s="21"/>
      <c r="F57" s="21"/>
      <c r="G57" s="21"/>
      <c r="H57" s="23"/>
      <c r="I57" s="51"/>
      <c r="J57" s="51"/>
      <c r="K57" s="51"/>
    </row>
    <row r="58" spans="2:11">
      <c r="B58" s="21"/>
      <c r="C58" s="21"/>
      <c r="D58" s="22"/>
      <c r="E58" s="21"/>
      <c r="F58" s="21"/>
      <c r="G58" s="21"/>
      <c r="H58" s="23"/>
      <c r="I58" s="51"/>
      <c r="J58" s="51"/>
      <c r="K58" s="51"/>
    </row>
    <row r="59" spans="2:11">
      <c r="B59" s="21"/>
      <c r="C59" s="21"/>
      <c r="D59" s="22"/>
      <c r="E59" s="21"/>
      <c r="F59" s="21"/>
      <c r="G59" s="21"/>
      <c r="H59" s="23"/>
      <c r="I59" s="51"/>
      <c r="J59" s="51"/>
      <c r="K59" s="51"/>
    </row>
    <row r="60" spans="2:11">
      <c r="B60" s="21"/>
      <c r="C60" s="21"/>
      <c r="D60" s="22"/>
      <c r="E60" s="21"/>
      <c r="F60" s="21"/>
      <c r="G60" s="21"/>
      <c r="H60" s="23"/>
      <c r="I60" s="51"/>
      <c r="J60" s="51"/>
      <c r="K60" s="51"/>
    </row>
    <row r="61" spans="2:11">
      <c r="B61" s="21"/>
      <c r="C61" s="21"/>
      <c r="D61" s="22"/>
      <c r="E61" s="21"/>
      <c r="F61" s="21"/>
      <c r="G61" s="21"/>
      <c r="H61" s="23"/>
      <c r="I61" s="51"/>
      <c r="J61" s="51"/>
      <c r="K61" s="51"/>
    </row>
    <row r="62" spans="2:11">
      <c r="B62" s="21"/>
      <c r="C62" s="21"/>
      <c r="D62" s="22"/>
      <c r="E62" s="21"/>
      <c r="F62" s="21"/>
      <c r="G62" s="21"/>
      <c r="H62" s="23"/>
      <c r="I62" s="51"/>
      <c r="J62" s="51"/>
      <c r="K62" s="51"/>
    </row>
    <row r="63" spans="2:11">
      <c r="B63" s="21"/>
      <c r="C63" s="21"/>
      <c r="D63" s="22"/>
      <c r="E63" s="21"/>
      <c r="F63" s="21"/>
      <c r="G63" s="21"/>
      <c r="H63" s="23"/>
      <c r="I63" s="51"/>
      <c r="J63" s="51"/>
      <c r="K63" s="51"/>
    </row>
    <row r="64" spans="2:11">
      <c r="B64" s="21"/>
      <c r="C64" s="21"/>
      <c r="D64" s="22"/>
      <c r="E64" s="21"/>
      <c r="F64" s="21"/>
      <c r="G64" s="21"/>
      <c r="H64" s="23"/>
      <c r="I64" s="51"/>
      <c r="J64" s="51"/>
      <c r="K64" s="51"/>
    </row>
    <row r="65" spans="1:11">
      <c r="B65" s="21"/>
      <c r="C65" s="21"/>
      <c r="D65" s="22"/>
      <c r="E65" s="21"/>
      <c r="F65" s="21"/>
      <c r="G65" s="21"/>
      <c r="H65" s="23"/>
      <c r="I65" s="51"/>
      <c r="J65" s="51"/>
      <c r="K65" s="51"/>
    </row>
    <row r="66" spans="1:11">
      <c r="A66" s="27"/>
      <c r="B66" s="21"/>
      <c r="C66" s="23"/>
      <c r="D66" s="50"/>
      <c r="E66" s="49"/>
      <c r="F66" s="49"/>
      <c r="G66" s="49"/>
      <c r="H66" s="49"/>
      <c r="I66" s="49"/>
      <c r="J66" s="49"/>
      <c r="K66" s="23"/>
    </row>
    <row r="67" spans="1:11">
      <c r="A67" s="27"/>
      <c r="B67" s="21"/>
      <c r="C67" s="23"/>
      <c r="D67" s="50"/>
      <c r="E67" s="49"/>
      <c r="F67" s="49"/>
      <c r="G67" s="49"/>
      <c r="H67" s="49"/>
      <c r="I67" s="49"/>
      <c r="J67" s="49"/>
      <c r="K67" s="23"/>
    </row>
    <row r="68" spans="1:11">
      <c r="A68" s="27"/>
      <c r="B68" s="21"/>
      <c r="C68" s="23"/>
      <c r="D68" s="50"/>
      <c r="E68" s="49"/>
      <c r="F68" s="49"/>
      <c r="G68" s="49"/>
      <c r="H68" s="49"/>
      <c r="I68" s="49"/>
      <c r="J68" s="49"/>
      <c r="K68" s="23"/>
    </row>
    <row r="69" spans="1:11">
      <c r="A69" s="27"/>
      <c r="B69" s="21"/>
      <c r="C69" s="23"/>
      <c r="D69" s="50"/>
      <c r="E69" s="49"/>
      <c r="F69" s="49"/>
      <c r="G69" s="49"/>
      <c r="H69" s="49"/>
      <c r="I69" s="49"/>
      <c r="J69" s="49"/>
      <c r="K69" s="23"/>
    </row>
    <row r="70" spans="1:11">
      <c r="J70" s="23"/>
      <c r="K70" s="20" t="s">
        <v>301</v>
      </c>
    </row>
    <row r="71" spans="1:11">
      <c r="B71" s="21"/>
      <c r="C71" s="21"/>
      <c r="D71" s="22"/>
      <c r="E71" s="21"/>
      <c r="F71" s="21"/>
      <c r="G71" s="21"/>
      <c r="H71" s="23"/>
      <c r="I71" s="23"/>
      <c r="J71" s="254" t="s">
        <v>186</v>
      </c>
      <c r="K71" s="254"/>
    </row>
    <row r="72" spans="1:11">
      <c r="B72" s="23"/>
      <c r="C72" s="23"/>
      <c r="D72" s="23"/>
      <c r="E72" s="23"/>
      <c r="F72" s="23"/>
      <c r="G72" s="23"/>
      <c r="H72" s="23"/>
      <c r="I72" s="23"/>
      <c r="J72" s="23"/>
      <c r="K72" s="23"/>
    </row>
    <row r="73" spans="1:11">
      <c r="B73" s="21" t="str">
        <f>B4</f>
        <v xml:space="preserve">Formula Rate - Non-Levelized </v>
      </c>
      <c r="C73" s="21"/>
      <c r="D73" s="22" t="str">
        <f>D4</f>
        <v xml:space="preserve">     Rate Formula Template</v>
      </c>
      <c r="E73" s="21"/>
      <c r="F73" s="21"/>
      <c r="G73" s="21"/>
      <c r="H73" s="21"/>
      <c r="J73" s="21"/>
      <c r="K73" s="51" t="str">
        <f>K4</f>
        <v>For the 12 months ended 12/31/_2016_</v>
      </c>
    </row>
    <row r="74" spans="1:11">
      <c r="B74" s="21"/>
      <c r="C74" s="6" t="s">
        <v>2</v>
      </c>
      <c r="D74" s="6" t="str">
        <f>D5</f>
        <v xml:space="preserve"> Utilizing RUS Form 12 Data</v>
      </c>
      <c r="E74" s="6"/>
      <c r="F74" s="6"/>
      <c r="G74" s="6"/>
      <c r="H74" s="6"/>
      <c r="I74" s="6"/>
      <c r="J74" s="6"/>
      <c r="K74" s="6"/>
    </row>
    <row r="75" spans="1:11">
      <c r="B75" s="21"/>
      <c r="C75" s="6" t="s">
        <v>2</v>
      </c>
      <c r="D75" s="6" t="s">
        <v>2</v>
      </c>
      <c r="E75" s="6"/>
      <c r="F75" s="6"/>
      <c r="G75" s="6" t="s">
        <v>2</v>
      </c>
      <c r="H75" s="6"/>
      <c r="I75" s="6"/>
      <c r="J75" s="6"/>
      <c r="K75" s="6"/>
    </row>
    <row r="76" spans="1:11">
      <c r="B76" s="21"/>
      <c r="C76" s="23"/>
      <c r="D76" s="6" t="str">
        <f>D7</f>
        <v>Central Iowa Power Cooperative</v>
      </c>
      <c r="E76" s="6"/>
      <c r="F76" s="6"/>
      <c r="G76" s="6"/>
      <c r="H76" s="6"/>
      <c r="I76" s="6"/>
      <c r="J76" s="6"/>
      <c r="K76" s="6"/>
    </row>
    <row r="77" spans="1:11">
      <c r="B77" s="27" t="s">
        <v>41</v>
      </c>
      <c r="C77" s="27" t="s">
        <v>42</v>
      </c>
      <c r="D77" s="27" t="s">
        <v>43</v>
      </c>
      <c r="E77" s="6" t="s">
        <v>2</v>
      </c>
      <c r="F77" s="6"/>
      <c r="G77" s="52" t="s">
        <v>44</v>
      </c>
      <c r="H77" s="6"/>
      <c r="I77" s="53" t="s">
        <v>45</v>
      </c>
      <c r="J77" s="6"/>
      <c r="K77" s="27"/>
    </row>
    <row r="78" spans="1:11">
      <c r="B78" s="21"/>
      <c r="C78" s="54" t="s">
        <v>46</v>
      </c>
      <c r="D78" s="6"/>
      <c r="E78" s="6"/>
      <c r="F78" s="6"/>
      <c r="G78" s="27"/>
      <c r="H78" s="6"/>
      <c r="I78" s="55" t="s">
        <v>47</v>
      </c>
      <c r="J78" s="6"/>
      <c r="K78" s="27"/>
    </row>
    <row r="79" spans="1:11">
      <c r="A79" s="27" t="s">
        <v>4</v>
      </c>
      <c r="B79" s="21"/>
      <c r="C79" s="56" t="s">
        <v>48</v>
      </c>
      <c r="D79" s="55" t="s">
        <v>49</v>
      </c>
      <c r="E79" s="57"/>
      <c r="F79" s="55" t="s">
        <v>50</v>
      </c>
      <c r="H79" s="57"/>
      <c r="I79" s="27" t="s">
        <v>51</v>
      </c>
      <c r="J79" s="6"/>
      <c r="K79" s="27"/>
    </row>
    <row r="80" spans="1:11" ht="16.2" thickBot="1">
      <c r="A80" s="30" t="s">
        <v>6</v>
      </c>
      <c r="B80" s="58" t="s">
        <v>52</v>
      </c>
      <c r="C80" s="6"/>
      <c r="D80" s="6"/>
      <c r="E80" s="6"/>
      <c r="F80" s="6"/>
      <c r="G80" s="6"/>
      <c r="H80" s="6"/>
      <c r="I80" s="6"/>
      <c r="J80" s="6"/>
      <c r="K80" s="6"/>
    </row>
    <row r="81" spans="1:11">
      <c r="A81" s="27"/>
      <c r="B81" s="21" t="s">
        <v>269</v>
      </c>
      <c r="C81" s="6"/>
      <c r="D81" s="6"/>
      <c r="E81" s="6"/>
      <c r="F81" s="6"/>
      <c r="G81" s="6"/>
      <c r="H81" s="6"/>
      <c r="I81" s="6"/>
      <c r="J81" s="6"/>
      <c r="K81" s="6"/>
    </row>
    <row r="82" spans="1:11">
      <c r="A82" s="27">
        <v>1</v>
      </c>
      <c r="B82" s="21" t="s">
        <v>53</v>
      </c>
      <c r="C82" s="19" t="s">
        <v>54</v>
      </c>
      <c r="D82" s="59">
        <v>482921242</v>
      </c>
      <c r="E82" s="6"/>
      <c r="F82" s="6" t="s">
        <v>55</v>
      </c>
      <c r="G82" s="60" t="s">
        <v>2</v>
      </c>
      <c r="H82" s="6"/>
      <c r="I82" s="6" t="s">
        <v>2</v>
      </c>
      <c r="J82" s="6"/>
      <c r="K82" s="6"/>
    </row>
    <row r="83" spans="1:11">
      <c r="A83" s="27">
        <v>2</v>
      </c>
      <c r="B83" s="21" t="s">
        <v>56</v>
      </c>
      <c r="C83" s="19" t="s">
        <v>57</v>
      </c>
      <c r="D83" s="59">
        <v>254735343</v>
      </c>
      <c r="E83" s="6"/>
      <c r="F83" s="6" t="s">
        <v>12</v>
      </c>
      <c r="G83" s="60">
        <f>I223</f>
        <v>1</v>
      </c>
      <c r="H83" s="6"/>
      <c r="I83" s="6">
        <f>+G83*D83</f>
        <v>254735343</v>
      </c>
      <c r="J83" s="6"/>
      <c r="K83" s="6"/>
    </row>
    <row r="84" spans="1:11">
      <c r="A84" s="27">
        <v>3</v>
      </c>
      <c r="B84" s="21" t="s">
        <v>58</v>
      </c>
      <c r="C84" s="19" t="s">
        <v>187</v>
      </c>
      <c r="D84" s="59">
        <v>454256</v>
      </c>
      <c r="E84" s="6"/>
      <c r="F84" s="6" t="s">
        <v>55</v>
      </c>
      <c r="G84" s="60" t="s">
        <v>2</v>
      </c>
      <c r="H84" s="6"/>
      <c r="I84" s="6" t="s">
        <v>2</v>
      </c>
      <c r="J84" s="6"/>
      <c r="K84" s="6"/>
    </row>
    <row r="85" spans="1:11">
      <c r="A85" s="27">
        <v>4</v>
      </c>
      <c r="B85" s="21" t="s">
        <v>59</v>
      </c>
      <c r="C85" s="19" t="s">
        <v>270</v>
      </c>
      <c r="D85" s="59">
        <f>4535314+18015225</f>
        <v>22550539</v>
      </c>
      <c r="E85" s="6"/>
      <c r="F85" s="6" t="s">
        <v>60</v>
      </c>
      <c r="G85" s="60">
        <f>I231</f>
        <v>0.60683985878462576</v>
      </c>
      <c r="H85" s="6"/>
      <c r="I85" s="6">
        <f>+G85*D85</f>
        <v>13684565.902277196</v>
      </c>
      <c r="J85" s="6"/>
      <c r="K85" s="6"/>
    </row>
    <row r="86" spans="1:11" ht="16.2" thickBot="1">
      <c r="A86" s="27">
        <v>5</v>
      </c>
      <c r="B86" s="21" t="s">
        <v>61</v>
      </c>
      <c r="C86" s="6"/>
      <c r="D86" s="61">
        <v>0</v>
      </c>
      <c r="E86" s="6"/>
      <c r="F86" s="6" t="s">
        <v>62</v>
      </c>
      <c r="G86" s="60">
        <f>K235</f>
        <v>0</v>
      </c>
      <c r="H86" s="6"/>
      <c r="I86" s="36">
        <f>+G86*D86</f>
        <v>0</v>
      </c>
      <c r="J86" s="6"/>
      <c r="K86" s="6"/>
    </row>
    <row r="87" spans="1:11">
      <c r="A87" s="27">
        <v>6</v>
      </c>
      <c r="B87" s="21" t="s">
        <v>237</v>
      </c>
      <c r="C87" s="6"/>
      <c r="D87" s="6">
        <f>SUM(D82:D86)</f>
        <v>760661380</v>
      </c>
      <c r="E87" s="6"/>
      <c r="F87" s="6" t="s">
        <v>63</v>
      </c>
      <c r="G87" s="62">
        <f>IF(I87&gt;0,I87/D87,0)</f>
        <v>0.35287700409119915</v>
      </c>
      <c r="H87" s="6"/>
      <c r="I87" s="6">
        <f>SUM(I82:I86)</f>
        <v>268419908.9022772</v>
      </c>
      <c r="J87" s="6"/>
      <c r="K87" s="62"/>
    </row>
    <row r="88" spans="1:11">
      <c r="B88" s="21"/>
      <c r="C88" s="6"/>
      <c r="D88" s="6"/>
      <c r="E88" s="6"/>
      <c r="F88" s="6"/>
      <c r="G88" s="62"/>
      <c r="H88" s="6"/>
      <c r="I88" s="6"/>
      <c r="J88" s="6"/>
      <c r="K88" s="62"/>
    </row>
    <row r="89" spans="1:11">
      <c r="B89" s="21" t="s">
        <v>271</v>
      </c>
      <c r="C89" s="6"/>
      <c r="D89" s="6"/>
      <c r="E89" s="6"/>
      <c r="F89" s="6"/>
      <c r="G89" s="6"/>
      <c r="H89" s="6"/>
      <c r="I89" s="6"/>
      <c r="J89" s="6"/>
      <c r="K89" s="6"/>
    </row>
    <row r="90" spans="1:11">
      <c r="A90" s="27">
        <v>7</v>
      </c>
      <c r="B90" s="21" t="str">
        <f>+B82</f>
        <v xml:space="preserve">  Production</v>
      </c>
      <c r="C90" s="19" t="s">
        <v>188</v>
      </c>
      <c r="D90" s="63">
        <f>129312287+155354909</f>
        <v>284667196</v>
      </c>
      <c r="E90" s="6"/>
      <c r="F90" s="6" t="str">
        <f t="shared" ref="F90:G94" si="0">+F82</f>
        <v>NA</v>
      </c>
      <c r="G90" s="60" t="str">
        <f t="shared" si="0"/>
        <v xml:space="preserve"> </v>
      </c>
      <c r="H90" s="6"/>
      <c r="I90" s="6" t="s">
        <v>2</v>
      </c>
      <c r="J90" s="6"/>
      <c r="K90" s="6"/>
    </row>
    <row r="91" spans="1:11">
      <c r="A91" s="27">
        <v>8</v>
      </c>
      <c r="B91" s="21" t="str">
        <f>+B83</f>
        <v xml:space="preserve">  Transmission</v>
      </c>
      <c r="C91" s="19" t="s">
        <v>189</v>
      </c>
      <c r="D91" s="63">
        <v>98265984</v>
      </c>
      <c r="E91" s="6"/>
      <c r="F91" s="6" t="str">
        <f t="shared" si="0"/>
        <v>TP</v>
      </c>
      <c r="G91" s="60">
        <f>I223</f>
        <v>1</v>
      </c>
      <c r="H91" s="6"/>
      <c r="I91" s="6">
        <f>+G91*D91</f>
        <v>98265984</v>
      </c>
      <c r="J91" s="6"/>
      <c r="K91" s="6"/>
    </row>
    <row r="92" spans="1:11">
      <c r="A92" s="27">
        <v>9</v>
      </c>
      <c r="B92" s="21" t="str">
        <f>+B84</f>
        <v xml:space="preserve">  Distribution</v>
      </c>
      <c r="C92" s="1" t="s">
        <v>190</v>
      </c>
      <c r="D92" s="63">
        <v>449399</v>
      </c>
      <c r="E92" s="6"/>
      <c r="F92" s="6" t="str">
        <f t="shared" si="0"/>
        <v>NA</v>
      </c>
      <c r="G92" s="60" t="str">
        <f t="shared" si="0"/>
        <v xml:space="preserve"> </v>
      </c>
      <c r="H92" s="6"/>
      <c r="I92" s="6" t="s">
        <v>2</v>
      </c>
      <c r="J92" s="6"/>
      <c r="K92" s="6"/>
    </row>
    <row r="93" spans="1:11">
      <c r="A93" s="27">
        <v>10</v>
      </c>
      <c r="B93" s="21" t="str">
        <f>+B85</f>
        <v xml:space="preserve">  General &amp; Intangible</v>
      </c>
      <c r="C93" s="1" t="s">
        <v>293</v>
      </c>
      <c r="D93" s="59">
        <f>8581617+1513461</f>
        <v>10095078</v>
      </c>
      <c r="E93" s="6"/>
      <c r="F93" s="6" t="str">
        <f t="shared" si="0"/>
        <v>W/S</v>
      </c>
      <c r="G93" s="60">
        <f t="shared" si="0"/>
        <v>0.60683985878462576</v>
      </c>
      <c r="H93" s="6"/>
      <c r="I93" s="6">
        <f>+G93*D93</f>
        <v>6126095.7079397822</v>
      </c>
      <c r="J93" s="6"/>
      <c r="K93" s="6"/>
    </row>
    <row r="94" spans="1:11" ht="16.2" thickBot="1">
      <c r="A94" s="27">
        <v>11</v>
      </c>
      <c r="B94" s="21" t="str">
        <f>+B86</f>
        <v xml:space="preserve">  Common</v>
      </c>
      <c r="C94" s="8"/>
      <c r="D94" s="61">
        <v>0</v>
      </c>
      <c r="E94" s="6"/>
      <c r="F94" s="6" t="str">
        <f t="shared" si="0"/>
        <v>CE</v>
      </c>
      <c r="G94" s="60">
        <f t="shared" si="0"/>
        <v>0</v>
      </c>
      <c r="H94" s="6"/>
      <c r="I94" s="36">
        <f>+G94*D94</f>
        <v>0</v>
      </c>
      <c r="J94" s="6"/>
      <c r="K94" s="6"/>
    </row>
    <row r="95" spans="1:11">
      <c r="A95" s="27">
        <v>12</v>
      </c>
      <c r="B95" s="21" t="s">
        <v>238</v>
      </c>
      <c r="C95" s="6"/>
      <c r="D95" s="6">
        <f>SUM(D90:D94)</f>
        <v>393477657</v>
      </c>
      <c r="E95" s="6"/>
      <c r="F95" s="6"/>
      <c r="G95" s="6"/>
      <c r="H95" s="6"/>
      <c r="I95" s="6">
        <f>SUM(I90:I94)</f>
        <v>104392079.70793979</v>
      </c>
      <c r="J95" s="6"/>
      <c r="K95" s="6"/>
    </row>
    <row r="96" spans="1:11">
      <c r="A96" s="27"/>
      <c r="C96" s="6" t="s">
        <v>2</v>
      </c>
      <c r="E96" s="6"/>
      <c r="F96" s="6"/>
      <c r="G96" s="62"/>
      <c r="H96" s="6"/>
      <c r="J96" s="6"/>
      <c r="K96" s="62"/>
    </row>
    <row r="97" spans="1:11">
      <c r="A97" s="27"/>
      <c r="B97" s="21" t="s">
        <v>64</v>
      </c>
      <c r="C97" s="6"/>
      <c r="D97" s="6"/>
      <c r="E97" s="6"/>
      <c r="F97" s="6"/>
      <c r="G97" s="6"/>
      <c r="H97" s="6"/>
      <c r="I97" s="6"/>
      <c r="J97" s="6"/>
      <c r="K97" s="6"/>
    </row>
    <row r="98" spans="1:11">
      <c r="A98" s="27">
        <v>13</v>
      </c>
      <c r="B98" s="21" t="str">
        <f>+B90</f>
        <v xml:space="preserve">  Production</v>
      </c>
      <c r="C98" s="6" t="s">
        <v>210</v>
      </c>
      <c r="D98" s="6">
        <f>D82-D90</f>
        <v>198254046</v>
      </c>
      <c r="E98" s="6"/>
      <c r="F98" s="6"/>
      <c r="G98" s="62"/>
      <c r="H98" s="6"/>
      <c r="I98" s="6" t="s">
        <v>2</v>
      </c>
      <c r="J98" s="6"/>
      <c r="K98" s="62"/>
    </row>
    <row r="99" spans="1:11">
      <c r="A99" s="27">
        <v>14</v>
      </c>
      <c r="B99" s="21" t="str">
        <f>+B91</f>
        <v xml:space="preserve">  Transmission</v>
      </c>
      <c r="C99" s="6" t="s">
        <v>211</v>
      </c>
      <c r="D99" s="6">
        <f>D83-D91</f>
        <v>156469359</v>
      </c>
      <c r="E99" s="6"/>
      <c r="F99" s="6"/>
      <c r="G99" s="60"/>
      <c r="H99" s="6"/>
      <c r="I99" s="6">
        <f>I83-I91</f>
        <v>156469359</v>
      </c>
      <c r="J99" s="6"/>
      <c r="K99" s="62"/>
    </row>
    <row r="100" spans="1:11">
      <c r="A100" s="27">
        <v>15</v>
      </c>
      <c r="B100" s="21" t="str">
        <f>+B92</f>
        <v xml:space="preserve">  Distribution</v>
      </c>
      <c r="C100" s="6" t="s">
        <v>212</v>
      </c>
      <c r="D100" s="6">
        <f>D84-D92</f>
        <v>4857</v>
      </c>
      <c r="E100" s="6"/>
      <c r="F100" s="6"/>
      <c r="G100" s="62"/>
      <c r="H100" s="6"/>
      <c r="I100" s="6" t="s">
        <v>2</v>
      </c>
      <c r="J100" s="6"/>
      <c r="K100" s="62"/>
    </row>
    <row r="101" spans="1:11">
      <c r="A101" s="27">
        <v>16</v>
      </c>
      <c r="B101" s="21" t="str">
        <f>+B93</f>
        <v xml:space="preserve">  General &amp; Intangible</v>
      </c>
      <c r="C101" s="6" t="s">
        <v>213</v>
      </c>
      <c r="D101" s="6">
        <f>D85-D93</f>
        <v>12455461</v>
      </c>
      <c r="E101" s="6"/>
      <c r="F101" s="6"/>
      <c r="G101" s="62"/>
      <c r="H101" s="6"/>
      <c r="I101" s="6">
        <f>I85-I93</f>
        <v>7558470.1943374136</v>
      </c>
      <c r="J101" s="6"/>
      <c r="K101" s="62"/>
    </row>
    <row r="102" spans="1:11" ht="16.2" thickBot="1">
      <c r="A102" s="27">
        <v>17</v>
      </c>
      <c r="B102" s="21" t="str">
        <f>+B94</f>
        <v xml:space="preserve">  Common</v>
      </c>
      <c r="C102" s="6" t="s">
        <v>214</v>
      </c>
      <c r="D102" s="36">
        <f>D86-D94</f>
        <v>0</v>
      </c>
      <c r="E102" s="6"/>
      <c r="F102" s="6"/>
      <c r="G102" s="62"/>
      <c r="H102" s="6"/>
      <c r="I102" s="36">
        <f>I86-I94</f>
        <v>0</v>
      </c>
      <c r="J102" s="6"/>
      <c r="K102" s="62"/>
    </row>
    <row r="103" spans="1:11">
      <c r="A103" s="27">
        <v>18</v>
      </c>
      <c r="B103" s="21" t="s">
        <v>239</v>
      </c>
      <c r="C103" s="6"/>
      <c r="D103" s="6">
        <f>SUM(D98:D102)</f>
        <v>367183723</v>
      </c>
      <c r="E103" s="6"/>
      <c r="F103" s="6" t="s">
        <v>65</v>
      </c>
      <c r="G103" s="62">
        <f>IF(I103&gt;0,I103/D103,0)</f>
        <v>0.44671868310006058</v>
      </c>
      <c r="H103" s="6"/>
      <c r="I103" s="6">
        <f>SUM(I98:I102)</f>
        <v>164027829.19433743</v>
      </c>
      <c r="J103" s="6"/>
      <c r="K103" s="6"/>
    </row>
    <row r="104" spans="1:11">
      <c r="A104" s="27"/>
      <c r="C104" s="6"/>
      <c r="E104" s="6"/>
      <c r="H104" s="6"/>
      <c r="J104" s="6"/>
      <c r="K104" s="62"/>
    </row>
    <row r="105" spans="1:11">
      <c r="A105" s="27"/>
      <c r="B105" s="21" t="s">
        <v>215</v>
      </c>
      <c r="C105" s="6"/>
      <c r="D105" s="6"/>
      <c r="E105" s="6"/>
      <c r="F105" s="6"/>
      <c r="G105" s="6"/>
      <c r="H105" s="6"/>
      <c r="I105" s="6"/>
      <c r="J105" s="6"/>
      <c r="K105" s="6"/>
    </row>
    <row r="106" spans="1:11">
      <c r="A106" s="27">
        <v>19</v>
      </c>
      <c r="B106" s="21" t="s">
        <v>66</v>
      </c>
      <c r="C106" s="6"/>
      <c r="D106" s="63">
        <v>0</v>
      </c>
      <c r="E106" s="6"/>
      <c r="F106" s="6"/>
      <c r="G106" s="64" t="s">
        <v>176</v>
      </c>
      <c r="H106" s="6"/>
      <c r="I106" s="6">
        <v>0</v>
      </c>
      <c r="J106" s="6"/>
      <c r="K106" s="62"/>
    </row>
    <row r="107" spans="1:11">
      <c r="A107" s="27">
        <v>20</v>
      </c>
      <c r="B107" s="21" t="s">
        <v>68</v>
      </c>
      <c r="C107" s="6"/>
      <c r="D107" s="63">
        <v>0</v>
      </c>
      <c r="E107" s="6"/>
      <c r="F107" s="6" t="s">
        <v>67</v>
      </c>
      <c r="G107" s="60">
        <f>+G103</f>
        <v>0.44671868310006058</v>
      </c>
      <c r="H107" s="6"/>
      <c r="I107" s="6">
        <f>D107*G107</f>
        <v>0</v>
      </c>
      <c r="J107" s="6"/>
      <c r="K107" s="62"/>
    </row>
    <row r="108" spans="1:11">
      <c r="A108" s="27">
        <v>21</v>
      </c>
      <c r="B108" s="21" t="s">
        <v>69</v>
      </c>
      <c r="C108" s="6"/>
      <c r="D108" s="59">
        <v>0</v>
      </c>
      <c r="E108" s="6"/>
      <c r="F108" s="6" t="s">
        <v>67</v>
      </c>
      <c r="G108" s="60">
        <f>+G107</f>
        <v>0.44671868310006058</v>
      </c>
      <c r="H108" s="6"/>
      <c r="I108" s="6">
        <f>D108*G108</f>
        <v>0</v>
      </c>
      <c r="J108" s="6"/>
      <c r="K108" s="62"/>
    </row>
    <row r="109" spans="1:11">
      <c r="A109" s="27">
        <v>22</v>
      </c>
      <c r="B109" s="21" t="s">
        <v>70</v>
      </c>
      <c r="C109" s="6"/>
      <c r="D109" s="59">
        <v>0</v>
      </c>
      <c r="E109" s="6"/>
      <c r="F109" s="6" t="str">
        <f>+F108</f>
        <v>NP</v>
      </c>
      <c r="G109" s="60">
        <f>+G108</f>
        <v>0.44671868310006058</v>
      </c>
      <c r="H109" s="6"/>
      <c r="I109" s="6">
        <f>D109*G109</f>
        <v>0</v>
      </c>
      <c r="J109" s="6"/>
      <c r="K109" s="62"/>
    </row>
    <row r="110" spans="1:11" ht="16.2" thickBot="1">
      <c r="A110" s="27">
        <v>23</v>
      </c>
      <c r="B110" s="19" t="s">
        <v>71</v>
      </c>
      <c r="D110" s="61">
        <v>0</v>
      </c>
      <c r="E110" s="6"/>
      <c r="F110" s="6" t="s">
        <v>67</v>
      </c>
      <c r="G110" s="60">
        <f>+G108</f>
        <v>0.44671868310006058</v>
      </c>
      <c r="H110" s="6"/>
      <c r="I110" s="36">
        <f>D110*G110</f>
        <v>0</v>
      </c>
      <c r="J110" s="6"/>
      <c r="K110" s="6"/>
    </row>
    <row r="111" spans="1:11">
      <c r="A111" s="27">
        <v>24</v>
      </c>
      <c r="B111" s="21" t="s">
        <v>240</v>
      </c>
      <c r="C111" s="6"/>
      <c r="D111" s="6">
        <f>SUM(D106:D110)</f>
        <v>0</v>
      </c>
      <c r="E111" s="6"/>
      <c r="F111" s="6"/>
      <c r="G111" s="6"/>
      <c r="H111" s="6"/>
      <c r="I111" s="6">
        <f>SUM(I106:I110)</f>
        <v>0</v>
      </c>
      <c r="J111" s="6"/>
      <c r="K111" s="6"/>
    </row>
    <row r="112" spans="1:11">
      <c r="A112" s="27"/>
      <c r="C112" s="6"/>
      <c r="E112" s="6"/>
      <c r="F112" s="6"/>
      <c r="G112" s="62"/>
      <c r="H112" s="6"/>
      <c r="J112" s="6"/>
      <c r="K112" s="62"/>
    </row>
    <row r="113" spans="1:11">
      <c r="A113" s="27">
        <v>25</v>
      </c>
      <c r="B113" s="21" t="s">
        <v>72</v>
      </c>
      <c r="C113" s="6" t="s">
        <v>205</v>
      </c>
      <c r="D113" s="63">
        <v>0</v>
      </c>
      <c r="E113" s="6"/>
      <c r="F113" s="6" t="str">
        <f>+F91</f>
        <v>TP</v>
      </c>
      <c r="G113" s="60">
        <f>+G91</f>
        <v>1</v>
      </c>
      <c r="H113" s="6"/>
      <c r="I113" s="6">
        <f>+G113*D113</f>
        <v>0</v>
      </c>
      <c r="J113" s="6"/>
      <c r="K113" s="6"/>
    </row>
    <row r="114" spans="1:11">
      <c r="A114" s="27"/>
      <c r="B114" s="21"/>
      <c r="C114" s="6"/>
      <c r="D114" s="6"/>
      <c r="E114" s="6"/>
      <c r="F114" s="6"/>
      <c r="G114" s="6"/>
      <c r="H114" s="6"/>
      <c r="I114" s="6"/>
      <c r="J114" s="6"/>
      <c r="K114" s="6"/>
    </row>
    <row r="115" spans="1:11">
      <c r="A115" s="27"/>
      <c r="B115" s="21" t="s">
        <v>169</v>
      </c>
      <c r="D115" s="6"/>
      <c r="E115" s="6"/>
      <c r="F115" s="6"/>
      <c r="G115" s="6"/>
      <c r="H115" s="6"/>
      <c r="I115" s="6"/>
      <c r="J115" s="6"/>
      <c r="K115" s="6"/>
    </row>
    <row r="116" spans="1:11">
      <c r="A116" s="27">
        <v>26</v>
      </c>
      <c r="B116" s="21" t="s">
        <v>170</v>
      </c>
      <c r="C116" s="6" t="s">
        <v>73</v>
      </c>
      <c r="D116" s="6">
        <f>D152/8</f>
        <v>2458088.75</v>
      </c>
      <c r="E116" s="6"/>
      <c r="F116" s="6"/>
      <c r="G116" s="62"/>
      <c r="H116" s="6"/>
      <c r="I116" s="6">
        <f>I152/8</f>
        <v>2011831.5428117109</v>
      </c>
      <c r="J116" s="23"/>
      <c r="K116" s="62"/>
    </row>
    <row r="117" spans="1:11">
      <c r="A117" s="27">
        <v>27</v>
      </c>
      <c r="B117" s="21" t="s">
        <v>74</v>
      </c>
      <c r="C117" s="19" t="s">
        <v>191</v>
      </c>
      <c r="D117" s="63">
        <f>222736+1048708</f>
        <v>1271444</v>
      </c>
      <c r="E117" s="6"/>
      <c r="F117" s="6" t="s">
        <v>75</v>
      </c>
      <c r="G117" s="60">
        <f>I224</f>
        <v>0.94950040994801421</v>
      </c>
      <c r="H117" s="6"/>
      <c r="I117" s="6">
        <f>+G117*D117</f>
        <v>1207236.599225943</v>
      </c>
      <c r="J117" s="6" t="s">
        <v>2</v>
      </c>
      <c r="K117" s="62"/>
    </row>
    <row r="118" spans="1:11" ht="16.2" thickBot="1">
      <c r="A118" s="27">
        <v>28</v>
      </c>
      <c r="B118" s="21" t="s">
        <v>76</v>
      </c>
      <c r="C118" s="19" t="s">
        <v>272</v>
      </c>
      <c r="D118" s="61">
        <v>490398</v>
      </c>
      <c r="E118" s="6"/>
      <c r="F118" s="6" t="s">
        <v>77</v>
      </c>
      <c r="G118" s="60">
        <f>+G87</f>
        <v>0.35287700409119915</v>
      </c>
      <c r="H118" s="6"/>
      <c r="I118" s="36">
        <f>+G118*D118</f>
        <v>173050.17705231588</v>
      </c>
      <c r="J118" s="6"/>
      <c r="K118" s="62"/>
    </row>
    <row r="119" spans="1:11">
      <c r="A119" s="27">
        <v>29</v>
      </c>
      <c r="B119" s="21" t="s">
        <v>241</v>
      </c>
      <c r="C119" s="23"/>
      <c r="D119" s="6">
        <f>D116+D117+D118</f>
        <v>4219930.75</v>
      </c>
      <c r="E119" s="23"/>
      <c r="F119" s="23"/>
      <c r="G119" s="23"/>
      <c r="H119" s="23"/>
      <c r="I119" s="6">
        <f>I116+I117+I118</f>
        <v>3392118.3190899696</v>
      </c>
      <c r="J119" s="23"/>
      <c r="K119" s="23"/>
    </row>
    <row r="120" spans="1:11" ht="16.2" thickBot="1">
      <c r="C120" s="6"/>
      <c r="D120" s="65"/>
      <c r="E120" s="6"/>
      <c r="F120" s="6"/>
      <c r="G120" s="6"/>
      <c r="H120" s="6"/>
      <c r="I120" s="65"/>
      <c r="J120" s="6"/>
      <c r="K120" s="6"/>
    </row>
    <row r="121" spans="1:11" ht="16.2" thickBot="1">
      <c r="A121" s="27">
        <v>30</v>
      </c>
      <c r="B121" s="21" t="s">
        <v>78</v>
      </c>
      <c r="C121" s="6"/>
      <c r="D121" s="66">
        <f>+D119+D113+D111+D103</f>
        <v>371403653.75</v>
      </c>
      <c r="E121" s="6"/>
      <c r="F121" s="6"/>
      <c r="G121" s="62"/>
      <c r="H121" s="6"/>
      <c r="I121" s="66">
        <f>+I119+I113+I111+I103</f>
        <v>167419947.51342741</v>
      </c>
      <c r="J121" s="6"/>
      <c r="K121" s="62"/>
    </row>
    <row r="122" spans="1:11" ht="16.2" thickTop="1">
      <c r="A122" s="27"/>
      <c r="B122" s="21"/>
      <c r="C122" s="6"/>
      <c r="D122" s="6"/>
      <c r="E122" s="6"/>
      <c r="F122" s="6"/>
      <c r="G122" s="6"/>
      <c r="H122" s="6"/>
      <c r="I122" s="6"/>
      <c r="J122" s="6"/>
      <c r="K122" s="6"/>
    </row>
    <row r="123" spans="1:11">
      <c r="A123" s="27"/>
      <c r="B123" s="21"/>
      <c r="C123" s="6"/>
      <c r="D123" s="6"/>
      <c r="E123" s="6"/>
      <c r="F123" s="6"/>
      <c r="G123" s="6"/>
      <c r="H123" s="6"/>
      <c r="I123" s="6"/>
      <c r="J123" s="6"/>
      <c r="K123" s="6"/>
    </row>
    <row r="124" spans="1:11">
      <c r="A124" s="27"/>
      <c r="B124" s="21"/>
      <c r="C124" s="6"/>
      <c r="D124" s="6"/>
      <c r="E124" s="6"/>
      <c r="F124" s="6"/>
      <c r="G124" s="6"/>
      <c r="H124" s="6"/>
      <c r="I124" s="6"/>
      <c r="J124" s="6"/>
      <c r="K124" s="6"/>
    </row>
    <row r="125" spans="1:11">
      <c r="A125" s="27"/>
      <c r="B125" s="21"/>
      <c r="C125" s="6"/>
      <c r="D125" s="6"/>
      <c r="E125" s="6"/>
      <c r="F125" s="6"/>
      <c r="G125" s="6"/>
      <c r="H125" s="6"/>
      <c r="I125" s="6"/>
      <c r="J125" s="6"/>
      <c r="K125" s="6"/>
    </row>
    <row r="126" spans="1:11">
      <c r="A126" s="27"/>
      <c r="B126" s="21"/>
      <c r="C126" s="6"/>
      <c r="D126" s="6"/>
      <c r="E126" s="6"/>
      <c r="F126" s="6"/>
      <c r="G126" s="6"/>
      <c r="H126" s="6"/>
      <c r="I126" s="6"/>
      <c r="J126" s="6"/>
      <c r="K126" s="6"/>
    </row>
    <row r="127" spans="1:11">
      <c r="A127" s="27"/>
      <c r="B127" s="21"/>
      <c r="C127" s="6"/>
      <c r="D127" s="6"/>
      <c r="E127" s="6"/>
      <c r="F127" s="6"/>
      <c r="G127" s="6"/>
      <c r="H127" s="6"/>
      <c r="I127" s="6"/>
      <c r="J127" s="6"/>
      <c r="K127" s="6"/>
    </row>
    <row r="128" spans="1:11">
      <c r="A128" s="27"/>
      <c r="B128" s="21"/>
      <c r="C128" s="6"/>
      <c r="D128" s="6"/>
      <c r="E128" s="6"/>
      <c r="F128" s="6"/>
      <c r="G128" s="6"/>
      <c r="H128" s="6"/>
      <c r="I128" s="6"/>
      <c r="J128" s="6"/>
      <c r="K128" s="6"/>
    </row>
    <row r="129" spans="1:11">
      <c r="A129" s="27"/>
      <c r="B129" s="21"/>
      <c r="C129" s="6"/>
      <c r="D129" s="6"/>
      <c r="E129" s="6"/>
      <c r="F129" s="6"/>
      <c r="G129" s="6"/>
      <c r="H129" s="6"/>
      <c r="I129" s="6"/>
      <c r="J129" s="6"/>
      <c r="K129" s="6"/>
    </row>
    <row r="130" spans="1:11">
      <c r="A130" s="27"/>
      <c r="B130" s="21"/>
      <c r="C130" s="6"/>
      <c r="D130" s="6"/>
      <c r="E130" s="6"/>
      <c r="F130" s="6"/>
      <c r="G130" s="6"/>
      <c r="H130" s="6"/>
      <c r="I130" s="6"/>
      <c r="J130" s="6"/>
      <c r="K130" s="6"/>
    </row>
    <row r="131" spans="1:11">
      <c r="A131" s="27"/>
      <c r="B131" s="21"/>
      <c r="C131" s="6"/>
      <c r="D131" s="6"/>
      <c r="E131" s="6"/>
      <c r="F131" s="6"/>
      <c r="G131" s="6"/>
      <c r="H131" s="6"/>
      <c r="I131" s="6"/>
      <c r="J131" s="6"/>
      <c r="K131" s="6"/>
    </row>
    <row r="132" spans="1:11">
      <c r="A132" s="27"/>
      <c r="B132" s="21"/>
      <c r="C132" s="6"/>
      <c r="D132" s="6"/>
      <c r="E132" s="6"/>
      <c r="F132" s="6"/>
      <c r="G132" s="6"/>
      <c r="H132" s="6"/>
      <c r="I132" s="6"/>
      <c r="J132" s="6"/>
      <c r="K132" s="20" t="s">
        <v>301</v>
      </c>
    </row>
    <row r="133" spans="1:11">
      <c r="B133" s="21"/>
      <c r="C133" s="21"/>
      <c r="D133" s="22"/>
      <c r="E133" s="21"/>
      <c r="F133" s="21"/>
      <c r="G133" s="21"/>
      <c r="H133" s="23"/>
      <c r="I133" s="23"/>
      <c r="J133" s="254" t="s">
        <v>200</v>
      </c>
      <c r="K133" s="254"/>
    </row>
    <row r="134" spans="1:11">
      <c r="A134" s="27"/>
      <c r="B134" s="21"/>
      <c r="C134" s="6"/>
      <c r="D134" s="6"/>
      <c r="E134" s="6"/>
      <c r="F134" s="6"/>
      <c r="G134" s="6"/>
      <c r="H134" s="6"/>
      <c r="I134" s="6"/>
      <c r="J134" s="6"/>
      <c r="K134" s="6"/>
    </row>
    <row r="135" spans="1:11">
      <c r="A135" s="27"/>
      <c r="B135" s="21" t="str">
        <f>B4</f>
        <v xml:space="preserve">Formula Rate - Non-Levelized </v>
      </c>
      <c r="C135" s="6"/>
      <c r="D135" s="6" t="str">
        <f>D4</f>
        <v xml:space="preserve">     Rate Formula Template</v>
      </c>
      <c r="E135" s="6"/>
      <c r="F135" s="6"/>
      <c r="G135" s="6"/>
      <c r="H135" s="6"/>
      <c r="J135" s="6"/>
      <c r="K135" s="67" t="str">
        <f>K4</f>
        <v>For the 12 months ended 12/31/_2016_</v>
      </c>
    </row>
    <row r="136" spans="1:11">
      <c r="A136" s="27"/>
      <c r="B136" s="21"/>
      <c r="C136" s="6"/>
      <c r="D136" s="6" t="str">
        <f>D5</f>
        <v xml:space="preserve"> Utilizing RUS Form 12 Data</v>
      </c>
      <c r="E136" s="6"/>
      <c r="F136" s="6"/>
      <c r="G136" s="6"/>
      <c r="H136" s="6"/>
      <c r="I136" s="6"/>
      <c r="J136" s="6"/>
      <c r="K136" s="6"/>
    </row>
    <row r="137" spans="1:11">
      <c r="A137" s="27"/>
      <c r="C137" s="6"/>
      <c r="D137" s="6"/>
      <c r="E137" s="6"/>
      <c r="F137" s="6"/>
      <c r="G137" s="6"/>
      <c r="H137" s="6"/>
      <c r="I137" s="6"/>
      <c r="J137" s="6"/>
      <c r="K137" s="6"/>
    </row>
    <row r="138" spans="1:11">
      <c r="A138" s="27"/>
      <c r="D138" s="19" t="str">
        <f>D7</f>
        <v>Central Iowa Power Cooperative</v>
      </c>
      <c r="J138" s="6"/>
      <c r="K138" s="6"/>
    </row>
    <row r="139" spans="1:11">
      <c r="A139" s="27"/>
      <c r="B139" s="27" t="s">
        <v>41</v>
      </c>
      <c r="C139" s="27" t="s">
        <v>42</v>
      </c>
      <c r="D139" s="27" t="s">
        <v>43</v>
      </c>
      <c r="E139" s="6" t="s">
        <v>2</v>
      </c>
      <c r="F139" s="6"/>
      <c r="G139" s="52" t="s">
        <v>44</v>
      </c>
      <c r="H139" s="6"/>
      <c r="I139" s="53" t="s">
        <v>45</v>
      </c>
      <c r="J139" s="6"/>
      <c r="K139" s="6"/>
    </row>
    <row r="140" spans="1:11">
      <c r="A140" s="27"/>
      <c r="B140" s="27"/>
      <c r="C140" s="23"/>
      <c r="D140" s="23"/>
      <c r="E140" s="23"/>
      <c r="F140" s="23"/>
      <c r="G140" s="23"/>
      <c r="H140" s="23"/>
      <c r="I140" s="23"/>
      <c r="J140" s="23"/>
      <c r="K140" s="55"/>
    </row>
    <row r="141" spans="1:11">
      <c r="A141" s="27" t="s">
        <v>4</v>
      </c>
      <c r="B141" s="21"/>
      <c r="C141" s="54" t="s">
        <v>46</v>
      </c>
      <c r="D141" s="6"/>
      <c r="E141" s="6"/>
      <c r="F141" s="6"/>
      <c r="G141" s="27"/>
      <c r="H141" s="6"/>
      <c r="I141" s="55" t="s">
        <v>47</v>
      </c>
      <c r="J141" s="6"/>
      <c r="K141" s="55"/>
    </row>
    <row r="142" spans="1:11" ht="16.2" thickBot="1">
      <c r="A142" s="30" t="s">
        <v>6</v>
      </c>
      <c r="B142" s="21"/>
      <c r="C142" s="56" t="s">
        <v>48</v>
      </c>
      <c r="D142" s="55" t="s">
        <v>49</v>
      </c>
      <c r="E142" s="57"/>
      <c r="F142" s="55" t="s">
        <v>50</v>
      </c>
      <c r="H142" s="57"/>
      <c r="I142" s="27" t="s">
        <v>51</v>
      </c>
      <c r="J142" s="6"/>
      <c r="K142" s="55"/>
    </row>
    <row r="143" spans="1:11">
      <c r="A143" s="27"/>
      <c r="B143" s="21" t="s">
        <v>273</v>
      </c>
      <c r="C143" s="6"/>
      <c r="D143" s="6"/>
      <c r="E143" s="6"/>
      <c r="F143" s="6"/>
      <c r="G143" s="6"/>
      <c r="H143" s="6"/>
      <c r="I143" s="6"/>
      <c r="J143" s="6"/>
      <c r="K143" s="6"/>
    </row>
    <row r="144" spans="1:11">
      <c r="A144" s="27">
        <v>1</v>
      </c>
      <c r="B144" s="21" t="s">
        <v>79</v>
      </c>
      <c r="C144" s="19" t="s">
        <v>274</v>
      </c>
      <c r="D144" s="63">
        <f>14767511+3749471</f>
        <v>18516982</v>
      </c>
      <c r="E144" s="6"/>
      <c r="F144" s="6" t="s">
        <v>75</v>
      </c>
      <c r="G144" s="60">
        <f>I224</f>
        <v>0.94950040994801421</v>
      </c>
      <c r="H144" s="6"/>
      <c r="I144" s="6">
        <f t="shared" ref="I144:I151" si="1">+G144*D144</f>
        <v>17581882</v>
      </c>
      <c r="J144" s="23"/>
      <c r="K144" s="6"/>
    </row>
    <row r="145" spans="1:11">
      <c r="A145" s="27">
        <v>2</v>
      </c>
      <c r="B145" s="21" t="s">
        <v>80</v>
      </c>
      <c r="C145" s="19" t="s">
        <v>81</v>
      </c>
      <c r="D145" s="63">
        <v>6372828</v>
      </c>
      <c r="E145" s="6"/>
      <c r="F145" s="6" t="s">
        <v>75</v>
      </c>
      <c r="G145" s="60">
        <f>+G144</f>
        <v>0.94950040994801421</v>
      </c>
      <c r="H145" s="6"/>
      <c r="I145" s="6">
        <f t="shared" si="1"/>
        <v>6051002.7985281833</v>
      </c>
      <c r="J145" s="23"/>
      <c r="K145" s="6"/>
    </row>
    <row r="146" spans="1:11">
      <c r="A146" s="27">
        <v>3</v>
      </c>
      <c r="B146" s="21" t="s">
        <v>82</v>
      </c>
      <c r="C146" s="19" t="s">
        <v>275</v>
      </c>
      <c r="D146" s="63">
        <f>6794454+726102</f>
        <v>7520556</v>
      </c>
      <c r="E146" s="6"/>
      <c r="F146" s="6" t="s">
        <v>60</v>
      </c>
      <c r="G146" s="60">
        <f>I231</f>
        <v>0.60683985878462576</v>
      </c>
      <c r="H146" s="6"/>
      <c r="I146" s="6">
        <f t="shared" si="1"/>
        <v>4563773.1410218701</v>
      </c>
      <c r="J146" s="6"/>
      <c r="K146" s="6" t="s">
        <v>2</v>
      </c>
    </row>
    <row r="147" spans="1:11">
      <c r="A147" s="27">
        <v>4</v>
      </c>
      <c r="B147" s="21" t="s">
        <v>83</v>
      </c>
      <c r="C147" s="6"/>
      <c r="D147" s="63">
        <v>0</v>
      </c>
      <c r="E147" s="6"/>
      <c r="F147" s="6" t="str">
        <f>+F146</f>
        <v>W/S</v>
      </c>
      <c r="G147" s="60">
        <f>I231</f>
        <v>0.60683985878462576</v>
      </c>
      <c r="H147" s="6"/>
      <c r="I147" s="6">
        <f t="shared" si="1"/>
        <v>0</v>
      </c>
      <c r="J147" s="6"/>
      <c r="K147" s="6"/>
    </row>
    <row r="148" spans="1:11">
      <c r="A148" s="27">
        <v>5</v>
      </c>
      <c r="B148" s="21" t="s">
        <v>216</v>
      </c>
      <c r="C148" s="6"/>
      <c r="D148" s="63">
        <v>0</v>
      </c>
      <c r="E148" s="6"/>
      <c r="F148" s="6" t="str">
        <f>+F147</f>
        <v>W/S</v>
      </c>
      <c r="G148" s="60">
        <f>I231</f>
        <v>0.60683985878462576</v>
      </c>
      <c r="H148" s="6"/>
      <c r="I148" s="6">
        <f t="shared" si="1"/>
        <v>0</v>
      </c>
      <c r="J148" s="6"/>
      <c r="K148" s="6"/>
    </row>
    <row r="149" spans="1:11">
      <c r="A149" s="27" t="s">
        <v>177</v>
      </c>
      <c r="B149" s="21" t="s">
        <v>242</v>
      </c>
      <c r="C149" s="6"/>
      <c r="D149" s="63">
        <v>0</v>
      </c>
      <c r="E149" s="6"/>
      <c r="F149" s="6" t="str">
        <f>+F144</f>
        <v>TE</v>
      </c>
      <c r="G149" s="60">
        <f>+G144</f>
        <v>0.94950040994801421</v>
      </c>
      <c r="H149" s="6"/>
      <c r="I149" s="6">
        <f t="shared" si="1"/>
        <v>0</v>
      </c>
      <c r="J149" s="6"/>
      <c r="K149" s="6"/>
    </row>
    <row r="150" spans="1:11">
      <c r="A150" s="27">
        <v>6</v>
      </c>
      <c r="B150" s="21" t="s">
        <v>61</v>
      </c>
      <c r="C150" s="6"/>
      <c r="D150" s="63">
        <v>0</v>
      </c>
      <c r="E150" s="6"/>
      <c r="F150" s="6" t="s">
        <v>62</v>
      </c>
      <c r="G150" s="60">
        <f>K235</f>
        <v>0</v>
      </c>
      <c r="H150" s="6"/>
      <c r="I150" s="6">
        <f t="shared" si="1"/>
        <v>0</v>
      </c>
      <c r="J150" s="6"/>
      <c r="K150" s="6"/>
    </row>
    <row r="151" spans="1:11" ht="16.2" thickBot="1">
      <c r="A151" s="27">
        <v>7</v>
      </c>
      <c r="B151" s="21" t="s">
        <v>84</v>
      </c>
      <c r="C151" s="6"/>
      <c r="D151" s="61">
        <v>0</v>
      </c>
      <c r="E151" s="6"/>
      <c r="F151" s="6" t="s">
        <v>55</v>
      </c>
      <c r="G151" s="60">
        <v>1</v>
      </c>
      <c r="H151" s="6"/>
      <c r="I151" s="36">
        <f t="shared" si="1"/>
        <v>0</v>
      </c>
      <c r="J151" s="6"/>
      <c r="K151" s="6"/>
    </row>
    <row r="152" spans="1:11">
      <c r="A152" s="27">
        <v>8</v>
      </c>
      <c r="B152" s="21" t="s">
        <v>184</v>
      </c>
      <c r="C152" s="6"/>
      <c r="D152" s="6">
        <f>+D144-D145+D146-D147-D148+D149+D150+D151</f>
        <v>19664710</v>
      </c>
      <c r="E152" s="6"/>
      <c r="F152" s="6"/>
      <c r="G152" s="6"/>
      <c r="H152" s="6"/>
      <c r="I152" s="6">
        <f>+I144-I145+I146-I147-I148+I149+I150+I151</f>
        <v>16094652.342493687</v>
      </c>
      <c r="J152" s="6"/>
      <c r="K152" s="6"/>
    </row>
    <row r="153" spans="1:11">
      <c r="A153" s="27"/>
      <c r="C153" s="6"/>
      <c r="E153" s="6"/>
      <c r="F153" s="6"/>
      <c r="G153" s="6"/>
      <c r="H153" s="6"/>
      <c r="J153" s="6"/>
      <c r="K153" s="6"/>
    </row>
    <row r="154" spans="1:11">
      <c r="A154" s="27"/>
      <c r="B154" s="21" t="s">
        <v>276</v>
      </c>
      <c r="C154" s="6"/>
      <c r="D154" s="6"/>
      <c r="E154" s="6"/>
      <c r="F154" s="6"/>
      <c r="G154" s="6"/>
      <c r="H154" s="6"/>
      <c r="I154" s="6"/>
      <c r="J154" s="6"/>
      <c r="K154" s="6"/>
    </row>
    <row r="155" spans="1:11">
      <c r="A155" s="27">
        <v>9</v>
      </c>
      <c r="B155" s="21" t="str">
        <f>+B144</f>
        <v xml:space="preserve">  Transmission </v>
      </c>
      <c r="C155" s="19" t="s">
        <v>192</v>
      </c>
      <c r="D155" s="63">
        <v>7487283</v>
      </c>
      <c r="E155" s="6"/>
      <c r="F155" s="6" t="s">
        <v>12</v>
      </c>
      <c r="G155" s="60">
        <f>+G113</f>
        <v>1</v>
      </c>
      <c r="H155" s="6"/>
      <c r="I155" s="6">
        <f>+G155*D155</f>
        <v>7487283</v>
      </c>
      <c r="J155" s="6"/>
      <c r="K155" s="62"/>
    </row>
    <row r="156" spans="1:11">
      <c r="A156" s="27">
        <v>10</v>
      </c>
      <c r="B156" s="21" t="s">
        <v>59</v>
      </c>
      <c r="C156" s="19" t="s">
        <v>277</v>
      </c>
      <c r="D156" s="63">
        <f>1150437+178450</f>
        <v>1328887</v>
      </c>
      <c r="E156" s="6"/>
      <c r="F156" s="6" t="s">
        <v>60</v>
      </c>
      <c r="G156" s="60">
        <f>+G146</f>
        <v>0.60683985878462576</v>
      </c>
      <c r="H156" s="6"/>
      <c r="I156" s="6">
        <f>+G156*D156</f>
        <v>806421.59942072502</v>
      </c>
      <c r="J156" s="6"/>
      <c r="K156" s="62"/>
    </row>
    <row r="157" spans="1:11" ht="16.2" thickBot="1">
      <c r="A157" s="27">
        <v>11</v>
      </c>
      <c r="B157" s="21" t="str">
        <f>+B150</f>
        <v xml:space="preserve">  Common</v>
      </c>
      <c r="C157" s="6"/>
      <c r="D157" s="61">
        <v>0</v>
      </c>
      <c r="E157" s="6"/>
      <c r="F157" s="6" t="s">
        <v>62</v>
      </c>
      <c r="G157" s="60">
        <f>+G150</f>
        <v>0</v>
      </c>
      <c r="H157" s="6"/>
      <c r="I157" s="36">
        <f>+G157*D157</f>
        <v>0</v>
      </c>
      <c r="J157" s="6"/>
      <c r="K157" s="62"/>
    </row>
    <row r="158" spans="1:11">
      <c r="A158" s="27">
        <v>12</v>
      </c>
      <c r="B158" s="21" t="s">
        <v>243</v>
      </c>
      <c r="C158" s="6"/>
      <c r="D158" s="6">
        <f>SUM(D155:D157)</f>
        <v>8816170</v>
      </c>
      <c r="E158" s="6"/>
      <c r="F158" s="6"/>
      <c r="G158" s="6"/>
      <c r="H158" s="6"/>
      <c r="I158" s="6">
        <f>SUM(I155:I157)</f>
        <v>8293704.5994207254</v>
      </c>
      <c r="J158" s="6"/>
      <c r="K158" s="6"/>
    </row>
    <row r="159" spans="1:11">
      <c r="A159" s="27"/>
      <c r="B159" s="21"/>
      <c r="C159" s="6"/>
      <c r="D159" s="6"/>
      <c r="E159" s="6"/>
      <c r="F159" s="6"/>
      <c r="G159" s="6"/>
      <c r="H159" s="6"/>
      <c r="I159" s="6"/>
      <c r="J159" s="6"/>
      <c r="K159" s="6"/>
    </row>
    <row r="160" spans="1:11">
      <c r="A160" s="27" t="s">
        <v>2</v>
      </c>
      <c r="B160" s="21" t="s">
        <v>217</v>
      </c>
      <c r="D160" s="6"/>
      <c r="E160" s="6"/>
      <c r="F160" s="6"/>
      <c r="G160" s="6"/>
      <c r="H160" s="6"/>
      <c r="I160" s="6"/>
      <c r="J160" s="6"/>
      <c r="K160" s="6"/>
    </row>
    <row r="161" spans="1:11">
      <c r="A161" s="27"/>
      <c r="B161" s="21" t="s">
        <v>85</v>
      </c>
      <c r="E161" s="6"/>
      <c r="F161" s="6"/>
      <c r="H161" s="6"/>
      <c r="J161" s="6"/>
      <c r="K161" s="62"/>
    </row>
    <row r="162" spans="1:11">
      <c r="A162" s="27">
        <v>13</v>
      </c>
      <c r="B162" s="21" t="s">
        <v>86</v>
      </c>
      <c r="C162" s="6"/>
      <c r="D162" s="63">
        <v>0</v>
      </c>
      <c r="E162" s="6"/>
      <c r="F162" s="6" t="s">
        <v>60</v>
      </c>
      <c r="G162" s="34">
        <f>+G156</f>
        <v>0.60683985878462576</v>
      </c>
      <c r="H162" s="6"/>
      <c r="I162" s="6">
        <f>+G162*D162</f>
        <v>0</v>
      </c>
      <c r="J162" s="6"/>
      <c r="K162" s="62"/>
    </row>
    <row r="163" spans="1:11">
      <c r="A163" s="27">
        <v>14</v>
      </c>
      <c r="B163" s="21" t="s">
        <v>87</v>
      </c>
      <c r="C163" s="6"/>
      <c r="D163" s="63">
        <v>0</v>
      </c>
      <c r="E163" s="6"/>
      <c r="F163" s="6" t="str">
        <f>+F162</f>
        <v>W/S</v>
      </c>
      <c r="G163" s="34">
        <f>+G162</f>
        <v>0.60683985878462576</v>
      </c>
      <c r="H163" s="6"/>
      <c r="I163" s="6">
        <f>+G163*D163</f>
        <v>0</v>
      </c>
      <c r="J163" s="6"/>
      <c r="K163" s="62"/>
    </row>
    <row r="164" spans="1:11">
      <c r="A164" s="27">
        <v>15</v>
      </c>
      <c r="B164" s="21" t="s">
        <v>88</v>
      </c>
      <c r="C164" s="6"/>
      <c r="E164" s="6"/>
      <c r="F164" s="6"/>
      <c r="H164" s="6"/>
      <c r="J164" s="6"/>
      <c r="K164" s="62"/>
    </row>
    <row r="165" spans="1:11">
      <c r="A165" s="27">
        <v>16</v>
      </c>
      <c r="B165" s="21" t="s">
        <v>89</v>
      </c>
      <c r="C165" s="6"/>
      <c r="D165" s="63">
        <f>691053.83+596709+73811.5</f>
        <v>1361574.33</v>
      </c>
      <c r="E165" s="6"/>
      <c r="F165" s="6" t="s">
        <v>77</v>
      </c>
      <c r="G165" s="34">
        <f>+G87</f>
        <v>0.35287700409119915</v>
      </c>
      <c r="H165" s="6"/>
      <c r="I165" s="6">
        <f>+G165*D165</f>
        <v>480468.27041788178</v>
      </c>
      <c r="J165" s="6"/>
      <c r="K165" s="62"/>
    </row>
    <row r="166" spans="1:11">
      <c r="A166" s="27">
        <v>17</v>
      </c>
      <c r="B166" s="21" t="s">
        <v>90</v>
      </c>
      <c r="C166" s="6"/>
      <c r="D166" s="63">
        <v>0</v>
      </c>
      <c r="E166" s="6"/>
      <c r="F166" s="6"/>
      <c r="G166" s="68" t="s">
        <v>176</v>
      </c>
      <c r="H166" s="6"/>
      <c r="I166" s="6">
        <v>0</v>
      </c>
      <c r="J166" s="6"/>
      <c r="K166" s="62"/>
    </row>
    <row r="167" spans="1:11">
      <c r="A167" s="27">
        <v>18</v>
      </c>
      <c r="B167" s="21" t="s">
        <v>91</v>
      </c>
      <c r="C167" s="6"/>
      <c r="D167" s="63">
        <v>0</v>
      </c>
      <c r="E167" s="6"/>
      <c r="F167" s="6" t="str">
        <f>+F165</f>
        <v>GP</v>
      </c>
      <c r="G167" s="34">
        <f>+G165</f>
        <v>0.35287700409119915</v>
      </c>
      <c r="H167" s="6"/>
      <c r="I167" s="6">
        <f>+G167*D167</f>
        <v>0</v>
      </c>
      <c r="J167" s="6"/>
      <c r="K167" s="62"/>
    </row>
    <row r="168" spans="1:11" ht="16.2" thickBot="1">
      <c r="A168" s="27">
        <v>19</v>
      </c>
      <c r="B168" s="21" t="s">
        <v>92</v>
      </c>
      <c r="C168" s="6"/>
      <c r="D168" s="61">
        <v>0</v>
      </c>
      <c r="E168" s="6"/>
      <c r="F168" s="6" t="s">
        <v>77</v>
      </c>
      <c r="G168" s="34">
        <f>+G167</f>
        <v>0.35287700409119915</v>
      </c>
      <c r="H168" s="6"/>
      <c r="I168" s="36">
        <f>+G168*D168</f>
        <v>0</v>
      </c>
      <c r="J168" s="6"/>
      <c r="K168" s="62"/>
    </row>
    <row r="169" spans="1:11">
      <c r="A169" s="27">
        <v>20</v>
      </c>
      <c r="B169" s="21" t="s">
        <v>244</v>
      </c>
      <c r="C169" s="6"/>
      <c r="D169" s="6">
        <f>SUM(D162:D168)</f>
        <v>1361574.33</v>
      </c>
      <c r="E169" s="6"/>
      <c r="F169" s="6"/>
      <c r="G169" s="34"/>
      <c r="H169" s="6"/>
      <c r="I169" s="6">
        <f>SUM(I162:I168)</f>
        <v>480468.27041788178</v>
      </c>
      <c r="J169" s="6"/>
      <c r="K169" s="6"/>
    </row>
    <row r="170" spans="1:11">
      <c r="A170" s="27"/>
      <c r="B170" s="21"/>
      <c r="C170" s="6"/>
      <c r="D170" s="6"/>
      <c r="E170" s="6"/>
      <c r="F170" s="6"/>
      <c r="G170" s="34"/>
      <c r="H170" s="6"/>
      <c r="I170" s="6"/>
      <c r="J170" s="6"/>
      <c r="K170" s="6"/>
    </row>
    <row r="171" spans="1:11">
      <c r="A171" s="27"/>
      <c r="B171" s="21" t="s">
        <v>93</v>
      </c>
      <c r="C171" s="69" t="s">
        <v>94</v>
      </c>
      <c r="D171" s="6"/>
      <c r="E171" s="6"/>
      <c r="F171" s="6" t="s">
        <v>55</v>
      </c>
      <c r="G171" s="70"/>
      <c r="H171" s="6"/>
      <c r="I171" s="6"/>
      <c r="J171" s="6"/>
    </row>
    <row r="172" spans="1:11">
      <c r="A172" s="27">
        <v>21</v>
      </c>
      <c r="B172" s="71" t="s">
        <v>95</v>
      </c>
      <c r="C172" s="6"/>
      <c r="D172" s="72">
        <f>IF(D289&gt;0,1-(((1-D290)*(1-D289))/(1-D290*D289*D291)),0)</f>
        <v>0</v>
      </c>
      <c r="E172" s="6"/>
      <c r="G172" s="70"/>
      <c r="H172" s="6"/>
      <c r="J172" s="6"/>
    </row>
    <row r="173" spans="1:11">
      <c r="A173" s="27">
        <v>22</v>
      </c>
      <c r="B173" s="19" t="s">
        <v>96</v>
      </c>
      <c r="C173" s="6"/>
      <c r="D173" s="72">
        <f>IF(I246&gt;0,(D172/(1-D172))*(1-I244/I246),0)</f>
        <v>0</v>
      </c>
      <c r="E173" s="6"/>
      <c r="G173" s="70"/>
      <c r="H173" s="6"/>
      <c r="J173" s="6"/>
    </row>
    <row r="174" spans="1:11">
      <c r="A174" s="27"/>
      <c r="B174" s="21" t="s">
        <v>286</v>
      </c>
      <c r="C174" s="6"/>
      <c r="D174" s="6"/>
      <c r="E174" s="6"/>
      <c r="G174" s="70"/>
      <c r="H174" s="6"/>
      <c r="J174" s="6"/>
    </row>
    <row r="175" spans="1:11">
      <c r="A175" s="27"/>
      <c r="B175" s="21" t="s">
        <v>97</v>
      </c>
      <c r="C175" s="6"/>
      <c r="D175" s="6"/>
      <c r="E175" s="6"/>
      <c r="G175" s="70"/>
      <c r="H175" s="6"/>
      <c r="J175" s="6"/>
    </row>
    <row r="176" spans="1:11">
      <c r="A176" s="27">
        <v>23</v>
      </c>
      <c r="B176" s="71" t="s">
        <v>98</v>
      </c>
      <c r="C176" s="6"/>
      <c r="D176" s="73">
        <f>IF(D172&gt;0,1/(1-D172),0)</f>
        <v>0</v>
      </c>
      <c r="E176" s="6"/>
      <c r="G176" s="70"/>
      <c r="H176" s="6"/>
      <c r="J176" s="6"/>
    </row>
    <row r="177" spans="1:11">
      <c r="A177" s="27">
        <v>24</v>
      </c>
      <c r="B177" s="21" t="s">
        <v>193</v>
      </c>
      <c r="C177" s="6"/>
      <c r="D177" s="63">
        <v>0</v>
      </c>
      <c r="E177" s="6"/>
      <c r="G177" s="70"/>
      <c r="H177" s="6"/>
      <c r="J177" s="6"/>
    </row>
    <row r="178" spans="1:11">
      <c r="A178" s="27"/>
      <c r="B178" s="21"/>
      <c r="C178" s="6"/>
      <c r="D178" s="6"/>
      <c r="E178" s="6"/>
      <c r="G178" s="70"/>
      <c r="H178" s="6"/>
      <c r="J178" s="6"/>
    </row>
    <row r="179" spans="1:11">
      <c r="A179" s="27">
        <v>25</v>
      </c>
      <c r="B179" s="71" t="s">
        <v>99</v>
      </c>
      <c r="C179" s="69"/>
      <c r="D179" s="6">
        <f>D173*D183</f>
        <v>0</v>
      </c>
      <c r="E179" s="6"/>
      <c r="F179" s="6" t="s">
        <v>55</v>
      </c>
      <c r="G179" s="34"/>
      <c r="H179" s="6"/>
      <c r="I179" s="6">
        <f>D173*I183</f>
        <v>0</v>
      </c>
      <c r="J179" s="6"/>
    </row>
    <row r="180" spans="1:11" ht="16.2" thickBot="1">
      <c r="A180" s="27">
        <v>26</v>
      </c>
      <c r="B180" s="19" t="s">
        <v>100</v>
      </c>
      <c r="C180" s="69"/>
      <c r="D180" s="36">
        <f>D176*D177</f>
        <v>0</v>
      </c>
      <c r="E180" s="6"/>
      <c r="F180" s="19" t="s">
        <v>67</v>
      </c>
      <c r="G180" s="34">
        <f>G103</f>
        <v>0.44671868310006058</v>
      </c>
      <c r="H180" s="6"/>
      <c r="I180" s="36">
        <f>G180*D180</f>
        <v>0</v>
      </c>
      <c r="J180" s="6"/>
    </row>
    <row r="181" spans="1:11">
      <c r="A181" s="27">
        <v>27</v>
      </c>
      <c r="B181" s="71" t="s">
        <v>101</v>
      </c>
      <c r="C181" s="19" t="s">
        <v>102</v>
      </c>
      <c r="D181" s="74">
        <f>+D179+D180</f>
        <v>0</v>
      </c>
      <c r="E181" s="6"/>
      <c r="F181" s="6" t="s">
        <v>2</v>
      </c>
      <c r="G181" s="34" t="s">
        <v>2</v>
      </c>
      <c r="H181" s="6"/>
      <c r="I181" s="74">
        <f>+I179+I180</f>
        <v>0</v>
      </c>
      <c r="J181" s="6"/>
    </row>
    <row r="182" spans="1:11">
      <c r="A182" s="27"/>
      <c r="B182" s="21"/>
      <c r="C182" s="69"/>
      <c r="D182" s="6"/>
      <c r="E182" s="6"/>
      <c r="F182" s="6"/>
      <c r="G182" s="70"/>
      <c r="H182" s="6"/>
      <c r="I182" s="6"/>
      <c r="J182" s="6"/>
    </row>
    <row r="183" spans="1:11">
      <c r="A183" s="27">
        <v>28</v>
      </c>
      <c r="B183" s="21" t="s">
        <v>103</v>
      </c>
      <c r="C183" s="62"/>
      <c r="D183" s="6">
        <f>+$I246*D121</f>
        <v>24725991.550242346</v>
      </c>
      <c r="E183" s="6"/>
      <c r="F183" s="6" t="s">
        <v>55</v>
      </c>
      <c r="G183" s="70"/>
      <c r="H183" s="6"/>
      <c r="I183" s="6">
        <f>+$I246*I121</f>
        <v>11145889.831082532</v>
      </c>
      <c r="J183" s="6"/>
    </row>
    <row r="184" spans="1:11">
      <c r="A184" s="27"/>
      <c r="B184" s="71" t="s">
        <v>203</v>
      </c>
      <c r="D184" s="6"/>
      <c r="E184" s="6"/>
      <c r="F184" s="6"/>
      <c r="G184" s="70"/>
      <c r="H184" s="6"/>
      <c r="I184" s="6"/>
      <c r="J184" s="6"/>
      <c r="K184" s="62"/>
    </row>
    <row r="185" spans="1:11">
      <c r="A185" s="27"/>
      <c r="B185" s="21"/>
      <c r="D185" s="75"/>
      <c r="E185" s="6"/>
      <c r="F185" s="6"/>
      <c r="G185" s="70"/>
      <c r="H185" s="6"/>
      <c r="I185" s="75"/>
      <c r="J185" s="6"/>
      <c r="K185" s="62"/>
    </row>
    <row r="186" spans="1:11">
      <c r="A186" s="27">
        <v>29</v>
      </c>
      <c r="B186" s="21" t="s">
        <v>218</v>
      </c>
      <c r="C186" s="6"/>
      <c r="D186" s="75">
        <f>+D183+D181+D169+D158+D152</f>
        <v>54568445.880242348</v>
      </c>
      <c r="E186" s="6"/>
      <c r="F186" s="6"/>
      <c r="G186" s="6"/>
      <c r="H186" s="6"/>
      <c r="I186" s="75">
        <f>+I183+I181+I169+I158+I152</f>
        <v>36014715.043414831</v>
      </c>
      <c r="J186" s="23"/>
      <c r="K186" s="23"/>
    </row>
    <row r="187" spans="1:11">
      <c r="A187" s="27"/>
      <c r="B187" s="21"/>
      <c r="C187" s="6"/>
      <c r="D187" s="75"/>
      <c r="E187" s="6"/>
      <c r="F187" s="6"/>
      <c r="G187" s="6"/>
      <c r="H187" s="6"/>
      <c r="I187" s="75"/>
      <c r="J187" s="23"/>
      <c r="K187" s="23"/>
    </row>
    <row r="188" spans="1:11">
      <c r="A188" s="27">
        <v>30</v>
      </c>
      <c r="B188" s="21" t="s">
        <v>256</v>
      </c>
      <c r="C188" s="6"/>
      <c r="D188" s="75"/>
      <c r="E188" s="6"/>
      <c r="F188" s="6"/>
      <c r="G188" s="6"/>
      <c r="H188" s="6"/>
      <c r="I188" s="75"/>
      <c r="J188" s="23"/>
      <c r="K188" s="23"/>
    </row>
    <row r="189" spans="1:11">
      <c r="A189" s="27"/>
      <c r="B189" s="21" t="s">
        <v>257</v>
      </c>
      <c r="C189" s="6"/>
      <c r="D189" s="75"/>
      <c r="E189" s="6"/>
      <c r="F189" s="6"/>
      <c r="G189" s="6"/>
      <c r="H189" s="6"/>
      <c r="I189" s="75"/>
      <c r="J189" s="23"/>
      <c r="K189" s="23"/>
    </row>
    <row r="190" spans="1:11">
      <c r="A190" s="27"/>
      <c r="B190" s="258" t="s">
        <v>220</v>
      </c>
      <c r="C190" s="258"/>
      <c r="J190" s="23"/>
      <c r="K190" s="23"/>
    </row>
    <row r="191" spans="1:11">
      <c r="A191" s="27"/>
      <c r="B191" s="21" t="s">
        <v>219</v>
      </c>
      <c r="C191" s="6"/>
      <c r="D191" s="59">
        <v>0</v>
      </c>
      <c r="E191" s="6"/>
      <c r="F191" s="6"/>
      <c r="G191" s="6"/>
      <c r="H191" s="6"/>
      <c r="I191" s="59">
        <v>0</v>
      </c>
      <c r="J191" s="23"/>
      <c r="K191" s="23"/>
    </row>
    <row r="192" spans="1:11">
      <c r="A192" s="27"/>
      <c r="B192" s="21"/>
      <c r="C192" s="6"/>
      <c r="D192" s="75"/>
      <c r="E192" s="6"/>
      <c r="F192" s="6"/>
      <c r="G192" s="6"/>
      <c r="H192" s="6"/>
      <c r="I192" s="75"/>
      <c r="J192" s="23"/>
      <c r="K192" s="23"/>
    </row>
    <row r="193" spans="1:12" ht="17.25" customHeight="1">
      <c r="A193" s="27" t="s">
        <v>261</v>
      </c>
      <c r="B193" s="21" t="s">
        <v>262</v>
      </c>
      <c r="C193" s="6"/>
      <c r="D193" s="75"/>
      <c r="E193" s="6"/>
      <c r="F193" s="6"/>
      <c r="G193" s="6"/>
      <c r="H193" s="6"/>
      <c r="I193" s="75"/>
      <c r="J193" s="23"/>
      <c r="K193" s="23"/>
    </row>
    <row r="194" spans="1:12" ht="17.25" customHeight="1">
      <c r="A194" s="27"/>
      <c r="B194" s="76" t="s">
        <v>294</v>
      </c>
      <c r="C194" s="6"/>
      <c r="D194" s="75"/>
      <c r="E194" s="6"/>
      <c r="F194" s="6"/>
      <c r="G194" s="6"/>
      <c r="H194" s="6"/>
      <c r="I194" s="75"/>
      <c r="J194" s="23"/>
      <c r="K194" s="23"/>
    </row>
    <row r="195" spans="1:12" ht="16.5" customHeight="1">
      <c r="A195" s="27"/>
      <c r="B195" s="257" t="s">
        <v>220</v>
      </c>
      <c r="C195" s="257"/>
      <c r="J195" s="23"/>
      <c r="K195" s="23"/>
    </row>
    <row r="196" spans="1:12" ht="17.25" customHeight="1" thickBot="1">
      <c r="A196" s="27"/>
      <c r="B196" s="21" t="s">
        <v>263</v>
      </c>
      <c r="C196" s="6"/>
      <c r="D196" s="61">
        <v>0</v>
      </c>
      <c r="E196" s="6"/>
      <c r="F196" s="6"/>
      <c r="G196" s="6"/>
      <c r="H196" s="6"/>
      <c r="I196" s="61">
        <v>0</v>
      </c>
      <c r="J196" s="23"/>
      <c r="K196" s="23"/>
    </row>
    <row r="197" spans="1:12" ht="17.25" customHeight="1" thickBot="1">
      <c r="A197" s="77">
        <v>31</v>
      </c>
      <c r="B197" s="1" t="s">
        <v>196</v>
      </c>
      <c r="C197" s="8"/>
      <c r="D197" s="78">
        <f>D186-D191-D196</f>
        <v>54568445.880242348</v>
      </c>
      <c r="E197" s="8"/>
      <c r="F197" s="8"/>
      <c r="G197" s="8"/>
      <c r="H197" s="8"/>
      <c r="I197" s="78">
        <f>I186-I191-I196</f>
        <v>36014715.043414831</v>
      </c>
      <c r="J197" s="79"/>
      <c r="K197" s="8"/>
      <c r="L197" s="1"/>
    </row>
    <row r="198" spans="1:12" ht="16.2" thickTop="1">
      <c r="A198" s="27"/>
      <c r="B198" s="21" t="s">
        <v>264</v>
      </c>
      <c r="C198" s="6"/>
      <c r="D198" s="75"/>
      <c r="E198" s="6"/>
      <c r="F198" s="6"/>
      <c r="G198" s="6"/>
      <c r="H198" s="6"/>
      <c r="I198" s="75"/>
      <c r="J198" s="23"/>
      <c r="K198" s="23"/>
    </row>
    <row r="199" spans="1:12">
      <c r="A199" s="27"/>
      <c r="B199" s="21"/>
      <c r="C199" s="6"/>
      <c r="D199" s="75"/>
      <c r="E199" s="6"/>
      <c r="F199" s="6"/>
      <c r="G199" s="6"/>
      <c r="H199" s="6"/>
      <c r="I199" s="75"/>
      <c r="J199" s="23"/>
      <c r="K199" s="20" t="s">
        <v>301</v>
      </c>
    </row>
    <row r="200" spans="1:12">
      <c r="B200" s="21"/>
      <c r="C200" s="21"/>
      <c r="D200" s="22"/>
      <c r="E200" s="21"/>
      <c r="F200" s="21"/>
      <c r="G200" s="21"/>
      <c r="H200" s="23"/>
      <c r="I200" s="23"/>
      <c r="J200" s="254" t="s">
        <v>201</v>
      </c>
      <c r="K200" s="254"/>
    </row>
    <row r="201" spans="1:12">
      <c r="A201" s="27"/>
      <c r="J201" s="6"/>
      <c r="K201" s="6"/>
    </row>
    <row r="202" spans="1:12">
      <c r="A202" s="27"/>
      <c r="B202" s="21" t="str">
        <f>B4</f>
        <v xml:space="preserve">Formula Rate - Non-Levelized </v>
      </c>
      <c r="D202" s="19" t="str">
        <f>D4</f>
        <v xml:space="preserve">     Rate Formula Template</v>
      </c>
      <c r="J202" s="6"/>
      <c r="K202" s="20" t="str">
        <f>K4</f>
        <v>For the 12 months ended 12/31/_2016_</v>
      </c>
    </row>
    <row r="203" spans="1:12">
      <c r="A203" s="27"/>
      <c r="B203" s="21"/>
      <c r="D203" s="19" t="str">
        <f>D5</f>
        <v xml:space="preserve"> Utilizing RUS Form 12 Data</v>
      </c>
      <c r="J203" s="6"/>
      <c r="K203" s="6"/>
    </row>
    <row r="204" spans="1:12">
      <c r="A204" s="27"/>
      <c r="J204" s="6"/>
      <c r="K204" s="6"/>
    </row>
    <row r="205" spans="1:12">
      <c r="A205" s="27"/>
      <c r="D205" s="19" t="str">
        <f>D7</f>
        <v>Central Iowa Power Cooperative</v>
      </c>
      <c r="J205" s="6"/>
      <c r="K205" s="6"/>
    </row>
    <row r="206" spans="1:12">
      <c r="A206" s="27" t="s">
        <v>4</v>
      </c>
      <c r="C206" s="21"/>
      <c r="D206" s="21"/>
      <c r="E206" s="21"/>
      <c r="F206" s="21"/>
      <c r="G206" s="21"/>
      <c r="H206" s="21"/>
      <c r="I206" s="21"/>
      <c r="J206" s="21"/>
      <c r="K206" s="21"/>
    </row>
    <row r="207" spans="1:12" ht="16.2" thickBot="1">
      <c r="A207" s="30" t="s">
        <v>6</v>
      </c>
      <c r="C207" s="58" t="s">
        <v>104</v>
      </c>
      <c r="E207" s="23"/>
      <c r="F207" s="23"/>
      <c r="G207" s="23"/>
      <c r="H207" s="23"/>
      <c r="I207" s="23"/>
      <c r="J207" s="6"/>
      <c r="K207" s="6"/>
    </row>
    <row r="208" spans="1:12">
      <c r="A208" s="27"/>
      <c r="B208" s="21" t="s">
        <v>107</v>
      </c>
      <c r="C208" s="23"/>
      <c r="D208" s="23"/>
      <c r="E208" s="23"/>
      <c r="F208" s="23"/>
      <c r="G208" s="23"/>
      <c r="H208" s="23"/>
      <c r="I208" s="23"/>
      <c r="J208" s="6"/>
      <c r="K208" s="6"/>
    </row>
    <row r="209" spans="1:14">
      <c r="A209" s="27">
        <v>1</v>
      </c>
      <c r="B209" s="23" t="s">
        <v>222</v>
      </c>
      <c r="C209" s="23"/>
      <c r="D209" s="6"/>
      <c r="E209" s="6"/>
      <c r="F209" s="6"/>
      <c r="G209" s="6"/>
      <c r="H209" s="6"/>
      <c r="I209" s="6">
        <f>+D83</f>
        <v>254735343</v>
      </c>
      <c r="J209" s="6"/>
      <c r="K209" s="6"/>
    </row>
    <row r="210" spans="1:14">
      <c r="A210" s="27">
        <v>2</v>
      </c>
      <c r="B210" s="23" t="s">
        <v>221</v>
      </c>
      <c r="D210" s="13"/>
      <c r="I210" s="63">
        <v>0</v>
      </c>
      <c r="J210" s="6"/>
      <c r="K210" s="6"/>
    </row>
    <row r="211" spans="1:14" ht="16.2" thickBot="1">
      <c r="A211" s="27">
        <v>3</v>
      </c>
      <c r="B211" s="80" t="s">
        <v>245</v>
      </c>
      <c r="C211" s="80"/>
      <c r="D211" s="75"/>
      <c r="E211" s="6"/>
      <c r="F211" s="6"/>
      <c r="G211" s="81"/>
      <c r="H211" s="6"/>
      <c r="I211" s="61">
        <v>0</v>
      </c>
      <c r="J211" s="6"/>
      <c r="K211" s="6"/>
    </row>
    <row r="212" spans="1:14">
      <c r="A212" s="27">
        <v>4</v>
      </c>
      <c r="B212" s="23" t="s">
        <v>178</v>
      </c>
      <c r="C212" s="23"/>
      <c r="D212" s="6"/>
      <c r="E212" s="6"/>
      <c r="F212" s="6"/>
      <c r="G212" s="81"/>
      <c r="H212" s="6"/>
      <c r="I212" s="6">
        <f>I209-I210-I211</f>
        <v>254735343</v>
      </c>
      <c r="J212" s="6"/>
      <c r="K212" s="6"/>
      <c r="M212" s="82"/>
      <c r="N212" s="82"/>
    </row>
    <row r="213" spans="1:14" ht="9" customHeight="1">
      <c r="A213" s="27"/>
      <c r="C213" s="23"/>
      <c r="D213" s="6"/>
      <c r="E213" s="6"/>
      <c r="F213" s="6"/>
      <c r="G213" s="81"/>
      <c r="H213" s="6"/>
      <c r="J213" s="6"/>
      <c r="K213" s="6"/>
      <c r="M213" s="82"/>
      <c r="N213" s="82"/>
    </row>
    <row r="214" spans="1:14">
      <c r="A214" s="27">
        <v>5</v>
      </c>
      <c r="B214" s="23" t="s">
        <v>246</v>
      </c>
      <c r="C214" s="29"/>
      <c r="D214" s="83"/>
      <c r="E214" s="83"/>
      <c r="F214" s="83"/>
      <c r="G214" s="53"/>
      <c r="H214" s="6" t="s">
        <v>108</v>
      </c>
      <c r="I214" s="64">
        <f>IF(I209&gt;0,I212/I209,0)</f>
        <v>1</v>
      </c>
      <c r="J214" s="6"/>
      <c r="K214" s="6"/>
      <c r="M214" s="82"/>
      <c r="N214" s="82"/>
    </row>
    <row r="215" spans="1:14" ht="9" customHeight="1">
      <c r="J215" s="6"/>
      <c r="K215" s="6"/>
      <c r="M215" s="84"/>
      <c r="N215" s="84"/>
    </row>
    <row r="216" spans="1:14">
      <c r="B216" s="21" t="s">
        <v>105</v>
      </c>
      <c r="J216" s="6"/>
      <c r="K216" s="6"/>
      <c r="M216" s="253"/>
      <c r="N216" s="253"/>
    </row>
    <row r="217" spans="1:14" ht="9" customHeight="1">
      <c r="J217" s="6"/>
      <c r="K217" s="6"/>
      <c r="M217" s="84"/>
      <c r="N217" s="84"/>
    </row>
    <row r="218" spans="1:14">
      <c r="A218" s="27">
        <v>6</v>
      </c>
      <c r="B218" s="19" t="s">
        <v>223</v>
      </c>
      <c r="D218" s="23"/>
      <c r="E218" s="23"/>
      <c r="F218" s="23"/>
      <c r="G218" s="27"/>
      <c r="H218" s="23"/>
      <c r="I218" s="6">
        <f>+D144</f>
        <v>18516982</v>
      </c>
      <c r="J218" s="6"/>
      <c r="K218" s="6"/>
      <c r="M218" s="84"/>
      <c r="N218" s="84"/>
    </row>
    <row r="219" spans="1:14" ht="16.2" thickBot="1">
      <c r="A219" s="27">
        <v>7</v>
      </c>
      <c r="B219" s="80" t="s">
        <v>224</v>
      </c>
      <c r="C219" s="80"/>
      <c r="D219" s="75"/>
      <c r="E219" s="75"/>
      <c r="F219" s="6"/>
      <c r="G219" s="6"/>
      <c r="H219" s="6"/>
      <c r="I219" s="61">
        <v>935100</v>
      </c>
      <c r="J219" s="6"/>
      <c r="K219" s="6"/>
      <c r="M219" s="85"/>
      <c r="N219" s="85"/>
    </row>
    <row r="220" spans="1:14">
      <c r="A220" s="27">
        <v>8</v>
      </c>
      <c r="B220" s="23" t="s">
        <v>225</v>
      </c>
      <c r="C220" s="29"/>
      <c r="D220" s="83"/>
      <c r="E220" s="83"/>
      <c r="F220" s="83"/>
      <c r="G220" s="53"/>
      <c r="H220" s="83"/>
      <c r="I220" s="6">
        <f>+I218-I219</f>
        <v>17581882</v>
      </c>
      <c r="J220" s="6"/>
      <c r="K220" s="6"/>
      <c r="M220" s="85"/>
      <c r="N220" s="85"/>
    </row>
    <row r="221" spans="1:14">
      <c r="A221" s="27"/>
      <c r="B221" s="23"/>
      <c r="C221" s="23"/>
      <c r="D221" s="6"/>
      <c r="E221" s="6"/>
      <c r="F221" s="6"/>
      <c r="G221" s="6"/>
      <c r="J221" s="6"/>
      <c r="K221" s="6"/>
      <c r="M221" s="84"/>
      <c r="N221" s="84"/>
    </row>
    <row r="222" spans="1:14">
      <c r="A222" s="27">
        <v>9</v>
      </c>
      <c r="B222" s="23" t="s">
        <v>226</v>
      </c>
      <c r="C222" s="23"/>
      <c r="D222" s="6"/>
      <c r="E222" s="6"/>
      <c r="F222" s="6"/>
      <c r="G222" s="6"/>
      <c r="H222" s="6"/>
      <c r="I222" s="60">
        <f>IF(I218&gt;0,I220/I218,0)</f>
        <v>0.94950040994801421</v>
      </c>
      <c r="M222" s="84"/>
      <c r="N222" s="84"/>
    </row>
    <row r="223" spans="1:14">
      <c r="A223" s="27">
        <v>10</v>
      </c>
      <c r="B223" s="23" t="s">
        <v>227</v>
      </c>
      <c r="C223" s="23"/>
      <c r="D223" s="6"/>
      <c r="E223" s="6"/>
      <c r="F223" s="6"/>
      <c r="G223" s="6"/>
      <c r="H223" s="23" t="s">
        <v>12</v>
      </c>
      <c r="I223" s="86">
        <f>I214</f>
        <v>1</v>
      </c>
      <c r="M223" s="84"/>
      <c r="N223" s="84"/>
    </row>
    <row r="224" spans="1:14">
      <c r="A224" s="27">
        <v>11</v>
      </c>
      <c r="B224" s="23" t="s">
        <v>228</v>
      </c>
      <c r="C224" s="23"/>
      <c r="D224" s="23"/>
      <c r="E224" s="23"/>
      <c r="F224" s="23"/>
      <c r="G224" s="23"/>
      <c r="H224" s="23" t="s">
        <v>106</v>
      </c>
      <c r="I224" s="87">
        <f>+I223*I222</f>
        <v>0.94950040994801421</v>
      </c>
      <c r="M224" s="84"/>
      <c r="N224" s="84"/>
    </row>
    <row r="225" spans="1:14">
      <c r="M225" s="84"/>
      <c r="N225" s="84"/>
    </row>
    <row r="226" spans="1:14" ht="16.2" thickBot="1">
      <c r="A226" s="27" t="s">
        <v>2</v>
      </c>
      <c r="B226" s="21" t="s">
        <v>109</v>
      </c>
      <c r="C226" s="6"/>
      <c r="D226" s="88" t="s">
        <v>110</v>
      </c>
      <c r="E226" s="88" t="s">
        <v>12</v>
      </c>
      <c r="F226" s="6"/>
      <c r="G226" s="88" t="s">
        <v>111</v>
      </c>
      <c r="H226" s="6"/>
      <c r="I226" s="6"/>
      <c r="J226" s="6"/>
      <c r="K226" s="6"/>
      <c r="M226" s="84"/>
      <c r="N226" s="84"/>
    </row>
    <row r="227" spans="1:14">
      <c r="A227" s="27">
        <v>12</v>
      </c>
      <c r="B227" s="21" t="s">
        <v>53</v>
      </c>
      <c r="C227" s="6"/>
      <c r="D227" s="63">
        <v>855155.7</v>
      </c>
      <c r="E227" s="89">
        <v>0</v>
      </c>
      <c r="F227" s="89"/>
      <c r="G227" s="6">
        <f>D227*E227</f>
        <v>0</v>
      </c>
      <c r="H227" s="6"/>
      <c r="I227" s="6"/>
      <c r="J227" s="6"/>
      <c r="K227" s="6"/>
      <c r="M227" s="82"/>
      <c r="N227" s="82"/>
    </row>
    <row r="228" spans="1:14">
      <c r="A228" s="27">
        <v>13</v>
      </c>
      <c r="B228" s="21" t="s">
        <v>56</v>
      </c>
      <c r="C228" s="6"/>
      <c r="D228" s="63">
        <v>2881499.98</v>
      </c>
      <c r="E228" s="89">
        <f>+I223</f>
        <v>1</v>
      </c>
      <c r="F228" s="89"/>
      <c r="G228" s="6">
        <f>D228*E228</f>
        <v>2881499.98</v>
      </c>
      <c r="H228" s="6"/>
      <c r="I228" s="6"/>
      <c r="J228" s="6"/>
      <c r="K228" s="6"/>
    </row>
    <row r="229" spans="1:14">
      <c r="A229" s="27">
        <v>14</v>
      </c>
      <c r="B229" s="21" t="s">
        <v>58</v>
      </c>
      <c r="C229" s="6"/>
      <c r="D229" s="63">
        <v>0</v>
      </c>
      <c r="E229" s="89">
        <v>0</v>
      </c>
      <c r="F229" s="89"/>
      <c r="G229" s="6">
        <f>D229*E229</f>
        <v>0</v>
      </c>
      <c r="H229" s="6"/>
      <c r="I229" s="90" t="s">
        <v>112</v>
      </c>
      <c r="J229" s="6"/>
      <c r="K229" s="6"/>
    </row>
    <row r="230" spans="1:14" ht="16.2" thickBot="1">
      <c r="A230" s="27">
        <v>15</v>
      </c>
      <c r="B230" s="21" t="s">
        <v>113</v>
      </c>
      <c r="C230" s="6"/>
      <c r="D230" s="61">
        <v>1011713.99</v>
      </c>
      <c r="E230" s="89">
        <v>0</v>
      </c>
      <c r="F230" s="89"/>
      <c r="G230" s="36">
        <f>D230*E230</f>
        <v>0</v>
      </c>
      <c r="H230" s="6"/>
      <c r="I230" s="30" t="s">
        <v>114</v>
      </c>
      <c r="J230" s="6"/>
      <c r="K230" s="6"/>
    </row>
    <row r="231" spans="1:14">
      <c r="A231" s="27">
        <v>16</v>
      </c>
      <c r="B231" s="21" t="s">
        <v>174</v>
      </c>
      <c r="C231" s="6"/>
      <c r="D231" s="6">
        <f>SUM(D227:D230)</f>
        <v>4748369.67</v>
      </c>
      <c r="E231" s="6"/>
      <c r="F231" s="6"/>
      <c r="G231" s="6">
        <f>SUM(G227:G230)</f>
        <v>2881499.98</v>
      </c>
      <c r="H231" s="27" t="s">
        <v>115</v>
      </c>
      <c r="I231" s="60">
        <f>IF(G231&gt;0,G231/D231,0)</f>
        <v>0.60683985878462576</v>
      </c>
      <c r="J231" s="91" t="s">
        <v>287</v>
      </c>
      <c r="K231" s="6"/>
    </row>
    <row r="232" spans="1:14" ht="9" customHeight="1">
      <c r="A232" s="27" t="s">
        <v>2</v>
      </c>
      <c r="B232" s="21" t="s">
        <v>2</v>
      </c>
      <c r="C232" s="6" t="s">
        <v>2</v>
      </c>
      <c r="E232" s="6"/>
      <c r="F232" s="6"/>
      <c r="K232" s="6"/>
    </row>
    <row r="233" spans="1:14">
      <c r="A233" s="27"/>
      <c r="B233" s="21" t="s">
        <v>229</v>
      </c>
      <c r="C233" s="6"/>
      <c r="D233" s="54" t="s">
        <v>110</v>
      </c>
      <c r="E233" s="6"/>
      <c r="F233" s="6"/>
      <c r="G233" s="81" t="s">
        <v>116</v>
      </c>
      <c r="H233" s="70" t="s">
        <v>2</v>
      </c>
      <c r="I233" s="62" t="s">
        <v>117</v>
      </c>
      <c r="J233" s="6"/>
      <c r="K233" s="6"/>
    </row>
    <row r="234" spans="1:14">
      <c r="A234" s="27">
        <v>17</v>
      </c>
      <c r="B234" s="21" t="s">
        <v>118</v>
      </c>
      <c r="C234" s="6"/>
      <c r="D234" s="63">
        <v>0</v>
      </c>
      <c r="E234" s="6"/>
      <c r="G234" s="27" t="s">
        <v>119</v>
      </c>
      <c r="H234" s="70"/>
      <c r="I234" s="27" t="s">
        <v>120</v>
      </c>
      <c r="J234" s="6"/>
      <c r="K234" s="27" t="s">
        <v>62</v>
      </c>
    </row>
    <row r="235" spans="1:14">
      <c r="A235" s="27">
        <v>18</v>
      </c>
      <c r="B235" s="21" t="s">
        <v>121</v>
      </c>
      <c r="C235" s="6"/>
      <c r="D235" s="63">
        <v>0</v>
      </c>
      <c r="E235" s="6"/>
      <c r="G235" s="34">
        <f>IF(D237&gt;0,D234/D237,0)</f>
        <v>0</v>
      </c>
      <c r="H235" s="81" t="s">
        <v>122</v>
      </c>
      <c r="I235" s="34">
        <f>I231</f>
        <v>0.60683985878462576</v>
      </c>
      <c r="J235" s="70" t="s">
        <v>115</v>
      </c>
      <c r="K235" s="34">
        <f>I235*G235</f>
        <v>0</v>
      </c>
    </row>
    <row r="236" spans="1:14" ht="16.2" thickBot="1">
      <c r="A236" s="27">
        <v>19</v>
      </c>
      <c r="B236" s="92" t="s">
        <v>123</v>
      </c>
      <c r="C236" s="36"/>
      <c r="D236" s="61">
        <v>0</v>
      </c>
      <c r="E236" s="6"/>
      <c r="F236" s="6"/>
      <c r="G236" s="6" t="s">
        <v>2</v>
      </c>
      <c r="H236" s="6"/>
      <c r="I236" s="6"/>
      <c r="J236" s="6"/>
      <c r="K236" s="6"/>
    </row>
    <row r="237" spans="1:14">
      <c r="A237" s="27">
        <v>20</v>
      </c>
      <c r="B237" s="21" t="s">
        <v>230</v>
      </c>
      <c r="C237" s="6"/>
      <c r="D237" s="6">
        <f>D234+D235+D236</f>
        <v>0</v>
      </c>
      <c r="E237" s="6"/>
      <c r="F237" s="6"/>
      <c r="G237" s="6"/>
      <c r="H237" s="6"/>
      <c r="I237" s="6"/>
      <c r="J237" s="6"/>
      <c r="K237" s="6"/>
    </row>
    <row r="238" spans="1:14" ht="9" customHeight="1">
      <c r="A238" s="27"/>
      <c r="B238" s="21" t="s">
        <v>2</v>
      </c>
      <c r="C238" s="6"/>
      <c r="E238" s="6"/>
      <c r="F238" s="6"/>
      <c r="G238" s="6"/>
      <c r="H238" s="6"/>
      <c r="I238" s="6" t="s">
        <v>2</v>
      </c>
      <c r="J238" s="6" t="s">
        <v>2</v>
      </c>
      <c r="K238" s="6"/>
    </row>
    <row r="239" spans="1:14" ht="16.2" thickBot="1">
      <c r="A239" s="27"/>
      <c r="B239" s="21" t="s">
        <v>124</v>
      </c>
      <c r="C239" s="6"/>
      <c r="D239" s="88" t="s">
        <v>110</v>
      </c>
      <c r="E239" s="6"/>
      <c r="F239" s="6"/>
      <c r="G239" s="6"/>
      <c r="H239" s="6"/>
      <c r="J239" s="6"/>
      <c r="K239" s="6"/>
    </row>
    <row r="240" spans="1:14">
      <c r="A240" s="27">
        <v>21</v>
      </c>
      <c r="B240" s="6" t="s">
        <v>278</v>
      </c>
      <c r="C240" s="23"/>
      <c r="D240" s="93">
        <v>15347106</v>
      </c>
      <c r="E240" s="6"/>
      <c r="F240" s="6"/>
      <c r="G240" s="6"/>
      <c r="H240" s="6"/>
      <c r="I240" s="6"/>
      <c r="J240" s="6"/>
      <c r="K240" s="6"/>
    </row>
    <row r="241" spans="1:18" ht="9" customHeight="1">
      <c r="A241" s="27"/>
      <c r="B241" s="21"/>
      <c r="C241" s="6"/>
      <c r="D241" s="6"/>
      <c r="E241" s="6"/>
      <c r="F241" s="6"/>
      <c r="G241" s="6"/>
      <c r="H241" s="6"/>
      <c r="I241" s="6"/>
      <c r="J241" s="6"/>
      <c r="K241" s="6"/>
    </row>
    <row r="242" spans="1:18">
      <c r="A242" s="27"/>
      <c r="B242" s="21"/>
      <c r="C242" s="6"/>
      <c r="D242" s="6"/>
      <c r="E242" s="6"/>
      <c r="F242" s="6"/>
      <c r="G242" s="81" t="s">
        <v>125</v>
      </c>
      <c r="H242" s="6"/>
      <c r="I242" s="6"/>
      <c r="J242" s="6"/>
      <c r="K242" s="6"/>
    </row>
    <row r="243" spans="1:18" ht="16.2" thickBot="1">
      <c r="A243" s="27"/>
      <c r="B243" s="21"/>
      <c r="C243" s="23"/>
      <c r="D243" s="30" t="s">
        <v>110</v>
      </c>
      <c r="E243" s="30" t="s">
        <v>126</v>
      </c>
      <c r="F243" s="6"/>
      <c r="G243" s="30" t="s">
        <v>127</v>
      </c>
      <c r="H243" s="6"/>
      <c r="I243" s="30" t="s">
        <v>128</v>
      </c>
      <c r="J243" s="6"/>
      <c r="K243" s="6"/>
    </row>
    <row r="244" spans="1:18">
      <c r="A244" s="27">
        <v>22</v>
      </c>
      <c r="B244" s="21" t="s">
        <v>129</v>
      </c>
      <c r="C244" s="23" t="s">
        <v>280</v>
      </c>
      <c r="D244" s="63">
        <f>330542467+22654174+752723</f>
        <v>353949364</v>
      </c>
      <c r="E244" s="94">
        <f>IF($D$246&gt;0,D244/$D$246,0)</f>
        <v>0.61205409708175196</v>
      </c>
      <c r="F244" s="95"/>
      <c r="G244" s="95">
        <f>IF(D240&gt;0,D240/D244,0)</f>
        <v>4.3359608918523161E-2</v>
      </c>
      <c r="I244" s="95">
        <f>G244*E244</f>
        <v>2.6538426286444573E-2</v>
      </c>
      <c r="J244" s="91" t="s">
        <v>130</v>
      </c>
    </row>
    <row r="245" spans="1:18" ht="16.2" thickBot="1">
      <c r="A245" s="27">
        <v>23</v>
      </c>
      <c r="B245" s="21" t="s">
        <v>131</v>
      </c>
      <c r="C245" s="23" t="s">
        <v>279</v>
      </c>
      <c r="D245" s="61">
        <v>224348152</v>
      </c>
      <c r="E245" s="96">
        <f>IF($D$246&gt;0,D245/$D$246,0)</f>
        <v>0.38794590291824804</v>
      </c>
      <c r="F245" s="95"/>
      <c r="G245" s="95">
        <f>I248</f>
        <v>0.1032</v>
      </c>
      <c r="I245" s="97">
        <f>G245*E245</f>
        <v>4.0036017181163196E-2</v>
      </c>
      <c r="J245" s="6"/>
    </row>
    <row r="246" spans="1:18">
      <c r="A246" s="27">
        <v>24</v>
      </c>
      <c r="B246" s="21" t="s">
        <v>231</v>
      </c>
      <c r="C246" s="23"/>
      <c r="D246" s="6">
        <f>SUM(D244:D245)</f>
        <v>578297516</v>
      </c>
      <c r="E246" s="94">
        <f>IF($D$246&gt;0,D246/$D$246,0)</f>
        <v>1</v>
      </c>
      <c r="F246" s="95"/>
      <c r="G246" s="95"/>
      <c r="I246" s="95">
        <f>SUM(I244:I245)</f>
        <v>6.6574443467607769E-2</v>
      </c>
      <c r="J246" s="91" t="s">
        <v>132</v>
      </c>
    </row>
    <row r="247" spans="1:18" ht="15" customHeight="1">
      <c r="A247" s="27" t="s">
        <v>2</v>
      </c>
      <c r="B247" s="21"/>
      <c r="D247" s="6"/>
      <c r="E247" s="6" t="s">
        <v>2</v>
      </c>
      <c r="F247" s="6"/>
      <c r="G247" s="6"/>
      <c r="H247" s="6"/>
      <c r="I247" s="95"/>
      <c r="N247" s="9"/>
      <c r="O247" s="10"/>
      <c r="P247" s="10"/>
      <c r="Q247" s="10"/>
      <c r="R247" s="11"/>
    </row>
    <row r="248" spans="1:18">
      <c r="A248" s="27">
        <v>25</v>
      </c>
      <c r="E248" s="6"/>
      <c r="F248" s="6"/>
      <c r="G248" s="67" t="s">
        <v>198</v>
      </c>
      <c r="H248" s="6"/>
      <c r="I248" s="98">
        <f>R249+R250</f>
        <v>0.1032</v>
      </c>
      <c r="N248" s="12" t="s">
        <v>316</v>
      </c>
      <c r="O248" s="13"/>
      <c r="P248" s="13"/>
      <c r="Q248" s="13"/>
      <c r="R248" s="14"/>
    </row>
    <row r="249" spans="1:18">
      <c r="A249" s="27">
        <v>26</v>
      </c>
      <c r="G249" s="20" t="s">
        <v>199</v>
      </c>
      <c r="I249" s="89">
        <f>IF(I246&gt;0,G244/I246,0)</f>
        <v>0.6512951015447852</v>
      </c>
      <c r="K249" s="6"/>
      <c r="N249" s="12" t="s">
        <v>317</v>
      </c>
      <c r="O249" s="13"/>
      <c r="P249" s="13"/>
      <c r="Q249" s="13"/>
      <c r="R249" s="15">
        <v>0.1032</v>
      </c>
    </row>
    <row r="250" spans="1:18">
      <c r="A250" s="27"/>
      <c r="B250" s="21" t="s">
        <v>133</v>
      </c>
      <c r="C250" s="23"/>
      <c r="D250" s="23"/>
      <c r="E250" s="23"/>
      <c r="F250" s="23"/>
      <c r="G250" s="23"/>
      <c r="H250" s="23"/>
      <c r="I250" s="23"/>
      <c r="J250" s="23"/>
      <c r="K250" s="23"/>
      <c r="N250" s="12" t="s">
        <v>318</v>
      </c>
      <c r="O250" s="13"/>
      <c r="P250" s="13"/>
      <c r="Q250" s="13"/>
      <c r="R250" s="15">
        <v>0</v>
      </c>
    </row>
    <row r="251" spans="1:18" ht="16.2" thickBot="1">
      <c r="A251" s="27"/>
      <c r="B251" s="21"/>
      <c r="C251" s="21"/>
      <c r="D251" s="21"/>
      <c r="E251" s="21"/>
      <c r="F251" s="21"/>
      <c r="G251" s="21"/>
      <c r="H251" s="21"/>
      <c r="I251" s="30" t="s">
        <v>134</v>
      </c>
      <c r="J251" s="81"/>
      <c r="K251" s="81"/>
      <c r="N251" s="16"/>
      <c r="O251" s="17"/>
      <c r="P251" s="17"/>
      <c r="Q251" s="17"/>
      <c r="R251" s="18"/>
    </row>
    <row r="252" spans="1:18">
      <c r="A252" s="27"/>
      <c r="B252" s="21" t="s">
        <v>232</v>
      </c>
      <c r="C252" s="23"/>
      <c r="D252" s="23"/>
      <c r="E252" s="23"/>
      <c r="F252" s="23"/>
      <c r="G252" s="99" t="s">
        <v>2</v>
      </c>
      <c r="H252" s="100"/>
      <c r="I252" s="1"/>
      <c r="J252" s="81"/>
      <c r="K252" s="81"/>
    </row>
    <row r="253" spans="1:18">
      <c r="A253" s="27">
        <v>27</v>
      </c>
      <c r="B253" s="19" t="s">
        <v>135</v>
      </c>
      <c r="C253" s="23"/>
      <c r="D253" s="23"/>
      <c r="E253" s="23" t="s">
        <v>136</v>
      </c>
      <c r="F253" s="23"/>
      <c r="H253" s="100"/>
      <c r="I253" s="63">
        <v>0</v>
      </c>
      <c r="J253" s="81"/>
      <c r="K253" s="81"/>
    </row>
    <row r="254" spans="1:18" ht="16.2" thickBot="1">
      <c r="A254" s="27">
        <v>28</v>
      </c>
      <c r="B254" s="65" t="s">
        <v>171</v>
      </c>
      <c r="C254" s="80"/>
      <c r="D254" s="13"/>
      <c r="E254" s="101"/>
      <c r="F254" s="101"/>
      <c r="G254" s="101"/>
      <c r="H254" s="23"/>
      <c r="I254" s="61">
        <v>0</v>
      </c>
      <c r="J254" s="81"/>
      <c r="K254" s="81"/>
    </row>
    <row r="255" spans="1:18">
      <c r="A255" s="27">
        <v>29</v>
      </c>
      <c r="B255" s="19" t="s">
        <v>137</v>
      </c>
      <c r="C255" s="23"/>
      <c r="E255" s="23"/>
      <c r="F255" s="23"/>
      <c r="G255" s="23"/>
      <c r="H255" s="23"/>
      <c r="I255" s="63">
        <f>+I253-I254</f>
        <v>0</v>
      </c>
      <c r="J255" s="81"/>
      <c r="K255" s="81"/>
    </row>
    <row r="256" spans="1:18" ht="9" customHeight="1">
      <c r="A256" s="27"/>
      <c r="C256" s="23"/>
      <c r="E256" s="23"/>
      <c r="F256" s="23"/>
      <c r="G256" s="23"/>
      <c r="H256" s="23"/>
      <c r="I256" s="2"/>
      <c r="J256" s="81"/>
      <c r="K256" s="81"/>
    </row>
    <row r="257" spans="1:11">
      <c r="A257" s="27">
        <v>30</v>
      </c>
      <c r="B257" s="21" t="s">
        <v>233</v>
      </c>
      <c r="C257" s="23"/>
      <c r="E257" s="23"/>
      <c r="F257" s="23"/>
      <c r="G257" s="49"/>
      <c r="H257" s="23"/>
      <c r="I257" s="4">
        <v>46300.72</v>
      </c>
      <c r="J257" s="1"/>
      <c r="K257" s="3"/>
    </row>
    <row r="258" spans="1:11" ht="9" customHeight="1">
      <c r="A258" s="27"/>
      <c r="C258" s="23"/>
      <c r="D258" s="23"/>
      <c r="E258" s="23"/>
      <c r="F258" s="23"/>
      <c r="G258" s="23"/>
      <c r="H258" s="23"/>
      <c r="I258" s="2"/>
      <c r="J258" s="1"/>
      <c r="K258" s="3"/>
    </row>
    <row r="259" spans="1:11">
      <c r="B259" s="21" t="s">
        <v>138</v>
      </c>
      <c r="C259" s="23"/>
      <c r="D259" s="23"/>
      <c r="E259" s="23"/>
      <c r="F259" s="23"/>
      <c r="G259" s="23"/>
      <c r="H259" s="23"/>
      <c r="K259" s="5"/>
    </row>
    <row r="260" spans="1:11">
      <c r="A260" s="27">
        <v>31</v>
      </c>
      <c r="B260" s="21" t="s">
        <v>139</v>
      </c>
      <c r="C260" s="6"/>
      <c r="D260" s="6"/>
      <c r="E260" s="6"/>
      <c r="F260" s="6"/>
      <c r="G260" s="6"/>
      <c r="H260" s="6"/>
      <c r="I260" s="102">
        <v>7549826.6500000004</v>
      </c>
      <c r="J260" s="6"/>
      <c r="K260" s="81"/>
    </row>
    <row r="261" spans="1:11">
      <c r="A261" s="27">
        <v>32</v>
      </c>
      <c r="B261" s="103" t="s">
        <v>172</v>
      </c>
      <c r="C261" s="101"/>
      <c r="D261" s="101"/>
      <c r="E261" s="101"/>
      <c r="F261" s="101"/>
      <c r="G261" s="23"/>
      <c r="H261" s="23"/>
      <c r="I261" s="102">
        <f>I260-245200.75</f>
        <v>7304625.9000000004</v>
      </c>
      <c r="K261" s="81"/>
    </row>
    <row r="262" spans="1:11">
      <c r="A262" s="27" t="s">
        <v>197</v>
      </c>
      <c r="B262" s="104" t="s">
        <v>295</v>
      </c>
      <c r="C262" s="105"/>
      <c r="D262" s="101"/>
      <c r="E262" s="101"/>
      <c r="F262" s="101"/>
      <c r="G262" s="23"/>
      <c r="H262" s="23"/>
      <c r="I262" s="102">
        <v>0</v>
      </c>
      <c r="K262" s="81"/>
    </row>
    <row r="263" spans="1:11" ht="16.2" thickBot="1">
      <c r="A263" s="27" t="s">
        <v>266</v>
      </c>
      <c r="B263" s="106" t="s">
        <v>296</v>
      </c>
      <c r="C263" s="107"/>
      <c r="D263" s="101"/>
      <c r="E263" s="101"/>
      <c r="F263" s="101"/>
      <c r="G263" s="23"/>
      <c r="H263" s="23"/>
      <c r="I263" s="108">
        <v>0</v>
      </c>
      <c r="K263" s="81"/>
    </row>
    <row r="264" spans="1:11">
      <c r="A264" s="27">
        <v>33</v>
      </c>
      <c r="B264" s="19" t="s">
        <v>265</v>
      </c>
      <c r="C264" s="27"/>
      <c r="D264" s="6"/>
      <c r="E264" s="6"/>
      <c r="F264" s="6"/>
      <c r="G264" s="6"/>
      <c r="H264" s="23"/>
      <c r="I264" s="7">
        <f>+I260-I261-I262-I263</f>
        <v>245200.75</v>
      </c>
      <c r="J264" s="6"/>
      <c r="K264" s="8"/>
    </row>
    <row r="265" spans="1:11">
      <c r="A265" s="27"/>
    </row>
    <row r="266" spans="1:11">
      <c r="A266" s="27"/>
    </row>
    <row r="267" spans="1:11">
      <c r="A267" s="27"/>
    </row>
    <row r="268" spans="1:11">
      <c r="A268" s="27"/>
      <c r="K268" s="20" t="s">
        <v>301</v>
      </c>
    </row>
    <row r="269" spans="1:11">
      <c r="B269" s="21"/>
      <c r="C269" s="21"/>
      <c r="D269" s="22"/>
      <c r="E269" s="21"/>
      <c r="F269" s="21"/>
      <c r="G269" s="21"/>
      <c r="H269" s="23"/>
      <c r="I269" s="23"/>
      <c r="J269" s="254" t="s">
        <v>202</v>
      </c>
      <c r="K269" s="254"/>
    </row>
    <row r="270" spans="1:11">
      <c r="A270" s="27"/>
      <c r="B270" s="109" t="str">
        <f>B4</f>
        <v xml:space="preserve">Formula Rate - Non-Levelized </v>
      </c>
      <c r="C270" s="27"/>
      <c r="D270" s="6" t="str">
        <f>D4</f>
        <v xml:space="preserve">     Rate Formula Template</v>
      </c>
      <c r="E270" s="6"/>
      <c r="F270" s="6"/>
      <c r="G270" s="6"/>
      <c r="H270" s="23"/>
      <c r="J270" s="1"/>
      <c r="K270" s="110" t="str">
        <f>K4</f>
        <v>For the 12 months ended 12/31/_2016_</v>
      </c>
    </row>
    <row r="271" spans="1:11">
      <c r="A271" s="27"/>
      <c r="B271" s="109"/>
      <c r="C271" s="27"/>
      <c r="D271" s="6" t="str">
        <f>D5</f>
        <v xml:space="preserve"> Utilizing RUS Form 12 Data</v>
      </c>
      <c r="E271" s="6"/>
      <c r="F271" s="6"/>
      <c r="G271" s="6"/>
      <c r="H271" s="23"/>
      <c r="I271" s="111"/>
      <c r="J271" s="1"/>
      <c r="K271" s="8"/>
    </row>
    <row r="272" spans="1:11">
      <c r="A272" s="27"/>
      <c r="B272" s="109"/>
      <c r="C272" s="27"/>
      <c r="D272" s="6"/>
      <c r="E272" s="6"/>
      <c r="F272" s="6"/>
      <c r="G272" s="6"/>
      <c r="H272" s="23"/>
      <c r="I272" s="111"/>
      <c r="J272" s="1"/>
      <c r="K272" s="8"/>
    </row>
    <row r="273" spans="1:11">
      <c r="A273" s="27"/>
      <c r="B273" s="109"/>
      <c r="C273" s="27"/>
      <c r="D273" s="6" t="str">
        <f>D7</f>
        <v>Central Iowa Power Cooperative</v>
      </c>
      <c r="E273" s="6"/>
      <c r="F273" s="6"/>
      <c r="G273" s="6"/>
      <c r="H273" s="23"/>
      <c r="I273" s="111"/>
      <c r="J273" s="1"/>
      <c r="K273" s="8"/>
    </row>
    <row r="274" spans="1:11">
      <c r="B274" s="21" t="s">
        <v>140</v>
      </c>
      <c r="C274" s="27"/>
      <c r="D274" s="6"/>
      <c r="E274" s="6"/>
      <c r="F274" s="6"/>
      <c r="G274" s="6"/>
      <c r="H274" s="23"/>
      <c r="I274" s="6"/>
      <c r="J274" s="23"/>
      <c r="K274" s="6"/>
    </row>
    <row r="275" spans="1:11">
      <c r="A275" s="27"/>
      <c r="B275" s="112" t="s">
        <v>206</v>
      </c>
      <c r="C275" s="27"/>
      <c r="D275" s="6"/>
      <c r="E275" s="6"/>
      <c r="F275" s="6"/>
      <c r="G275" s="6"/>
      <c r="H275" s="23"/>
      <c r="I275" s="6"/>
      <c r="J275" s="23"/>
      <c r="K275" s="6"/>
    </row>
    <row r="276" spans="1:11">
      <c r="A276" s="27" t="s">
        <v>141</v>
      </c>
      <c r="B276" s="112" t="s">
        <v>207</v>
      </c>
      <c r="C276" s="27"/>
      <c r="D276" s="6"/>
      <c r="E276" s="6"/>
      <c r="F276" s="6"/>
      <c r="G276" s="6"/>
      <c r="H276" s="23"/>
      <c r="I276" s="6"/>
      <c r="J276" s="23"/>
      <c r="K276" s="6"/>
    </row>
    <row r="277" spans="1:11" ht="16.2" thickBot="1">
      <c r="A277" s="30" t="s">
        <v>142</v>
      </c>
      <c r="B277" s="112"/>
      <c r="C277" s="27"/>
      <c r="D277" s="6"/>
      <c r="E277" s="6"/>
      <c r="F277" s="6"/>
      <c r="G277" s="6"/>
      <c r="H277" s="23"/>
      <c r="I277" s="6"/>
      <c r="J277" s="23"/>
      <c r="K277" s="6"/>
    </row>
    <row r="278" spans="1:11" ht="32.25" customHeight="1">
      <c r="A278" s="113" t="s">
        <v>143</v>
      </c>
      <c r="B278" s="256" t="s">
        <v>258</v>
      </c>
      <c r="C278" s="256"/>
      <c r="D278" s="256"/>
      <c r="E278" s="256"/>
      <c r="F278" s="256"/>
      <c r="G278" s="256"/>
      <c r="H278" s="256"/>
      <c r="I278" s="256"/>
      <c r="J278" s="256"/>
      <c r="K278" s="256"/>
    </row>
    <row r="279" spans="1:11" ht="63" customHeight="1">
      <c r="A279" s="113" t="s">
        <v>144</v>
      </c>
      <c r="B279" s="256" t="s">
        <v>259</v>
      </c>
      <c r="C279" s="256"/>
      <c r="D279" s="256"/>
      <c r="E279" s="256"/>
      <c r="F279" s="256"/>
      <c r="G279" s="256"/>
      <c r="H279" s="256"/>
      <c r="I279" s="256"/>
      <c r="J279" s="256"/>
      <c r="K279" s="256"/>
    </row>
    <row r="280" spans="1:11">
      <c r="A280" s="113" t="s">
        <v>145</v>
      </c>
      <c r="B280" s="256" t="s">
        <v>260</v>
      </c>
      <c r="C280" s="256"/>
      <c r="D280" s="256"/>
      <c r="E280" s="256"/>
      <c r="F280" s="256"/>
      <c r="G280" s="256"/>
      <c r="H280" s="256"/>
      <c r="I280" s="256"/>
      <c r="J280" s="256"/>
      <c r="K280" s="256"/>
    </row>
    <row r="281" spans="1:11">
      <c r="A281" s="113" t="s">
        <v>146</v>
      </c>
      <c r="B281" s="256" t="s">
        <v>260</v>
      </c>
      <c r="C281" s="256"/>
      <c r="D281" s="256"/>
      <c r="E281" s="256"/>
      <c r="F281" s="256"/>
      <c r="G281" s="256"/>
      <c r="H281" s="256"/>
      <c r="I281" s="256"/>
      <c r="J281" s="256"/>
      <c r="K281" s="256"/>
    </row>
    <row r="282" spans="1:11">
      <c r="A282" s="113" t="s">
        <v>147</v>
      </c>
      <c r="B282" s="256" t="s">
        <v>288</v>
      </c>
      <c r="C282" s="256"/>
      <c r="D282" s="256"/>
      <c r="E282" s="256"/>
      <c r="F282" s="256"/>
      <c r="G282" s="256"/>
      <c r="H282" s="256"/>
      <c r="I282" s="256"/>
      <c r="J282" s="256"/>
      <c r="K282" s="256"/>
    </row>
    <row r="283" spans="1:11" ht="48" customHeight="1">
      <c r="A283" s="113" t="s">
        <v>148</v>
      </c>
      <c r="B283" s="255" t="s">
        <v>248</v>
      </c>
      <c r="C283" s="255"/>
      <c r="D283" s="255"/>
      <c r="E283" s="255"/>
      <c r="F283" s="255"/>
      <c r="G283" s="255"/>
      <c r="H283" s="255"/>
      <c r="I283" s="255"/>
      <c r="J283" s="255"/>
      <c r="K283" s="255"/>
    </row>
    <row r="284" spans="1:11">
      <c r="A284" s="113" t="s">
        <v>149</v>
      </c>
      <c r="B284" s="255" t="s">
        <v>179</v>
      </c>
      <c r="C284" s="255"/>
      <c r="D284" s="255"/>
      <c r="E284" s="255"/>
      <c r="F284" s="255"/>
      <c r="G284" s="255"/>
      <c r="H284" s="255"/>
      <c r="I284" s="255"/>
      <c r="J284" s="255"/>
      <c r="K284" s="255"/>
    </row>
    <row r="285" spans="1:11" ht="32.25" customHeight="1">
      <c r="A285" s="113" t="s">
        <v>150</v>
      </c>
      <c r="B285" s="255" t="s">
        <v>281</v>
      </c>
      <c r="C285" s="255"/>
      <c r="D285" s="255"/>
      <c r="E285" s="255"/>
      <c r="F285" s="255"/>
      <c r="G285" s="255"/>
      <c r="H285" s="255"/>
      <c r="I285" s="255"/>
      <c r="J285" s="255"/>
      <c r="K285" s="255"/>
    </row>
    <row r="286" spans="1:11" ht="32.25" customHeight="1">
      <c r="A286" s="113" t="s">
        <v>151</v>
      </c>
      <c r="B286" s="256" t="s">
        <v>249</v>
      </c>
      <c r="C286" s="256"/>
      <c r="D286" s="256"/>
      <c r="E286" s="256"/>
      <c r="F286" s="256"/>
      <c r="G286" s="256"/>
      <c r="H286" s="256"/>
      <c r="I286" s="256"/>
      <c r="J286" s="256"/>
      <c r="K286" s="256"/>
    </row>
    <row r="287" spans="1:11" ht="32.25" customHeight="1">
      <c r="A287" s="113" t="s">
        <v>152</v>
      </c>
      <c r="B287" s="255" t="s">
        <v>250</v>
      </c>
      <c r="C287" s="255"/>
      <c r="D287" s="255"/>
      <c r="E287" s="255"/>
      <c r="F287" s="255"/>
      <c r="G287" s="255"/>
      <c r="H287" s="255"/>
      <c r="I287" s="255"/>
      <c r="J287" s="255"/>
      <c r="K287" s="255"/>
    </row>
    <row r="288" spans="1:11" ht="78" customHeight="1">
      <c r="A288" s="113" t="s">
        <v>153</v>
      </c>
      <c r="B288" s="255" t="s">
        <v>297</v>
      </c>
      <c r="C288" s="255"/>
      <c r="D288" s="255"/>
      <c r="E288" s="255"/>
      <c r="F288" s="255"/>
      <c r="G288" s="255"/>
      <c r="H288" s="255"/>
      <c r="I288" s="255"/>
      <c r="J288" s="255"/>
      <c r="K288" s="255"/>
    </row>
    <row r="289" spans="1:11">
      <c r="A289" s="113" t="s">
        <v>2</v>
      </c>
      <c r="B289" s="114" t="s">
        <v>247</v>
      </c>
      <c r="C289" s="115" t="s">
        <v>154</v>
      </c>
      <c r="D289" s="116">
        <v>0</v>
      </c>
      <c r="E289" s="115"/>
      <c r="F289" s="117"/>
      <c r="G289" s="117"/>
      <c r="H289" s="115"/>
      <c r="I289" s="117"/>
      <c r="J289" s="115"/>
      <c r="K289" s="115"/>
    </row>
    <row r="290" spans="1:11">
      <c r="A290" s="113"/>
      <c r="B290" s="115"/>
      <c r="C290" s="115" t="s">
        <v>155</v>
      </c>
      <c r="D290" s="116">
        <v>0</v>
      </c>
      <c r="E290" s="255" t="s">
        <v>156</v>
      </c>
      <c r="F290" s="255"/>
      <c r="G290" s="255"/>
      <c r="H290" s="255"/>
      <c r="I290" s="255"/>
      <c r="J290" s="255"/>
      <c r="K290" s="255"/>
    </row>
    <row r="291" spans="1:11">
      <c r="A291" s="113"/>
      <c r="B291" s="115"/>
      <c r="C291" s="115" t="s">
        <v>157</v>
      </c>
      <c r="D291" s="116">
        <v>0</v>
      </c>
      <c r="E291" s="255" t="s">
        <v>158</v>
      </c>
      <c r="F291" s="255"/>
      <c r="G291" s="255"/>
      <c r="H291" s="255"/>
      <c r="I291" s="255"/>
      <c r="J291" s="255"/>
      <c r="K291" s="255"/>
    </row>
    <row r="292" spans="1:11">
      <c r="A292" s="113" t="s">
        <v>159</v>
      </c>
      <c r="B292" s="255" t="s">
        <v>180</v>
      </c>
      <c r="C292" s="255"/>
      <c r="D292" s="255"/>
      <c r="E292" s="255"/>
      <c r="F292" s="255"/>
      <c r="G292" s="255"/>
      <c r="H292" s="255"/>
      <c r="I292" s="255"/>
      <c r="J292" s="255"/>
      <c r="K292" s="255"/>
    </row>
    <row r="293" spans="1:11" ht="32.25" customHeight="1">
      <c r="A293" s="113" t="s">
        <v>160</v>
      </c>
      <c r="B293" s="255" t="s">
        <v>251</v>
      </c>
      <c r="C293" s="255"/>
      <c r="D293" s="255"/>
      <c r="E293" s="255"/>
      <c r="F293" s="255"/>
      <c r="G293" s="255"/>
      <c r="H293" s="255"/>
      <c r="I293" s="255"/>
      <c r="J293" s="255"/>
      <c r="K293" s="255"/>
    </row>
    <row r="294" spans="1:11" ht="48" customHeight="1">
      <c r="A294" s="113" t="s">
        <v>161</v>
      </c>
      <c r="B294" s="255" t="s">
        <v>298</v>
      </c>
      <c r="C294" s="255"/>
      <c r="D294" s="255"/>
      <c r="E294" s="255"/>
      <c r="F294" s="255"/>
      <c r="G294" s="255"/>
      <c r="H294" s="255"/>
      <c r="I294" s="255"/>
      <c r="J294" s="255"/>
      <c r="K294" s="255"/>
    </row>
    <row r="295" spans="1:11">
      <c r="A295" s="113" t="s">
        <v>162</v>
      </c>
      <c r="B295" s="255" t="s">
        <v>181</v>
      </c>
      <c r="C295" s="255"/>
      <c r="D295" s="255"/>
      <c r="E295" s="255"/>
      <c r="F295" s="255"/>
      <c r="G295" s="255"/>
      <c r="H295" s="255"/>
      <c r="I295" s="255"/>
      <c r="J295" s="255"/>
      <c r="K295" s="255"/>
    </row>
    <row r="296" spans="1:11" ht="189.75" customHeight="1">
      <c r="A296" s="113" t="s">
        <v>163</v>
      </c>
      <c r="B296" s="255" t="s">
        <v>315</v>
      </c>
      <c r="C296" s="255"/>
      <c r="D296" s="255"/>
      <c r="E296" s="255"/>
      <c r="F296" s="255"/>
      <c r="G296" s="255"/>
      <c r="H296" s="255"/>
      <c r="I296" s="255"/>
      <c r="J296" s="255"/>
      <c r="K296" s="255"/>
    </row>
    <row r="297" spans="1:11" ht="32.25" customHeight="1">
      <c r="A297" s="113" t="s">
        <v>164</v>
      </c>
      <c r="B297" s="255" t="s">
        <v>252</v>
      </c>
      <c r="C297" s="255"/>
      <c r="D297" s="255"/>
      <c r="E297" s="255"/>
      <c r="F297" s="255"/>
      <c r="G297" s="255"/>
      <c r="H297" s="255"/>
      <c r="I297" s="255"/>
      <c r="J297" s="255"/>
      <c r="K297" s="255"/>
    </row>
    <row r="298" spans="1:11">
      <c r="A298" s="113" t="s">
        <v>165</v>
      </c>
      <c r="B298" s="255" t="s">
        <v>166</v>
      </c>
      <c r="C298" s="255"/>
      <c r="D298" s="255"/>
      <c r="E298" s="255"/>
      <c r="F298" s="255"/>
      <c r="G298" s="255"/>
      <c r="H298" s="255"/>
      <c r="I298" s="255"/>
      <c r="J298" s="255"/>
      <c r="K298" s="255"/>
    </row>
    <row r="299" spans="1:11" ht="48" customHeight="1">
      <c r="A299" s="113" t="s">
        <v>182</v>
      </c>
      <c r="B299" s="255" t="s">
        <v>289</v>
      </c>
      <c r="C299" s="255"/>
      <c r="D299" s="255"/>
      <c r="E299" s="255"/>
      <c r="F299" s="255"/>
      <c r="G299" s="255"/>
      <c r="H299" s="255"/>
      <c r="I299" s="255"/>
      <c r="J299" s="255"/>
      <c r="K299" s="255"/>
    </row>
    <row r="300" spans="1:11" ht="63.75" customHeight="1">
      <c r="A300" s="118" t="s">
        <v>183</v>
      </c>
      <c r="B300" s="255" t="s">
        <v>290</v>
      </c>
      <c r="C300" s="255"/>
      <c r="D300" s="255"/>
      <c r="E300" s="255"/>
      <c r="F300" s="255"/>
      <c r="G300" s="255"/>
      <c r="H300" s="255"/>
      <c r="I300" s="255"/>
      <c r="J300" s="255"/>
      <c r="K300" s="255"/>
    </row>
    <row r="301" spans="1:11">
      <c r="A301" s="118" t="s">
        <v>194</v>
      </c>
      <c r="B301" s="255" t="s">
        <v>291</v>
      </c>
      <c r="C301" s="255"/>
      <c r="D301" s="255"/>
      <c r="E301" s="255"/>
      <c r="F301" s="255"/>
      <c r="G301" s="255"/>
      <c r="H301" s="255"/>
      <c r="I301" s="255"/>
      <c r="J301" s="255"/>
      <c r="K301" s="255"/>
    </row>
    <row r="302" spans="1:11" ht="32.25" customHeight="1">
      <c r="A302" s="118" t="s">
        <v>195</v>
      </c>
      <c r="B302" s="255" t="s">
        <v>299</v>
      </c>
      <c r="C302" s="255"/>
      <c r="D302" s="255"/>
      <c r="E302" s="255"/>
      <c r="F302" s="255"/>
      <c r="G302" s="255"/>
      <c r="H302" s="255"/>
      <c r="I302" s="255"/>
      <c r="J302" s="255"/>
      <c r="K302" s="255"/>
    </row>
    <row r="303" spans="1:11" s="100" customFormat="1">
      <c r="A303" s="118" t="s">
        <v>267</v>
      </c>
      <c r="B303" s="255" t="s">
        <v>292</v>
      </c>
      <c r="C303" s="255"/>
      <c r="D303" s="255"/>
      <c r="E303" s="255"/>
      <c r="F303" s="255"/>
      <c r="G303" s="255"/>
      <c r="H303" s="255"/>
      <c r="I303" s="255"/>
      <c r="J303" s="255"/>
      <c r="K303" s="255"/>
    </row>
    <row r="304" spans="1:11" s="100" customFormat="1" ht="33.75" customHeight="1">
      <c r="A304" s="118" t="s">
        <v>268</v>
      </c>
      <c r="B304" s="255" t="s">
        <v>300</v>
      </c>
      <c r="C304" s="255"/>
      <c r="D304" s="255"/>
      <c r="E304" s="255"/>
      <c r="F304" s="255"/>
      <c r="G304" s="255"/>
      <c r="H304" s="255"/>
      <c r="I304" s="255"/>
      <c r="J304" s="255"/>
      <c r="K304" s="255"/>
    </row>
    <row r="305" spans="1:11" s="100" customFormat="1">
      <c r="A305" s="119" t="s">
        <v>282</v>
      </c>
      <c r="B305" s="120" t="s">
        <v>283</v>
      </c>
      <c r="C305" s="79"/>
      <c r="D305" s="121"/>
      <c r="E305" s="79"/>
      <c r="F305" s="79"/>
      <c r="G305" s="79"/>
      <c r="H305" s="79"/>
      <c r="I305" s="8"/>
      <c r="J305" s="79"/>
      <c r="K305" s="8"/>
    </row>
    <row r="306" spans="1:11" s="100" customFormat="1">
      <c r="A306" s="119" t="s">
        <v>285</v>
      </c>
      <c r="B306" s="122" t="s">
        <v>284</v>
      </c>
      <c r="C306" s="123"/>
      <c r="D306" s="124"/>
      <c r="E306" s="123"/>
      <c r="F306" s="99"/>
      <c r="G306" s="99"/>
      <c r="H306" s="99"/>
      <c r="I306" s="125"/>
      <c r="J306" s="99"/>
      <c r="K306" s="125"/>
    </row>
    <row r="307" spans="1:11">
      <c r="A307" s="126" t="s">
        <v>308</v>
      </c>
      <c r="B307" s="79" t="s">
        <v>310</v>
      </c>
      <c r="C307" s="23"/>
      <c r="D307" s="23"/>
      <c r="E307" s="23"/>
      <c r="F307" s="23"/>
      <c r="G307" s="23"/>
      <c r="H307" s="23"/>
      <c r="I307" s="23"/>
      <c r="J307" s="23"/>
      <c r="K307" s="23"/>
    </row>
    <row r="308" spans="1:11">
      <c r="A308" s="126"/>
      <c r="B308" s="79" t="s">
        <v>311</v>
      </c>
      <c r="C308" s="23"/>
      <c r="D308" s="23"/>
      <c r="E308" s="23"/>
      <c r="F308" s="23"/>
      <c r="G308" s="23"/>
      <c r="H308" s="23"/>
      <c r="I308" s="23"/>
      <c r="J308" s="23"/>
      <c r="K308" s="23"/>
    </row>
    <row r="309" spans="1:11">
      <c r="A309" s="126" t="s">
        <v>309</v>
      </c>
      <c r="B309" s="79" t="s">
        <v>312</v>
      </c>
      <c r="C309" s="23"/>
      <c r="D309" s="23"/>
      <c r="E309" s="23"/>
      <c r="F309" s="23"/>
      <c r="G309" s="23"/>
      <c r="H309" s="23"/>
      <c r="I309" s="23"/>
      <c r="J309" s="23"/>
      <c r="K309" s="23"/>
    </row>
    <row r="310" spans="1:11">
      <c r="A310" s="126"/>
      <c r="B310" s="79" t="s">
        <v>313</v>
      </c>
      <c r="C310" s="23"/>
      <c r="D310" s="23"/>
      <c r="E310" s="23"/>
      <c r="F310" s="23"/>
      <c r="G310" s="23"/>
      <c r="H310" s="23"/>
      <c r="I310" s="23"/>
      <c r="J310" s="23"/>
      <c r="K310" s="23"/>
    </row>
    <row r="311" spans="1:11">
      <c r="A311" s="27"/>
      <c r="B311" s="23"/>
      <c r="C311" s="23"/>
      <c r="D311" s="23"/>
      <c r="E311" s="23"/>
      <c r="F311" s="23"/>
      <c r="G311" s="23"/>
      <c r="H311" s="23"/>
      <c r="I311" s="23"/>
      <c r="J311" s="23"/>
      <c r="K311" s="23"/>
    </row>
    <row r="312" spans="1:11">
      <c r="A312" s="27"/>
      <c r="B312" s="23"/>
      <c r="C312" s="23"/>
      <c r="D312" s="23"/>
      <c r="E312" s="23"/>
      <c r="F312" s="23"/>
      <c r="G312" s="23"/>
      <c r="H312" s="23"/>
      <c r="I312" s="23"/>
      <c r="J312" s="23"/>
      <c r="K312" s="23"/>
    </row>
    <row r="313" spans="1:11">
      <c r="A313" s="27"/>
      <c r="B313" s="23"/>
      <c r="C313" s="23"/>
      <c r="D313" s="23"/>
      <c r="E313" s="23"/>
      <c r="F313" s="23"/>
      <c r="G313" s="23"/>
      <c r="H313" s="23"/>
      <c r="I313" s="23"/>
      <c r="J313" s="23"/>
      <c r="K313" s="23"/>
    </row>
    <row r="314" spans="1:11">
      <c r="A314" s="27"/>
      <c r="B314" s="23"/>
      <c r="C314" s="23"/>
      <c r="D314" s="23"/>
      <c r="E314" s="23"/>
      <c r="F314" s="23"/>
      <c r="G314" s="23"/>
      <c r="H314" s="23"/>
      <c r="I314" s="23"/>
      <c r="J314" s="23"/>
      <c r="K314" s="23"/>
    </row>
    <row r="315" spans="1:11">
      <c r="A315" s="27"/>
      <c r="B315" s="23"/>
      <c r="C315" s="23"/>
      <c r="D315" s="23"/>
      <c r="E315" s="23"/>
      <c r="F315" s="23"/>
      <c r="G315" s="23"/>
      <c r="H315" s="23"/>
      <c r="I315" s="23"/>
      <c r="J315" s="23"/>
      <c r="K315" s="23"/>
    </row>
    <row r="316" spans="1:11">
      <c r="A316" s="27"/>
      <c r="B316" s="23"/>
      <c r="C316" s="23"/>
      <c r="D316" s="23"/>
      <c r="E316" s="23"/>
      <c r="F316" s="23"/>
      <c r="G316" s="23"/>
      <c r="H316" s="23"/>
      <c r="I316" s="23"/>
      <c r="J316" s="23"/>
      <c r="K316" s="23"/>
    </row>
    <row r="317" spans="1:11">
      <c r="A317" s="27"/>
      <c r="B317" s="23"/>
      <c r="C317" s="23"/>
      <c r="D317" s="23"/>
      <c r="E317" s="23"/>
      <c r="F317" s="23"/>
      <c r="G317" s="23"/>
      <c r="H317" s="23"/>
      <c r="I317" s="23"/>
      <c r="J317" s="23"/>
      <c r="K317" s="23"/>
    </row>
    <row r="318" spans="1:11">
      <c r="A318" s="27"/>
      <c r="B318" s="23"/>
      <c r="C318" s="23"/>
      <c r="D318" s="23"/>
      <c r="E318" s="23"/>
      <c r="F318" s="23"/>
      <c r="G318" s="23"/>
      <c r="H318" s="23"/>
      <c r="I318" s="23"/>
      <c r="J318" s="23"/>
      <c r="K318" s="23"/>
    </row>
    <row r="319" spans="1:11">
      <c r="A319" s="27"/>
      <c r="B319" s="23"/>
      <c r="C319" s="23"/>
      <c r="D319" s="23"/>
      <c r="E319" s="23"/>
      <c r="F319" s="23"/>
      <c r="G319" s="23"/>
      <c r="H319" s="23"/>
      <c r="I319" s="23"/>
      <c r="J319" s="23"/>
      <c r="K319" s="23"/>
    </row>
    <row r="320" spans="1:11">
      <c r="A320" s="27"/>
      <c r="B320" s="23"/>
      <c r="C320" s="23"/>
      <c r="D320" s="23"/>
      <c r="E320" s="23"/>
      <c r="F320" s="23"/>
      <c r="G320" s="23"/>
      <c r="H320" s="23"/>
      <c r="I320" s="23"/>
      <c r="J320" s="23"/>
      <c r="K320" s="23"/>
    </row>
    <row r="321" spans="1:11">
      <c r="A321" s="27"/>
      <c r="B321" s="23"/>
      <c r="C321" s="23"/>
      <c r="D321" s="23"/>
      <c r="E321" s="23"/>
      <c r="F321" s="23"/>
      <c r="G321" s="23"/>
      <c r="H321" s="23"/>
      <c r="I321" s="23"/>
      <c r="J321" s="23"/>
      <c r="K321" s="23"/>
    </row>
    <row r="322" spans="1:11">
      <c r="A322" s="27"/>
      <c r="B322" s="23"/>
      <c r="C322" s="23"/>
      <c r="D322" s="23"/>
      <c r="E322" s="23"/>
      <c r="F322" s="23"/>
      <c r="G322" s="23"/>
      <c r="H322" s="23"/>
      <c r="I322" s="23"/>
      <c r="J322" s="23"/>
      <c r="K322" s="23"/>
    </row>
    <row r="323" spans="1:11">
      <c r="A323" s="27"/>
      <c r="B323" s="23"/>
      <c r="C323" s="23"/>
      <c r="D323" s="23"/>
      <c r="E323" s="23"/>
      <c r="F323" s="23"/>
      <c r="G323" s="23"/>
      <c r="H323" s="23"/>
      <c r="I323" s="23"/>
      <c r="J323" s="23"/>
      <c r="K323" s="23"/>
    </row>
    <row r="324" spans="1:11">
      <c r="A324" s="27"/>
      <c r="B324" s="23"/>
      <c r="C324" s="23"/>
      <c r="D324" s="23"/>
      <c r="E324" s="23"/>
      <c r="F324" s="23"/>
      <c r="G324" s="23"/>
      <c r="H324" s="23"/>
      <c r="I324" s="23"/>
      <c r="J324" s="23"/>
      <c r="K324" s="23"/>
    </row>
    <row r="325" spans="1:11">
      <c r="A325" s="27"/>
      <c r="B325" s="23"/>
      <c r="C325" s="23"/>
      <c r="D325" s="23"/>
      <c r="E325" s="23"/>
      <c r="F325" s="23"/>
      <c r="G325" s="23"/>
      <c r="H325" s="23"/>
      <c r="I325" s="23"/>
      <c r="J325" s="23"/>
      <c r="K325" s="23"/>
    </row>
    <row r="326" spans="1:11">
      <c r="A326" s="27"/>
      <c r="B326" s="23"/>
      <c r="C326" s="23"/>
      <c r="D326" s="23"/>
      <c r="E326" s="23"/>
      <c r="F326" s="23"/>
      <c r="G326" s="23"/>
      <c r="H326" s="23"/>
      <c r="I326" s="23"/>
      <c r="J326" s="23"/>
      <c r="K326" s="23"/>
    </row>
    <row r="327" spans="1:11">
      <c r="A327" s="27"/>
      <c r="B327" s="23"/>
      <c r="C327" s="23"/>
      <c r="D327" s="23"/>
      <c r="E327" s="23"/>
      <c r="F327" s="23"/>
      <c r="G327" s="23"/>
      <c r="H327" s="23"/>
      <c r="I327" s="23"/>
      <c r="J327" s="23"/>
      <c r="K327" s="23"/>
    </row>
    <row r="328" spans="1:11">
      <c r="A328" s="27"/>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sheetProtection password="D71B" sheet="1" objects="1" scenarios="1"/>
  <protectedRanges>
    <protectedRange sqref="K4 D7 D16:D17 I20:I21 I27:I33 D45:D46 D82:D86 D90:D94 D106:D110 D113 D117:D118 D144:D151 D155:D157 D162:D163 D165:D168 D177 D191 I191 D196 I196 I210:I211 I219 D227:D230 D234:D236 D240 D244:D245 I248 R249 R250 I253:I254 I257 I260:I263" name="Range1_1"/>
  </protectedRanges>
  <mergeCells count="34">
    <mergeCell ref="B195:C195"/>
    <mergeCell ref="B301:K301"/>
    <mergeCell ref="B300:K300"/>
    <mergeCell ref="B302:K302"/>
    <mergeCell ref="J2:K2"/>
    <mergeCell ref="B190:C190"/>
    <mergeCell ref="J71:K71"/>
    <mergeCell ref="J133:K133"/>
    <mergeCell ref="B303:K303"/>
    <mergeCell ref="B304:K304"/>
    <mergeCell ref="B284:K284"/>
    <mergeCell ref="B299:K299"/>
    <mergeCell ref="B297:K297"/>
    <mergeCell ref="E291:K291"/>
    <mergeCell ref="B296:K296"/>
    <mergeCell ref="B295:K295"/>
    <mergeCell ref="B298:K298"/>
    <mergeCell ref="B294:K29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7"/>
  <sheetViews>
    <sheetView workbookViewId="0"/>
  </sheetViews>
  <sheetFormatPr defaultRowHeight="15.6"/>
  <cols>
    <col min="1" max="1" width="4.1796875" style="19" customWidth="1"/>
    <col min="2" max="2" width="28" style="19" customWidth="1"/>
    <col min="3" max="3" width="31.6328125" style="19" customWidth="1"/>
    <col min="4" max="4" width="12.81640625" style="19" customWidth="1"/>
    <col min="5" max="5" width="5.81640625" style="19" customWidth="1"/>
    <col min="6" max="6" width="4.1796875" style="19" customWidth="1"/>
    <col min="7" max="7" width="10" style="19" customWidth="1"/>
    <col min="8" max="8" width="3.453125" style="19" customWidth="1"/>
    <col min="9" max="9" width="12.81640625" style="19" customWidth="1"/>
    <col min="10" max="10" width="1.81640625" style="19" customWidth="1"/>
    <col min="11" max="11" width="6.81640625" style="19" customWidth="1"/>
    <col min="12" max="12" width="12.90625" style="19" bestFit="1" customWidth="1"/>
    <col min="13" max="13" width="13.36328125" style="19" customWidth="1"/>
    <col min="14" max="14" width="34.81640625" bestFit="1" customWidth="1"/>
  </cols>
  <sheetData>
    <row r="1" spans="1:11">
      <c r="K1" s="20" t="s">
        <v>301</v>
      </c>
    </row>
    <row r="2" spans="1:11">
      <c r="B2" s="21"/>
      <c r="C2" s="21"/>
      <c r="D2" s="22"/>
      <c r="E2" s="21"/>
      <c r="F2" s="21"/>
      <c r="G2" s="21"/>
      <c r="H2" s="23"/>
      <c r="I2" s="23"/>
      <c r="J2" s="254" t="s">
        <v>185</v>
      </c>
      <c r="K2" s="254"/>
    </row>
    <row r="3" spans="1:11">
      <c r="B3" s="21"/>
      <c r="C3" s="21"/>
      <c r="D3" s="22"/>
      <c r="E3" s="21"/>
      <c r="F3" s="21"/>
      <c r="G3" s="21"/>
      <c r="H3" s="23"/>
      <c r="I3" s="23"/>
      <c r="J3" s="23"/>
      <c r="K3" s="23"/>
    </row>
    <row r="4" spans="1:11">
      <c r="B4" s="21" t="s">
        <v>0</v>
      </c>
      <c r="C4" s="21"/>
      <c r="D4" s="22" t="s">
        <v>1</v>
      </c>
      <c r="E4" s="21"/>
      <c r="F4" s="21"/>
      <c r="G4" s="21"/>
      <c r="H4" s="24"/>
      <c r="I4" s="25"/>
      <c r="J4" s="24"/>
      <c r="K4" s="26" t="s">
        <v>319</v>
      </c>
    </row>
    <row r="5" spans="1:11">
      <c r="B5" s="21"/>
      <c r="C5" s="6" t="s">
        <v>2</v>
      </c>
      <c r="D5" s="6" t="s">
        <v>3</v>
      </c>
      <c r="E5" s="6"/>
      <c r="F5" s="6"/>
      <c r="G5" s="6"/>
      <c r="H5" s="23"/>
      <c r="I5" s="23"/>
      <c r="J5" s="23"/>
      <c r="K5" s="23"/>
    </row>
    <row r="6" spans="1:11">
      <c r="B6" s="23"/>
      <c r="C6" s="23"/>
      <c r="D6" s="23"/>
      <c r="E6" s="23"/>
      <c r="F6" s="23"/>
      <c r="G6" s="23"/>
      <c r="H6" s="23"/>
      <c r="I6" s="23"/>
      <c r="J6" s="23"/>
      <c r="K6" s="23"/>
    </row>
    <row r="7" spans="1:11">
      <c r="A7" s="129"/>
      <c r="B7" s="23"/>
      <c r="C7" s="23"/>
      <c r="D7" s="28" t="s">
        <v>463</v>
      </c>
      <c r="E7" s="23"/>
      <c r="F7" s="23"/>
      <c r="G7" s="23"/>
      <c r="H7" s="23"/>
      <c r="I7" s="23"/>
      <c r="J7" s="23"/>
      <c r="K7" s="23"/>
    </row>
    <row r="8" spans="1:11">
      <c r="A8" s="129"/>
      <c r="B8" s="23"/>
      <c r="C8" s="23"/>
      <c r="D8" s="29"/>
      <c r="E8" s="23"/>
      <c r="F8" s="23"/>
      <c r="G8" s="23"/>
      <c r="H8" s="23"/>
      <c r="I8" s="23"/>
      <c r="J8" s="23"/>
      <c r="K8" s="23"/>
    </row>
    <row r="9" spans="1:11">
      <c r="A9" s="129" t="s">
        <v>4</v>
      </c>
      <c r="B9" s="23"/>
      <c r="C9" s="23"/>
      <c r="D9" s="29"/>
      <c r="E9" s="23"/>
      <c r="F9" s="23"/>
      <c r="G9" s="23"/>
      <c r="H9" s="23"/>
      <c r="I9" s="129" t="s">
        <v>5</v>
      </c>
      <c r="J9" s="23"/>
      <c r="K9" s="23"/>
    </row>
    <row r="10" spans="1:11" ht="16.2" thickBot="1">
      <c r="A10" s="30" t="s">
        <v>6</v>
      </c>
      <c r="B10" s="23"/>
      <c r="C10" s="23"/>
      <c r="D10" s="23"/>
      <c r="E10" s="23"/>
      <c r="F10" s="23"/>
      <c r="G10" s="23"/>
      <c r="H10" s="23"/>
      <c r="I10" s="30" t="s">
        <v>7</v>
      </c>
      <c r="J10" s="23"/>
      <c r="K10" s="23"/>
    </row>
    <row r="11" spans="1:11">
      <c r="A11" s="129">
        <v>1</v>
      </c>
      <c r="B11" s="23" t="s">
        <v>253</v>
      </c>
      <c r="C11" s="23"/>
      <c r="D11" s="31"/>
      <c r="E11" s="23"/>
      <c r="F11" s="23"/>
      <c r="G11" s="23"/>
      <c r="H11" s="23"/>
      <c r="I11" s="32">
        <f>+I197</f>
        <v>36014715.189905733</v>
      </c>
      <c r="J11" s="23"/>
      <c r="K11" s="23"/>
    </row>
    <row r="12" spans="1:11">
      <c r="A12" s="129"/>
      <c r="B12" s="23"/>
      <c r="C12" s="23"/>
      <c r="D12" s="23"/>
      <c r="E12" s="23"/>
      <c r="F12" s="23"/>
      <c r="G12" s="23"/>
      <c r="H12" s="23"/>
      <c r="I12" s="31"/>
      <c r="J12" s="23"/>
      <c r="K12" s="23"/>
    </row>
    <row r="13" spans="1:11" ht="16.2" thickBot="1">
      <c r="A13" s="129" t="s">
        <v>2</v>
      </c>
      <c r="B13" s="21" t="s">
        <v>8</v>
      </c>
      <c r="C13" s="6" t="s">
        <v>175</v>
      </c>
      <c r="D13" s="30" t="s">
        <v>9</v>
      </c>
      <c r="E13" s="6"/>
      <c r="F13" s="33" t="s">
        <v>10</v>
      </c>
      <c r="G13" s="33"/>
      <c r="H13" s="23"/>
      <c r="I13" s="31"/>
      <c r="J13" s="23"/>
      <c r="K13" s="23"/>
    </row>
    <row r="14" spans="1:11">
      <c r="A14" s="129">
        <v>2</v>
      </c>
      <c r="B14" s="21" t="s">
        <v>11</v>
      </c>
      <c r="C14" s="6" t="s">
        <v>173</v>
      </c>
      <c r="D14" s="6">
        <f>I257</f>
        <v>46300.72</v>
      </c>
      <c r="E14" s="6"/>
      <c r="F14" s="6" t="s">
        <v>12</v>
      </c>
      <c r="G14" s="34">
        <f>I223</f>
        <v>1</v>
      </c>
      <c r="H14" s="6"/>
      <c r="I14" s="6">
        <f>+G14*D14</f>
        <v>46300.72</v>
      </c>
      <c r="J14" s="23"/>
      <c r="K14" s="23"/>
    </row>
    <row r="15" spans="1:11">
      <c r="A15" s="129">
        <v>3</v>
      </c>
      <c r="B15" s="21" t="s">
        <v>13</v>
      </c>
      <c r="C15" s="6" t="s">
        <v>167</v>
      </c>
      <c r="D15" s="6">
        <f>I264</f>
        <v>245200.75</v>
      </c>
      <c r="E15" s="6"/>
      <c r="F15" s="6" t="str">
        <f>+F14</f>
        <v>TP</v>
      </c>
      <c r="G15" s="34">
        <f>+G14</f>
        <v>1</v>
      </c>
      <c r="H15" s="6"/>
      <c r="I15" s="6">
        <f>+G15*D15</f>
        <v>245200.75</v>
      </c>
      <c r="J15" s="23"/>
      <c r="K15" s="23"/>
    </row>
    <row r="16" spans="1:11">
      <c r="A16" s="129">
        <v>4</v>
      </c>
      <c r="B16" s="21" t="s">
        <v>14</v>
      </c>
      <c r="C16" s="6"/>
      <c r="D16" s="35">
        <v>0</v>
      </c>
      <c r="E16" s="6"/>
      <c r="F16" s="6" t="s">
        <v>12</v>
      </c>
      <c r="G16" s="34">
        <f>+G14</f>
        <v>1</v>
      </c>
      <c r="H16" s="6"/>
      <c r="I16" s="6">
        <f>+G16*D16</f>
        <v>0</v>
      </c>
      <c r="J16" s="23"/>
      <c r="K16" s="23"/>
    </row>
    <row r="17" spans="1:11" ht="16.2" thickBot="1">
      <c r="A17" s="129">
        <v>5</v>
      </c>
      <c r="B17" s="21" t="s">
        <v>15</v>
      </c>
      <c r="C17" s="6"/>
      <c r="D17" s="35">
        <v>0</v>
      </c>
      <c r="E17" s="6"/>
      <c r="F17" s="6" t="s">
        <v>12</v>
      </c>
      <c r="G17" s="34">
        <f>+G14</f>
        <v>1</v>
      </c>
      <c r="H17" s="6"/>
      <c r="I17" s="36">
        <f>+G17*D17</f>
        <v>0</v>
      </c>
      <c r="J17" s="23"/>
      <c r="K17" s="23"/>
    </row>
    <row r="18" spans="1:11">
      <c r="A18" s="129">
        <v>6</v>
      </c>
      <c r="B18" s="21" t="s">
        <v>16</v>
      </c>
      <c r="C18" s="23"/>
      <c r="D18" s="37" t="s">
        <v>2</v>
      </c>
      <c r="E18" s="6"/>
      <c r="F18" s="6"/>
      <c r="G18" s="34"/>
      <c r="H18" s="6"/>
      <c r="I18" s="6">
        <f>SUM(I14:I17)</f>
        <v>291501.46999999997</v>
      </c>
      <c r="J18" s="23"/>
      <c r="K18" s="23"/>
    </row>
    <row r="19" spans="1:11">
      <c r="A19" s="129"/>
      <c r="C19" s="23"/>
      <c r="D19" s="6" t="s">
        <v>2</v>
      </c>
      <c r="E19" s="23"/>
      <c r="F19" s="23"/>
      <c r="G19" s="34"/>
      <c r="H19" s="23"/>
      <c r="J19" s="23"/>
      <c r="K19" s="23"/>
    </row>
    <row r="20" spans="1:11">
      <c r="A20" s="129" t="s">
        <v>302</v>
      </c>
      <c r="B20" s="21" t="s">
        <v>303</v>
      </c>
      <c r="C20" s="23"/>
      <c r="D20" s="6"/>
      <c r="E20" s="23"/>
      <c r="F20" s="23"/>
      <c r="G20" s="34"/>
      <c r="H20" s="23"/>
      <c r="I20" s="38">
        <v>0</v>
      </c>
      <c r="J20" s="23"/>
      <c r="K20" s="23"/>
    </row>
    <row r="21" spans="1:11">
      <c r="A21" s="129" t="s">
        <v>304</v>
      </c>
      <c r="B21" s="21" t="s">
        <v>305</v>
      </c>
      <c r="C21" s="23"/>
      <c r="D21" s="6"/>
      <c r="E21" s="23"/>
      <c r="F21" s="23"/>
      <c r="G21" s="34"/>
      <c r="H21" s="23"/>
      <c r="I21" s="38">
        <v>0</v>
      </c>
      <c r="J21" s="23"/>
      <c r="K21" s="23"/>
    </row>
    <row r="22" spans="1:11" ht="16.2" thickBot="1">
      <c r="A22" s="129" t="s">
        <v>306</v>
      </c>
      <c r="B22" s="21" t="s">
        <v>307</v>
      </c>
      <c r="C22" s="23"/>
      <c r="D22" s="6"/>
      <c r="E22" s="23"/>
      <c r="F22" s="23"/>
      <c r="G22" s="34"/>
      <c r="H22" s="23"/>
      <c r="I22" s="39">
        <f>I20+I21</f>
        <v>0</v>
      </c>
      <c r="J22" s="23"/>
      <c r="K22" s="23"/>
    </row>
    <row r="23" spans="1:11">
      <c r="A23" s="129"/>
      <c r="C23" s="23"/>
      <c r="D23" s="6"/>
      <c r="E23" s="23"/>
      <c r="F23" s="23"/>
      <c r="G23" s="34"/>
      <c r="H23" s="23"/>
      <c r="J23" s="23"/>
      <c r="K23" s="23"/>
    </row>
    <row r="24" spans="1:11" ht="16.2" thickBot="1">
      <c r="A24" s="129">
        <v>7</v>
      </c>
      <c r="B24" s="21" t="s">
        <v>17</v>
      </c>
      <c r="C24" s="23" t="s">
        <v>314</v>
      </c>
      <c r="D24" s="37" t="s">
        <v>2</v>
      </c>
      <c r="E24" s="6"/>
      <c r="F24" s="6"/>
      <c r="G24" s="6"/>
      <c r="H24" s="6"/>
      <c r="I24" s="40">
        <f>+I11-I18+I22</f>
        <v>35723213.719905734</v>
      </c>
      <c r="J24" s="23"/>
      <c r="K24" s="23"/>
    </row>
    <row r="25" spans="1:11" ht="16.2" thickTop="1">
      <c r="A25" s="129"/>
      <c r="C25" s="23"/>
      <c r="D25" s="37"/>
      <c r="E25" s="6"/>
      <c r="F25" s="6"/>
      <c r="G25" s="6"/>
      <c r="H25" s="6"/>
      <c r="J25" s="23"/>
      <c r="K25" s="23"/>
    </row>
    <row r="26" spans="1:11">
      <c r="A26" s="129"/>
      <c r="B26" s="21" t="s">
        <v>18</v>
      </c>
      <c r="C26" s="23"/>
      <c r="D26" s="31"/>
      <c r="E26" s="23"/>
      <c r="F26" s="23"/>
      <c r="G26" s="23"/>
      <c r="H26" s="23"/>
      <c r="I26" s="31"/>
      <c r="J26" s="23"/>
      <c r="K26" s="23"/>
    </row>
    <row r="27" spans="1:11">
      <c r="A27" s="129">
        <v>8</v>
      </c>
      <c r="B27" s="21" t="s">
        <v>19</v>
      </c>
      <c r="D27" s="31"/>
      <c r="E27" s="23"/>
      <c r="F27" s="23"/>
      <c r="G27" s="23" t="s">
        <v>20</v>
      </c>
      <c r="H27" s="23"/>
      <c r="I27" s="35">
        <v>482854</v>
      </c>
      <c r="J27" s="23"/>
      <c r="K27" s="23" t="s">
        <v>438</v>
      </c>
    </row>
    <row r="28" spans="1:11">
      <c r="A28" s="129">
        <v>9</v>
      </c>
      <c r="B28" s="21" t="s">
        <v>21</v>
      </c>
      <c r="C28" s="6"/>
      <c r="D28" s="6"/>
      <c r="E28" s="6"/>
      <c r="F28" s="6"/>
      <c r="G28" s="6" t="s">
        <v>22</v>
      </c>
      <c r="H28" s="6"/>
      <c r="I28" s="35">
        <v>0</v>
      </c>
      <c r="J28" s="23"/>
      <c r="K28" s="23"/>
    </row>
    <row r="29" spans="1:11">
      <c r="A29" s="129">
        <v>10</v>
      </c>
      <c r="B29" s="21" t="s">
        <v>23</v>
      </c>
      <c r="C29" s="23"/>
      <c r="D29" s="23"/>
      <c r="E29" s="23"/>
      <c r="F29" s="23"/>
      <c r="G29" s="23" t="s">
        <v>24</v>
      </c>
      <c r="H29" s="23"/>
      <c r="I29" s="35">
        <v>50863</v>
      </c>
      <c r="J29" s="23"/>
      <c r="K29" s="23" t="s">
        <v>439</v>
      </c>
    </row>
    <row r="30" spans="1:11">
      <c r="A30" s="129">
        <v>11</v>
      </c>
      <c r="B30" s="41" t="s">
        <v>25</v>
      </c>
      <c r="C30" s="23"/>
      <c r="D30" s="23"/>
      <c r="E30" s="23"/>
      <c r="F30" s="23"/>
      <c r="G30" s="23" t="s">
        <v>26</v>
      </c>
      <c r="H30" s="23"/>
      <c r="I30" s="35">
        <v>0</v>
      </c>
      <c r="J30" s="23"/>
      <c r="K30" s="23"/>
    </row>
    <row r="31" spans="1:11">
      <c r="A31" s="129">
        <v>12</v>
      </c>
      <c r="B31" s="41" t="s">
        <v>27</v>
      </c>
      <c r="C31" s="23"/>
      <c r="D31" s="23"/>
      <c r="E31" s="23"/>
      <c r="F31" s="23"/>
      <c r="G31" s="23"/>
      <c r="H31" s="23"/>
      <c r="I31" s="35">
        <v>0</v>
      </c>
      <c r="J31" s="23"/>
      <c r="K31" s="23"/>
    </row>
    <row r="32" spans="1:11">
      <c r="A32" s="129">
        <v>13</v>
      </c>
      <c r="B32" s="41" t="s">
        <v>236</v>
      </c>
      <c r="C32" s="23"/>
      <c r="D32" s="23"/>
      <c r="E32" s="23"/>
      <c r="F32" s="23"/>
      <c r="G32" s="23"/>
      <c r="H32" s="23"/>
      <c r="I32" s="42">
        <v>0</v>
      </c>
      <c r="J32" s="23"/>
      <c r="K32" s="23"/>
    </row>
    <row r="33" spans="1:11" ht="16.2" thickBot="1">
      <c r="A33" s="129">
        <v>14</v>
      </c>
      <c r="B33" s="21" t="s">
        <v>168</v>
      </c>
      <c r="C33" s="23"/>
      <c r="D33" s="23"/>
      <c r="E33" s="23"/>
      <c r="F33" s="23"/>
      <c r="G33" s="23"/>
      <c r="H33" s="23"/>
      <c r="I33" s="43">
        <v>0</v>
      </c>
      <c r="J33" s="23"/>
      <c r="K33" s="23"/>
    </row>
    <row r="34" spans="1:11">
      <c r="A34" s="129">
        <v>15</v>
      </c>
      <c r="B34" s="21" t="s">
        <v>28</v>
      </c>
      <c r="C34" s="23"/>
      <c r="D34" s="23"/>
      <c r="E34" s="23"/>
      <c r="F34" s="23"/>
      <c r="G34" s="23"/>
      <c r="H34" s="23"/>
      <c r="I34" s="31">
        <f>SUM(I27:I33)</f>
        <v>533717</v>
      </c>
      <c r="J34" s="23"/>
      <c r="K34" s="23"/>
    </row>
    <row r="35" spans="1:11">
      <c r="A35" s="129"/>
      <c r="B35" s="21"/>
      <c r="C35" s="23"/>
      <c r="D35" s="23"/>
      <c r="E35" s="23"/>
      <c r="F35" s="23"/>
      <c r="G35" s="23"/>
      <c r="H35" s="23"/>
      <c r="I35" s="31"/>
      <c r="J35" s="23"/>
      <c r="K35" s="23"/>
    </row>
    <row r="36" spans="1:11">
      <c r="A36" s="129">
        <v>16</v>
      </c>
      <c r="B36" s="21" t="s">
        <v>29</v>
      </c>
      <c r="C36" s="23" t="s">
        <v>209</v>
      </c>
      <c r="D36" s="44">
        <f>IF(I34&gt;0,I24/I34,0)</f>
        <v>66.932875887231873</v>
      </c>
      <c r="E36" s="23"/>
      <c r="F36" s="23"/>
      <c r="G36" s="23"/>
      <c r="H36" s="23"/>
      <c r="J36" s="23"/>
      <c r="K36" s="23"/>
    </row>
    <row r="37" spans="1:11">
      <c r="A37" s="129">
        <v>17</v>
      </c>
      <c r="B37" s="21" t="s">
        <v>235</v>
      </c>
      <c r="C37" s="23"/>
      <c r="D37" s="44">
        <f>+D36/12</f>
        <v>5.5777396572693227</v>
      </c>
      <c r="E37" s="23"/>
      <c r="F37" s="23"/>
      <c r="G37" s="23"/>
      <c r="H37" s="23"/>
      <c r="J37" s="23"/>
      <c r="K37" s="23"/>
    </row>
    <row r="38" spans="1:11">
      <c r="A38" s="129"/>
      <c r="B38" s="21"/>
      <c r="C38" s="23"/>
      <c r="D38" s="44"/>
      <c r="E38" s="23"/>
      <c r="F38" s="23"/>
      <c r="G38" s="23"/>
      <c r="H38" s="23"/>
      <c r="J38" s="23"/>
      <c r="K38" s="23"/>
    </row>
    <row r="39" spans="1:11">
      <c r="A39" s="129"/>
      <c r="B39" s="21"/>
      <c r="C39" s="23"/>
      <c r="D39" s="45" t="s">
        <v>30</v>
      </c>
      <c r="E39" s="23"/>
      <c r="F39" s="23"/>
      <c r="G39" s="23"/>
      <c r="H39" s="23"/>
      <c r="I39" s="46" t="s">
        <v>31</v>
      </c>
      <c r="J39" s="23"/>
      <c r="K39" s="23"/>
    </row>
    <row r="40" spans="1:11">
      <c r="A40" s="129">
        <v>18</v>
      </c>
      <c r="B40" s="21" t="s">
        <v>32</v>
      </c>
      <c r="C40" s="23" t="s">
        <v>208</v>
      </c>
      <c r="D40" s="44">
        <f>+D36/52</f>
        <v>1.2871706901390745</v>
      </c>
      <c r="E40" s="23"/>
      <c r="F40" s="23"/>
      <c r="G40" s="23"/>
      <c r="H40" s="23"/>
      <c r="I40" s="47">
        <f>+D36/52</f>
        <v>1.2871706901390745</v>
      </c>
      <c r="J40" s="23"/>
      <c r="K40" s="23"/>
    </row>
    <row r="41" spans="1:11">
      <c r="A41" s="129">
        <v>19</v>
      </c>
      <c r="B41" s="21" t="s">
        <v>33</v>
      </c>
      <c r="C41" s="23" t="s">
        <v>254</v>
      </c>
      <c r="D41" s="44">
        <f>+D36/260</f>
        <v>0.2574341380278149</v>
      </c>
      <c r="E41" s="23" t="s">
        <v>34</v>
      </c>
      <c r="G41" s="23"/>
      <c r="H41" s="23"/>
      <c r="I41" s="47">
        <f>+D36/365</f>
        <v>0.18337774215679964</v>
      </c>
      <c r="J41" s="23"/>
      <c r="K41" s="23"/>
    </row>
    <row r="42" spans="1:11">
      <c r="A42" s="129">
        <v>20</v>
      </c>
      <c r="B42" s="21" t="s">
        <v>35</v>
      </c>
      <c r="C42" s="23" t="s">
        <v>255</v>
      </c>
      <c r="D42" s="44">
        <f>+D36/4160*1000</f>
        <v>16.089633626738433</v>
      </c>
      <c r="E42" s="23" t="s">
        <v>36</v>
      </c>
      <c r="G42" s="23"/>
      <c r="H42" s="23"/>
      <c r="I42" s="47">
        <f>+D36/8760*1000</f>
        <v>7.640739256533319</v>
      </c>
      <c r="J42" s="23"/>
      <c r="K42" s="23"/>
    </row>
    <row r="43" spans="1:11">
      <c r="A43" s="129"/>
      <c r="B43" s="21"/>
      <c r="C43" s="23" t="s">
        <v>37</v>
      </c>
      <c r="D43" s="23"/>
      <c r="E43" s="23" t="s">
        <v>38</v>
      </c>
      <c r="G43" s="23"/>
      <c r="H43" s="23"/>
      <c r="J43" s="23"/>
      <c r="K43" s="23" t="s">
        <v>2</v>
      </c>
    </row>
    <row r="44" spans="1:11">
      <c r="A44" s="129"/>
      <c r="B44" s="21"/>
      <c r="C44" s="23"/>
      <c r="D44" s="23"/>
      <c r="E44" s="23"/>
      <c r="G44" s="23"/>
      <c r="H44" s="23"/>
      <c r="J44" s="23"/>
      <c r="K44" s="23" t="s">
        <v>2</v>
      </c>
    </row>
    <row r="45" spans="1:11">
      <c r="A45" s="129">
        <v>21</v>
      </c>
      <c r="B45" s="21" t="s">
        <v>234</v>
      </c>
      <c r="C45" s="23" t="s">
        <v>204</v>
      </c>
      <c r="D45" s="48">
        <v>0</v>
      </c>
      <c r="E45" s="49" t="s">
        <v>39</v>
      </c>
      <c r="F45" s="49"/>
      <c r="G45" s="49"/>
      <c r="H45" s="49"/>
      <c r="I45" s="49">
        <f>D45</f>
        <v>0</v>
      </c>
      <c r="J45" s="49" t="s">
        <v>39</v>
      </c>
      <c r="K45" s="23"/>
    </row>
    <row r="46" spans="1:11">
      <c r="A46" s="129">
        <v>22</v>
      </c>
      <c r="B46" s="21"/>
      <c r="C46" s="23"/>
      <c r="D46" s="48">
        <v>0</v>
      </c>
      <c r="E46" s="49" t="s">
        <v>40</v>
      </c>
      <c r="F46" s="49"/>
      <c r="G46" s="49"/>
      <c r="H46" s="49"/>
      <c r="I46" s="49">
        <f>D46</f>
        <v>0</v>
      </c>
      <c r="J46" s="49" t="s">
        <v>40</v>
      </c>
      <c r="K46" s="23"/>
    </row>
    <row r="47" spans="1:11">
      <c r="A47" s="129"/>
      <c r="B47" s="21"/>
      <c r="C47" s="23"/>
      <c r="D47" s="50"/>
      <c r="E47" s="49"/>
      <c r="F47" s="49"/>
      <c r="G47" s="49"/>
      <c r="H47" s="49"/>
      <c r="I47" s="49"/>
      <c r="J47" s="49"/>
      <c r="K47" s="23"/>
    </row>
    <row r="48" spans="1:11">
      <c r="B48" s="21"/>
      <c r="C48" s="21"/>
      <c r="D48" s="22"/>
      <c r="E48" s="21"/>
      <c r="F48" s="21"/>
      <c r="G48" s="21"/>
      <c r="H48" s="23"/>
      <c r="I48" s="127"/>
      <c r="J48" s="127"/>
      <c r="K48" s="127"/>
    </row>
    <row r="49" spans="2:11">
      <c r="B49" s="21"/>
      <c r="C49" s="21"/>
      <c r="D49" s="22"/>
      <c r="E49" s="21"/>
      <c r="F49" s="21"/>
      <c r="G49" s="21"/>
      <c r="H49" s="23"/>
      <c r="I49" s="127"/>
      <c r="J49" s="127"/>
      <c r="K49" s="127"/>
    </row>
    <row r="50" spans="2:11">
      <c r="B50" s="21"/>
      <c r="C50" s="21"/>
      <c r="D50" s="22"/>
      <c r="E50" s="21"/>
      <c r="F50" s="21"/>
      <c r="G50" s="21"/>
      <c r="H50" s="23"/>
      <c r="I50" s="127"/>
      <c r="J50" s="127"/>
      <c r="K50" s="127"/>
    </row>
    <row r="51" spans="2:11">
      <c r="B51" s="21"/>
      <c r="C51" s="21"/>
      <c r="D51" s="22"/>
      <c r="E51" s="21"/>
      <c r="F51" s="21"/>
      <c r="G51" s="21"/>
      <c r="H51" s="23"/>
      <c r="I51" s="127"/>
      <c r="J51" s="127"/>
      <c r="K51" s="127"/>
    </row>
    <row r="52" spans="2:11">
      <c r="B52" s="21"/>
      <c r="C52" s="21"/>
      <c r="D52" s="22"/>
      <c r="E52" s="21"/>
      <c r="F52" s="21"/>
      <c r="G52" s="21"/>
      <c r="H52" s="23"/>
      <c r="I52" s="127"/>
      <c r="J52" s="127"/>
      <c r="K52" s="127"/>
    </row>
    <row r="53" spans="2:11">
      <c r="B53" s="21"/>
      <c r="C53" s="21"/>
      <c r="D53" s="22"/>
      <c r="E53" s="21"/>
      <c r="F53" s="21"/>
      <c r="G53" s="21"/>
      <c r="H53" s="23"/>
      <c r="I53" s="127"/>
      <c r="J53" s="127"/>
      <c r="K53" s="127"/>
    </row>
    <row r="54" spans="2:11">
      <c r="B54" s="21"/>
      <c r="C54" s="21"/>
      <c r="D54" s="22"/>
      <c r="E54" s="21"/>
      <c r="F54" s="21"/>
      <c r="G54" s="21"/>
      <c r="H54" s="23"/>
      <c r="I54" s="127"/>
      <c r="J54" s="127"/>
      <c r="K54" s="127"/>
    </row>
    <row r="55" spans="2:11">
      <c r="B55" s="21"/>
      <c r="C55" s="21"/>
      <c r="D55" s="22"/>
      <c r="E55" s="21"/>
      <c r="F55" s="21"/>
      <c r="G55" s="21"/>
      <c r="H55" s="23"/>
      <c r="I55" s="127"/>
      <c r="J55" s="127"/>
      <c r="K55" s="127"/>
    </row>
    <row r="56" spans="2:11">
      <c r="B56" s="21"/>
      <c r="C56" s="21"/>
      <c r="D56" s="22"/>
      <c r="E56" s="21"/>
      <c r="F56" s="21"/>
      <c r="G56" s="21"/>
      <c r="H56" s="23"/>
      <c r="I56" s="127"/>
      <c r="J56" s="127"/>
      <c r="K56" s="127"/>
    </row>
    <row r="57" spans="2:11">
      <c r="B57" s="21"/>
      <c r="C57" s="21"/>
      <c r="D57" s="22"/>
      <c r="E57" s="21"/>
      <c r="F57" s="21"/>
      <c r="G57" s="21"/>
      <c r="H57" s="23"/>
      <c r="I57" s="127"/>
      <c r="J57" s="127"/>
      <c r="K57" s="127"/>
    </row>
    <row r="58" spans="2:11">
      <c r="B58" s="21"/>
      <c r="C58" s="21"/>
      <c r="D58" s="22"/>
      <c r="E58" s="21"/>
      <c r="F58" s="21"/>
      <c r="G58" s="21"/>
      <c r="H58" s="23"/>
      <c r="I58" s="127"/>
      <c r="J58" s="127"/>
      <c r="K58" s="127"/>
    </row>
    <row r="59" spans="2:11">
      <c r="B59" s="21"/>
      <c r="C59" s="21"/>
      <c r="D59" s="22"/>
      <c r="E59" s="21"/>
      <c r="F59" s="21"/>
      <c r="G59" s="21"/>
      <c r="H59" s="23"/>
      <c r="I59" s="127"/>
      <c r="J59" s="127"/>
      <c r="K59" s="127"/>
    </row>
    <row r="60" spans="2:11">
      <c r="B60" s="21"/>
      <c r="C60" s="21"/>
      <c r="D60" s="22"/>
      <c r="E60" s="21"/>
      <c r="F60" s="21"/>
      <c r="G60" s="21"/>
      <c r="H60" s="23"/>
      <c r="I60" s="127"/>
      <c r="J60" s="127"/>
      <c r="K60" s="127"/>
    </row>
    <row r="61" spans="2:11">
      <c r="B61" s="21"/>
      <c r="C61" s="21"/>
      <c r="D61" s="22"/>
      <c r="E61" s="21"/>
      <c r="F61" s="21"/>
      <c r="G61" s="21"/>
      <c r="H61" s="23"/>
      <c r="I61" s="127"/>
      <c r="J61" s="127"/>
      <c r="K61" s="127"/>
    </row>
    <row r="62" spans="2:11">
      <c r="B62" s="21"/>
      <c r="C62" s="21"/>
      <c r="D62" s="22"/>
      <c r="E62" s="21"/>
      <c r="F62" s="21"/>
      <c r="G62" s="21"/>
      <c r="H62" s="23"/>
      <c r="I62" s="127"/>
      <c r="J62" s="127"/>
      <c r="K62" s="127"/>
    </row>
    <row r="63" spans="2:11">
      <c r="B63" s="21"/>
      <c r="C63" s="21"/>
      <c r="D63" s="22"/>
      <c r="E63" s="21"/>
      <c r="F63" s="21"/>
      <c r="G63" s="21"/>
      <c r="H63" s="23"/>
      <c r="I63" s="127"/>
      <c r="J63" s="127"/>
      <c r="K63" s="127"/>
    </row>
    <row r="64" spans="2:11">
      <c r="B64" s="21"/>
      <c r="C64" s="21"/>
      <c r="D64" s="22"/>
      <c r="E64" s="21"/>
      <c r="F64" s="21"/>
      <c r="G64" s="21"/>
      <c r="H64" s="23"/>
      <c r="I64" s="127"/>
      <c r="J64" s="127"/>
      <c r="K64" s="127"/>
    </row>
    <row r="65" spans="1:11">
      <c r="B65" s="21"/>
      <c r="C65" s="21"/>
      <c r="D65" s="22"/>
      <c r="E65" s="21"/>
      <c r="F65" s="21"/>
      <c r="G65" s="21"/>
      <c r="H65" s="23"/>
      <c r="I65" s="127"/>
      <c r="J65" s="127"/>
      <c r="K65" s="127"/>
    </row>
    <row r="66" spans="1:11">
      <c r="A66" s="129"/>
      <c r="B66" s="21"/>
      <c r="C66" s="23"/>
      <c r="D66" s="50"/>
      <c r="E66" s="49"/>
      <c r="F66" s="49"/>
      <c r="G66" s="49"/>
      <c r="H66" s="49"/>
      <c r="I66" s="49"/>
      <c r="J66" s="49"/>
      <c r="K66" s="23"/>
    </row>
    <row r="67" spans="1:11">
      <c r="A67" s="129"/>
      <c r="B67" s="21"/>
      <c r="C67" s="23"/>
      <c r="D67" s="50"/>
      <c r="E67" s="49"/>
      <c r="F67" s="49"/>
      <c r="G67" s="49"/>
      <c r="H67" s="49"/>
      <c r="I67" s="49"/>
      <c r="J67" s="49"/>
      <c r="K67" s="23"/>
    </row>
    <row r="68" spans="1:11">
      <c r="A68" s="129"/>
      <c r="B68" s="21"/>
      <c r="C68" s="23"/>
      <c r="D68" s="50"/>
      <c r="E68" s="49"/>
      <c r="F68" s="49"/>
      <c r="G68" s="49"/>
      <c r="H68" s="49"/>
      <c r="I68" s="49"/>
      <c r="J68" s="49"/>
      <c r="K68" s="23"/>
    </row>
    <row r="69" spans="1:11">
      <c r="A69" s="129"/>
      <c r="B69" s="21"/>
      <c r="C69" s="23"/>
      <c r="D69" s="50"/>
      <c r="E69" s="49"/>
      <c r="F69" s="49"/>
      <c r="G69" s="49"/>
      <c r="H69" s="49"/>
      <c r="I69" s="49"/>
      <c r="J69" s="49"/>
      <c r="K69" s="23"/>
    </row>
    <row r="70" spans="1:11">
      <c r="J70" s="23"/>
      <c r="K70" s="20" t="s">
        <v>301</v>
      </c>
    </row>
    <row r="71" spans="1:11">
      <c r="B71" s="21"/>
      <c r="C71" s="21"/>
      <c r="D71" s="22"/>
      <c r="E71" s="21"/>
      <c r="F71" s="21"/>
      <c r="G71" s="21"/>
      <c r="H71" s="23"/>
      <c r="I71" s="23"/>
      <c r="J71" s="254" t="s">
        <v>186</v>
      </c>
      <c r="K71" s="254"/>
    </row>
    <row r="72" spans="1:11">
      <c r="B72" s="23"/>
      <c r="C72" s="23"/>
      <c r="D72" s="23"/>
      <c r="E72" s="23"/>
      <c r="F72" s="23"/>
      <c r="G72" s="23"/>
      <c r="H72" s="23"/>
      <c r="I72" s="23"/>
      <c r="J72" s="23"/>
      <c r="K72" s="23"/>
    </row>
    <row r="73" spans="1:11">
      <c r="B73" s="21" t="str">
        <f>B4</f>
        <v xml:space="preserve">Formula Rate - Non-Levelized </v>
      </c>
      <c r="C73" s="21"/>
      <c r="D73" s="22" t="str">
        <f>D4</f>
        <v xml:space="preserve">     Rate Formula Template</v>
      </c>
      <c r="E73" s="21"/>
      <c r="F73" s="21"/>
      <c r="G73" s="21"/>
      <c r="H73" s="21"/>
      <c r="J73" s="21"/>
      <c r="K73" s="127" t="str">
        <f>K4</f>
        <v>For the 12 months ended 12/31/_2016_</v>
      </c>
    </row>
    <row r="74" spans="1:11">
      <c r="B74" s="21"/>
      <c r="C74" s="6" t="s">
        <v>2</v>
      </c>
      <c r="D74" s="6" t="str">
        <f>D5</f>
        <v xml:space="preserve"> Utilizing RUS Form 12 Data</v>
      </c>
      <c r="E74" s="6"/>
      <c r="F74" s="6"/>
      <c r="G74" s="6"/>
      <c r="H74" s="6"/>
      <c r="I74" s="6"/>
      <c r="J74" s="6"/>
      <c r="K74" s="6"/>
    </row>
    <row r="75" spans="1:11">
      <c r="B75" s="21"/>
      <c r="C75" s="6" t="s">
        <v>2</v>
      </c>
      <c r="D75" s="6" t="s">
        <v>2</v>
      </c>
      <c r="E75" s="6"/>
      <c r="F75" s="6"/>
      <c r="G75" s="6" t="s">
        <v>2</v>
      </c>
      <c r="H75" s="6"/>
      <c r="I75" s="6"/>
      <c r="J75" s="6"/>
      <c r="K75" s="6"/>
    </row>
    <row r="76" spans="1:11">
      <c r="B76" s="21"/>
      <c r="C76" s="23"/>
      <c r="D76" s="6" t="str">
        <f>D7</f>
        <v>Central Iowa Power Cooperative</v>
      </c>
      <c r="E76" s="6"/>
      <c r="F76" s="6"/>
      <c r="G76" s="6"/>
      <c r="H76" s="6"/>
      <c r="I76" s="6"/>
      <c r="J76" s="6"/>
      <c r="K76" s="6"/>
    </row>
    <row r="77" spans="1:11">
      <c r="B77" s="129" t="s">
        <v>41</v>
      </c>
      <c r="C77" s="129" t="s">
        <v>42</v>
      </c>
      <c r="D77" s="129" t="s">
        <v>43</v>
      </c>
      <c r="E77" s="6" t="s">
        <v>2</v>
      </c>
      <c r="F77" s="6"/>
      <c r="G77" s="52" t="s">
        <v>44</v>
      </c>
      <c r="H77" s="6"/>
      <c r="I77" s="53" t="s">
        <v>45</v>
      </c>
      <c r="J77" s="6"/>
      <c r="K77" s="129"/>
    </row>
    <row r="78" spans="1:11">
      <c r="B78" s="21"/>
      <c r="C78" s="54" t="s">
        <v>46</v>
      </c>
      <c r="D78" s="6"/>
      <c r="E78" s="6"/>
      <c r="F78" s="6"/>
      <c r="G78" s="129"/>
      <c r="H78" s="6"/>
      <c r="I78" s="55" t="s">
        <v>47</v>
      </c>
      <c r="J78" s="6"/>
      <c r="K78" s="129"/>
    </row>
    <row r="79" spans="1:11">
      <c r="A79" s="129" t="s">
        <v>4</v>
      </c>
      <c r="B79" s="21"/>
      <c r="C79" s="56" t="s">
        <v>48</v>
      </c>
      <c r="D79" s="55" t="s">
        <v>49</v>
      </c>
      <c r="E79" s="57"/>
      <c r="F79" s="55" t="s">
        <v>50</v>
      </c>
      <c r="H79" s="57"/>
      <c r="I79" s="129" t="s">
        <v>51</v>
      </c>
      <c r="J79" s="6"/>
      <c r="K79" s="129"/>
    </row>
    <row r="80" spans="1:11" ht="16.2" thickBot="1">
      <c r="A80" s="30" t="s">
        <v>6</v>
      </c>
      <c r="B80" s="58" t="s">
        <v>52</v>
      </c>
      <c r="C80" s="6"/>
      <c r="D80" s="6"/>
      <c r="E80" s="6"/>
      <c r="F80" s="6"/>
      <c r="G80" s="6"/>
      <c r="H80" s="6"/>
      <c r="I80" s="6"/>
      <c r="J80" s="6"/>
      <c r="K80" s="6"/>
    </row>
    <row r="81" spans="1:11">
      <c r="A81" s="129"/>
      <c r="B81" s="21" t="s">
        <v>269</v>
      </c>
      <c r="C81" s="6"/>
      <c r="D81" s="6"/>
      <c r="E81" s="6"/>
      <c r="F81" s="6"/>
      <c r="G81" s="6"/>
      <c r="H81" s="6"/>
      <c r="I81" s="6"/>
      <c r="J81" s="6"/>
      <c r="K81" s="6"/>
    </row>
    <row r="82" spans="1:11">
      <c r="A82" s="129">
        <v>1</v>
      </c>
      <c r="B82" s="21" t="s">
        <v>53</v>
      </c>
      <c r="C82" s="19" t="s">
        <v>54</v>
      </c>
      <c r="D82" s="59">
        <v>482921242</v>
      </c>
      <c r="E82" s="6"/>
      <c r="F82" s="6" t="s">
        <v>55</v>
      </c>
      <c r="G82" s="60" t="s">
        <v>2</v>
      </c>
      <c r="H82" s="6"/>
      <c r="I82" s="6" t="s">
        <v>2</v>
      </c>
      <c r="J82" s="6"/>
      <c r="K82" s="251" t="s">
        <v>440</v>
      </c>
    </row>
    <row r="83" spans="1:11">
      <c r="A83" s="129">
        <v>2</v>
      </c>
      <c r="B83" s="21" t="s">
        <v>56</v>
      </c>
      <c r="C83" s="19" t="s">
        <v>57</v>
      </c>
      <c r="D83" s="59">
        <v>254735343</v>
      </c>
      <c r="E83" s="6"/>
      <c r="F83" s="6" t="s">
        <v>12</v>
      </c>
      <c r="G83" s="60">
        <f>I223</f>
        <v>1</v>
      </c>
      <c r="H83" s="6"/>
      <c r="I83" s="6">
        <f>+G83*D83</f>
        <v>254735343</v>
      </c>
      <c r="J83" s="6"/>
      <c r="K83" s="251" t="s">
        <v>441</v>
      </c>
    </row>
    <row r="84" spans="1:11">
      <c r="A84" s="129">
        <v>3</v>
      </c>
      <c r="B84" s="21" t="s">
        <v>58</v>
      </c>
      <c r="C84" s="19" t="s">
        <v>187</v>
      </c>
      <c r="D84" s="59">
        <v>454256</v>
      </c>
      <c r="E84" s="6"/>
      <c r="F84" s="6" t="s">
        <v>55</v>
      </c>
      <c r="G84" s="60" t="s">
        <v>2</v>
      </c>
      <c r="H84" s="6"/>
      <c r="I84" s="6" t="s">
        <v>2</v>
      </c>
      <c r="J84" s="6"/>
      <c r="K84" s="251" t="s">
        <v>442</v>
      </c>
    </row>
    <row r="85" spans="1:11">
      <c r="A85" s="129">
        <v>4</v>
      </c>
      <c r="B85" s="21" t="s">
        <v>59</v>
      </c>
      <c r="C85" s="19" t="s">
        <v>270</v>
      </c>
      <c r="D85" s="59">
        <f>4535314+18015225</f>
        <v>22550539</v>
      </c>
      <c r="E85" s="6"/>
      <c r="F85" s="6" t="s">
        <v>60</v>
      </c>
      <c r="G85" s="60">
        <f>I231</f>
        <v>0.60683985878462576</v>
      </c>
      <c r="H85" s="6"/>
      <c r="I85" s="6">
        <f>+G85*D85</f>
        <v>13684565.902277196</v>
      </c>
      <c r="J85" s="6"/>
      <c r="K85" s="251" t="s">
        <v>443</v>
      </c>
    </row>
    <row r="86" spans="1:11" ht="16.2" thickBot="1">
      <c r="A86" s="129">
        <v>5</v>
      </c>
      <c r="B86" s="21" t="s">
        <v>61</v>
      </c>
      <c r="C86" s="6"/>
      <c r="D86" s="61">
        <v>0</v>
      </c>
      <c r="E86" s="6"/>
      <c r="F86" s="6" t="s">
        <v>62</v>
      </c>
      <c r="G86" s="60">
        <f>K235</f>
        <v>0</v>
      </c>
      <c r="H86" s="6"/>
      <c r="I86" s="36">
        <f>+G86*D86</f>
        <v>0</v>
      </c>
      <c r="J86" s="6"/>
      <c r="K86" s="251"/>
    </row>
    <row r="87" spans="1:11">
      <c r="A87" s="129">
        <v>6</v>
      </c>
      <c r="B87" s="21" t="s">
        <v>237</v>
      </c>
      <c r="C87" s="6"/>
      <c r="D87" s="6">
        <f>SUM(D82:D86)</f>
        <v>760661380</v>
      </c>
      <c r="E87" s="6"/>
      <c r="F87" s="6" t="s">
        <v>63</v>
      </c>
      <c r="G87" s="62">
        <f>IF(I87&gt;0,I87/D87,0)</f>
        <v>0.35287700409119915</v>
      </c>
      <c r="H87" s="6"/>
      <c r="I87" s="6">
        <f>SUM(I82:I86)</f>
        <v>268419908.9022772</v>
      </c>
      <c r="J87" s="6"/>
      <c r="K87" s="252"/>
    </row>
    <row r="88" spans="1:11">
      <c r="B88" s="21"/>
      <c r="C88" s="6"/>
      <c r="D88" s="6"/>
      <c r="E88" s="6"/>
      <c r="F88" s="6"/>
      <c r="G88" s="62"/>
      <c r="H88" s="6"/>
      <c r="I88" s="6"/>
      <c r="J88" s="6"/>
      <c r="K88" s="252"/>
    </row>
    <row r="89" spans="1:11">
      <c r="B89" s="21" t="s">
        <v>271</v>
      </c>
      <c r="C89" s="6"/>
      <c r="D89" s="6"/>
      <c r="E89" s="6"/>
      <c r="F89" s="6"/>
      <c r="G89" s="6"/>
      <c r="H89" s="6"/>
      <c r="I89" s="6"/>
      <c r="J89" s="6"/>
      <c r="K89" s="251"/>
    </row>
    <row r="90" spans="1:11">
      <c r="A90" s="129">
        <v>7</v>
      </c>
      <c r="B90" s="21" t="str">
        <f>+B82</f>
        <v xml:space="preserve">  Production</v>
      </c>
      <c r="C90" s="19" t="s">
        <v>188</v>
      </c>
      <c r="D90" s="63">
        <f>129312287+155354909</f>
        <v>284667196</v>
      </c>
      <c r="E90" s="6"/>
      <c r="F90" s="6" t="str">
        <f t="shared" ref="F90:G94" si="0">+F82</f>
        <v>NA</v>
      </c>
      <c r="G90" s="60" t="str">
        <f t="shared" si="0"/>
        <v xml:space="preserve"> </v>
      </c>
      <c r="H90" s="6"/>
      <c r="I90" s="6" t="s">
        <v>2</v>
      </c>
      <c r="J90" s="6"/>
      <c r="K90" s="251" t="s">
        <v>444</v>
      </c>
    </row>
    <row r="91" spans="1:11">
      <c r="A91" s="129">
        <v>8</v>
      </c>
      <c r="B91" s="21" t="str">
        <f>+B83</f>
        <v xml:space="preserve">  Transmission</v>
      </c>
      <c r="C91" s="19" t="s">
        <v>189</v>
      </c>
      <c r="D91" s="63">
        <v>98265984</v>
      </c>
      <c r="E91" s="6"/>
      <c r="F91" s="6" t="str">
        <f t="shared" si="0"/>
        <v>TP</v>
      </c>
      <c r="G91" s="60">
        <f>I223</f>
        <v>1</v>
      </c>
      <c r="H91" s="6"/>
      <c r="I91" s="6">
        <f>+G91*D91</f>
        <v>98265984</v>
      </c>
      <c r="J91" s="6"/>
      <c r="K91" s="251" t="s">
        <v>445</v>
      </c>
    </row>
    <row r="92" spans="1:11">
      <c r="A92" s="129">
        <v>9</v>
      </c>
      <c r="B92" s="21" t="str">
        <f>+B84</f>
        <v xml:space="preserve">  Distribution</v>
      </c>
      <c r="C92" s="1" t="s">
        <v>190</v>
      </c>
      <c r="D92" s="63">
        <v>449399</v>
      </c>
      <c r="E92" s="6"/>
      <c r="F92" s="6" t="str">
        <f t="shared" si="0"/>
        <v>NA</v>
      </c>
      <c r="G92" s="60" t="str">
        <f t="shared" si="0"/>
        <v xml:space="preserve"> </v>
      </c>
      <c r="H92" s="6"/>
      <c r="I92" s="6" t="s">
        <v>2</v>
      </c>
      <c r="J92" s="6"/>
      <c r="K92" s="251" t="s">
        <v>446</v>
      </c>
    </row>
    <row r="93" spans="1:11">
      <c r="A93" s="129">
        <v>10</v>
      </c>
      <c r="B93" s="21" t="str">
        <f>+B85</f>
        <v xml:space="preserve">  General &amp; Intangible</v>
      </c>
      <c r="C93" s="1" t="s">
        <v>293</v>
      </c>
      <c r="D93" s="59">
        <f>8581617+1513461</f>
        <v>10095078</v>
      </c>
      <c r="E93" s="6"/>
      <c r="F93" s="6" t="str">
        <f t="shared" si="0"/>
        <v>W/S</v>
      </c>
      <c r="G93" s="60">
        <f t="shared" si="0"/>
        <v>0.60683985878462576</v>
      </c>
      <c r="H93" s="6"/>
      <c r="I93" s="6">
        <f>+G93*D93</f>
        <v>6126095.7079397822</v>
      </c>
      <c r="J93" s="6"/>
      <c r="K93" s="251" t="s">
        <v>447</v>
      </c>
    </row>
    <row r="94" spans="1:11" ht="16.2" thickBot="1">
      <c r="A94" s="129">
        <v>11</v>
      </c>
      <c r="B94" s="21" t="str">
        <f>+B86</f>
        <v xml:space="preserve">  Common</v>
      </c>
      <c r="C94" s="8"/>
      <c r="D94" s="61">
        <v>0</v>
      </c>
      <c r="E94" s="6"/>
      <c r="F94" s="6" t="str">
        <f t="shared" si="0"/>
        <v>CE</v>
      </c>
      <c r="G94" s="60">
        <f t="shared" si="0"/>
        <v>0</v>
      </c>
      <c r="H94" s="6"/>
      <c r="I94" s="36">
        <f>+G94*D94</f>
        <v>0</v>
      </c>
      <c r="J94" s="6"/>
      <c r="K94" s="6"/>
    </row>
    <row r="95" spans="1:11">
      <c r="A95" s="129">
        <v>12</v>
      </c>
      <c r="B95" s="21" t="s">
        <v>238</v>
      </c>
      <c r="C95" s="6"/>
      <c r="D95" s="6">
        <f>SUM(D90:D94)</f>
        <v>393477657</v>
      </c>
      <c r="E95" s="6"/>
      <c r="F95" s="6"/>
      <c r="G95" s="6"/>
      <c r="H95" s="6"/>
      <c r="I95" s="6">
        <f>SUM(I90:I94)</f>
        <v>104392079.70793979</v>
      </c>
      <c r="J95" s="6"/>
      <c r="K95" s="6"/>
    </row>
    <row r="96" spans="1:11">
      <c r="A96" s="129"/>
      <c r="C96" s="6" t="s">
        <v>2</v>
      </c>
      <c r="E96" s="6"/>
      <c r="F96" s="6"/>
      <c r="G96" s="62"/>
      <c r="H96" s="6"/>
      <c r="J96" s="6"/>
      <c r="K96" s="62"/>
    </row>
    <row r="97" spans="1:11">
      <c r="A97" s="129"/>
      <c r="B97" s="21" t="s">
        <v>64</v>
      </c>
      <c r="C97" s="6"/>
      <c r="D97" s="6"/>
      <c r="E97" s="6"/>
      <c r="F97" s="6"/>
      <c r="G97" s="6"/>
      <c r="H97" s="6"/>
      <c r="I97" s="6"/>
      <c r="J97" s="6"/>
      <c r="K97" s="6"/>
    </row>
    <row r="98" spans="1:11">
      <c r="A98" s="129">
        <v>13</v>
      </c>
      <c r="B98" s="21" t="str">
        <f>+B90</f>
        <v xml:space="preserve">  Production</v>
      </c>
      <c r="C98" s="6" t="s">
        <v>210</v>
      </c>
      <c r="D98" s="6">
        <f>D82-D90</f>
        <v>198254046</v>
      </c>
      <c r="E98" s="6"/>
      <c r="F98" s="6"/>
      <c r="G98" s="62"/>
      <c r="H98" s="6"/>
      <c r="I98" s="6" t="s">
        <v>2</v>
      </c>
      <c r="J98" s="6"/>
      <c r="K98" s="62"/>
    </row>
    <row r="99" spans="1:11">
      <c r="A99" s="129">
        <v>14</v>
      </c>
      <c r="B99" s="21" t="str">
        <f>+B91</f>
        <v xml:space="preserve">  Transmission</v>
      </c>
      <c r="C99" s="6" t="s">
        <v>211</v>
      </c>
      <c r="D99" s="6">
        <f>D83-D91</f>
        <v>156469359</v>
      </c>
      <c r="E99" s="6"/>
      <c r="F99" s="6"/>
      <c r="G99" s="60"/>
      <c r="H99" s="6"/>
      <c r="I99" s="6">
        <f>I83-I91</f>
        <v>156469359</v>
      </c>
      <c r="J99" s="6"/>
      <c r="K99" s="62"/>
    </row>
    <row r="100" spans="1:11">
      <c r="A100" s="129">
        <v>15</v>
      </c>
      <c r="B100" s="21" t="str">
        <f>+B92</f>
        <v xml:space="preserve">  Distribution</v>
      </c>
      <c r="C100" s="6" t="s">
        <v>212</v>
      </c>
      <c r="D100" s="6">
        <f>D84-D92</f>
        <v>4857</v>
      </c>
      <c r="E100" s="6"/>
      <c r="F100" s="6"/>
      <c r="G100" s="62"/>
      <c r="H100" s="6"/>
      <c r="I100" s="6" t="s">
        <v>2</v>
      </c>
      <c r="J100" s="6"/>
      <c r="K100" s="62"/>
    </row>
    <row r="101" spans="1:11">
      <c r="A101" s="129">
        <v>16</v>
      </c>
      <c r="B101" s="21" t="str">
        <f>+B93</f>
        <v xml:space="preserve">  General &amp; Intangible</v>
      </c>
      <c r="C101" s="6" t="s">
        <v>213</v>
      </c>
      <c r="D101" s="6">
        <f>D85-D93</f>
        <v>12455461</v>
      </c>
      <c r="E101" s="6"/>
      <c r="F101" s="6"/>
      <c r="G101" s="62"/>
      <c r="H101" s="6"/>
      <c r="I101" s="6">
        <f>I85-I93</f>
        <v>7558470.1943374136</v>
      </c>
      <c r="J101" s="6"/>
      <c r="K101" s="62"/>
    </row>
    <row r="102" spans="1:11" ht="16.2" thickBot="1">
      <c r="A102" s="129">
        <v>17</v>
      </c>
      <c r="B102" s="21" t="str">
        <f>+B94</f>
        <v xml:space="preserve">  Common</v>
      </c>
      <c r="C102" s="6" t="s">
        <v>214</v>
      </c>
      <c r="D102" s="36">
        <f>D86-D94</f>
        <v>0</v>
      </c>
      <c r="E102" s="6"/>
      <c r="F102" s="6"/>
      <c r="G102" s="62"/>
      <c r="H102" s="6"/>
      <c r="I102" s="36">
        <f>I86-I94</f>
        <v>0</v>
      </c>
      <c r="J102" s="6"/>
      <c r="K102" s="62"/>
    </row>
    <row r="103" spans="1:11">
      <c r="A103" s="129">
        <v>18</v>
      </c>
      <c r="B103" s="21" t="s">
        <v>239</v>
      </c>
      <c r="C103" s="6"/>
      <c r="D103" s="6">
        <f>SUM(D98:D102)</f>
        <v>367183723</v>
      </c>
      <c r="E103" s="6"/>
      <c r="F103" s="6" t="s">
        <v>65</v>
      </c>
      <c r="G103" s="62">
        <f>IF(I103&gt;0,I103/D103,0)</f>
        <v>0.44671868310006058</v>
      </c>
      <c r="H103" s="6"/>
      <c r="I103" s="6">
        <f>SUM(I98:I102)</f>
        <v>164027829.19433743</v>
      </c>
      <c r="J103" s="6"/>
      <c r="K103" s="6"/>
    </row>
    <row r="104" spans="1:11">
      <c r="A104" s="129"/>
      <c r="C104" s="6"/>
      <c r="E104" s="6"/>
      <c r="H104" s="6"/>
      <c r="J104" s="6"/>
      <c r="K104" s="62"/>
    </row>
    <row r="105" spans="1:11">
      <c r="A105" s="129"/>
      <c r="B105" s="21" t="s">
        <v>215</v>
      </c>
      <c r="C105" s="6"/>
      <c r="D105" s="6"/>
      <c r="E105" s="6"/>
      <c r="F105" s="6"/>
      <c r="G105" s="6"/>
      <c r="H105" s="6"/>
      <c r="I105" s="6"/>
      <c r="J105" s="6"/>
      <c r="K105" s="6"/>
    </row>
    <row r="106" spans="1:11">
      <c r="A106" s="129">
        <v>19</v>
      </c>
      <c r="B106" s="21" t="s">
        <v>66</v>
      </c>
      <c r="C106" s="6"/>
      <c r="D106" s="63">
        <v>0</v>
      </c>
      <c r="E106" s="6"/>
      <c r="F106" s="6"/>
      <c r="G106" s="64" t="s">
        <v>176</v>
      </c>
      <c r="H106" s="6"/>
      <c r="I106" s="6">
        <v>0</v>
      </c>
      <c r="J106" s="6"/>
      <c r="K106" s="62"/>
    </row>
    <row r="107" spans="1:11">
      <c r="A107" s="129">
        <v>20</v>
      </c>
      <c r="B107" s="21" t="s">
        <v>68</v>
      </c>
      <c r="C107" s="6"/>
      <c r="D107" s="63">
        <v>0</v>
      </c>
      <c r="E107" s="6"/>
      <c r="F107" s="6" t="s">
        <v>67</v>
      </c>
      <c r="G107" s="60">
        <f>+G103</f>
        <v>0.44671868310006058</v>
      </c>
      <c r="H107" s="6"/>
      <c r="I107" s="6">
        <f>D107*G107</f>
        <v>0</v>
      </c>
      <c r="J107" s="6"/>
      <c r="K107" s="62"/>
    </row>
    <row r="108" spans="1:11">
      <c r="A108" s="129">
        <v>21</v>
      </c>
      <c r="B108" s="21" t="s">
        <v>69</v>
      </c>
      <c r="C108" s="6"/>
      <c r="D108" s="59">
        <v>0</v>
      </c>
      <c r="E108" s="6"/>
      <c r="F108" s="6" t="s">
        <v>67</v>
      </c>
      <c r="G108" s="60">
        <f>+G107</f>
        <v>0.44671868310006058</v>
      </c>
      <c r="H108" s="6"/>
      <c r="I108" s="6">
        <f>D108*G108</f>
        <v>0</v>
      </c>
      <c r="J108" s="6"/>
      <c r="K108" s="62"/>
    </row>
    <row r="109" spans="1:11">
      <c r="A109" s="129">
        <v>22</v>
      </c>
      <c r="B109" s="21" t="s">
        <v>70</v>
      </c>
      <c r="C109" s="6"/>
      <c r="D109" s="59">
        <v>0</v>
      </c>
      <c r="E109" s="6"/>
      <c r="F109" s="6" t="str">
        <f>+F108</f>
        <v>NP</v>
      </c>
      <c r="G109" s="60">
        <f>+G108</f>
        <v>0.44671868310006058</v>
      </c>
      <c r="H109" s="6"/>
      <c r="I109" s="6">
        <f>D109*G109</f>
        <v>0</v>
      </c>
      <c r="J109" s="6"/>
      <c r="K109" s="62"/>
    </row>
    <row r="110" spans="1:11" ht="16.2" thickBot="1">
      <c r="A110" s="129">
        <v>23</v>
      </c>
      <c r="B110" s="19" t="s">
        <v>71</v>
      </c>
      <c r="D110" s="61">
        <v>0</v>
      </c>
      <c r="E110" s="6"/>
      <c r="F110" s="6" t="s">
        <v>67</v>
      </c>
      <c r="G110" s="60">
        <f>+G108</f>
        <v>0.44671868310006058</v>
      </c>
      <c r="H110" s="6"/>
      <c r="I110" s="36">
        <f>D110*G110</f>
        <v>0</v>
      </c>
      <c r="J110" s="6"/>
      <c r="K110" s="6"/>
    </row>
    <row r="111" spans="1:11">
      <c r="A111" s="129">
        <v>24</v>
      </c>
      <c r="B111" s="21" t="s">
        <v>240</v>
      </c>
      <c r="C111" s="6"/>
      <c r="D111" s="6">
        <f>SUM(D106:D110)</f>
        <v>0</v>
      </c>
      <c r="E111" s="6"/>
      <c r="F111" s="6"/>
      <c r="G111" s="6"/>
      <c r="H111" s="6"/>
      <c r="I111" s="6">
        <f>SUM(I106:I110)</f>
        <v>0</v>
      </c>
      <c r="J111" s="6"/>
      <c r="K111" s="6"/>
    </row>
    <row r="112" spans="1:11">
      <c r="A112" s="129"/>
      <c r="C112" s="6"/>
      <c r="E112" s="6"/>
      <c r="F112" s="6"/>
      <c r="G112" s="62"/>
      <c r="H112" s="6"/>
      <c r="J112" s="6"/>
      <c r="K112" s="62"/>
    </row>
    <row r="113" spans="1:11">
      <c r="A113" s="129">
        <v>25</v>
      </c>
      <c r="B113" s="21" t="s">
        <v>72</v>
      </c>
      <c r="C113" s="6" t="s">
        <v>205</v>
      </c>
      <c r="D113" s="63">
        <v>0</v>
      </c>
      <c r="E113" s="6"/>
      <c r="F113" s="6" t="str">
        <f>+F91</f>
        <v>TP</v>
      </c>
      <c r="G113" s="60">
        <f>+G91</f>
        <v>1</v>
      </c>
      <c r="H113" s="6"/>
      <c r="I113" s="6">
        <f>+G113*D113</f>
        <v>0</v>
      </c>
      <c r="J113" s="6"/>
      <c r="K113" s="6"/>
    </row>
    <row r="114" spans="1:11">
      <c r="A114" s="129"/>
      <c r="B114" s="21"/>
      <c r="C114" s="6"/>
      <c r="D114" s="6"/>
      <c r="E114" s="6"/>
      <c r="F114" s="6"/>
      <c r="G114" s="6"/>
      <c r="H114" s="6"/>
      <c r="I114" s="6"/>
      <c r="J114" s="6"/>
      <c r="K114" s="6"/>
    </row>
    <row r="115" spans="1:11">
      <c r="A115" s="129"/>
      <c r="B115" s="21" t="s">
        <v>169</v>
      </c>
      <c r="D115" s="6"/>
      <c r="E115" s="6"/>
      <c r="F115" s="6"/>
      <c r="G115" s="6"/>
      <c r="H115" s="6"/>
      <c r="I115" s="6"/>
      <c r="J115" s="6"/>
      <c r="K115" s="6"/>
    </row>
    <row r="116" spans="1:11">
      <c r="A116" s="129">
        <v>26</v>
      </c>
      <c r="B116" s="21" t="s">
        <v>170</v>
      </c>
      <c r="C116" s="6" t="s">
        <v>73</v>
      </c>
      <c r="D116" s="6">
        <f>D152/8</f>
        <v>2458088.75</v>
      </c>
      <c r="E116" s="6"/>
      <c r="F116" s="6"/>
      <c r="G116" s="62"/>
      <c r="H116" s="6"/>
      <c r="I116" s="6">
        <f>I152/8</f>
        <v>2011831.5608472759</v>
      </c>
      <c r="J116" s="23"/>
      <c r="K116" s="62"/>
    </row>
    <row r="117" spans="1:11">
      <c r="A117" s="129">
        <v>27</v>
      </c>
      <c r="B117" s="21" t="s">
        <v>74</v>
      </c>
      <c r="C117" s="19" t="s">
        <v>191</v>
      </c>
      <c r="D117" s="63">
        <f>222736+1048708</f>
        <v>1271444</v>
      </c>
      <c r="E117" s="6"/>
      <c r="F117" s="6" t="s">
        <v>75</v>
      </c>
      <c r="G117" s="60">
        <f>I224</f>
        <v>0.94950042182899996</v>
      </c>
      <c r="H117" s="6"/>
      <c r="I117" s="6">
        <f>+G117*D117</f>
        <v>1207236.6143319511</v>
      </c>
      <c r="J117" s="6" t="s">
        <v>2</v>
      </c>
      <c r="K117" s="252" t="s">
        <v>448</v>
      </c>
    </row>
    <row r="118" spans="1:11" ht="16.2" thickBot="1">
      <c r="A118" s="129">
        <v>28</v>
      </c>
      <c r="B118" s="21" t="s">
        <v>76</v>
      </c>
      <c r="C118" s="19" t="s">
        <v>272</v>
      </c>
      <c r="D118" s="61">
        <v>490398</v>
      </c>
      <c r="E118" s="6"/>
      <c r="F118" s="6" t="s">
        <v>77</v>
      </c>
      <c r="G118" s="60">
        <f>+G87</f>
        <v>0.35287700409119915</v>
      </c>
      <c r="H118" s="6"/>
      <c r="I118" s="36">
        <f>+G118*D118</f>
        <v>173050.17705231588</v>
      </c>
      <c r="J118" s="6"/>
      <c r="K118" s="252" t="s">
        <v>449</v>
      </c>
    </row>
    <row r="119" spans="1:11">
      <c r="A119" s="129">
        <v>29</v>
      </c>
      <c r="B119" s="21" t="s">
        <v>241</v>
      </c>
      <c r="C119" s="23"/>
      <c r="D119" s="6">
        <f>D116+D117+D118</f>
        <v>4219930.75</v>
      </c>
      <c r="E119" s="23"/>
      <c r="F119" s="23"/>
      <c r="G119" s="23"/>
      <c r="H119" s="23"/>
      <c r="I119" s="6">
        <f>I116+I117+I118</f>
        <v>3392118.352231543</v>
      </c>
      <c r="J119" s="23"/>
      <c r="K119" s="23"/>
    </row>
    <row r="120" spans="1:11" ht="16.2" thickBot="1">
      <c r="C120" s="6"/>
      <c r="D120" s="65"/>
      <c r="E120" s="6"/>
      <c r="F120" s="6"/>
      <c r="G120" s="6"/>
      <c r="H120" s="6"/>
      <c r="I120" s="65"/>
      <c r="J120" s="6"/>
      <c r="K120" s="6"/>
    </row>
    <row r="121" spans="1:11" ht="16.2" thickBot="1">
      <c r="A121" s="129">
        <v>30</v>
      </c>
      <c r="B121" s="21" t="s">
        <v>78</v>
      </c>
      <c r="C121" s="6"/>
      <c r="D121" s="66">
        <f>+D119+D113+D111+D103</f>
        <v>371403653.75</v>
      </c>
      <c r="E121" s="6"/>
      <c r="F121" s="6"/>
      <c r="G121" s="62"/>
      <c r="H121" s="6"/>
      <c r="I121" s="66">
        <f>+I119+I113+I111+I103</f>
        <v>167419947.54656896</v>
      </c>
      <c r="J121" s="6"/>
      <c r="K121" s="62"/>
    </row>
    <row r="122" spans="1:11" ht="16.2" thickTop="1">
      <c r="A122" s="129"/>
      <c r="B122" s="21"/>
      <c r="C122" s="6"/>
      <c r="D122" s="6"/>
      <c r="E122" s="6"/>
      <c r="F122" s="6"/>
      <c r="G122" s="6"/>
      <c r="H122" s="6"/>
      <c r="I122" s="6"/>
      <c r="J122" s="6"/>
      <c r="K122" s="6"/>
    </row>
    <row r="123" spans="1:11">
      <c r="A123" s="129"/>
      <c r="B123" s="21"/>
      <c r="C123" s="6"/>
      <c r="D123" s="6"/>
      <c r="E123" s="6"/>
      <c r="F123" s="6"/>
      <c r="G123" s="6"/>
      <c r="H123" s="6"/>
      <c r="I123" s="6"/>
      <c r="J123" s="6"/>
      <c r="K123" s="6"/>
    </row>
    <row r="124" spans="1:11">
      <c r="A124" s="129"/>
      <c r="B124" s="21"/>
      <c r="C124" s="6"/>
      <c r="D124" s="6"/>
      <c r="E124" s="6"/>
      <c r="F124" s="6"/>
      <c r="G124" s="6"/>
      <c r="H124" s="6"/>
      <c r="I124" s="6"/>
      <c r="J124" s="6"/>
      <c r="K124" s="6"/>
    </row>
    <row r="125" spans="1:11">
      <c r="A125" s="129"/>
      <c r="B125" s="21"/>
      <c r="C125" s="6"/>
      <c r="D125" s="6"/>
      <c r="E125" s="6"/>
      <c r="F125" s="6"/>
      <c r="G125" s="6"/>
      <c r="H125" s="6"/>
      <c r="I125" s="6"/>
      <c r="J125" s="6"/>
      <c r="K125" s="6"/>
    </row>
    <row r="126" spans="1:11">
      <c r="A126" s="129"/>
      <c r="B126" s="21"/>
      <c r="C126" s="6"/>
      <c r="D126" s="6"/>
      <c r="E126" s="6"/>
      <c r="F126" s="6"/>
      <c r="G126" s="6"/>
      <c r="H126" s="6"/>
      <c r="I126" s="6"/>
      <c r="J126" s="6"/>
      <c r="K126" s="6"/>
    </row>
    <row r="127" spans="1:11">
      <c r="A127" s="129"/>
      <c r="B127" s="21"/>
      <c r="C127" s="6"/>
      <c r="D127" s="6"/>
      <c r="E127" s="6"/>
      <c r="F127" s="6"/>
      <c r="G127" s="6"/>
      <c r="H127" s="6"/>
      <c r="I127" s="6"/>
      <c r="J127" s="6"/>
      <c r="K127" s="6"/>
    </row>
    <row r="128" spans="1:11">
      <c r="A128" s="129"/>
      <c r="B128" s="21"/>
      <c r="C128" s="6"/>
      <c r="D128" s="6"/>
      <c r="E128" s="6"/>
      <c r="F128" s="6"/>
      <c r="G128" s="6"/>
      <c r="H128" s="6"/>
      <c r="I128" s="6"/>
      <c r="J128" s="6"/>
      <c r="K128" s="6"/>
    </row>
    <row r="129" spans="1:11">
      <c r="A129" s="129"/>
      <c r="B129" s="21"/>
      <c r="C129" s="6"/>
      <c r="D129" s="6"/>
      <c r="E129" s="6"/>
      <c r="F129" s="6"/>
      <c r="G129" s="6"/>
      <c r="H129" s="6"/>
      <c r="I129" s="6"/>
      <c r="J129" s="6"/>
      <c r="K129" s="6"/>
    </row>
    <row r="130" spans="1:11">
      <c r="A130" s="129"/>
      <c r="B130" s="21"/>
      <c r="C130" s="6"/>
      <c r="D130" s="6"/>
      <c r="E130" s="6"/>
      <c r="F130" s="6"/>
      <c r="G130" s="6"/>
      <c r="H130" s="6"/>
      <c r="I130" s="6"/>
      <c r="J130" s="6"/>
      <c r="K130" s="6"/>
    </row>
    <row r="131" spans="1:11">
      <c r="A131" s="129"/>
      <c r="B131" s="21"/>
      <c r="C131" s="6"/>
      <c r="D131" s="6"/>
      <c r="E131" s="6"/>
      <c r="F131" s="6"/>
      <c r="G131" s="6"/>
      <c r="H131" s="6"/>
      <c r="I131" s="6"/>
      <c r="J131" s="6"/>
      <c r="K131" s="6"/>
    </row>
    <row r="132" spans="1:11">
      <c r="A132" s="129"/>
      <c r="B132" s="21"/>
      <c r="C132" s="6"/>
      <c r="D132" s="6"/>
      <c r="E132" s="6"/>
      <c r="F132" s="6"/>
      <c r="G132" s="6"/>
      <c r="H132" s="6"/>
      <c r="I132" s="6"/>
      <c r="J132" s="6"/>
      <c r="K132" s="20" t="s">
        <v>301</v>
      </c>
    </row>
    <row r="133" spans="1:11">
      <c r="B133" s="21"/>
      <c r="C133" s="21"/>
      <c r="D133" s="22"/>
      <c r="E133" s="21"/>
      <c r="F133" s="21"/>
      <c r="G133" s="21"/>
      <c r="H133" s="23"/>
      <c r="I133" s="23"/>
      <c r="J133" s="254" t="s">
        <v>200</v>
      </c>
      <c r="K133" s="254"/>
    </row>
    <row r="134" spans="1:11">
      <c r="A134" s="129"/>
      <c r="B134" s="21"/>
      <c r="C134" s="6"/>
      <c r="D134" s="6"/>
      <c r="E134" s="6"/>
      <c r="F134" s="6"/>
      <c r="G134" s="6"/>
      <c r="H134" s="6"/>
      <c r="I134" s="6"/>
      <c r="J134" s="6"/>
      <c r="K134" s="6"/>
    </row>
    <row r="135" spans="1:11">
      <c r="A135" s="129"/>
      <c r="B135" s="21" t="str">
        <f>B4</f>
        <v xml:space="preserve">Formula Rate - Non-Levelized </v>
      </c>
      <c r="C135" s="6"/>
      <c r="D135" s="6" t="str">
        <f>D4</f>
        <v xml:space="preserve">     Rate Formula Template</v>
      </c>
      <c r="E135" s="6"/>
      <c r="F135" s="6"/>
      <c r="G135" s="6"/>
      <c r="H135" s="6"/>
      <c r="J135" s="6"/>
      <c r="K135" s="67" t="str">
        <f>K4</f>
        <v>For the 12 months ended 12/31/_2016_</v>
      </c>
    </row>
    <row r="136" spans="1:11">
      <c r="A136" s="129"/>
      <c r="B136" s="21"/>
      <c r="C136" s="6"/>
      <c r="D136" s="6" t="str">
        <f>D5</f>
        <v xml:space="preserve"> Utilizing RUS Form 12 Data</v>
      </c>
      <c r="E136" s="6"/>
      <c r="F136" s="6"/>
      <c r="G136" s="6"/>
      <c r="H136" s="6"/>
      <c r="I136" s="6"/>
      <c r="J136" s="6"/>
      <c r="K136" s="6"/>
    </row>
    <row r="137" spans="1:11">
      <c r="A137" s="129"/>
      <c r="C137" s="6"/>
      <c r="D137" s="6"/>
      <c r="E137" s="6"/>
      <c r="F137" s="6"/>
      <c r="G137" s="6"/>
      <c r="H137" s="6"/>
      <c r="I137" s="6"/>
      <c r="J137" s="6"/>
      <c r="K137" s="6"/>
    </row>
    <row r="138" spans="1:11">
      <c r="A138" s="129"/>
      <c r="D138" s="19" t="str">
        <f>D7</f>
        <v>Central Iowa Power Cooperative</v>
      </c>
      <c r="J138" s="6"/>
      <c r="K138" s="6"/>
    </row>
    <row r="139" spans="1:11">
      <c r="A139" s="129"/>
      <c r="B139" s="129" t="s">
        <v>41</v>
      </c>
      <c r="C139" s="129" t="s">
        <v>42</v>
      </c>
      <c r="D139" s="129" t="s">
        <v>43</v>
      </c>
      <c r="E139" s="6" t="s">
        <v>2</v>
      </c>
      <c r="F139" s="6"/>
      <c r="G139" s="52" t="s">
        <v>44</v>
      </c>
      <c r="H139" s="6"/>
      <c r="I139" s="53" t="s">
        <v>45</v>
      </c>
      <c r="J139" s="6"/>
      <c r="K139" s="6"/>
    </row>
    <row r="140" spans="1:11">
      <c r="A140" s="129"/>
      <c r="B140" s="129"/>
      <c r="C140" s="23"/>
      <c r="D140" s="23"/>
      <c r="E140" s="23"/>
      <c r="F140" s="23"/>
      <c r="G140" s="23"/>
      <c r="H140" s="23"/>
      <c r="I140" s="23"/>
      <c r="J140" s="23"/>
      <c r="K140" s="55"/>
    </row>
    <row r="141" spans="1:11">
      <c r="A141" s="129" t="s">
        <v>4</v>
      </c>
      <c r="B141" s="21"/>
      <c r="C141" s="54" t="s">
        <v>46</v>
      </c>
      <c r="D141" s="6"/>
      <c r="E141" s="6"/>
      <c r="F141" s="6"/>
      <c r="G141" s="129"/>
      <c r="H141" s="6"/>
      <c r="I141" s="55" t="s">
        <v>47</v>
      </c>
      <c r="J141" s="6"/>
      <c r="K141" s="55"/>
    </row>
    <row r="142" spans="1:11" ht="16.2" thickBot="1">
      <c r="A142" s="30" t="s">
        <v>6</v>
      </c>
      <c r="B142" s="21"/>
      <c r="C142" s="56" t="s">
        <v>48</v>
      </c>
      <c r="D142" s="55" t="s">
        <v>49</v>
      </c>
      <c r="E142" s="57"/>
      <c r="F142" s="55" t="s">
        <v>50</v>
      </c>
      <c r="H142" s="57"/>
      <c r="I142" s="129" t="s">
        <v>51</v>
      </c>
      <c r="J142" s="6"/>
      <c r="K142" s="55"/>
    </row>
    <row r="143" spans="1:11">
      <c r="A143" s="129"/>
      <c r="B143" s="21" t="s">
        <v>273</v>
      </c>
      <c r="C143" s="6"/>
      <c r="D143" s="6"/>
      <c r="E143" s="6"/>
      <c r="F143" s="6"/>
      <c r="G143" s="6"/>
      <c r="H143" s="6"/>
      <c r="I143" s="6"/>
      <c r="J143" s="6"/>
      <c r="K143" s="6"/>
    </row>
    <row r="144" spans="1:11">
      <c r="A144" s="129">
        <v>1</v>
      </c>
      <c r="B144" s="21" t="s">
        <v>79</v>
      </c>
      <c r="C144" s="19" t="s">
        <v>274</v>
      </c>
      <c r="D144" s="63">
        <f>14767511+3749471</f>
        <v>18516982</v>
      </c>
      <c r="E144" s="6"/>
      <c r="F144" s="6" t="s">
        <v>75</v>
      </c>
      <c r="G144" s="60">
        <f>I224</f>
        <v>0.94950042182899996</v>
      </c>
      <c r="H144" s="6"/>
      <c r="I144" s="6">
        <f t="shared" ref="I144:I151" si="1">+G144*D144</f>
        <v>17581882.219999999</v>
      </c>
      <c r="J144" s="23"/>
      <c r="K144" s="251" t="s">
        <v>450</v>
      </c>
    </row>
    <row r="145" spans="1:11">
      <c r="A145" s="129">
        <v>2</v>
      </c>
      <c r="B145" s="21" t="s">
        <v>80</v>
      </c>
      <c r="C145" s="19" t="s">
        <v>81</v>
      </c>
      <c r="D145" s="63">
        <v>6372828</v>
      </c>
      <c r="E145" s="6"/>
      <c r="F145" s="6" t="s">
        <v>75</v>
      </c>
      <c r="G145" s="60">
        <f>+G144</f>
        <v>0.94950042182899996</v>
      </c>
      <c r="H145" s="6"/>
      <c r="I145" s="6">
        <f t="shared" si="1"/>
        <v>6051002.8742436618</v>
      </c>
      <c r="J145" s="23"/>
      <c r="K145" s="251" t="s">
        <v>451</v>
      </c>
    </row>
    <row r="146" spans="1:11">
      <c r="A146" s="129">
        <v>3</v>
      </c>
      <c r="B146" s="21" t="s">
        <v>82</v>
      </c>
      <c r="C146" s="19" t="s">
        <v>275</v>
      </c>
      <c r="D146" s="63">
        <f>6794454+726102</f>
        <v>7520556</v>
      </c>
      <c r="E146" s="6"/>
      <c r="F146" s="6" t="s">
        <v>60</v>
      </c>
      <c r="G146" s="60">
        <f>I231</f>
        <v>0.60683985878462576</v>
      </c>
      <c r="H146" s="6"/>
      <c r="I146" s="6">
        <f t="shared" si="1"/>
        <v>4563773.1410218701</v>
      </c>
      <c r="J146" s="6"/>
      <c r="K146" s="251" t="s">
        <v>452</v>
      </c>
    </row>
    <row r="147" spans="1:11">
      <c r="A147" s="129">
        <v>4</v>
      </c>
      <c r="B147" s="21" t="s">
        <v>83</v>
      </c>
      <c r="C147" s="6"/>
      <c r="D147" s="63">
        <v>0</v>
      </c>
      <c r="E147" s="6"/>
      <c r="F147" s="6" t="str">
        <f>+F146</f>
        <v>W/S</v>
      </c>
      <c r="G147" s="60">
        <f>I231</f>
        <v>0.60683985878462576</v>
      </c>
      <c r="H147" s="6"/>
      <c r="I147" s="6">
        <f t="shared" si="1"/>
        <v>0</v>
      </c>
      <c r="J147" s="6"/>
      <c r="K147" s="251"/>
    </row>
    <row r="148" spans="1:11">
      <c r="A148" s="129">
        <v>5</v>
      </c>
      <c r="B148" s="21" t="s">
        <v>216</v>
      </c>
      <c r="C148" s="6"/>
      <c r="D148" s="63">
        <v>0</v>
      </c>
      <c r="E148" s="6"/>
      <c r="F148" s="6" t="str">
        <f>+F147</f>
        <v>W/S</v>
      </c>
      <c r="G148" s="60">
        <f>I231</f>
        <v>0.60683985878462576</v>
      </c>
      <c r="H148" s="6"/>
      <c r="I148" s="6">
        <f t="shared" si="1"/>
        <v>0</v>
      </c>
      <c r="J148" s="6"/>
      <c r="K148" s="251"/>
    </row>
    <row r="149" spans="1:11">
      <c r="A149" s="129" t="s">
        <v>177</v>
      </c>
      <c r="B149" s="21" t="s">
        <v>242</v>
      </c>
      <c r="C149" s="6"/>
      <c r="D149" s="63">
        <v>0</v>
      </c>
      <c r="E149" s="6"/>
      <c r="F149" s="6" t="str">
        <f>+F144</f>
        <v>TE</v>
      </c>
      <c r="G149" s="60">
        <f>+G144</f>
        <v>0.94950042182899996</v>
      </c>
      <c r="H149" s="6"/>
      <c r="I149" s="6">
        <f t="shared" si="1"/>
        <v>0</v>
      </c>
      <c r="J149" s="6"/>
      <c r="K149" s="251"/>
    </row>
    <row r="150" spans="1:11">
      <c r="A150" s="129">
        <v>6</v>
      </c>
      <c r="B150" s="21" t="s">
        <v>61</v>
      </c>
      <c r="C150" s="6"/>
      <c r="D150" s="63">
        <v>0</v>
      </c>
      <c r="E150" s="6"/>
      <c r="F150" s="6" t="s">
        <v>62</v>
      </c>
      <c r="G150" s="60">
        <f>K235</f>
        <v>0</v>
      </c>
      <c r="H150" s="6"/>
      <c r="I150" s="6">
        <f t="shared" si="1"/>
        <v>0</v>
      </c>
      <c r="J150" s="6"/>
      <c r="K150" s="251"/>
    </row>
    <row r="151" spans="1:11" ht="16.2" thickBot="1">
      <c r="A151" s="129">
        <v>7</v>
      </c>
      <c r="B151" s="21" t="s">
        <v>84</v>
      </c>
      <c r="C151" s="6"/>
      <c r="D151" s="61">
        <v>0</v>
      </c>
      <c r="E151" s="6"/>
      <c r="F151" s="6" t="s">
        <v>55</v>
      </c>
      <c r="G151" s="60">
        <v>1</v>
      </c>
      <c r="H151" s="6"/>
      <c r="I151" s="36">
        <f t="shared" si="1"/>
        <v>0</v>
      </c>
      <c r="J151" s="6"/>
      <c r="K151" s="251"/>
    </row>
    <row r="152" spans="1:11">
      <c r="A152" s="129">
        <v>8</v>
      </c>
      <c r="B152" s="21" t="s">
        <v>184</v>
      </c>
      <c r="C152" s="6"/>
      <c r="D152" s="6">
        <f>+D144-D145+D146-D147-D148+D149+D150+D151</f>
        <v>19664710</v>
      </c>
      <c r="E152" s="6"/>
      <c r="F152" s="6"/>
      <c r="G152" s="6"/>
      <c r="H152" s="6"/>
      <c r="I152" s="6">
        <f>+I144-I145+I146-I147-I148+I149+I150+I151</f>
        <v>16094652.486778207</v>
      </c>
      <c r="J152" s="6"/>
      <c r="K152" s="251"/>
    </row>
    <row r="153" spans="1:11">
      <c r="A153" s="129"/>
      <c r="C153" s="6"/>
      <c r="E153" s="6"/>
      <c r="F153" s="6"/>
      <c r="G153" s="6"/>
      <c r="H153" s="6"/>
      <c r="J153" s="6"/>
      <c r="K153" s="251"/>
    </row>
    <row r="154" spans="1:11">
      <c r="A154" s="129"/>
      <c r="B154" s="21" t="s">
        <v>276</v>
      </c>
      <c r="C154" s="6"/>
      <c r="D154" s="6"/>
      <c r="E154" s="6"/>
      <c r="F154" s="6"/>
      <c r="G154" s="6"/>
      <c r="H154" s="6"/>
      <c r="I154" s="6"/>
      <c r="J154" s="6"/>
      <c r="K154" s="251"/>
    </row>
    <row r="155" spans="1:11">
      <c r="A155" s="129">
        <v>9</v>
      </c>
      <c r="B155" s="21" t="str">
        <f>+B144</f>
        <v xml:space="preserve">  Transmission </v>
      </c>
      <c r="C155" s="19" t="s">
        <v>192</v>
      </c>
      <c r="D155" s="63">
        <v>7487283</v>
      </c>
      <c r="E155" s="6"/>
      <c r="F155" s="6" t="s">
        <v>12</v>
      </c>
      <c r="G155" s="60">
        <f>+G113</f>
        <v>1</v>
      </c>
      <c r="H155" s="6"/>
      <c r="I155" s="6">
        <f>+G155*D155</f>
        <v>7487283</v>
      </c>
      <c r="J155" s="6"/>
      <c r="K155" s="252" t="s">
        <v>453</v>
      </c>
    </row>
    <row r="156" spans="1:11">
      <c r="A156" s="129">
        <v>10</v>
      </c>
      <c r="B156" s="21" t="s">
        <v>59</v>
      </c>
      <c r="C156" s="19" t="s">
        <v>277</v>
      </c>
      <c r="D156" s="63">
        <f>1150437+178450</f>
        <v>1328887</v>
      </c>
      <c r="E156" s="6"/>
      <c r="F156" s="6" t="s">
        <v>60</v>
      </c>
      <c r="G156" s="60">
        <f>+G146</f>
        <v>0.60683985878462576</v>
      </c>
      <c r="H156" s="6"/>
      <c r="I156" s="6">
        <f>+G156*D156</f>
        <v>806421.59942072502</v>
      </c>
      <c r="J156" s="6"/>
      <c r="K156" s="252" t="s">
        <v>454</v>
      </c>
    </row>
    <row r="157" spans="1:11" ht="16.2" thickBot="1">
      <c r="A157" s="129">
        <v>11</v>
      </c>
      <c r="B157" s="21" t="str">
        <f>+B150</f>
        <v xml:space="preserve">  Common</v>
      </c>
      <c r="C157" s="6"/>
      <c r="D157" s="61">
        <v>0</v>
      </c>
      <c r="E157" s="6"/>
      <c r="F157" s="6" t="s">
        <v>62</v>
      </c>
      <c r="G157" s="60">
        <f>+G150</f>
        <v>0</v>
      </c>
      <c r="H157" s="6"/>
      <c r="I157" s="36">
        <f>+G157*D157</f>
        <v>0</v>
      </c>
      <c r="J157" s="6"/>
      <c r="K157" s="252"/>
    </row>
    <row r="158" spans="1:11">
      <c r="A158" s="129">
        <v>12</v>
      </c>
      <c r="B158" s="21" t="s">
        <v>243</v>
      </c>
      <c r="C158" s="6"/>
      <c r="D158" s="6">
        <f>SUM(D155:D157)</f>
        <v>8816170</v>
      </c>
      <c r="E158" s="6"/>
      <c r="F158" s="6"/>
      <c r="G158" s="6"/>
      <c r="H158" s="6"/>
      <c r="I158" s="6">
        <f>SUM(I155:I157)</f>
        <v>8293704.5994207254</v>
      </c>
      <c r="J158" s="6"/>
      <c r="K158" s="251"/>
    </row>
    <row r="159" spans="1:11">
      <c r="A159" s="129"/>
      <c r="B159" s="21"/>
      <c r="C159" s="6"/>
      <c r="D159" s="6"/>
      <c r="E159" s="6"/>
      <c r="F159" s="6"/>
      <c r="G159" s="6"/>
      <c r="H159" s="6"/>
      <c r="I159" s="6"/>
      <c r="J159" s="6"/>
      <c r="K159" s="251"/>
    </row>
    <row r="160" spans="1:11">
      <c r="A160" s="129" t="s">
        <v>2</v>
      </c>
      <c r="B160" s="21" t="s">
        <v>217</v>
      </c>
      <c r="D160" s="6"/>
      <c r="E160" s="6"/>
      <c r="F160" s="6"/>
      <c r="G160" s="6"/>
      <c r="H160" s="6"/>
      <c r="I160" s="6"/>
      <c r="J160" s="6"/>
      <c r="K160" s="251"/>
    </row>
    <row r="161" spans="1:11">
      <c r="A161" s="129"/>
      <c r="B161" s="21" t="s">
        <v>85</v>
      </c>
      <c r="E161" s="6"/>
      <c r="F161" s="6"/>
      <c r="H161" s="6"/>
      <c r="J161" s="6"/>
      <c r="K161" s="252"/>
    </row>
    <row r="162" spans="1:11">
      <c r="A162" s="129">
        <v>13</v>
      </c>
      <c r="B162" s="21" t="s">
        <v>86</v>
      </c>
      <c r="C162" s="6"/>
      <c r="D162" s="63">
        <v>0</v>
      </c>
      <c r="E162" s="6"/>
      <c r="F162" s="6" t="s">
        <v>60</v>
      </c>
      <c r="G162" s="34">
        <f>+G156</f>
        <v>0.60683985878462576</v>
      </c>
      <c r="H162" s="6"/>
      <c r="I162" s="6">
        <f>+G162*D162</f>
        <v>0</v>
      </c>
      <c r="J162" s="6"/>
      <c r="K162" s="252"/>
    </row>
    <row r="163" spans="1:11">
      <c r="A163" s="129">
        <v>14</v>
      </c>
      <c r="B163" s="21" t="s">
        <v>87</v>
      </c>
      <c r="C163" s="6"/>
      <c r="D163" s="63">
        <v>0</v>
      </c>
      <c r="E163" s="6"/>
      <c r="F163" s="6" t="str">
        <f>+F162</f>
        <v>W/S</v>
      </c>
      <c r="G163" s="34">
        <f>+G162</f>
        <v>0.60683985878462576</v>
      </c>
      <c r="H163" s="6"/>
      <c r="I163" s="6">
        <f>+G163*D163</f>
        <v>0</v>
      </c>
      <c r="J163" s="6"/>
      <c r="K163" s="252"/>
    </row>
    <row r="164" spans="1:11">
      <c r="A164" s="129">
        <v>15</v>
      </c>
      <c r="B164" s="21" t="s">
        <v>88</v>
      </c>
      <c r="C164" s="6"/>
      <c r="E164" s="6"/>
      <c r="F164" s="6"/>
      <c r="H164" s="6"/>
      <c r="J164" s="6"/>
      <c r="K164" s="252"/>
    </row>
    <row r="165" spans="1:11">
      <c r="A165" s="129">
        <v>16</v>
      </c>
      <c r="B165" s="21" t="s">
        <v>89</v>
      </c>
      <c r="C165" s="6"/>
      <c r="D165" s="63">
        <f>691053.83+596709+73811.5</f>
        <v>1361574.33</v>
      </c>
      <c r="E165" s="6"/>
      <c r="F165" s="6" t="s">
        <v>77</v>
      </c>
      <c r="G165" s="34">
        <f>+G87</f>
        <v>0.35287700409119915</v>
      </c>
      <c r="H165" s="6"/>
      <c r="I165" s="6">
        <f>+G165*D165</f>
        <v>480468.27041788178</v>
      </c>
      <c r="J165" s="6"/>
      <c r="K165" s="252" t="s">
        <v>455</v>
      </c>
    </row>
    <row r="166" spans="1:11">
      <c r="A166" s="129">
        <v>17</v>
      </c>
      <c r="B166" s="21" t="s">
        <v>90</v>
      </c>
      <c r="C166" s="6"/>
      <c r="D166" s="63">
        <v>0</v>
      </c>
      <c r="E166" s="6"/>
      <c r="F166" s="6"/>
      <c r="G166" s="68" t="s">
        <v>176</v>
      </c>
      <c r="H166" s="6"/>
      <c r="I166" s="6">
        <v>0</v>
      </c>
      <c r="J166" s="6"/>
      <c r="K166" s="62"/>
    </row>
    <row r="167" spans="1:11">
      <c r="A167" s="129">
        <v>18</v>
      </c>
      <c r="B167" s="21" t="s">
        <v>91</v>
      </c>
      <c r="C167" s="6"/>
      <c r="D167" s="63">
        <v>0</v>
      </c>
      <c r="E167" s="6"/>
      <c r="F167" s="6" t="str">
        <f>+F165</f>
        <v>GP</v>
      </c>
      <c r="G167" s="34">
        <f>+G165</f>
        <v>0.35287700409119915</v>
      </c>
      <c r="H167" s="6"/>
      <c r="I167" s="6">
        <f>+G167*D167</f>
        <v>0</v>
      </c>
      <c r="J167" s="6"/>
      <c r="K167" s="62"/>
    </row>
    <row r="168" spans="1:11" ht="16.2" thickBot="1">
      <c r="A168" s="129">
        <v>19</v>
      </c>
      <c r="B168" s="21" t="s">
        <v>92</v>
      </c>
      <c r="C168" s="6"/>
      <c r="D168" s="61">
        <v>0</v>
      </c>
      <c r="E168" s="6"/>
      <c r="F168" s="6" t="s">
        <v>77</v>
      </c>
      <c r="G168" s="34">
        <f>+G167</f>
        <v>0.35287700409119915</v>
      </c>
      <c r="H168" s="6"/>
      <c r="I168" s="36">
        <f>+G168*D168</f>
        <v>0</v>
      </c>
      <c r="J168" s="6"/>
      <c r="K168" s="62"/>
    </row>
    <row r="169" spans="1:11">
      <c r="A169" s="129">
        <v>20</v>
      </c>
      <c r="B169" s="21" t="s">
        <v>244</v>
      </c>
      <c r="C169" s="6"/>
      <c r="D169" s="6">
        <f>SUM(D162:D168)</f>
        <v>1361574.33</v>
      </c>
      <c r="E169" s="6"/>
      <c r="F169" s="6"/>
      <c r="G169" s="34"/>
      <c r="H169" s="6"/>
      <c r="I169" s="6">
        <f>SUM(I162:I168)</f>
        <v>480468.27041788178</v>
      </c>
      <c r="J169" s="6"/>
      <c r="K169" s="6"/>
    </row>
    <row r="170" spans="1:11">
      <c r="A170" s="129"/>
      <c r="B170" s="21"/>
      <c r="C170" s="6"/>
      <c r="D170" s="6"/>
      <c r="E170" s="6"/>
      <c r="F170" s="6"/>
      <c r="G170" s="34"/>
      <c r="H170" s="6"/>
      <c r="I170" s="6"/>
      <c r="J170" s="6"/>
      <c r="K170" s="6"/>
    </row>
    <row r="171" spans="1:11">
      <c r="A171" s="129"/>
      <c r="B171" s="21" t="s">
        <v>93</v>
      </c>
      <c r="C171" s="69" t="s">
        <v>94</v>
      </c>
      <c r="D171" s="6"/>
      <c r="E171" s="6"/>
      <c r="F171" s="6" t="s">
        <v>55</v>
      </c>
      <c r="G171" s="70"/>
      <c r="H171" s="6"/>
      <c r="I171" s="6"/>
      <c r="J171" s="6"/>
    </row>
    <row r="172" spans="1:11">
      <c r="A172" s="129">
        <v>21</v>
      </c>
      <c r="B172" s="71" t="s">
        <v>95</v>
      </c>
      <c r="C172" s="6"/>
      <c r="D172" s="72">
        <f>IF(D289&gt;0,1-(((1-D290)*(1-D289))/(1-D290*D289*D291)),0)</f>
        <v>0</v>
      </c>
      <c r="E172" s="6"/>
      <c r="G172" s="70"/>
      <c r="H172" s="6"/>
      <c r="J172" s="6"/>
    </row>
    <row r="173" spans="1:11">
      <c r="A173" s="129">
        <v>22</v>
      </c>
      <c r="B173" s="19" t="s">
        <v>96</v>
      </c>
      <c r="C173" s="6"/>
      <c r="D173" s="72">
        <f>IF(I246&gt;0,(D172/(1-D172))*(1-I244/I246),0)</f>
        <v>0</v>
      </c>
      <c r="E173" s="6"/>
      <c r="G173" s="70"/>
      <c r="H173" s="6"/>
      <c r="J173" s="6"/>
    </row>
    <row r="174" spans="1:11">
      <c r="A174" s="129"/>
      <c r="B174" s="21" t="s">
        <v>286</v>
      </c>
      <c r="C174" s="6"/>
      <c r="D174" s="6"/>
      <c r="E174" s="6"/>
      <c r="G174" s="70"/>
      <c r="H174" s="6"/>
      <c r="J174" s="6"/>
    </row>
    <row r="175" spans="1:11">
      <c r="A175" s="129"/>
      <c r="B175" s="21" t="s">
        <v>97</v>
      </c>
      <c r="C175" s="6"/>
      <c r="D175" s="6"/>
      <c r="E175" s="6"/>
      <c r="G175" s="70"/>
      <c r="H175" s="6"/>
      <c r="J175" s="6"/>
    </row>
    <row r="176" spans="1:11">
      <c r="A176" s="129">
        <v>23</v>
      </c>
      <c r="B176" s="71" t="s">
        <v>98</v>
      </c>
      <c r="C176" s="6"/>
      <c r="D176" s="73">
        <f>IF(D172&gt;0,1/(1-D172),0)</f>
        <v>0</v>
      </c>
      <c r="E176" s="6"/>
      <c r="G176" s="70"/>
      <c r="H176" s="6"/>
      <c r="J176" s="6"/>
    </row>
    <row r="177" spans="1:11">
      <c r="A177" s="129">
        <v>24</v>
      </c>
      <c r="B177" s="21" t="s">
        <v>193</v>
      </c>
      <c r="C177" s="6"/>
      <c r="D177" s="63">
        <v>0</v>
      </c>
      <c r="E177" s="6"/>
      <c r="G177" s="70"/>
      <c r="H177" s="6"/>
      <c r="J177" s="6"/>
    </row>
    <row r="178" spans="1:11">
      <c r="A178" s="129"/>
      <c r="B178" s="21"/>
      <c r="C178" s="6"/>
      <c r="D178" s="6"/>
      <c r="E178" s="6"/>
      <c r="G178" s="70"/>
      <c r="H178" s="6"/>
      <c r="J178" s="6"/>
    </row>
    <row r="179" spans="1:11">
      <c r="A179" s="129">
        <v>25</v>
      </c>
      <c r="B179" s="71" t="s">
        <v>99</v>
      </c>
      <c r="C179" s="69"/>
      <c r="D179" s="6">
        <f>D173*D183</f>
        <v>0</v>
      </c>
      <c r="E179" s="6"/>
      <c r="F179" s="6" t="s">
        <v>55</v>
      </c>
      <c r="G179" s="34"/>
      <c r="H179" s="6"/>
      <c r="I179" s="6">
        <f>D173*I183</f>
        <v>0</v>
      </c>
      <c r="J179" s="6"/>
    </row>
    <row r="180" spans="1:11" ht="16.2" thickBot="1">
      <c r="A180" s="129">
        <v>26</v>
      </c>
      <c r="B180" s="19" t="s">
        <v>100</v>
      </c>
      <c r="C180" s="69"/>
      <c r="D180" s="36">
        <f>D176*D177</f>
        <v>0</v>
      </c>
      <c r="E180" s="6"/>
      <c r="F180" s="19" t="s">
        <v>67</v>
      </c>
      <c r="G180" s="34">
        <f>G103</f>
        <v>0.44671868310006058</v>
      </c>
      <c r="H180" s="6"/>
      <c r="I180" s="36">
        <f>G180*D180</f>
        <v>0</v>
      </c>
      <c r="J180" s="6"/>
    </row>
    <row r="181" spans="1:11">
      <c r="A181" s="129">
        <v>27</v>
      </c>
      <c r="B181" s="71" t="s">
        <v>101</v>
      </c>
      <c r="C181" s="19" t="s">
        <v>102</v>
      </c>
      <c r="D181" s="74">
        <f>+D179+D180</f>
        <v>0</v>
      </c>
      <c r="E181" s="6"/>
      <c r="F181" s="6" t="s">
        <v>2</v>
      </c>
      <c r="G181" s="34" t="s">
        <v>2</v>
      </c>
      <c r="H181" s="6"/>
      <c r="I181" s="74">
        <f>+I179+I180</f>
        <v>0</v>
      </c>
      <c r="J181" s="6"/>
    </row>
    <row r="182" spans="1:11">
      <c r="A182" s="129"/>
      <c r="B182" s="21"/>
      <c r="C182" s="69"/>
      <c r="D182" s="6"/>
      <c r="E182" s="6"/>
      <c r="F182" s="6"/>
      <c r="G182" s="70"/>
      <c r="H182" s="6"/>
      <c r="I182" s="6"/>
      <c r="J182" s="6"/>
    </row>
    <row r="183" spans="1:11">
      <c r="A183" s="129">
        <v>28</v>
      </c>
      <c r="B183" s="21" t="s">
        <v>103</v>
      </c>
      <c r="C183" s="62"/>
      <c r="D183" s="6">
        <f>+$I246*D121</f>
        <v>24725991.550242346</v>
      </c>
      <c r="E183" s="6"/>
      <c r="F183" s="6" t="s">
        <v>55</v>
      </c>
      <c r="G183" s="70"/>
      <c r="H183" s="6"/>
      <c r="I183" s="6">
        <f>+$I246*I121</f>
        <v>11145889.833288914</v>
      </c>
      <c r="J183" s="6"/>
    </row>
    <row r="184" spans="1:11">
      <c r="A184" s="129"/>
      <c r="B184" s="71" t="s">
        <v>203</v>
      </c>
      <c r="D184" s="6"/>
      <c r="E184" s="6"/>
      <c r="F184" s="6"/>
      <c r="G184" s="70"/>
      <c r="H184" s="6"/>
      <c r="I184" s="6"/>
      <c r="J184" s="6"/>
      <c r="K184" s="62"/>
    </row>
    <row r="185" spans="1:11">
      <c r="A185" s="129"/>
      <c r="B185" s="21"/>
      <c r="D185" s="75"/>
      <c r="E185" s="6"/>
      <c r="F185" s="6"/>
      <c r="G185" s="70"/>
      <c r="H185" s="6"/>
      <c r="I185" s="75"/>
      <c r="J185" s="6"/>
      <c r="K185" s="62"/>
    </row>
    <row r="186" spans="1:11">
      <c r="A186" s="129">
        <v>29</v>
      </c>
      <c r="B186" s="21" t="s">
        <v>218</v>
      </c>
      <c r="C186" s="6"/>
      <c r="D186" s="75">
        <f>+D183+D181+D169+D158+D152</f>
        <v>54568445.880242348</v>
      </c>
      <c r="E186" s="6"/>
      <c r="F186" s="6"/>
      <c r="G186" s="6"/>
      <c r="H186" s="6"/>
      <c r="I186" s="75">
        <f>+I183+I181+I169+I158+I152</f>
        <v>36014715.189905733</v>
      </c>
      <c r="J186" s="23"/>
      <c r="K186" s="23"/>
    </row>
    <row r="187" spans="1:11">
      <c r="A187" s="129"/>
      <c r="B187" s="21"/>
      <c r="C187" s="6"/>
      <c r="D187" s="75"/>
      <c r="E187" s="6"/>
      <c r="F187" s="6"/>
      <c r="G187" s="6"/>
      <c r="H187" s="6"/>
      <c r="I187" s="75"/>
      <c r="J187" s="23"/>
      <c r="K187" s="23"/>
    </row>
    <row r="188" spans="1:11">
      <c r="A188" s="129">
        <v>30</v>
      </c>
      <c r="B188" s="21" t="s">
        <v>256</v>
      </c>
      <c r="C188" s="6"/>
      <c r="D188" s="75"/>
      <c r="E188" s="6"/>
      <c r="F188" s="6"/>
      <c r="G188" s="6"/>
      <c r="H188" s="6"/>
      <c r="I188" s="75"/>
      <c r="J188" s="23"/>
      <c r="K188" s="23"/>
    </row>
    <row r="189" spans="1:11">
      <c r="A189" s="129"/>
      <c r="B189" s="21" t="s">
        <v>257</v>
      </c>
      <c r="C189" s="6"/>
      <c r="D189" s="75"/>
      <c r="E189" s="6"/>
      <c r="F189" s="6"/>
      <c r="G189" s="6"/>
      <c r="H189" s="6"/>
      <c r="I189" s="75"/>
      <c r="J189" s="23"/>
      <c r="K189" s="23"/>
    </row>
    <row r="190" spans="1:11">
      <c r="A190" s="129"/>
      <c r="B190" s="258" t="s">
        <v>220</v>
      </c>
      <c r="C190" s="258"/>
      <c r="J190" s="23"/>
      <c r="K190" s="23"/>
    </row>
    <row r="191" spans="1:11">
      <c r="A191" s="129"/>
      <c r="B191" s="21" t="s">
        <v>219</v>
      </c>
      <c r="C191" s="6"/>
      <c r="D191" s="59">
        <v>0</v>
      </c>
      <c r="E191" s="6"/>
      <c r="F191" s="6"/>
      <c r="G191" s="6"/>
      <c r="H191" s="6"/>
      <c r="I191" s="59">
        <v>0</v>
      </c>
      <c r="J191" s="23"/>
      <c r="K191" s="23"/>
    </row>
    <row r="192" spans="1:11">
      <c r="A192" s="129"/>
      <c r="B192" s="21"/>
      <c r="C192" s="6"/>
      <c r="D192" s="75"/>
      <c r="E192" s="6"/>
      <c r="F192" s="6"/>
      <c r="G192" s="6"/>
      <c r="H192" s="6"/>
      <c r="I192" s="75"/>
      <c r="J192" s="23"/>
      <c r="K192" s="23"/>
    </row>
    <row r="193" spans="1:12">
      <c r="A193" s="129" t="s">
        <v>261</v>
      </c>
      <c r="B193" s="21" t="s">
        <v>262</v>
      </c>
      <c r="C193" s="6"/>
      <c r="D193" s="75"/>
      <c r="E193" s="6"/>
      <c r="F193" s="6"/>
      <c r="G193" s="6"/>
      <c r="H193" s="6"/>
      <c r="I193" s="75"/>
      <c r="J193" s="23"/>
      <c r="K193" s="23"/>
    </row>
    <row r="194" spans="1:12">
      <c r="A194" s="129"/>
      <c r="B194" s="76" t="s">
        <v>294</v>
      </c>
      <c r="C194" s="6"/>
      <c r="D194" s="75"/>
      <c r="E194" s="6"/>
      <c r="F194" s="6"/>
      <c r="G194" s="6"/>
      <c r="H194" s="6"/>
      <c r="I194" s="75"/>
      <c r="J194" s="23"/>
      <c r="K194" s="23"/>
    </row>
    <row r="195" spans="1:12">
      <c r="A195" s="129"/>
      <c r="B195" s="257" t="s">
        <v>220</v>
      </c>
      <c r="C195" s="257"/>
      <c r="J195" s="23"/>
      <c r="K195" s="23"/>
    </row>
    <row r="196" spans="1:12" ht="16.2" thickBot="1">
      <c r="A196" s="129"/>
      <c r="B196" s="21" t="s">
        <v>263</v>
      </c>
      <c r="C196" s="6"/>
      <c r="D196" s="61">
        <v>0</v>
      </c>
      <c r="E196" s="6"/>
      <c r="F196" s="6"/>
      <c r="G196" s="6"/>
      <c r="H196" s="6"/>
      <c r="I196" s="61">
        <v>0</v>
      </c>
      <c r="J196" s="23"/>
      <c r="K196" s="23"/>
    </row>
    <row r="197" spans="1:12" ht="16.2" thickBot="1">
      <c r="A197" s="77">
        <v>31</v>
      </c>
      <c r="B197" s="1" t="s">
        <v>196</v>
      </c>
      <c r="C197" s="8"/>
      <c r="D197" s="78">
        <f>D186-D191-D196</f>
        <v>54568445.880242348</v>
      </c>
      <c r="E197" s="8"/>
      <c r="F197" s="8"/>
      <c r="G197" s="8"/>
      <c r="H197" s="8"/>
      <c r="I197" s="78">
        <f>I186-I191-I196</f>
        <v>36014715.189905733</v>
      </c>
      <c r="J197" s="79"/>
      <c r="K197" s="8"/>
      <c r="L197" s="1"/>
    </row>
    <row r="198" spans="1:12" ht="16.2" thickTop="1">
      <c r="A198" s="129"/>
      <c r="B198" s="21" t="s">
        <v>264</v>
      </c>
      <c r="C198" s="6"/>
      <c r="D198" s="75"/>
      <c r="E198" s="6"/>
      <c r="F198" s="6"/>
      <c r="G198" s="6"/>
      <c r="H198" s="6"/>
      <c r="I198" s="75"/>
      <c r="J198" s="23"/>
      <c r="K198" s="23"/>
    </row>
    <row r="199" spans="1:12">
      <c r="A199" s="129"/>
      <c r="B199" s="21"/>
      <c r="C199" s="6"/>
      <c r="D199" s="75"/>
      <c r="E199" s="6"/>
      <c r="F199" s="6"/>
      <c r="G199" s="6"/>
      <c r="H199" s="6"/>
      <c r="I199" s="75"/>
      <c r="J199" s="23"/>
      <c r="K199" s="20" t="s">
        <v>301</v>
      </c>
    </row>
    <row r="200" spans="1:12">
      <c r="B200" s="21"/>
      <c r="C200" s="21"/>
      <c r="D200" s="22"/>
      <c r="E200" s="21"/>
      <c r="F200" s="21"/>
      <c r="G200" s="21"/>
      <c r="H200" s="23"/>
      <c r="I200" s="23"/>
      <c r="J200" s="254" t="s">
        <v>201</v>
      </c>
      <c r="K200" s="254"/>
    </row>
    <row r="201" spans="1:12">
      <c r="A201" s="129"/>
      <c r="J201" s="6"/>
      <c r="K201" s="6"/>
    </row>
    <row r="202" spans="1:12">
      <c r="A202" s="129"/>
      <c r="B202" s="21" t="str">
        <f>B4</f>
        <v xml:space="preserve">Formula Rate - Non-Levelized </v>
      </c>
      <c r="D202" s="19" t="str">
        <f>D4</f>
        <v xml:space="preserve">     Rate Formula Template</v>
      </c>
      <c r="J202" s="6"/>
      <c r="K202" s="20" t="str">
        <f>K4</f>
        <v>For the 12 months ended 12/31/_2016_</v>
      </c>
    </row>
    <row r="203" spans="1:12">
      <c r="A203" s="129"/>
      <c r="B203" s="21"/>
      <c r="D203" s="19" t="str">
        <f>D5</f>
        <v xml:space="preserve"> Utilizing RUS Form 12 Data</v>
      </c>
      <c r="J203" s="6"/>
      <c r="K203" s="6"/>
    </row>
    <row r="204" spans="1:12">
      <c r="A204" s="129"/>
      <c r="J204" s="6"/>
      <c r="K204" s="6"/>
    </row>
    <row r="205" spans="1:12">
      <c r="A205" s="129"/>
      <c r="D205" s="19" t="str">
        <f>D7</f>
        <v>Central Iowa Power Cooperative</v>
      </c>
      <c r="J205" s="6"/>
      <c r="K205" s="6"/>
    </row>
    <row r="206" spans="1:12">
      <c r="A206" s="129" t="s">
        <v>4</v>
      </c>
      <c r="C206" s="21"/>
      <c r="D206" s="21"/>
      <c r="E206" s="21"/>
      <c r="F206" s="21"/>
      <c r="G206" s="21"/>
      <c r="H206" s="21"/>
      <c r="I206" s="21"/>
      <c r="J206" s="21"/>
      <c r="K206" s="21"/>
    </row>
    <row r="207" spans="1:12" ht="16.2" thickBot="1">
      <c r="A207" s="30" t="s">
        <v>6</v>
      </c>
      <c r="C207" s="58" t="s">
        <v>104</v>
      </c>
      <c r="E207" s="23"/>
      <c r="F207" s="23"/>
      <c r="G207" s="23"/>
      <c r="H207" s="23"/>
      <c r="I207" s="23"/>
      <c r="J207" s="6"/>
      <c r="K207" s="6"/>
    </row>
    <row r="208" spans="1:12">
      <c r="A208" s="129"/>
      <c r="B208" s="21" t="s">
        <v>107</v>
      </c>
      <c r="C208" s="23"/>
      <c r="D208" s="23"/>
      <c r="E208" s="23"/>
      <c r="F208" s="23"/>
      <c r="G208" s="23"/>
      <c r="H208" s="23"/>
      <c r="I208" s="23"/>
      <c r="J208" s="6"/>
      <c r="K208" s="6"/>
    </row>
    <row r="209" spans="1:19">
      <c r="A209" s="129">
        <v>1</v>
      </c>
      <c r="B209" s="23" t="s">
        <v>222</v>
      </c>
      <c r="C209" s="23"/>
      <c r="D209" s="6"/>
      <c r="E209" s="6"/>
      <c r="F209" s="6"/>
      <c r="G209" s="6"/>
      <c r="H209" s="6"/>
      <c r="I209" s="6">
        <f>+D83</f>
        <v>254735343</v>
      </c>
      <c r="J209" s="6"/>
      <c r="K209" s="6"/>
      <c r="N209" s="147" t="s">
        <v>366</v>
      </c>
      <c r="O209" s="147"/>
      <c r="P209" s="147"/>
    </row>
    <row r="210" spans="1:19">
      <c r="A210" s="129">
        <v>2</v>
      </c>
      <c r="B210" s="23" t="s">
        <v>221</v>
      </c>
      <c r="D210" s="13"/>
      <c r="I210" s="63">
        <v>0</v>
      </c>
      <c r="J210" s="6"/>
      <c r="K210" s="6"/>
      <c r="N210" s="148"/>
      <c r="O210" s="149"/>
      <c r="P210" s="150"/>
      <c r="Q210" s="148"/>
      <c r="R210" s="149"/>
      <c r="S210" s="149"/>
    </row>
    <row r="211" spans="1:19" ht="16.2" thickBot="1">
      <c r="A211" s="129">
        <v>3</v>
      </c>
      <c r="B211" s="80" t="s">
        <v>245</v>
      </c>
      <c r="C211" s="80"/>
      <c r="D211" s="75"/>
      <c r="E211" s="6"/>
      <c r="F211" s="6"/>
      <c r="G211" s="81"/>
      <c r="H211" s="6"/>
      <c r="I211" s="61">
        <v>0</v>
      </c>
      <c r="J211" s="6"/>
      <c r="K211" s="6"/>
      <c r="N211" s="259" t="s">
        <v>367</v>
      </c>
      <c r="O211" s="260"/>
      <c r="P211" s="260"/>
      <c r="Q211" s="260"/>
      <c r="R211" s="260"/>
      <c r="S211" s="261"/>
    </row>
    <row r="212" spans="1:19">
      <c r="A212" s="129">
        <v>4</v>
      </c>
      <c r="B212" s="23" t="s">
        <v>178</v>
      </c>
      <c r="C212" s="23"/>
      <c r="D212" s="6"/>
      <c r="E212" s="6"/>
      <c r="F212" s="6"/>
      <c r="G212" s="81"/>
      <c r="H212" s="6"/>
      <c r="I212" s="6">
        <f>I209-I210-I211</f>
        <v>254735343</v>
      </c>
      <c r="J212" s="6"/>
      <c r="K212" s="6"/>
      <c r="M212" s="82"/>
      <c r="N212" s="151"/>
      <c r="O212" s="152"/>
      <c r="P212" s="153"/>
      <c r="Q212" s="154"/>
      <c r="R212" s="152"/>
      <c r="S212" s="155"/>
    </row>
    <row r="213" spans="1:19">
      <c r="A213" s="129"/>
      <c r="C213" s="23"/>
      <c r="D213" s="6"/>
      <c r="E213" s="6"/>
      <c r="F213" s="6"/>
      <c r="G213" s="81"/>
      <c r="H213" s="6"/>
      <c r="J213" s="6"/>
      <c r="K213" s="6"/>
      <c r="M213" s="82"/>
      <c r="N213" s="156">
        <v>935099.78</v>
      </c>
      <c r="O213" s="157" t="s">
        <v>368</v>
      </c>
      <c r="P213" s="153"/>
      <c r="Q213" s="154"/>
      <c r="R213" s="152"/>
      <c r="S213" s="155"/>
    </row>
    <row r="214" spans="1:19">
      <c r="A214" s="129">
        <v>5</v>
      </c>
      <c r="B214" s="23" t="s">
        <v>246</v>
      </c>
      <c r="C214" s="29"/>
      <c r="D214" s="83"/>
      <c r="E214" s="83"/>
      <c r="F214" s="83"/>
      <c r="G214" s="53"/>
      <c r="H214" s="6" t="s">
        <v>108</v>
      </c>
      <c r="I214" s="64">
        <f>IF(I209&gt;0,I212/I209,0)</f>
        <v>1</v>
      </c>
      <c r="J214" s="6"/>
      <c r="K214" s="6"/>
      <c r="M214" s="82"/>
      <c r="N214" s="158"/>
      <c r="O214" s="159" t="s">
        <v>369</v>
      </c>
      <c r="P214" s="160"/>
      <c r="Q214" s="160"/>
      <c r="S214" s="161"/>
    </row>
    <row r="215" spans="1:19">
      <c r="J215" s="6"/>
      <c r="K215" s="6"/>
      <c r="M215" s="84"/>
      <c r="N215" s="162">
        <f>N213-N214</f>
        <v>935099.78</v>
      </c>
      <c r="O215" s="159" t="s">
        <v>370</v>
      </c>
      <c r="S215" s="161"/>
    </row>
    <row r="216" spans="1:19">
      <c r="B216" s="21" t="s">
        <v>105</v>
      </c>
      <c r="J216" s="6"/>
      <c r="K216" s="6"/>
      <c r="M216"/>
      <c r="N216" s="163"/>
      <c r="O216" s="164" t="s">
        <v>371</v>
      </c>
      <c r="P216" s="165"/>
      <c r="Q216" s="165"/>
      <c r="R216" s="152"/>
      <c r="S216" s="155"/>
    </row>
    <row r="217" spans="1:19">
      <c r="J217" s="6"/>
      <c r="K217" s="6"/>
      <c r="M217" s="84"/>
      <c r="N217" s="166">
        <v>0</v>
      </c>
      <c r="O217" s="165" t="s">
        <v>372</v>
      </c>
      <c r="P217" s="167"/>
      <c r="Q217" s="165"/>
      <c r="R217" s="152"/>
      <c r="S217" s="155"/>
    </row>
    <row r="218" spans="1:19">
      <c r="A218" s="129">
        <v>6</v>
      </c>
      <c r="B218" s="19" t="s">
        <v>223</v>
      </c>
      <c r="D218" s="23"/>
      <c r="E218" s="23"/>
      <c r="F218" s="23"/>
      <c r="G218" s="129"/>
      <c r="H218" s="23"/>
      <c r="I218" s="6">
        <f>+D144</f>
        <v>18516982</v>
      </c>
      <c r="J218" s="6"/>
      <c r="K218" s="6"/>
      <c r="M218" s="84"/>
      <c r="N218" s="166">
        <v>0</v>
      </c>
      <c r="O218" s="165" t="s">
        <v>373</v>
      </c>
      <c r="P218" s="167"/>
      <c r="Q218" s="165"/>
      <c r="R218" s="152"/>
      <c r="S218" s="155"/>
    </row>
    <row r="219" spans="1:19" ht="16.2" thickBot="1">
      <c r="A219" s="129">
        <v>7</v>
      </c>
      <c r="B219" s="80" t="s">
        <v>224</v>
      </c>
      <c r="C219" s="80"/>
      <c r="D219" s="75"/>
      <c r="E219" s="75"/>
      <c r="F219" s="6"/>
      <c r="G219" s="6"/>
      <c r="H219" s="6"/>
      <c r="I219" s="61">
        <f>N213</f>
        <v>935099.78</v>
      </c>
      <c r="J219" s="6"/>
      <c r="K219" s="251" t="s">
        <v>456</v>
      </c>
      <c r="M219" s="85"/>
      <c r="N219" s="158">
        <v>0</v>
      </c>
      <c r="O219" s="165" t="s">
        <v>374</v>
      </c>
      <c r="P219" s="167"/>
      <c r="Q219" s="168"/>
      <c r="R219" s="152"/>
      <c r="S219" s="155"/>
    </row>
    <row r="220" spans="1:19">
      <c r="A220" s="129">
        <v>8</v>
      </c>
      <c r="B220" s="23" t="s">
        <v>225</v>
      </c>
      <c r="C220" s="29"/>
      <c r="D220" s="83"/>
      <c r="E220" s="83"/>
      <c r="F220" s="83"/>
      <c r="G220" s="53"/>
      <c r="H220" s="83"/>
      <c r="I220" s="6">
        <f>+I218-I219</f>
        <v>17581882.219999999</v>
      </c>
      <c r="J220" s="6"/>
      <c r="K220" s="251"/>
      <c r="M220" s="85"/>
      <c r="N220" s="162">
        <v>0</v>
      </c>
      <c r="O220" s="169" t="s">
        <v>375</v>
      </c>
      <c r="P220" s="153"/>
      <c r="Q220" s="154"/>
      <c r="R220" s="152"/>
      <c r="S220" s="155"/>
    </row>
    <row r="221" spans="1:19">
      <c r="A221" s="129"/>
      <c r="B221" s="23"/>
      <c r="C221" s="23"/>
      <c r="D221" s="6"/>
      <c r="E221" s="6"/>
      <c r="F221" s="6"/>
      <c r="G221" s="6"/>
      <c r="J221" s="6"/>
      <c r="K221" s="251"/>
      <c r="M221" s="84"/>
      <c r="N221" s="170">
        <f>N215-N220</f>
        <v>935099.78</v>
      </c>
      <c r="O221" s="171" t="s">
        <v>376</v>
      </c>
      <c r="P221" s="172"/>
      <c r="Q221" s="173"/>
      <c r="R221" s="174"/>
      <c r="S221" s="175"/>
    </row>
    <row r="222" spans="1:19">
      <c r="A222" s="129">
        <v>9</v>
      </c>
      <c r="B222" s="23" t="s">
        <v>226</v>
      </c>
      <c r="C222" s="23"/>
      <c r="D222" s="6"/>
      <c r="E222" s="6"/>
      <c r="F222" s="6"/>
      <c r="G222" s="6"/>
      <c r="H222" s="6"/>
      <c r="I222" s="60">
        <f>IF(I218&gt;0,I220/I218,0)</f>
        <v>0.94950042182899996</v>
      </c>
      <c r="K222" s="176"/>
      <c r="M222" s="84"/>
    </row>
    <row r="223" spans="1:19">
      <c r="A223" s="129">
        <v>10</v>
      </c>
      <c r="B223" s="23" t="s">
        <v>227</v>
      </c>
      <c r="C223" s="23"/>
      <c r="D223" s="6"/>
      <c r="E223" s="6"/>
      <c r="F223" s="6"/>
      <c r="G223" s="6"/>
      <c r="H223" s="23" t="s">
        <v>12</v>
      </c>
      <c r="I223" s="86">
        <f>I214</f>
        <v>1</v>
      </c>
      <c r="K223" s="176"/>
      <c r="M223" s="84"/>
      <c r="N223" s="176" t="s">
        <v>377</v>
      </c>
      <c r="O223" s="177">
        <f>N221/I34</f>
        <v>1.7520517053044966</v>
      </c>
      <c r="P223" s="176" t="s">
        <v>378</v>
      </c>
    </row>
    <row r="224" spans="1:19">
      <c r="A224" s="129">
        <v>11</v>
      </c>
      <c r="B224" s="23" t="s">
        <v>228</v>
      </c>
      <c r="C224" s="23"/>
      <c r="D224" s="23"/>
      <c r="E224" s="23"/>
      <c r="F224" s="23"/>
      <c r="G224" s="23"/>
      <c r="H224" s="23" t="s">
        <v>106</v>
      </c>
      <c r="I224" s="87">
        <f>+I223*I222</f>
        <v>0.94950042182899996</v>
      </c>
      <c r="K224" s="176"/>
      <c r="M224" s="84"/>
      <c r="O224" s="178">
        <f>O223/12</f>
        <v>0.14600430877537471</v>
      </c>
      <c r="P224" s="176" t="s">
        <v>379</v>
      </c>
      <c r="Q224" s="176"/>
      <c r="R224" s="176"/>
      <c r="S224" s="176"/>
    </row>
    <row r="225" spans="1:19">
      <c r="K225" s="176"/>
      <c r="M225" s="84"/>
      <c r="O225" s="177"/>
      <c r="Q225" s="176"/>
      <c r="R225" s="176"/>
      <c r="S225" s="176"/>
    </row>
    <row r="226" spans="1:19" ht="16.2" thickBot="1">
      <c r="A226" s="129" t="s">
        <v>2</v>
      </c>
      <c r="B226" s="21" t="s">
        <v>109</v>
      </c>
      <c r="C226" s="6"/>
      <c r="D226" s="88" t="s">
        <v>110</v>
      </c>
      <c r="E226" s="88" t="s">
        <v>12</v>
      </c>
      <c r="F226" s="6"/>
      <c r="G226" s="88" t="s">
        <v>111</v>
      </c>
      <c r="H226" s="6"/>
      <c r="I226" s="6"/>
      <c r="J226" s="6"/>
      <c r="K226" s="251"/>
      <c r="M226" s="84"/>
      <c r="N226" s="176" t="s">
        <v>380</v>
      </c>
      <c r="O226" s="177">
        <f>1560/12/1000</f>
        <v>0.13</v>
      </c>
      <c r="P226" s="176" t="s">
        <v>379</v>
      </c>
      <c r="Q226" s="176"/>
      <c r="R226" s="176"/>
      <c r="S226" s="176"/>
    </row>
    <row r="227" spans="1:19">
      <c r="A227" s="129">
        <v>12</v>
      </c>
      <c r="B227" s="21" t="s">
        <v>53</v>
      </c>
      <c r="C227" s="6"/>
      <c r="D227" s="63">
        <v>855155.7</v>
      </c>
      <c r="E227" s="89">
        <v>0</v>
      </c>
      <c r="F227" s="89"/>
      <c r="G227" s="6">
        <f>D227*E227</f>
        <v>0</v>
      </c>
      <c r="H227" s="6"/>
      <c r="I227" s="6"/>
      <c r="J227" s="6"/>
      <c r="K227" s="251" t="s">
        <v>457</v>
      </c>
      <c r="M227" s="82"/>
      <c r="N227" s="176" t="s">
        <v>381</v>
      </c>
      <c r="O227" s="177">
        <f>D37</f>
        <v>5.5777396572693227</v>
      </c>
      <c r="Q227" s="176"/>
      <c r="R227" s="176"/>
      <c r="S227" s="176"/>
    </row>
    <row r="228" spans="1:19">
      <c r="A228" s="129">
        <v>13</v>
      </c>
      <c r="B228" s="21" t="s">
        <v>56</v>
      </c>
      <c r="C228" s="6"/>
      <c r="D228" s="63">
        <v>2881499.98</v>
      </c>
      <c r="E228" s="89">
        <f>+I223</f>
        <v>1</v>
      </c>
      <c r="F228" s="89"/>
      <c r="G228" s="6">
        <f>D228*E228</f>
        <v>2881499.98</v>
      </c>
      <c r="H228" s="6"/>
      <c r="I228" s="6"/>
      <c r="J228" s="6"/>
      <c r="K228" s="251" t="s">
        <v>458</v>
      </c>
      <c r="N228" s="176" t="s">
        <v>382</v>
      </c>
      <c r="O228" s="179">
        <f>O224+O226+O227</f>
        <v>5.8537439660446973</v>
      </c>
      <c r="P228" s="176" t="s">
        <v>379</v>
      </c>
      <c r="Q228" s="176"/>
      <c r="R228" s="176"/>
      <c r="S228" s="176"/>
    </row>
    <row r="229" spans="1:19">
      <c r="A229" s="129">
        <v>14</v>
      </c>
      <c r="B229" s="21" t="s">
        <v>58</v>
      </c>
      <c r="C229" s="6"/>
      <c r="D229" s="63">
        <v>0</v>
      </c>
      <c r="E229" s="89">
        <v>0</v>
      </c>
      <c r="F229" s="89"/>
      <c r="G229" s="6">
        <f>D229*E229</f>
        <v>0</v>
      </c>
      <c r="H229" s="6"/>
      <c r="I229" s="90" t="s">
        <v>112</v>
      </c>
      <c r="J229" s="6"/>
      <c r="K229" s="6"/>
    </row>
    <row r="230" spans="1:19" ht="16.2" thickBot="1">
      <c r="A230" s="129">
        <v>15</v>
      </c>
      <c r="B230" s="21" t="s">
        <v>113</v>
      </c>
      <c r="C230" s="6"/>
      <c r="D230" s="61">
        <v>1011713.99</v>
      </c>
      <c r="E230" s="89">
        <v>0</v>
      </c>
      <c r="F230" s="89"/>
      <c r="G230" s="36">
        <f>D230*E230</f>
        <v>0</v>
      </c>
      <c r="H230" s="6"/>
      <c r="I230" s="30" t="s">
        <v>114</v>
      </c>
      <c r="J230" s="6"/>
      <c r="K230" s="6" t="s">
        <v>459</v>
      </c>
    </row>
    <row r="231" spans="1:19">
      <c r="A231" s="129">
        <v>16</v>
      </c>
      <c r="B231" s="21" t="s">
        <v>174</v>
      </c>
      <c r="C231" s="6"/>
      <c r="D231" s="6">
        <f>SUM(D227:D230)</f>
        <v>4748369.67</v>
      </c>
      <c r="E231" s="6"/>
      <c r="F231" s="6"/>
      <c r="G231" s="6">
        <f>SUM(G227:G230)</f>
        <v>2881499.98</v>
      </c>
      <c r="H231" s="129" t="s">
        <v>115</v>
      </c>
      <c r="I231" s="60">
        <f>IF(G231&gt;0,G231/D231,0)</f>
        <v>0.60683985878462576</v>
      </c>
      <c r="J231" s="91" t="s">
        <v>287</v>
      </c>
      <c r="K231" s="6"/>
    </row>
    <row r="232" spans="1:19">
      <c r="A232" s="129" t="s">
        <v>2</v>
      </c>
      <c r="B232" s="21" t="s">
        <v>2</v>
      </c>
      <c r="C232" s="6" t="s">
        <v>2</v>
      </c>
      <c r="E232" s="6"/>
      <c r="F232" s="6"/>
      <c r="K232" s="6"/>
    </row>
    <row r="233" spans="1:19">
      <c r="A233" s="129"/>
      <c r="B233" s="21" t="s">
        <v>229</v>
      </c>
      <c r="C233" s="6"/>
      <c r="D233" s="54" t="s">
        <v>110</v>
      </c>
      <c r="E233" s="6"/>
      <c r="F233" s="6"/>
      <c r="G233" s="81" t="s">
        <v>116</v>
      </c>
      <c r="H233" s="70" t="s">
        <v>2</v>
      </c>
      <c r="I233" s="62" t="s">
        <v>117</v>
      </c>
      <c r="J233" s="6"/>
      <c r="K233" s="6"/>
    </row>
    <row r="234" spans="1:19">
      <c r="A234" s="129">
        <v>17</v>
      </c>
      <c r="B234" s="21" t="s">
        <v>118</v>
      </c>
      <c r="C234" s="6"/>
      <c r="D234" s="63">
        <v>0</v>
      </c>
      <c r="E234" s="6"/>
      <c r="G234" s="129" t="s">
        <v>119</v>
      </c>
      <c r="H234" s="70"/>
      <c r="I234" s="129" t="s">
        <v>120</v>
      </c>
      <c r="J234" s="6"/>
      <c r="K234" s="129" t="s">
        <v>62</v>
      </c>
    </row>
    <row r="235" spans="1:19">
      <c r="A235" s="129">
        <v>18</v>
      </c>
      <c r="B235" s="21" t="s">
        <v>121</v>
      </c>
      <c r="C235" s="6"/>
      <c r="D235" s="63">
        <v>0</v>
      </c>
      <c r="E235" s="6"/>
      <c r="G235" s="34">
        <f>IF(D237&gt;0,D234/D237,0)</f>
        <v>0</v>
      </c>
      <c r="H235" s="81" t="s">
        <v>122</v>
      </c>
      <c r="I235" s="34">
        <f>I231</f>
        <v>0.60683985878462576</v>
      </c>
      <c r="J235" s="70" t="s">
        <v>115</v>
      </c>
      <c r="K235" s="34">
        <f>I235*G235</f>
        <v>0</v>
      </c>
    </row>
    <row r="236" spans="1:19" ht="16.2" thickBot="1">
      <c r="A236" s="129">
        <v>19</v>
      </c>
      <c r="B236" s="92" t="s">
        <v>123</v>
      </c>
      <c r="C236" s="36"/>
      <c r="D236" s="61">
        <v>0</v>
      </c>
      <c r="E236" s="6"/>
      <c r="F236" s="6"/>
      <c r="G236" s="6" t="s">
        <v>2</v>
      </c>
      <c r="H236" s="6"/>
      <c r="I236" s="6"/>
      <c r="J236" s="6"/>
      <c r="K236" s="6"/>
    </row>
    <row r="237" spans="1:19">
      <c r="A237" s="129">
        <v>20</v>
      </c>
      <c r="B237" s="21" t="s">
        <v>230</v>
      </c>
      <c r="C237" s="6"/>
      <c r="D237" s="6">
        <f>D234+D235+D236</f>
        <v>0</v>
      </c>
      <c r="E237" s="6"/>
      <c r="F237" s="6"/>
      <c r="G237" s="6"/>
      <c r="H237" s="6"/>
      <c r="I237" s="6"/>
      <c r="J237" s="6"/>
      <c r="K237" s="6"/>
    </row>
    <row r="238" spans="1:19">
      <c r="A238" s="129"/>
      <c r="B238" s="21" t="s">
        <v>2</v>
      </c>
      <c r="C238" s="6"/>
      <c r="E238" s="6"/>
      <c r="F238" s="6"/>
      <c r="G238" s="6"/>
      <c r="H238" s="6"/>
      <c r="I238" s="6" t="s">
        <v>2</v>
      </c>
      <c r="J238" s="6" t="s">
        <v>2</v>
      </c>
      <c r="K238" s="6"/>
    </row>
    <row r="239" spans="1:19" ht="16.2" thickBot="1">
      <c r="A239" s="129"/>
      <c r="B239" s="21" t="s">
        <v>124</v>
      </c>
      <c r="C239" s="6"/>
      <c r="D239" s="88" t="s">
        <v>110</v>
      </c>
      <c r="E239" s="6"/>
      <c r="F239" s="6"/>
      <c r="G239" s="6"/>
      <c r="H239" s="6"/>
      <c r="J239" s="6"/>
      <c r="K239" s="6"/>
    </row>
    <row r="240" spans="1:19">
      <c r="A240" s="129">
        <v>21</v>
      </c>
      <c r="B240" s="6" t="s">
        <v>278</v>
      </c>
      <c r="C240" s="23"/>
      <c r="D240" s="93">
        <v>15347106</v>
      </c>
      <c r="E240" s="6"/>
      <c r="F240" s="6"/>
      <c r="G240" s="6"/>
      <c r="H240" s="6"/>
      <c r="I240" s="6"/>
      <c r="J240" s="6"/>
      <c r="K240" s="6"/>
    </row>
    <row r="241" spans="1:11">
      <c r="A241" s="129"/>
      <c r="B241" s="21"/>
      <c r="C241" s="6"/>
      <c r="D241" s="6"/>
      <c r="E241" s="6"/>
      <c r="F241" s="6"/>
      <c r="G241" s="6"/>
      <c r="H241" s="6"/>
      <c r="I241" s="6"/>
      <c r="J241" s="6"/>
      <c r="K241" s="6"/>
    </row>
    <row r="242" spans="1:11">
      <c r="A242" s="129"/>
      <c r="B242" s="21"/>
      <c r="C242" s="6"/>
      <c r="D242" s="6"/>
      <c r="E242" s="6"/>
      <c r="F242" s="6"/>
      <c r="G242" s="81" t="s">
        <v>125</v>
      </c>
      <c r="H242" s="6"/>
      <c r="I242" s="6"/>
      <c r="J242" s="6"/>
      <c r="K242" s="6"/>
    </row>
    <row r="243" spans="1:11" ht="16.2" thickBot="1">
      <c r="A243" s="129"/>
      <c r="B243" s="21"/>
      <c r="C243" s="23"/>
      <c r="D243" s="30" t="s">
        <v>110</v>
      </c>
      <c r="E243" s="30" t="s">
        <v>126</v>
      </c>
      <c r="F243" s="6"/>
      <c r="G243" s="30" t="s">
        <v>127</v>
      </c>
      <c r="H243" s="6"/>
      <c r="I243" s="30" t="s">
        <v>128</v>
      </c>
      <c r="J243" s="6"/>
      <c r="K243" s="6"/>
    </row>
    <row r="244" spans="1:11">
      <c r="A244" s="129">
        <v>22</v>
      </c>
      <c r="B244" s="21" t="s">
        <v>129</v>
      </c>
      <c r="C244" s="23" t="s">
        <v>280</v>
      </c>
      <c r="D244" s="63">
        <f>330542467+22654174+752723</f>
        <v>353949364</v>
      </c>
      <c r="E244" s="94">
        <f>IF($D$246&gt;0,D244/$D$246,0)</f>
        <v>0.61205409708175196</v>
      </c>
      <c r="F244" s="95"/>
      <c r="G244" s="95">
        <f>IF(D240&gt;0,D240/D244,0)</f>
        <v>4.3359608918523161E-2</v>
      </c>
      <c r="I244" s="95">
        <f>G244*E244</f>
        <v>2.6538426286444573E-2</v>
      </c>
      <c r="J244" s="91" t="s">
        <v>130</v>
      </c>
    </row>
    <row r="245" spans="1:11" ht="16.2" thickBot="1">
      <c r="A245" s="129">
        <v>23</v>
      </c>
      <c r="B245" s="21" t="s">
        <v>131</v>
      </c>
      <c r="C245" s="23" t="s">
        <v>279</v>
      </c>
      <c r="D245" s="61">
        <v>224348152</v>
      </c>
      <c r="E245" s="96">
        <f>IF($D$246&gt;0,D245/$D$246,0)</f>
        <v>0.38794590291824804</v>
      </c>
      <c r="F245" s="95"/>
      <c r="G245" s="95">
        <f>I248</f>
        <v>0.1032</v>
      </c>
      <c r="I245" s="97">
        <f>G245*E245</f>
        <v>4.0036017181163196E-2</v>
      </c>
      <c r="J245" s="6"/>
    </row>
    <row r="246" spans="1:11">
      <c r="A246" s="129">
        <v>24</v>
      </c>
      <c r="B246" s="21" t="s">
        <v>231</v>
      </c>
      <c r="C246" s="23"/>
      <c r="D246" s="6">
        <f>SUM(D244:D245)</f>
        <v>578297516</v>
      </c>
      <c r="E246" s="94">
        <f>IF($D$246&gt;0,D246/$D$246,0)</f>
        <v>1</v>
      </c>
      <c r="F246" s="95"/>
      <c r="G246" s="95"/>
      <c r="I246" s="95">
        <f>SUM(I244:I245)</f>
        <v>6.6574443467607769E-2</v>
      </c>
      <c r="J246" s="91" t="s">
        <v>132</v>
      </c>
    </row>
    <row r="247" spans="1:11">
      <c r="A247" s="129" t="s">
        <v>2</v>
      </c>
      <c r="B247" s="21"/>
      <c r="D247" s="6"/>
      <c r="E247" s="6" t="s">
        <v>2</v>
      </c>
      <c r="F247" s="6"/>
      <c r="G247" s="6"/>
      <c r="H247" s="6"/>
      <c r="I247" s="95"/>
    </row>
    <row r="248" spans="1:11">
      <c r="A248" s="129">
        <v>25</v>
      </c>
      <c r="E248" s="6"/>
      <c r="F248" s="6"/>
      <c r="G248" s="67" t="s">
        <v>198</v>
      </c>
      <c r="H248" s="6"/>
      <c r="I248" s="98">
        <v>0.1032</v>
      </c>
    </row>
    <row r="249" spans="1:11">
      <c r="A249" s="129">
        <v>26</v>
      </c>
      <c r="G249" s="20" t="s">
        <v>199</v>
      </c>
      <c r="I249" s="89">
        <f>IF(I246&gt;0,G244/I246,0)</f>
        <v>0.6512951015447852</v>
      </c>
      <c r="K249" s="6"/>
    </row>
    <row r="250" spans="1:11">
      <c r="A250" s="129"/>
      <c r="B250" s="21" t="s">
        <v>133</v>
      </c>
      <c r="C250" s="23"/>
      <c r="D250" s="23"/>
      <c r="E250" s="23"/>
      <c r="F250" s="23"/>
      <c r="G250" s="23"/>
      <c r="H250" s="23"/>
      <c r="I250" s="23"/>
      <c r="J250" s="23"/>
      <c r="K250" s="23"/>
    </row>
    <row r="251" spans="1:11" ht="16.2" thickBot="1">
      <c r="A251" s="129"/>
      <c r="B251" s="21"/>
      <c r="C251" s="21"/>
      <c r="D251" s="21"/>
      <c r="E251" s="21"/>
      <c r="F251" s="21"/>
      <c r="G251" s="21"/>
      <c r="H251" s="21"/>
      <c r="I251" s="30" t="s">
        <v>134</v>
      </c>
      <c r="J251" s="81"/>
      <c r="K251" s="81"/>
    </row>
    <row r="252" spans="1:11">
      <c r="A252" s="129"/>
      <c r="B252" s="21" t="s">
        <v>232</v>
      </c>
      <c r="C252" s="23"/>
      <c r="D252" s="23"/>
      <c r="E252" s="23"/>
      <c r="F252" s="23"/>
      <c r="G252" s="99" t="s">
        <v>2</v>
      </c>
      <c r="H252" s="100"/>
      <c r="I252" s="1"/>
      <c r="J252" s="81"/>
      <c r="K252" s="81"/>
    </row>
    <row r="253" spans="1:11">
      <c r="A253" s="129">
        <v>27</v>
      </c>
      <c r="B253" s="19" t="s">
        <v>135</v>
      </c>
      <c r="C253" s="23"/>
      <c r="D253" s="23"/>
      <c r="E253" s="23" t="s">
        <v>136</v>
      </c>
      <c r="F253" s="23"/>
      <c r="H253" s="100"/>
      <c r="I253" s="63">
        <v>0</v>
      </c>
      <c r="J253" s="81"/>
      <c r="K253" s="81"/>
    </row>
    <row r="254" spans="1:11" ht="16.2" thickBot="1">
      <c r="A254" s="129">
        <v>28</v>
      </c>
      <c r="B254" s="65" t="s">
        <v>171</v>
      </c>
      <c r="C254" s="80"/>
      <c r="D254" s="13"/>
      <c r="E254" s="101"/>
      <c r="F254" s="101"/>
      <c r="G254" s="101"/>
      <c r="H254" s="23"/>
      <c r="I254" s="61">
        <v>0</v>
      </c>
      <c r="J254" s="81"/>
      <c r="K254" s="81"/>
    </row>
    <row r="255" spans="1:11">
      <c r="A255" s="129">
        <v>29</v>
      </c>
      <c r="B255" s="19" t="s">
        <v>137</v>
      </c>
      <c r="C255" s="23"/>
      <c r="E255" s="23"/>
      <c r="F255" s="23"/>
      <c r="G255" s="23"/>
      <c r="H255" s="23"/>
      <c r="I255" s="63">
        <f>+I253-I254</f>
        <v>0</v>
      </c>
      <c r="J255" s="81"/>
      <c r="K255" s="81"/>
    </row>
    <row r="256" spans="1:11">
      <c r="A256" s="129"/>
      <c r="C256" s="23"/>
      <c r="E256" s="23"/>
      <c r="F256" s="23"/>
      <c r="G256" s="23"/>
      <c r="H256" s="23"/>
      <c r="I256" s="2"/>
      <c r="J256" s="81"/>
      <c r="K256" s="81"/>
    </row>
    <row r="257" spans="1:11">
      <c r="A257" s="129">
        <v>30</v>
      </c>
      <c r="B257" s="21" t="s">
        <v>233</v>
      </c>
      <c r="C257" s="23"/>
      <c r="E257" s="23"/>
      <c r="F257" s="23"/>
      <c r="G257" s="49"/>
      <c r="H257" s="23"/>
      <c r="I257" s="4">
        <v>46300.72</v>
      </c>
      <c r="J257" s="1"/>
      <c r="K257" s="3" t="s">
        <v>460</v>
      </c>
    </row>
    <row r="258" spans="1:11">
      <c r="A258" s="129"/>
      <c r="C258" s="23"/>
      <c r="D258" s="23"/>
      <c r="E258" s="23"/>
      <c r="F258" s="23"/>
      <c r="G258" s="23"/>
      <c r="H258" s="23"/>
      <c r="I258" s="2"/>
      <c r="J258" s="1"/>
      <c r="K258" s="3"/>
    </row>
    <row r="259" spans="1:11">
      <c r="B259" s="21" t="s">
        <v>138</v>
      </c>
      <c r="C259" s="23"/>
      <c r="D259" s="23"/>
      <c r="E259" s="23"/>
      <c r="F259" s="23"/>
      <c r="G259" s="23"/>
      <c r="H259" s="23"/>
      <c r="K259" s="5"/>
    </row>
    <row r="260" spans="1:11">
      <c r="A260" s="129">
        <v>31</v>
      </c>
      <c r="B260" s="21" t="s">
        <v>139</v>
      </c>
      <c r="C260" s="6"/>
      <c r="D260" s="6"/>
      <c r="E260" s="6"/>
      <c r="F260" s="6"/>
      <c r="G260" s="6"/>
      <c r="H260" s="6"/>
      <c r="I260" s="102">
        <v>7549826.6500000004</v>
      </c>
      <c r="J260" s="6"/>
      <c r="K260" s="81" t="s">
        <v>461</v>
      </c>
    </row>
    <row r="261" spans="1:11">
      <c r="A261" s="129">
        <v>32</v>
      </c>
      <c r="B261" s="103" t="s">
        <v>172</v>
      </c>
      <c r="C261" s="101"/>
      <c r="D261" s="101"/>
      <c r="E261" s="101"/>
      <c r="F261" s="101"/>
      <c r="G261" s="23"/>
      <c r="H261" s="23"/>
      <c r="I261" s="102">
        <f>I260-245200.75</f>
        <v>7304625.9000000004</v>
      </c>
      <c r="K261" s="81"/>
    </row>
    <row r="262" spans="1:11">
      <c r="A262" s="129" t="s">
        <v>197</v>
      </c>
      <c r="B262" s="104" t="s">
        <v>295</v>
      </c>
      <c r="C262" s="105"/>
      <c r="D262" s="101"/>
      <c r="E262" s="101"/>
      <c r="F262" s="101"/>
      <c r="G262" s="23"/>
      <c r="H262" s="23"/>
      <c r="I262" s="102">
        <v>0</v>
      </c>
      <c r="K262" s="81"/>
    </row>
    <row r="263" spans="1:11" ht="16.2" thickBot="1">
      <c r="A263" s="129" t="s">
        <v>266</v>
      </c>
      <c r="B263" s="106" t="s">
        <v>296</v>
      </c>
      <c r="C263" s="107"/>
      <c r="D263" s="101"/>
      <c r="E263" s="101"/>
      <c r="F263" s="101"/>
      <c r="G263" s="23"/>
      <c r="H263" s="23"/>
      <c r="I263" s="108">
        <v>0</v>
      </c>
      <c r="K263" s="81"/>
    </row>
    <row r="264" spans="1:11">
      <c r="A264" s="129">
        <v>33</v>
      </c>
      <c r="B264" s="19" t="s">
        <v>265</v>
      </c>
      <c r="C264" s="129"/>
      <c r="D264" s="6"/>
      <c r="E264" s="6"/>
      <c r="F264" s="6"/>
      <c r="G264" s="6"/>
      <c r="H264" s="23"/>
      <c r="I264" s="7">
        <f>+I260-I261-I262-I263</f>
        <v>245200.75</v>
      </c>
      <c r="J264" s="6"/>
      <c r="K264" s="8" t="s">
        <v>462</v>
      </c>
    </row>
    <row r="265" spans="1:11">
      <c r="A265" s="129"/>
    </row>
    <row r="266" spans="1:11">
      <c r="A266" s="129"/>
    </row>
    <row r="267" spans="1:11">
      <c r="A267" s="129"/>
    </row>
    <row r="268" spans="1:11">
      <c r="A268" s="129"/>
      <c r="K268" s="20" t="s">
        <v>301</v>
      </c>
    </row>
    <row r="269" spans="1:11">
      <c r="B269" s="21"/>
      <c r="C269" s="21"/>
      <c r="D269" s="22"/>
      <c r="E269" s="21"/>
      <c r="F269" s="21"/>
      <c r="G269" s="21"/>
      <c r="H269" s="23"/>
      <c r="I269" s="23"/>
      <c r="J269" s="254" t="s">
        <v>202</v>
      </c>
      <c r="K269" s="254"/>
    </row>
    <row r="270" spans="1:11">
      <c r="A270" s="129"/>
      <c r="B270" s="109" t="str">
        <f>B4</f>
        <v xml:space="preserve">Formula Rate - Non-Levelized </v>
      </c>
      <c r="C270" s="129"/>
      <c r="D270" s="6" t="str">
        <f>D4</f>
        <v xml:space="preserve">     Rate Formula Template</v>
      </c>
      <c r="E270" s="6"/>
      <c r="F270" s="6"/>
      <c r="G270" s="6"/>
      <c r="H270" s="23"/>
      <c r="J270" s="1"/>
      <c r="K270" s="110" t="str">
        <f>K4</f>
        <v>For the 12 months ended 12/31/_2016_</v>
      </c>
    </row>
    <row r="271" spans="1:11">
      <c r="A271" s="129"/>
      <c r="B271" s="109"/>
      <c r="C271" s="129"/>
      <c r="D271" s="6" t="str">
        <f>D5</f>
        <v xml:space="preserve"> Utilizing RUS Form 12 Data</v>
      </c>
      <c r="E271" s="6"/>
      <c r="F271" s="6"/>
      <c r="G271" s="6"/>
      <c r="H271" s="23"/>
      <c r="I271" s="111"/>
      <c r="J271" s="1"/>
      <c r="K271" s="8"/>
    </row>
    <row r="272" spans="1:11">
      <c r="A272" s="129"/>
      <c r="B272" s="109"/>
      <c r="C272" s="129"/>
      <c r="D272" s="6"/>
      <c r="E272" s="6"/>
      <c r="F272" s="6"/>
      <c r="G272" s="6"/>
      <c r="H272" s="23"/>
      <c r="I272" s="111"/>
      <c r="J272" s="1"/>
      <c r="K272" s="8"/>
    </row>
    <row r="273" spans="1:11">
      <c r="A273" s="129"/>
      <c r="B273" s="109"/>
      <c r="C273" s="129"/>
      <c r="D273" s="6" t="str">
        <f>D7</f>
        <v>Central Iowa Power Cooperative</v>
      </c>
      <c r="E273" s="6"/>
      <c r="F273" s="6"/>
      <c r="G273" s="6"/>
      <c r="H273" s="23"/>
      <c r="I273" s="111"/>
      <c r="J273" s="1"/>
      <c r="K273" s="8"/>
    </row>
    <row r="274" spans="1:11">
      <c r="B274" s="21" t="s">
        <v>140</v>
      </c>
      <c r="C274" s="129"/>
      <c r="D274" s="6"/>
      <c r="E274" s="6"/>
      <c r="F274" s="6"/>
      <c r="G274" s="6"/>
      <c r="H274" s="23"/>
      <c r="I274" s="6"/>
      <c r="J274" s="23"/>
      <c r="K274" s="6"/>
    </row>
    <row r="275" spans="1:11">
      <c r="A275" s="129"/>
      <c r="B275" s="112" t="s">
        <v>206</v>
      </c>
      <c r="C275" s="129"/>
      <c r="D275" s="6"/>
      <c r="E275" s="6"/>
      <c r="F275" s="6"/>
      <c r="G275" s="6"/>
      <c r="H275" s="23"/>
      <c r="I275" s="6"/>
      <c r="J275" s="23"/>
      <c r="K275" s="6"/>
    </row>
    <row r="276" spans="1:11">
      <c r="A276" s="129" t="s">
        <v>141</v>
      </c>
      <c r="B276" s="112" t="s">
        <v>207</v>
      </c>
      <c r="C276" s="129"/>
      <c r="D276" s="6"/>
      <c r="E276" s="6"/>
      <c r="F276" s="6"/>
      <c r="G276" s="6"/>
      <c r="H276" s="23"/>
      <c r="I276" s="6"/>
      <c r="J276" s="23"/>
      <c r="K276" s="6"/>
    </row>
    <row r="277" spans="1:11" ht="16.2" thickBot="1">
      <c r="A277" s="30" t="s">
        <v>142</v>
      </c>
      <c r="B277" s="112"/>
      <c r="C277" s="129"/>
      <c r="D277" s="6"/>
      <c r="E277" s="6"/>
      <c r="F277" s="6"/>
      <c r="G277" s="6"/>
      <c r="H277" s="23"/>
      <c r="I277" s="6"/>
      <c r="J277" s="23"/>
      <c r="K277" s="6"/>
    </row>
    <row r="278" spans="1:11">
      <c r="A278" s="113" t="s">
        <v>143</v>
      </c>
      <c r="B278" s="256" t="s">
        <v>258</v>
      </c>
      <c r="C278" s="256"/>
      <c r="D278" s="256"/>
      <c r="E278" s="256"/>
      <c r="F278" s="256"/>
      <c r="G278" s="256"/>
      <c r="H278" s="256"/>
      <c r="I278" s="256"/>
      <c r="J278" s="256"/>
      <c r="K278" s="256"/>
    </row>
    <row r="279" spans="1:11">
      <c r="A279" s="113" t="s">
        <v>144</v>
      </c>
      <c r="B279" s="256" t="s">
        <v>259</v>
      </c>
      <c r="C279" s="256"/>
      <c r="D279" s="256"/>
      <c r="E279" s="256"/>
      <c r="F279" s="256"/>
      <c r="G279" s="256"/>
      <c r="H279" s="256"/>
      <c r="I279" s="256"/>
      <c r="J279" s="256"/>
      <c r="K279" s="256"/>
    </row>
    <row r="280" spans="1:11">
      <c r="A280" s="113" t="s">
        <v>145</v>
      </c>
      <c r="B280" s="256" t="s">
        <v>260</v>
      </c>
      <c r="C280" s="256"/>
      <c r="D280" s="256"/>
      <c r="E280" s="256"/>
      <c r="F280" s="256"/>
      <c r="G280" s="256"/>
      <c r="H280" s="256"/>
      <c r="I280" s="256"/>
      <c r="J280" s="256"/>
      <c r="K280" s="256"/>
    </row>
    <row r="281" spans="1:11">
      <c r="A281" s="113" t="s">
        <v>146</v>
      </c>
      <c r="B281" s="256" t="s">
        <v>260</v>
      </c>
      <c r="C281" s="256"/>
      <c r="D281" s="256"/>
      <c r="E281" s="256"/>
      <c r="F281" s="256"/>
      <c r="G281" s="256"/>
      <c r="H281" s="256"/>
      <c r="I281" s="256"/>
      <c r="J281" s="256"/>
      <c r="K281" s="256"/>
    </row>
    <row r="282" spans="1:11">
      <c r="A282" s="113" t="s">
        <v>147</v>
      </c>
      <c r="B282" s="256" t="s">
        <v>288</v>
      </c>
      <c r="C282" s="256"/>
      <c r="D282" s="256"/>
      <c r="E282" s="256"/>
      <c r="F282" s="256"/>
      <c r="G282" s="256"/>
      <c r="H282" s="256"/>
      <c r="I282" s="256"/>
      <c r="J282" s="256"/>
      <c r="K282" s="256"/>
    </row>
    <row r="283" spans="1:11">
      <c r="A283" s="113" t="s">
        <v>148</v>
      </c>
      <c r="B283" s="255" t="s">
        <v>248</v>
      </c>
      <c r="C283" s="255"/>
      <c r="D283" s="255"/>
      <c r="E283" s="255"/>
      <c r="F283" s="255"/>
      <c r="G283" s="255"/>
      <c r="H283" s="255"/>
      <c r="I283" s="255"/>
      <c r="J283" s="255"/>
      <c r="K283" s="255"/>
    </row>
    <row r="284" spans="1:11">
      <c r="A284" s="113" t="s">
        <v>149</v>
      </c>
      <c r="B284" s="255" t="s">
        <v>179</v>
      </c>
      <c r="C284" s="255"/>
      <c r="D284" s="255"/>
      <c r="E284" s="255"/>
      <c r="F284" s="255"/>
      <c r="G284" s="255"/>
      <c r="H284" s="255"/>
      <c r="I284" s="255"/>
      <c r="J284" s="255"/>
      <c r="K284" s="255"/>
    </row>
    <row r="285" spans="1:11">
      <c r="A285" s="113" t="s">
        <v>150</v>
      </c>
      <c r="B285" s="255" t="s">
        <v>281</v>
      </c>
      <c r="C285" s="255"/>
      <c r="D285" s="255"/>
      <c r="E285" s="255"/>
      <c r="F285" s="255"/>
      <c r="G285" s="255"/>
      <c r="H285" s="255"/>
      <c r="I285" s="255"/>
      <c r="J285" s="255"/>
      <c r="K285" s="255"/>
    </row>
    <row r="286" spans="1:11">
      <c r="A286" s="113" t="s">
        <v>151</v>
      </c>
      <c r="B286" s="256" t="s">
        <v>249</v>
      </c>
      <c r="C286" s="256"/>
      <c r="D286" s="256"/>
      <c r="E286" s="256"/>
      <c r="F286" s="256"/>
      <c r="G286" s="256"/>
      <c r="H286" s="256"/>
      <c r="I286" s="256"/>
      <c r="J286" s="256"/>
      <c r="K286" s="256"/>
    </row>
    <row r="287" spans="1:11">
      <c r="A287" s="113" t="s">
        <v>152</v>
      </c>
      <c r="B287" s="255" t="s">
        <v>250</v>
      </c>
      <c r="C287" s="255"/>
      <c r="D287" s="255"/>
      <c r="E287" s="255"/>
      <c r="F287" s="255"/>
      <c r="G287" s="255"/>
      <c r="H287" s="255"/>
      <c r="I287" s="255"/>
      <c r="J287" s="255"/>
      <c r="K287" s="255"/>
    </row>
    <row r="288" spans="1:11">
      <c r="A288" s="113" t="s">
        <v>153</v>
      </c>
      <c r="B288" s="255" t="s">
        <v>297</v>
      </c>
      <c r="C288" s="255"/>
      <c r="D288" s="255"/>
      <c r="E288" s="255"/>
      <c r="F288" s="255"/>
      <c r="G288" s="255"/>
      <c r="H288" s="255"/>
      <c r="I288" s="255"/>
      <c r="J288" s="255"/>
      <c r="K288" s="255"/>
    </row>
    <row r="289" spans="1:13">
      <c r="A289" s="113" t="s">
        <v>2</v>
      </c>
      <c r="B289" s="114" t="s">
        <v>247</v>
      </c>
      <c r="C289" s="128" t="s">
        <v>154</v>
      </c>
      <c r="D289" s="116">
        <v>0</v>
      </c>
      <c r="E289" s="128"/>
      <c r="F289" s="117"/>
      <c r="G289" s="117"/>
      <c r="H289" s="128"/>
      <c r="I289" s="117"/>
      <c r="J289" s="128"/>
      <c r="K289" s="128"/>
    </row>
    <row r="290" spans="1:13">
      <c r="A290" s="113"/>
      <c r="B290" s="128"/>
      <c r="C290" s="128" t="s">
        <v>155</v>
      </c>
      <c r="D290" s="116">
        <v>0</v>
      </c>
      <c r="E290" s="255" t="s">
        <v>156</v>
      </c>
      <c r="F290" s="255"/>
      <c r="G290" s="255"/>
      <c r="H290" s="255"/>
      <c r="I290" s="255"/>
      <c r="J290" s="255"/>
      <c r="K290" s="255"/>
    </row>
    <row r="291" spans="1:13">
      <c r="A291" s="113"/>
      <c r="B291" s="128"/>
      <c r="C291" s="128" t="s">
        <v>157</v>
      </c>
      <c r="D291" s="116">
        <v>0</v>
      </c>
      <c r="E291" s="255" t="s">
        <v>158</v>
      </c>
      <c r="F291" s="255"/>
      <c r="G291" s="255"/>
      <c r="H291" s="255"/>
      <c r="I291" s="255"/>
      <c r="J291" s="255"/>
      <c r="K291" s="255"/>
    </row>
    <row r="292" spans="1:13">
      <c r="A292" s="113" t="s">
        <v>159</v>
      </c>
      <c r="B292" s="255" t="s">
        <v>180</v>
      </c>
      <c r="C292" s="255"/>
      <c r="D292" s="255"/>
      <c r="E292" s="255"/>
      <c r="F292" s="255"/>
      <c r="G292" s="255"/>
      <c r="H292" s="255"/>
      <c r="I292" s="255"/>
      <c r="J292" s="255"/>
      <c r="K292" s="255"/>
    </row>
    <row r="293" spans="1:13">
      <c r="A293" s="113" t="s">
        <v>160</v>
      </c>
      <c r="B293" s="255" t="s">
        <v>251</v>
      </c>
      <c r="C293" s="255"/>
      <c r="D293" s="255"/>
      <c r="E293" s="255"/>
      <c r="F293" s="255"/>
      <c r="G293" s="255"/>
      <c r="H293" s="255"/>
      <c r="I293" s="255"/>
      <c r="J293" s="255"/>
      <c r="K293" s="255"/>
    </row>
    <row r="294" spans="1:13">
      <c r="A294" s="113" t="s">
        <v>161</v>
      </c>
      <c r="B294" s="255" t="s">
        <v>298</v>
      </c>
      <c r="C294" s="255"/>
      <c r="D294" s="255"/>
      <c r="E294" s="255"/>
      <c r="F294" s="255"/>
      <c r="G294" s="255"/>
      <c r="H294" s="255"/>
      <c r="I294" s="255"/>
      <c r="J294" s="255"/>
      <c r="K294" s="255"/>
    </row>
    <row r="295" spans="1:13">
      <c r="A295" s="113" t="s">
        <v>162</v>
      </c>
      <c r="B295" s="255" t="s">
        <v>181</v>
      </c>
      <c r="C295" s="255"/>
      <c r="D295" s="255"/>
      <c r="E295" s="255"/>
      <c r="F295" s="255"/>
      <c r="G295" s="255"/>
      <c r="H295" s="255"/>
      <c r="I295" s="255"/>
      <c r="J295" s="255"/>
      <c r="K295" s="255"/>
    </row>
    <row r="296" spans="1:13">
      <c r="A296" s="113" t="s">
        <v>163</v>
      </c>
      <c r="B296" s="255" t="s">
        <v>315</v>
      </c>
      <c r="C296" s="255"/>
      <c r="D296" s="255"/>
      <c r="E296" s="255"/>
      <c r="F296" s="255"/>
      <c r="G296" s="255"/>
      <c r="H296" s="255"/>
      <c r="I296" s="255"/>
      <c r="J296" s="255"/>
      <c r="K296" s="255"/>
    </row>
    <row r="297" spans="1:13">
      <c r="A297" s="113" t="s">
        <v>164</v>
      </c>
      <c r="B297" s="255" t="s">
        <v>252</v>
      </c>
      <c r="C297" s="255"/>
      <c r="D297" s="255"/>
      <c r="E297" s="255"/>
      <c r="F297" s="255"/>
      <c r="G297" s="255"/>
      <c r="H297" s="255"/>
      <c r="I297" s="255"/>
      <c r="J297" s="255"/>
      <c r="K297" s="255"/>
    </row>
    <row r="298" spans="1:13">
      <c r="A298" s="113" t="s">
        <v>165</v>
      </c>
      <c r="B298" s="255" t="s">
        <v>166</v>
      </c>
      <c r="C298" s="255"/>
      <c r="D298" s="255"/>
      <c r="E298" s="255"/>
      <c r="F298" s="255"/>
      <c r="G298" s="255"/>
      <c r="H298" s="255"/>
      <c r="I298" s="255"/>
      <c r="J298" s="255"/>
      <c r="K298" s="255"/>
    </row>
    <row r="299" spans="1:13">
      <c r="A299" s="113" t="s">
        <v>182</v>
      </c>
      <c r="B299" s="255" t="s">
        <v>289</v>
      </c>
      <c r="C299" s="255"/>
      <c r="D299" s="255"/>
      <c r="E299" s="255"/>
      <c r="F299" s="255"/>
      <c r="G299" s="255"/>
      <c r="H299" s="255"/>
      <c r="I299" s="255"/>
      <c r="J299" s="255"/>
      <c r="K299" s="255"/>
    </row>
    <row r="300" spans="1:13">
      <c r="A300" s="118" t="s">
        <v>183</v>
      </c>
      <c r="B300" s="255" t="s">
        <v>290</v>
      </c>
      <c r="C300" s="255"/>
      <c r="D300" s="255"/>
      <c r="E300" s="255"/>
      <c r="F300" s="255"/>
      <c r="G300" s="255"/>
      <c r="H300" s="255"/>
      <c r="I300" s="255"/>
      <c r="J300" s="255"/>
      <c r="K300" s="255"/>
    </row>
    <row r="301" spans="1:13">
      <c r="A301" s="118" t="s">
        <v>194</v>
      </c>
      <c r="B301" s="255" t="s">
        <v>291</v>
      </c>
      <c r="C301" s="255"/>
      <c r="D301" s="255"/>
      <c r="E301" s="255"/>
      <c r="F301" s="255"/>
      <c r="G301" s="255"/>
      <c r="H301" s="255"/>
      <c r="I301" s="255"/>
      <c r="J301" s="255"/>
      <c r="K301" s="255"/>
    </row>
    <row r="302" spans="1:13">
      <c r="A302" s="118" t="s">
        <v>195</v>
      </c>
      <c r="B302" s="255" t="s">
        <v>299</v>
      </c>
      <c r="C302" s="255"/>
      <c r="D302" s="255"/>
      <c r="E302" s="255"/>
      <c r="F302" s="255"/>
      <c r="G302" s="255"/>
      <c r="H302" s="255"/>
      <c r="I302" s="255"/>
      <c r="J302" s="255"/>
      <c r="K302" s="255"/>
    </row>
    <row r="303" spans="1:13">
      <c r="A303" s="118" t="s">
        <v>267</v>
      </c>
      <c r="B303" s="255" t="s">
        <v>292</v>
      </c>
      <c r="C303" s="255"/>
      <c r="D303" s="255"/>
      <c r="E303" s="255"/>
      <c r="F303" s="255"/>
      <c r="G303" s="255"/>
      <c r="H303" s="255"/>
      <c r="I303" s="255"/>
      <c r="J303" s="255"/>
      <c r="K303" s="255"/>
      <c r="L303" s="100"/>
      <c r="M303" s="100"/>
    </row>
    <row r="304" spans="1:13">
      <c r="A304" s="118" t="s">
        <v>268</v>
      </c>
      <c r="B304" s="255" t="s">
        <v>300</v>
      </c>
      <c r="C304" s="255"/>
      <c r="D304" s="255"/>
      <c r="E304" s="255"/>
      <c r="F304" s="255"/>
      <c r="G304" s="255"/>
      <c r="H304" s="255"/>
      <c r="I304" s="255"/>
      <c r="J304" s="255"/>
      <c r="K304" s="255"/>
      <c r="L304" s="100"/>
      <c r="M304" s="100"/>
    </row>
    <row r="305" spans="1:13">
      <c r="A305" s="119" t="s">
        <v>282</v>
      </c>
      <c r="B305" s="120" t="s">
        <v>283</v>
      </c>
      <c r="C305" s="79"/>
      <c r="D305" s="121"/>
      <c r="E305" s="79"/>
      <c r="F305" s="79"/>
      <c r="G305" s="79"/>
      <c r="H305" s="79"/>
      <c r="I305" s="8"/>
      <c r="J305" s="79"/>
      <c r="K305" s="8"/>
      <c r="L305" s="100"/>
      <c r="M305" s="100"/>
    </row>
    <row r="306" spans="1:13">
      <c r="A306" s="119" t="s">
        <v>285</v>
      </c>
      <c r="B306" s="122" t="s">
        <v>284</v>
      </c>
      <c r="C306" s="123"/>
      <c r="D306" s="124"/>
      <c r="E306" s="123"/>
      <c r="F306" s="99"/>
      <c r="G306" s="99"/>
      <c r="H306" s="99"/>
      <c r="I306" s="125"/>
      <c r="J306" s="99"/>
      <c r="K306" s="125"/>
      <c r="L306" s="100"/>
      <c r="M306" s="100"/>
    </row>
    <row r="307" spans="1:13">
      <c r="A307" s="126" t="s">
        <v>308</v>
      </c>
      <c r="B307" s="79" t="s">
        <v>310</v>
      </c>
      <c r="C307" s="23"/>
      <c r="D307" s="23"/>
      <c r="E307" s="23"/>
      <c r="F307" s="23"/>
      <c r="G307" s="23"/>
      <c r="H307" s="23"/>
      <c r="I307" s="23"/>
      <c r="J307" s="23"/>
      <c r="K307" s="23"/>
    </row>
    <row r="308" spans="1:13">
      <c r="A308" s="126"/>
      <c r="B308" s="79" t="s">
        <v>311</v>
      </c>
      <c r="C308" s="23"/>
      <c r="D308" s="23"/>
      <c r="E308" s="23"/>
      <c r="F308" s="23"/>
      <c r="G308" s="23"/>
      <c r="H308" s="23"/>
      <c r="I308" s="23"/>
      <c r="J308" s="23"/>
      <c r="K308" s="23"/>
    </row>
    <row r="309" spans="1:13">
      <c r="A309" s="126" t="s">
        <v>309</v>
      </c>
      <c r="B309" s="79" t="s">
        <v>312</v>
      </c>
      <c r="C309" s="23"/>
      <c r="D309" s="23"/>
      <c r="E309" s="23"/>
      <c r="F309" s="23"/>
      <c r="G309" s="23"/>
      <c r="H309" s="23"/>
      <c r="I309" s="23"/>
      <c r="J309" s="23"/>
      <c r="K309" s="23"/>
    </row>
    <row r="310" spans="1:13">
      <c r="A310" s="126"/>
      <c r="B310" s="79" t="s">
        <v>313</v>
      </c>
      <c r="C310" s="23"/>
      <c r="D310" s="23"/>
      <c r="E310" s="23"/>
      <c r="F310" s="23"/>
      <c r="G310" s="23"/>
      <c r="H310" s="23"/>
      <c r="I310" s="23"/>
      <c r="J310" s="23"/>
      <c r="K310" s="23"/>
    </row>
    <row r="311" spans="1:13">
      <c r="A311" s="129"/>
      <c r="B311" s="23"/>
      <c r="C311" s="23"/>
      <c r="D311" s="23"/>
      <c r="E311" s="23"/>
      <c r="F311" s="23"/>
      <c r="G311" s="23"/>
      <c r="H311" s="23"/>
      <c r="I311" s="23"/>
      <c r="J311" s="23"/>
      <c r="K311" s="23"/>
    </row>
    <row r="312" spans="1:13">
      <c r="A312" s="129"/>
      <c r="B312" s="23"/>
      <c r="C312" s="23"/>
      <c r="D312" s="23"/>
      <c r="E312" s="23"/>
      <c r="F312" s="23"/>
      <c r="G312" s="23"/>
      <c r="H312" s="23"/>
      <c r="I312" s="23"/>
      <c r="J312" s="23"/>
      <c r="K312" s="23"/>
    </row>
    <row r="313" spans="1:13">
      <c r="A313" s="129"/>
      <c r="B313" s="23"/>
      <c r="C313" s="23"/>
      <c r="D313" s="23"/>
      <c r="E313" s="23"/>
      <c r="F313" s="23"/>
      <c r="G313" s="23"/>
      <c r="H313" s="23"/>
      <c r="I313" s="23"/>
      <c r="J313" s="23"/>
      <c r="K313" s="23"/>
    </row>
    <row r="314" spans="1:13">
      <c r="A314" s="129"/>
      <c r="B314" s="23"/>
      <c r="C314" s="23"/>
      <c r="D314" s="23"/>
      <c r="E314" s="23"/>
      <c r="F314" s="23"/>
      <c r="G314" s="23"/>
      <c r="H314" s="23"/>
      <c r="I314" s="23"/>
      <c r="J314" s="23"/>
      <c r="K314" s="23"/>
    </row>
    <row r="315" spans="1:13">
      <c r="A315" s="129"/>
      <c r="B315" s="23"/>
      <c r="C315" s="23"/>
      <c r="D315" s="23"/>
      <c r="E315" s="23"/>
      <c r="F315" s="23"/>
      <c r="G315" s="23"/>
      <c r="H315" s="23"/>
      <c r="I315" s="23"/>
      <c r="J315" s="23"/>
      <c r="K315" s="23"/>
    </row>
    <row r="316" spans="1:13">
      <c r="A316" s="129"/>
      <c r="B316" s="23"/>
      <c r="C316" s="23"/>
      <c r="D316" s="23"/>
      <c r="E316" s="23"/>
      <c r="F316" s="23"/>
      <c r="G316" s="23"/>
      <c r="H316" s="23"/>
      <c r="I316" s="23"/>
      <c r="J316" s="23"/>
      <c r="K316" s="23"/>
    </row>
    <row r="317" spans="1:13">
      <c r="A317" s="129"/>
      <c r="B317" s="23"/>
      <c r="C317" s="23"/>
      <c r="D317" s="23"/>
      <c r="E317" s="23"/>
      <c r="F317" s="23"/>
      <c r="G317" s="23"/>
      <c r="H317" s="23"/>
      <c r="I317" s="23"/>
      <c r="J317" s="23"/>
      <c r="K317" s="23"/>
    </row>
    <row r="318" spans="1:13">
      <c r="A318" s="129"/>
      <c r="B318" s="23"/>
      <c r="C318" s="23"/>
      <c r="D318" s="23"/>
      <c r="E318" s="23"/>
      <c r="F318" s="23"/>
      <c r="G318" s="23"/>
      <c r="H318" s="23"/>
      <c r="I318" s="23"/>
      <c r="J318" s="23"/>
      <c r="K318" s="23"/>
    </row>
    <row r="319" spans="1:13">
      <c r="A319" s="129"/>
      <c r="B319" s="23"/>
      <c r="C319" s="23"/>
      <c r="D319" s="23"/>
      <c r="E319" s="23"/>
      <c r="F319" s="23"/>
      <c r="G319" s="23"/>
      <c r="H319" s="23"/>
      <c r="I319" s="23"/>
      <c r="J319" s="23"/>
      <c r="K319" s="23"/>
    </row>
    <row r="320" spans="1:13">
      <c r="A320" s="129"/>
      <c r="B320" s="23"/>
      <c r="C320" s="23"/>
      <c r="D320" s="23"/>
      <c r="E320" s="23"/>
      <c r="F320" s="23"/>
      <c r="G320" s="23"/>
      <c r="H320" s="23"/>
      <c r="I320" s="23"/>
      <c r="J320" s="23"/>
      <c r="K320" s="23"/>
    </row>
    <row r="321" spans="1:11">
      <c r="A321" s="129"/>
      <c r="B321" s="23"/>
      <c r="C321" s="23"/>
      <c r="D321" s="23"/>
      <c r="E321" s="23"/>
      <c r="F321" s="23"/>
      <c r="G321" s="23"/>
      <c r="H321" s="23"/>
      <c r="I321" s="23"/>
      <c r="J321" s="23"/>
      <c r="K321" s="23"/>
    </row>
    <row r="322" spans="1:11">
      <c r="A322" s="129"/>
      <c r="B322" s="23"/>
      <c r="C322" s="23"/>
      <c r="D322" s="23"/>
      <c r="E322" s="23"/>
      <c r="F322" s="23"/>
      <c r="G322" s="23"/>
      <c r="H322" s="23"/>
      <c r="I322" s="23"/>
      <c r="J322" s="23"/>
      <c r="K322" s="23"/>
    </row>
    <row r="323" spans="1:11">
      <c r="A323" s="129"/>
      <c r="B323" s="23"/>
      <c r="C323" s="23"/>
      <c r="D323" s="23"/>
      <c r="E323" s="23"/>
      <c r="F323" s="23"/>
      <c r="G323" s="23"/>
      <c r="H323" s="23"/>
      <c r="I323" s="23"/>
      <c r="J323" s="23"/>
      <c r="K323" s="23"/>
    </row>
    <row r="324" spans="1:11">
      <c r="A324" s="129"/>
      <c r="B324" s="23"/>
      <c r="C324" s="23"/>
      <c r="D324" s="23"/>
      <c r="E324" s="23"/>
      <c r="F324" s="23"/>
      <c r="G324" s="23"/>
      <c r="H324" s="23"/>
      <c r="I324" s="23"/>
      <c r="J324" s="23"/>
      <c r="K324" s="23"/>
    </row>
    <row r="325" spans="1:11">
      <c r="A325" s="129"/>
      <c r="B325" s="23"/>
      <c r="C325" s="23"/>
      <c r="D325" s="23"/>
      <c r="E325" s="23"/>
      <c r="F325" s="23"/>
      <c r="G325" s="23"/>
      <c r="H325" s="23"/>
      <c r="I325" s="23"/>
      <c r="J325" s="23"/>
      <c r="K325" s="23"/>
    </row>
    <row r="326" spans="1:11">
      <c r="A326" s="129"/>
      <c r="B326" s="23"/>
      <c r="C326" s="23"/>
      <c r="D326" s="23"/>
      <c r="E326" s="23"/>
      <c r="F326" s="23"/>
      <c r="G326" s="23"/>
      <c r="H326" s="23"/>
      <c r="I326" s="23"/>
      <c r="J326" s="23"/>
      <c r="K326" s="23"/>
    </row>
    <row r="327" spans="1:11">
      <c r="A327" s="129"/>
      <c r="B327" s="23"/>
      <c r="C327" s="23"/>
      <c r="D327" s="23"/>
      <c r="E327" s="23"/>
      <c r="F327" s="23"/>
      <c r="G327" s="23"/>
      <c r="H327" s="23"/>
      <c r="I327" s="23"/>
      <c r="J327" s="23"/>
      <c r="K327" s="23"/>
    </row>
    <row r="328" spans="1:11">
      <c r="A328" s="129"/>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protectedRanges>
    <protectedRange sqref="K4 D7 D16:D17 I20:I21 I27:I33 D45:D46 D82:D86 D90:D94 D106:D110 D113 D117:D118 D144:D151 D155:D157 D162:D163 D165:D168 D177 D191 I191 D196 I196 I210:I211 I219 D227:D230 D234:D236 D240 D244:D245 I248 I253:I254 I257 I260:I263" name="Range1_1"/>
  </protectedRanges>
  <mergeCells count="34">
    <mergeCell ref="J200:K200"/>
    <mergeCell ref="J2:K2"/>
    <mergeCell ref="J71:K71"/>
    <mergeCell ref="J133:K133"/>
    <mergeCell ref="B190:C190"/>
    <mergeCell ref="B195:C195"/>
    <mergeCell ref="B288:K288"/>
    <mergeCell ref="J269:K269"/>
    <mergeCell ref="B278:K278"/>
    <mergeCell ref="B279:K279"/>
    <mergeCell ref="B280:K280"/>
    <mergeCell ref="B281:K281"/>
    <mergeCell ref="B282:K282"/>
    <mergeCell ref="B283:K283"/>
    <mergeCell ref="B284:K284"/>
    <mergeCell ref="B285:K285"/>
    <mergeCell ref="B286:K286"/>
    <mergeCell ref="B287:K287"/>
    <mergeCell ref="B302:K302"/>
    <mergeCell ref="B303:K303"/>
    <mergeCell ref="B304:K304"/>
    <mergeCell ref="N211:S211"/>
    <mergeCell ref="B296:K296"/>
    <mergeCell ref="B297:K297"/>
    <mergeCell ref="B298:K298"/>
    <mergeCell ref="B299:K299"/>
    <mergeCell ref="B300:K300"/>
    <mergeCell ref="B301:K301"/>
    <mergeCell ref="E290:K290"/>
    <mergeCell ref="E291:K291"/>
    <mergeCell ref="B292:K292"/>
    <mergeCell ref="B293:K293"/>
    <mergeCell ref="B294:K294"/>
    <mergeCell ref="B295:K29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workbookViewId="0"/>
  </sheetViews>
  <sheetFormatPr defaultColWidth="8.90625" defaultRowHeight="13.2"/>
  <cols>
    <col min="1" max="1" width="41.81640625" style="131" bestFit="1" customWidth="1"/>
    <col min="2" max="2" width="8.54296875" style="131" customWidth="1"/>
    <col min="3" max="3" width="11.1796875" style="137" bestFit="1" customWidth="1"/>
    <col min="4" max="4" width="12" style="137" bestFit="1" customWidth="1"/>
    <col min="5" max="5" width="8.90625" style="131" customWidth="1"/>
    <col min="6" max="6" width="8.08984375" style="131" hidden="1" customWidth="1"/>
    <col min="7" max="16384" width="8.90625" style="131"/>
  </cols>
  <sheetData>
    <row r="1" spans="1:6">
      <c r="A1" s="130" t="s">
        <v>320</v>
      </c>
      <c r="B1" s="130"/>
    </row>
    <row r="2" spans="1:6">
      <c r="A2" s="130" t="s">
        <v>321</v>
      </c>
      <c r="B2" s="130"/>
      <c r="E2" s="130" t="s">
        <v>322</v>
      </c>
    </row>
    <row r="3" spans="1:6">
      <c r="A3" s="130" t="s">
        <v>323</v>
      </c>
      <c r="B3" s="130"/>
      <c r="C3" s="138"/>
      <c r="D3" s="138"/>
    </row>
    <row r="4" spans="1:6">
      <c r="C4" s="139">
        <v>42735</v>
      </c>
      <c r="D4" s="139">
        <v>42369</v>
      </c>
    </row>
    <row r="5" spans="1:6">
      <c r="A5" s="131" t="s">
        <v>324</v>
      </c>
      <c r="C5" s="137" t="s">
        <v>324</v>
      </c>
      <c r="D5" s="137" t="s">
        <v>324</v>
      </c>
    </row>
    <row r="6" spans="1:6">
      <c r="A6" s="131" t="s">
        <v>325</v>
      </c>
      <c r="C6" s="140">
        <v>14767511</v>
      </c>
      <c r="D6" s="140">
        <v>13909503.050000001</v>
      </c>
      <c r="E6" s="130" t="s">
        <v>143</v>
      </c>
      <c r="F6" s="145">
        <f>1-(D6/C6)</f>
        <v>5.810105372530272E-2</v>
      </c>
    </row>
    <row r="7" spans="1:6">
      <c r="A7" s="133" t="s">
        <v>326</v>
      </c>
      <c r="B7" s="133"/>
      <c r="C7" s="141">
        <v>6794454</v>
      </c>
      <c r="D7" s="141">
        <v>6628067.79</v>
      </c>
      <c r="E7" s="130" t="s">
        <v>148</v>
      </c>
      <c r="F7" s="145">
        <f t="shared" ref="F7:F10" si="0">1-(D7/C7)</f>
        <v>2.4488532853412459E-2</v>
      </c>
    </row>
    <row r="8" spans="1:6">
      <c r="A8" s="131" t="s">
        <v>327</v>
      </c>
      <c r="C8" s="140">
        <v>3749471</v>
      </c>
      <c r="D8" s="140">
        <v>3265501.57</v>
      </c>
      <c r="E8" s="130" t="s">
        <v>144</v>
      </c>
      <c r="F8" s="145">
        <f t="shared" si="0"/>
        <v>0.12907672308973728</v>
      </c>
    </row>
    <row r="9" spans="1:6">
      <c r="A9" s="133" t="s">
        <v>328</v>
      </c>
      <c r="B9" s="133"/>
      <c r="C9" s="141">
        <v>726102</v>
      </c>
      <c r="D9" s="141">
        <v>804429.61</v>
      </c>
      <c r="E9" s="130" t="s">
        <v>149</v>
      </c>
      <c r="F9" s="145">
        <f t="shared" si="0"/>
        <v>-0.10787411410518088</v>
      </c>
    </row>
    <row r="10" spans="1:6">
      <c r="A10" s="130" t="s">
        <v>329</v>
      </c>
      <c r="C10" s="140">
        <v>15347106</v>
      </c>
      <c r="D10" s="140">
        <v>16074955</v>
      </c>
      <c r="E10" s="130" t="s">
        <v>147</v>
      </c>
      <c r="F10" s="145">
        <f t="shared" si="0"/>
        <v>-4.7425814352230367E-2</v>
      </c>
    </row>
    <row r="11" spans="1:6">
      <c r="A11" s="131" t="s">
        <v>324</v>
      </c>
      <c r="C11" s="140" t="s">
        <v>324</v>
      </c>
      <c r="D11" s="140" t="s">
        <v>324</v>
      </c>
      <c r="F11" s="134"/>
    </row>
    <row r="12" spans="1:6">
      <c r="A12" s="131" t="s">
        <v>324</v>
      </c>
      <c r="C12" s="140" t="s">
        <v>324</v>
      </c>
      <c r="D12" s="140" t="s">
        <v>324</v>
      </c>
    </row>
    <row r="13" spans="1:6">
      <c r="C13" s="140"/>
      <c r="D13" s="140"/>
    </row>
    <row r="14" spans="1:6">
      <c r="A14" s="130" t="s">
        <v>330</v>
      </c>
      <c r="B14" s="130"/>
      <c r="C14" s="140"/>
      <c r="D14" s="140"/>
    </row>
    <row r="15" spans="1:6">
      <c r="A15" s="130" t="s">
        <v>331</v>
      </c>
      <c r="B15" s="130"/>
      <c r="C15" s="142"/>
      <c r="D15" s="142"/>
      <c r="E15" s="130" t="s">
        <v>332</v>
      </c>
    </row>
    <row r="16" spans="1:6">
      <c r="A16" s="130" t="s">
        <v>333</v>
      </c>
      <c r="B16" s="130"/>
      <c r="C16" s="143"/>
      <c r="D16" s="143"/>
      <c r="E16" s="130"/>
    </row>
    <row r="17" spans="1:6">
      <c r="A17" s="130"/>
      <c r="B17" s="130"/>
      <c r="C17" s="144"/>
      <c r="D17" s="144"/>
      <c r="E17" s="130"/>
    </row>
    <row r="18" spans="1:6">
      <c r="A18" s="130" t="s">
        <v>334</v>
      </c>
      <c r="B18" s="130"/>
      <c r="C18" s="142">
        <v>490398</v>
      </c>
      <c r="D18" s="142">
        <v>518810.7</v>
      </c>
      <c r="E18" s="130" t="s">
        <v>143</v>
      </c>
      <c r="F18" s="145">
        <f t="shared" ref="F18:F20" si="1">1-(D18/C18)</f>
        <v>-5.7938042161672865E-2</v>
      </c>
    </row>
    <row r="19" spans="1:6">
      <c r="A19" s="136" t="s">
        <v>335</v>
      </c>
      <c r="B19" s="136"/>
      <c r="C19" s="142">
        <f>1400+76216494+18023828+4298363+125808067</f>
        <v>224348152</v>
      </c>
      <c r="D19" s="142">
        <v>208103741.94</v>
      </c>
      <c r="E19" s="130" t="s">
        <v>149</v>
      </c>
      <c r="F19" s="145">
        <f t="shared" si="1"/>
        <v>7.2407148956591394E-2</v>
      </c>
    </row>
    <row r="20" spans="1:6">
      <c r="A20" s="130" t="s">
        <v>336</v>
      </c>
      <c r="B20" s="130"/>
      <c r="C20" s="142">
        <v>330542467</v>
      </c>
      <c r="D20" s="142">
        <v>329371840</v>
      </c>
      <c r="E20" s="130" t="s">
        <v>144</v>
      </c>
      <c r="F20" s="145">
        <f t="shared" si="1"/>
        <v>3.5415328342666141E-3</v>
      </c>
    </row>
    <row r="21" spans="1:6">
      <c r="A21" s="130" t="s">
        <v>324</v>
      </c>
      <c r="B21" s="130"/>
      <c r="C21" s="142" t="s">
        <v>324</v>
      </c>
      <c r="D21" s="142" t="s">
        <v>324</v>
      </c>
      <c r="E21" s="130"/>
    </row>
    <row r="22" spans="1:6">
      <c r="A22" s="130" t="s">
        <v>337</v>
      </c>
      <c r="B22" s="130"/>
      <c r="C22" s="142">
        <v>0</v>
      </c>
      <c r="D22" s="142">
        <v>0</v>
      </c>
      <c r="E22" s="130" t="s">
        <v>145</v>
      </c>
      <c r="F22" s="145"/>
    </row>
    <row r="23" spans="1:6">
      <c r="A23" s="130" t="s">
        <v>338</v>
      </c>
      <c r="B23" s="130"/>
      <c r="C23" s="142">
        <v>22654174</v>
      </c>
      <c r="D23" s="142">
        <v>19852592</v>
      </c>
      <c r="E23" s="130" t="s">
        <v>146</v>
      </c>
      <c r="F23" s="145">
        <f t="shared" ref="F23:F24" si="2">1-(D23/C23)</f>
        <v>0.12366736478672757</v>
      </c>
    </row>
    <row r="24" spans="1:6">
      <c r="A24" s="130" t="s">
        <v>339</v>
      </c>
      <c r="B24" s="130"/>
      <c r="C24" s="142">
        <v>752723</v>
      </c>
      <c r="D24" s="142">
        <v>630173</v>
      </c>
      <c r="E24" s="130" t="s">
        <v>147</v>
      </c>
      <c r="F24" s="145">
        <f t="shared" si="2"/>
        <v>0.16280889517126484</v>
      </c>
    </row>
    <row r="25" spans="1:6">
      <c r="A25" s="130" t="s">
        <v>340</v>
      </c>
      <c r="B25" s="130"/>
      <c r="C25" s="142">
        <v>0</v>
      </c>
      <c r="D25" s="142">
        <v>0</v>
      </c>
      <c r="E25" s="130" t="s">
        <v>148</v>
      </c>
      <c r="F25" s="145"/>
    </row>
    <row r="26" spans="1:6">
      <c r="C26" s="140"/>
      <c r="D26" s="140"/>
    </row>
    <row r="27" spans="1:6">
      <c r="C27" s="140"/>
      <c r="D27" s="140"/>
    </row>
    <row r="28" spans="1:6">
      <c r="C28" s="140"/>
      <c r="D28" s="140"/>
    </row>
    <row r="29" spans="1:6">
      <c r="C29" s="140"/>
      <c r="D29" s="140"/>
    </row>
    <row r="30" spans="1:6">
      <c r="A30" s="130" t="s">
        <v>341</v>
      </c>
      <c r="B30" s="130"/>
      <c r="C30" s="140"/>
      <c r="D30" s="140"/>
      <c r="E30" s="130" t="s">
        <v>342</v>
      </c>
    </row>
    <row r="31" spans="1:6">
      <c r="C31" s="140"/>
      <c r="D31" s="140"/>
    </row>
    <row r="32" spans="1:6">
      <c r="A32" s="130" t="s">
        <v>343</v>
      </c>
      <c r="B32" s="130"/>
      <c r="C32" s="140">
        <v>6372828</v>
      </c>
      <c r="D32" s="140">
        <v>5805719</v>
      </c>
      <c r="E32" s="130" t="s">
        <v>143</v>
      </c>
      <c r="F32" s="145">
        <f t="shared" ref="F32" si="3">1-(D32/C32)</f>
        <v>8.8988593447053677E-2</v>
      </c>
    </row>
    <row r="33" spans="1:6">
      <c r="C33" s="140"/>
      <c r="D33" s="140"/>
    </row>
    <row r="34" spans="1:6">
      <c r="C34" s="140"/>
      <c r="D34" s="140"/>
    </row>
    <row r="35" spans="1:6">
      <c r="C35" s="140"/>
      <c r="D35" s="140"/>
    </row>
    <row r="36" spans="1:6">
      <c r="A36" s="130" t="s">
        <v>344</v>
      </c>
      <c r="B36" s="130"/>
      <c r="C36" s="140"/>
      <c r="D36" s="140"/>
    </row>
    <row r="37" spans="1:6">
      <c r="A37" s="130" t="s">
        <v>345</v>
      </c>
      <c r="B37" s="130"/>
      <c r="C37" s="140"/>
      <c r="D37" s="140"/>
      <c r="E37" s="130" t="s">
        <v>346</v>
      </c>
    </row>
    <row r="38" spans="1:6">
      <c r="A38" s="130" t="s">
        <v>347</v>
      </c>
      <c r="B38" s="130"/>
      <c r="C38" s="140">
        <v>4535314</v>
      </c>
      <c r="D38" s="140">
        <v>4535314</v>
      </c>
      <c r="E38" s="130" t="s">
        <v>145</v>
      </c>
      <c r="F38" s="145">
        <f t="shared" ref="F38:F42" si="4">1-(D38/C38)</f>
        <v>0</v>
      </c>
    </row>
    <row r="39" spans="1:6">
      <c r="A39" s="130" t="s">
        <v>348</v>
      </c>
      <c r="B39" s="130"/>
      <c r="C39" s="140">
        <v>482921242</v>
      </c>
      <c r="D39" s="140">
        <v>468138496</v>
      </c>
      <c r="E39" s="130" t="s">
        <v>147</v>
      </c>
      <c r="F39" s="145">
        <f t="shared" si="4"/>
        <v>3.0611090824619436E-2</v>
      </c>
    </row>
    <row r="40" spans="1:6">
      <c r="A40" s="130" t="s">
        <v>349</v>
      </c>
      <c r="B40" s="130"/>
      <c r="C40" s="140">
        <v>254735343</v>
      </c>
      <c r="D40" s="140">
        <v>236576881</v>
      </c>
      <c r="E40" s="130" t="s">
        <v>143</v>
      </c>
      <c r="F40" s="145">
        <f t="shared" si="4"/>
        <v>7.1283638093360246E-2</v>
      </c>
    </row>
    <row r="41" spans="1:6">
      <c r="A41" s="130" t="s">
        <v>350</v>
      </c>
      <c r="B41" s="130"/>
      <c r="C41" s="140">
        <v>454256</v>
      </c>
      <c r="D41" s="140">
        <v>454256</v>
      </c>
      <c r="E41" s="130" t="s">
        <v>144</v>
      </c>
      <c r="F41" s="145">
        <f t="shared" si="4"/>
        <v>0</v>
      </c>
    </row>
    <row r="42" spans="1:6">
      <c r="A42" s="130" t="s">
        <v>351</v>
      </c>
      <c r="B42" s="130"/>
      <c r="C42" s="140">
        <v>18015225</v>
      </c>
      <c r="D42" s="140">
        <v>16306020</v>
      </c>
      <c r="E42" s="130" t="s">
        <v>146</v>
      </c>
      <c r="F42" s="145">
        <f t="shared" si="4"/>
        <v>9.4875584401526991E-2</v>
      </c>
    </row>
    <row r="43" spans="1:6">
      <c r="C43" s="140"/>
      <c r="D43" s="140"/>
    </row>
    <row r="44" spans="1:6">
      <c r="C44" s="140"/>
      <c r="D44" s="140"/>
    </row>
    <row r="45" spans="1:6">
      <c r="A45" s="130" t="s">
        <v>352</v>
      </c>
      <c r="B45" s="130"/>
      <c r="C45" s="140"/>
      <c r="D45" s="140"/>
    </row>
    <row r="46" spans="1:6">
      <c r="A46" s="130" t="s">
        <v>353</v>
      </c>
      <c r="B46" s="130"/>
      <c r="C46" s="140">
        <v>129312287</v>
      </c>
      <c r="D46" s="140">
        <v>122218811</v>
      </c>
      <c r="E46" s="130" t="s">
        <v>148</v>
      </c>
      <c r="F46" s="145">
        <f t="shared" ref="F46:F53" si="5">1-(D46/C46)</f>
        <v>5.4855390501290846E-2</v>
      </c>
    </row>
    <row r="47" spans="1:6">
      <c r="A47" s="130" t="s">
        <v>354</v>
      </c>
      <c r="B47" s="130"/>
      <c r="C47" s="140">
        <v>155354909</v>
      </c>
      <c r="D47" s="140">
        <v>152016496</v>
      </c>
      <c r="E47" s="130" t="s">
        <v>149</v>
      </c>
      <c r="F47" s="145">
        <f t="shared" si="5"/>
        <v>2.1488944388619258E-2</v>
      </c>
    </row>
    <row r="48" spans="1:6">
      <c r="A48" s="130" t="s">
        <v>355</v>
      </c>
      <c r="B48" s="130"/>
      <c r="C48" s="140"/>
      <c r="D48" s="140">
        <v>0</v>
      </c>
      <c r="E48" s="130" t="s">
        <v>150</v>
      </c>
      <c r="F48" s="145"/>
    </row>
    <row r="49" spans="1:6">
      <c r="A49" s="130" t="s">
        <v>356</v>
      </c>
      <c r="B49" s="130"/>
      <c r="C49" s="140"/>
      <c r="D49" s="140">
        <v>0</v>
      </c>
      <c r="E49" s="130" t="s">
        <v>151</v>
      </c>
      <c r="F49" s="145"/>
    </row>
    <row r="50" spans="1:6">
      <c r="A50" s="130" t="s">
        <v>357</v>
      </c>
      <c r="B50" s="135">
        <f>7487283</f>
        <v>7487283</v>
      </c>
      <c r="C50" s="140">
        <v>98265984</v>
      </c>
      <c r="D50" s="140">
        <v>95466326</v>
      </c>
      <c r="E50" s="130" t="s">
        <v>152</v>
      </c>
      <c r="F50" s="145">
        <f t="shared" si="5"/>
        <v>2.849061176652945E-2</v>
      </c>
    </row>
    <row r="51" spans="1:6">
      <c r="A51" s="130" t="s">
        <v>358</v>
      </c>
      <c r="B51" s="146">
        <v>3564</v>
      </c>
      <c r="C51" s="140">
        <v>449399</v>
      </c>
      <c r="D51" s="140">
        <v>445835</v>
      </c>
      <c r="E51" s="130" t="s">
        <v>153</v>
      </c>
      <c r="F51" s="145">
        <f t="shared" si="5"/>
        <v>7.9305917458650788E-3</v>
      </c>
    </row>
    <row r="52" spans="1:6">
      <c r="A52" s="130" t="s">
        <v>359</v>
      </c>
      <c r="B52" s="135">
        <v>1150437</v>
      </c>
      <c r="C52" s="140">
        <v>8581617</v>
      </c>
      <c r="D52" s="140">
        <v>8184102</v>
      </c>
      <c r="E52" s="130" t="s">
        <v>159</v>
      </c>
      <c r="F52" s="145">
        <f t="shared" si="5"/>
        <v>4.632168972351014E-2</v>
      </c>
    </row>
    <row r="53" spans="1:6">
      <c r="A53" s="130" t="s">
        <v>360</v>
      </c>
      <c r="B53" s="135">
        <v>178450</v>
      </c>
      <c r="C53" s="140">
        <v>1513461</v>
      </c>
      <c r="D53" s="140">
        <v>1335011</v>
      </c>
      <c r="E53" s="130" t="s">
        <v>160</v>
      </c>
      <c r="F53" s="145">
        <f t="shared" si="5"/>
        <v>0.11790855529148092</v>
      </c>
    </row>
    <row r="54" spans="1:6" ht="15">
      <c r="B54" s="132"/>
      <c r="C54" s="140"/>
      <c r="D54" s="140"/>
    </row>
    <row r="55" spans="1:6">
      <c r="C55" s="140"/>
      <c r="D55" s="140"/>
    </row>
    <row r="56" spans="1:6">
      <c r="C56" s="140"/>
      <c r="D56" s="140"/>
    </row>
    <row r="57" spans="1:6">
      <c r="A57" s="130" t="s">
        <v>361</v>
      </c>
      <c r="B57" s="130"/>
      <c r="C57" s="140"/>
      <c r="D57" s="140"/>
      <c r="E57" s="130" t="s">
        <v>362</v>
      </c>
    </row>
    <row r="58" spans="1:6">
      <c r="A58" s="130" t="s">
        <v>363</v>
      </c>
      <c r="B58" s="130"/>
      <c r="C58" s="140">
        <v>222736</v>
      </c>
      <c r="D58" s="140">
        <v>251699</v>
      </c>
      <c r="E58" s="130" t="s">
        <v>143</v>
      </c>
      <c r="F58" s="145">
        <f t="shared" ref="F58:F59" si="6">1-(D58/C58)</f>
        <v>-0.13003286401838943</v>
      </c>
    </row>
    <row r="59" spans="1:6">
      <c r="A59" s="130" t="s">
        <v>364</v>
      </c>
      <c r="B59" s="130"/>
      <c r="C59" s="140">
        <v>1048708</v>
      </c>
      <c r="D59" s="140">
        <v>1385348</v>
      </c>
      <c r="E59" s="130" t="s">
        <v>365</v>
      </c>
      <c r="F59" s="145">
        <f t="shared" si="6"/>
        <v>-0.32100451221884452</v>
      </c>
    </row>
    <row r="60" spans="1:6">
      <c r="C60" s="140"/>
      <c r="D60" s="140"/>
    </row>
    <row r="61" spans="1:6">
      <c r="C61" s="140"/>
      <c r="D61" s="140"/>
    </row>
    <row r="62" spans="1:6">
      <c r="C62" s="140"/>
      <c r="D62" s="140"/>
    </row>
    <row r="63" spans="1:6">
      <c r="C63" s="140"/>
      <c r="D63" s="140"/>
    </row>
    <row r="64" spans="1:6">
      <c r="C64" s="140"/>
      <c r="D64" s="140"/>
    </row>
    <row r="65" spans="3:4">
      <c r="C65" s="140"/>
      <c r="D65" s="140"/>
    </row>
    <row r="66" spans="3:4">
      <c r="C66" s="140"/>
      <c r="D66" s="140"/>
    </row>
    <row r="67" spans="3:4">
      <c r="C67" s="140"/>
      <c r="D67" s="140"/>
    </row>
    <row r="68" spans="3:4">
      <c r="C68" s="140"/>
      <c r="D68" s="140"/>
    </row>
    <row r="69" spans="3:4">
      <c r="C69" s="140"/>
      <c r="D69" s="140"/>
    </row>
    <row r="70" spans="3:4">
      <c r="C70" s="140"/>
      <c r="D70" s="140"/>
    </row>
  </sheetData>
  <pageMargins left="0.75" right="0.75" top="0.75" bottom="0.75" header="0.03" footer="0.03"/>
  <pageSetup scale="90" pageOrder="overThenDown" orientation="portrait" r:id="rId1"/>
  <headerFooter>
    <oddHeader>&amp;L&amp;C&amp;"Microsoft Sans Serif,Regular"&amp;8&amp;K000000CENTRAL IOWA POWER COOPERATIVE
RUS Form 12 Income Statement
For the Twelve Months Ending Thursday, December 31, 2015&amp;R</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23"/>
  <sheetViews>
    <sheetView workbookViewId="0"/>
  </sheetViews>
  <sheetFormatPr defaultRowHeight="15"/>
  <cols>
    <col min="1" max="1" width="17.1796875" customWidth="1"/>
  </cols>
  <sheetData>
    <row r="4" spans="1:6" ht="15.6">
      <c r="A4" s="147" t="s">
        <v>366</v>
      </c>
      <c r="B4" s="147"/>
      <c r="C4" s="147"/>
    </row>
    <row r="5" spans="1:6">
      <c r="A5" s="148"/>
      <c r="B5" s="149"/>
      <c r="C5" s="150"/>
      <c r="D5" s="148"/>
      <c r="E5" s="149"/>
      <c r="F5" s="149"/>
    </row>
    <row r="6" spans="1:6">
      <c r="A6" s="259" t="s">
        <v>367</v>
      </c>
      <c r="B6" s="260"/>
      <c r="C6" s="260"/>
      <c r="D6" s="260"/>
      <c r="E6" s="260"/>
      <c r="F6" s="261"/>
    </row>
    <row r="7" spans="1:6">
      <c r="A7" s="151"/>
      <c r="B7" s="152"/>
      <c r="C7" s="153"/>
      <c r="D7" s="154"/>
      <c r="E7" s="152"/>
      <c r="F7" s="155"/>
    </row>
    <row r="8" spans="1:6">
      <c r="A8" s="156">
        <v>935099.78</v>
      </c>
      <c r="B8" s="157" t="s">
        <v>368</v>
      </c>
      <c r="C8" s="153"/>
      <c r="D8" s="154"/>
      <c r="E8" s="152"/>
      <c r="F8" s="155"/>
    </row>
    <row r="9" spans="1:6">
      <c r="A9" s="158"/>
      <c r="B9" s="159" t="s">
        <v>369</v>
      </c>
      <c r="C9" s="160"/>
      <c r="D9" s="160"/>
      <c r="F9" s="161"/>
    </row>
    <row r="10" spans="1:6">
      <c r="A10" s="162">
        <f>A8-A9</f>
        <v>935099.78</v>
      </c>
      <c r="B10" s="159" t="s">
        <v>370</v>
      </c>
      <c r="F10" s="161"/>
    </row>
    <row r="11" spans="1:6">
      <c r="A11" s="163"/>
      <c r="B11" s="164" t="s">
        <v>371</v>
      </c>
      <c r="C11" s="165"/>
      <c r="D11" s="165"/>
      <c r="E11" s="152"/>
      <c r="F11" s="155"/>
    </row>
    <row r="12" spans="1:6">
      <c r="A12" s="166">
        <v>0</v>
      </c>
      <c r="B12" s="165" t="s">
        <v>372</v>
      </c>
      <c r="C12" s="167"/>
      <c r="D12" s="165"/>
      <c r="E12" s="152"/>
      <c r="F12" s="155"/>
    </row>
    <row r="13" spans="1:6">
      <c r="A13" s="166">
        <v>0</v>
      </c>
      <c r="B13" s="165" t="s">
        <v>373</v>
      </c>
      <c r="C13" s="167"/>
      <c r="D13" s="165"/>
      <c r="E13" s="152"/>
      <c r="F13" s="155"/>
    </row>
    <row r="14" spans="1:6">
      <c r="A14" s="158">
        <v>0</v>
      </c>
      <c r="B14" s="165" t="s">
        <v>374</v>
      </c>
      <c r="C14" s="167"/>
      <c r="D14" s="168"/>
      <c r="E14" s="152"/>
      <c r="F14" s="155"/>
    </row>
    <row r="15" spans="1:6">
      <c r="A15" s="162">
        <v>0</v>
      </c>
      <c r="B15" s="169" t="s">
        <v>375</v>
      </c>
      <c r="C15" s="153"/>
      <c r="D15" s="154"/>
      <c r="E15" s="152"/>
      <c r="F15" s="155"/>
    </row>
    <row r="16" spans="1:6">
      <c r="A16" s="170">
        <f>A10-A15</f>
        <v>935099.78</v>
      </c>
      <c r="B16" s="171" t="s">
        <v>376</v>
      </c>
      <c r="C16" s="172"/>
      <c r="D16" s="173"/>
      <c r="E16" s="174"/>
      <c r="F16" s="175"/>
    </row>
    <row r="18" spans="1:6" ht="15.6">
      <c r="A18" s="176" t="s">
        <v>377</v>
      </c>
      <c r="B18" s="177">
        <f>A16/'Nonlevelized RUS 12'!I34</f>
        <v>1.7520517053044966</v>
      </c>
      <c r="C18" s="176" t="s">
        <v>378</v>
      </c>
    </row>
    <row r="19" spans="1:6" ht="15.6">
      <c r="B19" s="178">
        <f>B18/12</f>
        <v>0.14600430877537471</v>
      </c>
      <c r="C19" s="176" t="s">
        <v>379</v>
      </c>
      <c r="D19" s="176"/>
      <c r="E19" s="176"/>
      <c r="F19" s="176"/>
    </row>
    <row r="20" spans="1:6" ht="15.6">
      <c r="B20" s="177"/>
      <c r="D20" s="176"/>
      <c r="E20" s="176"/>
      <c r="F20" s="176"/>
    </row>
    <row r="21" spans="1:6" ht="15.6">
      <c r="A21" s="176" t="s">
        <v>380</v>
      </c>
      <c r="B21" s="177">
        <f>1560/12/1000</f>
        <v>0.13</v>
      </c>
      <c r="C21" s="176" t="s">
        <v>379</v>
      </c>
      <c r="D21" s="176"/>
      <c r="E21" s="176"/>
      <c r="F21" s="176"/>
    </row>
    <row r="22" spans="1:6" ht="15.6">
      <c r="A22" s="176" t="s">
        <v>381</v>
      </c>
      <c r="B22" s="177">
        <f>'Nonlevelized RUS 12'!D37</f>
        <v>5.5777396343965728</v>
      </c>
      <c r="D22" s="176"/>
      <c r="E22" s="176"/>
      <c r="F22" s="176"/>
    </row>
    <row r="23" spans="1:6" ht="15.6">
      <c r="A23" s="176" t="s">
        <v>382</v>
      </c>
      <c r="B23" s="179">
        <f>B19+B21+B22</f>
        <v>5.8537439431719474</v>
      </c>
      <c r="C23" s="176" t="s">
        <v>379</v>
      </c>
      <c r="D23" s="176"/>
      <c r="E23" s="176"/>
      <c r="F23" s="176"/>
    </row>
  </sheetData>
  <mergeCells count="1">
    <mergeCell ref="A6:F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S171"/>
  <sheetViews>
    <sheetView defaultGridColor="0" colorId="22" zoomScale="87" workbookViewId="0"/>
  </sheetViews>
  <sheetFormatPr defaultColWidth="19.36328125" defaultRowHeight="13.8"/>
  <cols>
    <col min="1" max="1" width="2.36328125" style="180" customWidth="1"/>
    <col min="2" max="2" width="37.453125" style="180" customWidth="1"/>
    <col min="3" max="3" width="10.453125" style="180" customWidth="1"/>
    <col min="4" max="4" width="14" style="180" bestFit="1" customWidth="1"/>
    <col min="5" max="5" width="9.54296875" style="180" customWidth="1"/>
    <col min="6" max="6" width="14" style="206" bestFit="1" customWidth="1"/>
    <col min="7" max="7" width="9.54296875" style="180" customWidth="1"/>
    <col min="8" max="11" width="19.36328125" style="180"/>
    <col min="12" max="12" width="12.36328125" style="180" bestFit="1" customWidth="1"/>
    <col min="13" max="256" width="19.36328125" style="180"/>
    <col min="257" max="257" width="2.36328125" style="180" customWidth="1"/>
    <col min="258" max="258" width="37.453125" style="180" customWidth="1"/>
    <col min="259" max="259" width="10.453125" style="180" customWidth="1"/>
    <col min="260" max="260" width="14" style="180" bestFit="1" customWidth="1"/>
    <col min="261" max="261" width="9.54296875" style="180" customWidth="1"/>
    <col min="262" max="262" width="14" style="180" bestFit="1" customWidth="1"/>
    <col min="263" max="263" width="9.54296875" style="180" customWidth="1"/>
    <col min="264" max="267" width="19.36328125" style="180"/>
    <col min="268" max="268" width="12.36328125" style="180" bestFit="1" customWidth="1"/>
    <col min="269" max="512" width="19.36328125" style="180"/>
    <col min="513" max="513" width="2.36328125" style="180" customWidth="1"/>
    <col min="514" max="514" width="37.453125" style="180" customWidth="1"/>
    <col min="515" max="515" width="10.453125" style="180" customWidth="1"/>
    <col min="516" max="516" width="14" style="180" bestFit="1" customWidth="1"/>
    <col min="517" max="517" width="9.54296875" style="180" customWidth="1"/>
    <col min="518" max="518" width="14" style="180" bestFit="1" customWidth="1"/>
    <col min="519" max="519" width="9.54296875" style="180" customWidth="1"/>
    <col min="520" max="523" width="19.36328125" style="180"/>
    <col min="524" max="524" width="12.36328125" style="180" bestFit="1" customWidth="1"/>
    <col min="525" max="768" width="19.36328125" style="180"/>
    <col min="769" max="769" width="2.36328125" style="180" customWidth="1"/>
    <col min="770" max="770" width="37.453125" style="180" customWidth="1"/>
    <col min="771" max="771" width="10.453125" style="180" customWidth="1"/>
    <col min="772" max="772" width="14" style="180" bestFit="1" customWidth="1"/>
    <col min="773" max="773" width="9.54296875" style="180" customWidth="1"/>
    <col min="774" max="774" width="14" style="180" bestFit="1" customWidth="1"/>
    <col min="775" max="775" width="9.54296875" style="180" customWidth="1"/>
    <col min="776" max="779" width="19.36328125" style="180"/>
    <col min="780" max="780" width="12.36328125" style="180" bestFit="1" customWidth="1"/>
    <col min="781" max="1024" width="19.36328125" style="180"/>
    <col min="1025" max="1025" width="2.36328125" style="180" customWidth="1"/>
    <col min="1026" max="1026" width="37.453125" style="180" customWidth="1"/>
    <col min="1027" max="1027" width="10.453125" style="180" customWidth="1"/>
    <col min="1028" max="1028" width="14" style="180" bestFit="1" customWidth="1"/>
    <col min="1029" max="1029" width="9.54296875" style="180" customWidth="1"/>
    <col min="1030" max="1030" width="14" style="180" bestFit="1" customWidth="1"/>
    <col min="1031" max="1031" width="9.54296875" style="180" customWidth="1"/>
    <col min="1032" max="1035" width="19.36328125" style="180"/>
    <col min="1036" max="1036" width="12.36328125" style="180" bestFit="1" customWidth="1"/>
    <col min="1037" max="1280" width="19.36328125" style="180"/>
    <col min="1281" max="1281" width="2.36328125" style="180" customWidth="1"/>
    <col min="1282" max="1282" width="37.453125" style="180" customWidth="1"/>
    <col min="1283" max="1283" width="10.453125" style="180" customWidth="1"/>
    <col min="1284" max="1284" width="14" style="180" bestFit="1" customWidth="1"/>
    <col min="1285" max="1285" width="9.54296875" style="180" customWidth="1"/>
    <col min="1286" max="1286" width="14" style="180" bestFit="1" customWidth="1"/>
    <col min="1287" max="1287" width="9.54296875" style="180" customWidth="1"/>
    <col min="1288" max="1291" width="19.36328125" style="180"/>
    <col min="1292" max="1292" width="12.36328125" style="180" bestFit="1" customWidth="1"/>
    <col min="1293" max="1536" width="19.36328125" style="180"/>
    <col min="1537" max="1537" width="2.36328125" style="180" customWidth="1"/>
    <col min="1538" max="1538" width="37.453125" style="180" customWidth="1"/>
    <col min="1539" max="1539" width="10.453125" style="180" customWidth="1"/>
    <col min="1540" max="1540" width="14" style="180" bestFit="1" customWidth="1"/>
    <col min="1541" max="1541" width="9.54296875" style="180" customWidth="1"/>
    <col min="1542" max="1542" width="14" style="180" bestFit="1" customWidth="1"/>
    <col min="1543" max="1543" width="9.54296875" style="180" customWidth="1"/>
    <col min="1544" max="1547" width="19.36328125" style="180"/>
    <col min="1548" max="1548" width="12.36328125" style="180" bestFit="1" customWidth="1"/>
    <col min="1549" max="1792" width="19.36328125" style="180"/>
    <col min="1793" max="1793" width="2.36328125" style="180" customWidth="1"/>
    <col min="1794" max="1794" width="37.453125" style="180" customWidth="1"/>
    <col min="1795" max="1795" width="10.453125" style="180" customWidth="1"/>
    <col min="1796" max="1796" width="14" style="180" bestFit="1" customWidth="1"/>
    <col min="1797" max="1797" width="9.54296875" style="180" customWidth="1"/>
    <col min="1798" max="1798" width="14" style="180" bestFit="1" customWidth="1"/>
    <col min="1799" max="1799" width="9.54296875" style="180" customWidth="1"/>
    <col min="1800" max="1803" width="19.36328125" style="180"/>
    <col min="1804" max="1804" width="12.36328125" style="180" bestFit="1" customWidth="1"/>
    <col min="1805" max="2048" width="19.36328125" style="180"/>
    <col min="2049" max="2049" width="2.36328125" style="180" customWidth="1"/>
    <col min="2050" max="2050" width="37.453125" style="180" customWidth="1"/>
    <col min="2051" max="2051" width="10.453125" style="180" customWidth="1"/>
    <col min="2052" max="2052" width="14" style="180" bestFit="1" customWidth="1"/>
    <col min="2053" max="2053" width="9.54296875" style="180" customWidth="1"/>
    <col min="2054" max="2054" width="14" style="180" bestFit="1" customWidth="1"/>
    <col min="2055" max="2055" width="9.54296875" style="180" customWidth="1"/>
    <col min="2056" max="2059" width="19.36328125" style="180"/>
    <col min="2060" max="2060" width="12.36328125" style="180" bestFit="1" customWidth="1"/>
    <col min="2061" max="2304" width="19.36328125" style="180"/>
    <col min="2305" max="2305" width="2.36328125" style="180" customWidth="1"/>
    <col min="2306" max="2306" width="37.453125" style="180" customWidth="1"/>
    <col min="2307" max="2307" width="10.453125" style="180" customWidth="1"/>
    <col min="2308" max="2308" width="14" style="180" bestFit="1" customWidth="1"/>
    <col min="2309" max="2309" width="9.54296875" style="180" customWidth="1"/>
    <col min="2310" max="2310" width="14" style="180" bestFit="1" customWidth="1"/>
    <col min="2311" max="2311" width="9.54296875" style="180" customWidth="1"/>
    <col min="2312" max="2315" width="19.36328125" style="180"/>
    <col min="2316" max="2316" width="12.36328125" style="180" bestFit="1" customWidth="1"/>
    <col min="2317" max="2560" width="19.36328125" style="180"/>
    <col min="2561" max="2561" width="2.36328125" style="180" customWidth="1"/>
    <col min="2562" max="2562" width="37.453125" style="180" customWidth="1"/>
    <col min="2563" max="2563" width="10.453125" style="180" customWidth="1"/>
    <col min="2564" max="2564" width="14" style="180" bestFit="1" customWidth="1"/>
    <col min="2565" max="2565" width="9.54296875" style="180" customWidth="1"/>
    <col min="2566" max="2566" width="14" style="180" bestFit="1" customWidth="1"/>
    <col min="2567" max="2567" width="9.54296875" style="180" customWidth="1"/>
    <col min="2568" max="2571" width="19.36328125" style="180"/>
    <col min="2572" max="2572" width="12.36328125" style="180" bestFit="1" customWidth="1"/>
    <col min="2573" max="2816" width="19.36328125" style="180"/>
    <col min="2817" max="2817" width="2.36328125" style="180" customWidth="1"/>
    <col min="2818" max="2818" width="37.453125" style="180" customWidth="1"/>
    <col min="2819" max="2819" width="10.453125" style="180" customWidth="1"/>
    <col min="2820" max="2820" width="14" style="180" bestFit="1" customWidth="1"/>
    <col min="2821" max="2821" width="9.54296875" style="180" customWidth="1"/>
    <col min="2822" max="2822" width="14" style="180" bestFit="1" customWidth="1"/>
    <col min="2823" max="2823" width="9.54296875" style="180" customWidth="1"/>
    <col min="2824" max="2827" width="19.36328125" style="180"/>
    <col min="2828" max="2828" width="12.36328125" style="180" bestFit="1" customWidth="1"/>
    <col min="2829" max="3072" width="19.36328125" style="180"/>
    <col min="3073" max="3073" width="2.36328125" style="180" customWidth="1"/>
    <col min="3074" max="3074" width="37.453125" style="180" customWidth="1"/>
    <col min="3075" max="3075" width="10.453125" style="180" customWidth="1"/>
    <col min="3076" max="3076" width="14" style="180" bestFit="1" customWidth="1"/>
    <col min="3077" max="3077" width="9.54296875" style="180" customWidth="1"/>
    <col min="3078" max="3078" width="14" style="180" bestFit="1" customWidth="1"/>
    <col min="3079" max="3079" width="9.54296875" style="180" customWidth="1"/>
    <col min="3080" max="3083" width="19.36328125" style="180"/>
    <col min="3084" max="3084" width="12.36328125" style="180" bestFit="1" customWidth="1"/>
    <col min="3085" max="3328" width="19.36328125" style="180"/>
    <col min="3329" max="3329" width="2.36328125" style="180" customWidth="1"/>
    <col min="3330" max="3330" width="37.453125" style="180" customWidth="1"/>
    <col min="3331" max="3331" width="10.453125" style="180" customWidth="1"/>
    <col min="3332" max="3332" width="14" style="180" bestFit="1" customWidth="1"/>
    <col min="3333" max="3333" width="9.54296875" style="180" customWidth="1"/>
    <col min="3334" max="3334" width="14" style="180" bestFit="1" customWidth="1"/>
    <col min="3335" max="3335" width="9.54296875" style="180" customWidth="1"/>
    <col min="3336" max="3339" width="19.36328125" style="180"/>
    <col min="3340" max="3340" width="12.36328125" style="180" bestFit="1" customWidth="1"/>
    <col min="3341" max="3584" width="19.36328125" style="180"/>
    <col min="3585" max="3585" width="2.36328125" style="180" customWidth="1"/>
    <col min="3586" max="3586" width="37.453125" style="180" customWidth="1"/>
    <col min="3587" max="3587" width="10.453125" style="180" customWidth="1"/>
    <col min="3588" max="3588" width="14" style="180" bestFit="1" customWidth="1"/>
    <col min="3589" max="3589" width="9.54296875" style="180" customWidth="1"/>
    <col min="3590" max="3590" width="14" style="180" bestFit="1" customWidth="1"/>
    <col min="3591" max="3591" width="9.54296875" style="180" customWidth="1"/>
    <col min="3592" max="3595" width="19.36328125" style="180"/>
    <col min="3596" max="3596" width="12.36328125" style="180" bestFit="1" customWidth="1"/>
    <col min="3597" max="3840" width="19.36328125" style="180"/>
    <col min="3841" max="3841" width="2.36328125" style="180" customWidth="1"/>
    <col min="3842" max="3842" width="37.453125" style="180" customWidth="1"/>
    <col min="3843" max="3843" width="10.453125" style="180" customWidth="1"/>
    <col min="3844" max="3844" width="14" style="180" bestFit="1" customWidth="1"/>
    <col min="3845" max="3845" width="9.54296875" style="180" customWidth="1"/>
    <col min="3846" max="3846" width="14" style="180" bestFit="1" customWidth="1"/>
    <col min="3847" max="3847" width="9.54296875" style="180" customWidth="1"/>
    <col min="3848" max="3851" width="19.36328125" style="180"/>
    <col min="3852" max="3852" width="12.36328125" style="180" bestFit="1" customWidth="1"/>
    <col min="3853" max="4096" width="19.36328125" style="180"/>
    <col min="4097" max="4097" width="2.36328125" style="180" customWidth="1"/>
    <col min="4098" max="4098" width="37.453125" style="180" customWidth="1"/>
    <col min="4099" max="4099" width="10.453125" style="180" customWidth="1"/>
    <col min="4100" max="4100" width="14" style="180" bestFit="1" customWidth="1"/>
    <col min="4101" max="4101" width="9.54296875" style="180" customWidth="1"/>
    <col min="4102" max="4102" width="14" style="180" bestFit="1" customWidth="1"/>
    <col min="4103" max="4103" width="9.54296875" style="180" customWidth="1"/>
    <col min="4104" max="4107" width="19.36328125" style="180"/>
    <col min="4108" max="4108" width="12.36328125" style="180" bestFit="1" customWidth="1"/>
    <col min="4109" max="4352" width="19.36328125" style="180"/>
    <col min="4353" max="4353" width="2.36328125" style="180" customWidth="1"/>
    <col min="4354" max="4354" width="37.453125" style="180" customWidth="1"/>
    <col min="4355" max="4355" width="10.453125" style="180" customWidth="1"/>
    <col min="4356" max="4356" width="14" style="180" bestFit="1" customWidth="1"/>
    <col min="4357" max="4357" width="9.54296875" style="180" customWidth="1"/>
    <col min="4358" max="4358" width="14" style="180" bestFit="1" customWidth="1"/>
    <col min="4359" max="4359" width="9.54296875" style="180" customWidth="1"/>
    <col min="4360" max="4363" width="19.36328125" style="180"/>
    <col min="4364" max="4364" width="12.36328125" style="180" bestFit="1" customWidth="1"/>
    <col min="4365" max="4608" width="19.36328125" style="180"/>
    <col min="4609" max="4609" width="2.36328125" style="180" customWidth="1"/>
    <col min="4610" max="4610" width="37.453125" style="180" customWidth="1"/>
    <col min="4611" max="4611" width="10.453125" style="180" customWidth="1"/>
    <col min="4612" max="4612" width="14" style="180" bestFit="1" customWidth="1"/>
    <col min="4613" max="4613" width="9.54296875" style="180" customWidth="1"/>
    <col min="4614" max="4614" width="14" style="180" bestFit="1" customWidth="1"/>
    <col min="4615" max="4615" width="9.54296875" style="180" customWidth="1"/>
    <col min="4616" max="4619" width="19.36328125" style="180"/>
    <col min="4620" max="4620" width="12.36328125" style="180" bestFit="1" customWidth="1"/>
    <col min="4621" max="4864" width="19.36328125" style="180"/>
    <col min="4865" max="4865" width="2.36328125" style="180" customWidth="1"/>
    <col min="4866" max="4866" width="37.453125" style="180" customWidth="1"/>
    <col min="4867" max="4867" width="10.453125" style="180" customWidth="1"/>
    <col min="4868" max="4868" width="14" style="180" bestFit="1" customWidth="1"/>
    <col min="4869" max="4869" width="9.54296875" style="180" customWidth="1"/>
    <col min="4870" max="4870" width="14" style="180" bestFit="1" customWidth="1"/>
    <col min="4871" max="4871" width="9.54296875" style="180" customWidth="1"/>
    <col min="4872" max="4875" width="19.36328125" style="180"/>
    <col min="4876" max="4876" width="12.36328125" style="180" bestFit="1" customWidth="1"/>
    <col min="4877" max="5120" width="19.36328125" style="180"/>
    <col min="5121" max="5121" width="2.36328125" style="180" customWidth="1"/>
    <col min="5122" max="5122" width="37.453125" style="180" customWidth="1"/>
    <col min="5123" max="5123" width="10.453125" style="180" customWidth="1"/>
    <col min="5124" max="5124" width="14" style="180" bestFit="1" customWidth="1"/>
    <col min="5125" max="5125" width="9.54296875" style="180" customWidth="1"/>
    <col min="5126" max="5126" width="14" style="180" bestFit="1" customWidth="1"/>
    <col min="5127" max="5127" width="9.54296875" style="180" customWidth="1"/>
    <col min="5128" max="5131" width="19.36328125" style="180"/>
    <col min="5132" max="5132" width="12.36328125" style="180" bestFit="1" customWidth="1"/>
    <col min="5133" max="5376" width="19.36328125" style="180"/>
    <col min="5377" max="5377" width="2.36328125" style="180" customWidth="1"/>
    <col min="5378" max="5378" width="37.453125" style="180" customWidth="1"/>
    <col min="5379" max="5379" width="10.453125" style="180" customWidth="1"/>
    <col min="5380" max="5380" width="14" style="180" bestFit="1" customWidth="1"/>
    <col min="5381" max="5381" width="9.54296875" style="180" customWidth="1"/>
    <col min="5382" max="5382" width="14" style="180" bestFit="1" customWidth="1"/>
    <col min="5383" max="5383" width="9.54296875" style="180" customWidth="1"/>
    <col min="5384" max="5387" width="19.36328125" style="180"/>
    <col min="5388" max="5388" width="12.36328125" style="180" bestFit="1" customWidth="1"/>
    <col min="5389" max="5632" width="19.36328125" style="180"/>
    <col min="5633" max="5633" width="2.36328125" style="180" customWidth="1"/>
    <col min="5634" max="5634" width="37.453125" style="180" customWidth="1"/>
    <col min="5635" max="5635" width="10.453125" style="180" customWidth="1"/>
    <col min="5636" max="5636" width="14" style="180" bestFit="1" customWidth="1"/>
    <col min="5637" max="5637" width="9.54296875" style="180" customWidth="1"/>
    <col min="5638" max="5638" width="14" style="180" bestFit="1" customWidth="1"/>
    <col min="5639" max="5639" width="9.54296875" style="180" customWidth="1"/>
    <col min="5640" max="5643" width="19.36328125" style="180"/>
    <col min="5644" max="5644" width="12.36328125" style="180" bestFit="1" customWidth="1"/>
    <col min="5645" max="5888" width="19.36328125" style="180"/>
    <col min="5889" max="5889" width="2.36328125" style="180" customWidth="1"/>
    <col min="5890" max="5890" width="37.453125" style="180" customWidth="1"/>
    <col min="5891" max="5891" width="10.453125" style="180" customWidth="1"/>
    <col min="5892" max="5892" width="14" style="180" bestFit="1" customWidth="1"/>
    <col min="5893" max="5893" width="9.54296875" style="180" customWidth="1"/>
    <col min="5894" max="5894" width="14" style="180" bestFit="1" customWidth="1"/>
    <col min="5895" max="5895" width="9.54296875" style="180" customWidth="1"/>
    <col min="5896" max="5899" width="19.36328125" style="180"/>
    <col min="5900" max="5900" width="12.36328125" style="180" bestFit="1" customWidth="1"/>
    <col min="5901" max="6144" width="19.36328125" style="180"/>
    <col min="6145" max="6145" width="2.36328125" style="180" customWidth="1"/>
    <col min="6146" max="6146" width="37.453125" style="180" customWidth="1"/>
    <col min="6147" max="6147" width="10.453125" style="180" customWidth="1"/>
    <col min="6148" max="6148" width="14" style="180" bestFit="1" customWidth="1"/>
    <col min="6149" max="6149" width="9.54296875" style="180" customWidth="1"/>
    <col min="6150" max="6150" width="14" style="180" bestFit="1" customWidth="1"/>
    <col min="6151" max="6151" width="9.54296875" style="180" customWidth="1"/>
    <col min="6152" max="6155" width="19.36328125" style="180"/>
    <col min="6156" max="6156" width="12.36328125" style="180" bestFit="1" customWidth="1"/>
    <col min="6157" max="6400" width="19.36328125" style="180"/>
    <col min="6401" max="6401" width="2.36328125" style="180" customWidth="1"/>
    <col min="6402" max="6402" width="37.453125" style="180" customWidth="1"/>
    <col min="6403" max="6403" width="10.453125" style="180" customWidth="1"/>
    <col min="6404" max="6404" width="14" style="180" bestFit="1" customWidth="1"/>
    <col min="6405" max="6405" width="9.54296875" style="180" customWidth="1"/>
    <col min="6406" max="6406" width="14" style="180" bestFit="1" customWidth="1"/>
    <col min="6407" max="6407" width="9.54296875" style="180" customWidth="1"/>
    <col min="6408" max="6411" width="19.36328125" style="180"/>
    <col min="6412" max="6412" width="12.36328125" style="180" bestFit="1" customWidth="1"/>
    <col min="6413" max="6656" width="19.36328125" style="180"/>
    <col min="6657" max="6657" width="2.36328125" style="180" customWidth="1"/>
    <col min="6658" max="6658" width="37.453125" style="180" customWidth="1"/>
    <col min="6659" max="6659" width="10.453125" style="180" customWidth="1"/>
    <col min="6660" max="6660" width="14" style="180" bestFit="1" customWidth="1"/>
    <col min="6661" max="6661" width="9.54296875" style="180" customWidth="1"/>
    <col min="6662" max="6662" width="14" style="180" bestFit="1" customWidth="1"/>
    <col min="6663" max="6663" width="9.54296875" style="180" customWidth="1"/>
    <col min="6664" max="6667" width="19.36328125" style="180"/>
    <col min="6668" max="6668" width="12.36328125" style="180" bestFit="1" customWidth="1"/>
    <col min="6669" max="6912" width="19.36328125" style="180"/>
    <col min="6913" max="6913" width="2.36328125" style="180" customWidth="1"/>
    <col min="6914" max="6914" width="37.453125" style="180" customWidth="1"/>
    <col min="6915" max="6915" width="10.453125" style="180" customWidth="1"/>
    <col min="6916" max="6916" width="14" style="180" bestFit="1" customWidth="1"/>
    <col min="6917" max="6917" width="9.54296875" style="180" customWidth="1"/>
    <col min="6918" max="6918" width="14" style="180" bestFit="1" customWidth="1"/>
    <col min="6919" max="6919" width="9.54296875" style="180" customWidth="1"/>
    <col min="6920" max="6923" width="19.36328125" style="180"/>
    <col min="6924" max="6924" width="12.36328125" style="180" bestFit="1" customWidth="1"/>
    <col min="6925" max="7168" width="19.36328125" style="180"/>
    <col min="7169" max="7169" width="2.36328125" style="180" customWidth="1"/>
    <col min="7170" max="7170" width="37.453125" style="180" customWidth="1"/>
    <col min="7171" max="7171" width="10.453125" style="180" customWidth="1"/>
    <col min="7172" max="7172" width="14" style="180" bestFit="1" customWidth="1"/>
    <col min="7173" max="7173" width="9.54296875" style="180" customWidth="1"/>
    <col min="7174" max="7174" width="14" style="180" bestFit="1" customWidth="1"/>
    <col min="7175" max="7175" width="9.54296875" style="180" customWidth="1"/>
    <col min="7176" max="7179" width="19.36328125" style="180"/>
    <col min="7180" max="7180" width="12.36328125" style="180" bestFit="1" customWidth="1"/>
    <col min="7181" max="7424" width="19.36328125" style="180"/>
    <col min="7425" max="7425" width="2.36328125" style="180" customWidth="1"/>
    <col min="7426" max="7426" width="37.453125" style="180" customWidth="1"/>
    <col min="7427" max="7427" width="10.453125" style="180" customWidth="1"/>
    <col min="7428" max="7428" width="14" style="180" bestFit="1" customWidth="1"/>
    <col min="7429" max="7429" width="9.54296875" style="180" customWidth="1"/>
    <col min="7430" max="7430" width="14" style="180" bestFit="1" customWidth="1"/>
    <col min="7431" max="7431" width="9.54296875" style="180" customWidth="1"/>
    <col min="7432" max="7435" width="19.36328125" style="180"/>
    <col min="7436" max="7436" width="12.36328125" style="180" bestFit="1" customWidth="1"/>
    <col min="7437" max="7680" width="19.36328125" style="180"/>
    <col min="7681" max="7681" width="2.36328125" style="180" customWidth="1"/>
    <col min="7682" max="7682" width="37.453125" style="180" customWidth="1"/>
    <col min="7683" max="7683" width="10.453125" style="180" customWidth="1"/>
    <col min="7684" max="7684" width="14" style="180" bestFit="1" customWidth="1"/>
    <col min="7685" max="7685" width="9.54296875" style="180" customWidth="1"/>
    <col min="7686" max="7686" width="14" style="180" bestFit="1" customWidth="1"/>
    <col min="7687" max="7687" width="9.54296875" style="180" customWidth="1"/>
    <col min="7688" max="7691" width="19.36328125" style="180"/>
    <col min="7692" max="7692" width="12.36328125" style="180" bestFit="1" customWidth="1"/>
    <col min="7693" max="7936" width="19.36328125" style="180"/>
    <col min="7937" max="7937" width="2.36328125" style="180" customWidth="1"/>
    <col min="7938" max="7938" width="37.453125" style="180" customWidth="1"/>
    <col min="7939" max="7939" width="10.453125" style="180" customWidth="1"/>
    <col min="7940" max="7940" width="14" style="180" bestFit="1" customWidth="1"/>
    <col min="7941" max="7941" width="9.54296875" style="180" customWidth="1"/>
    <col min="7942" max="7942" width="14" style="180" bestFit="1" customWidth="1"/>
    <col min="7943" max="7943" width="9.54296875" style="180" customWidth="1"/>
    <col min="7944" max="7947" width="19.36328125" style="180"/>
    <col min="7948" max="7948" width="12.36328125" style="180" bestFit="1" customWidth="1"/>
    <col min="7949" max="8192" width="19.36328125" style="180"/>
    <col min="8193" max="8193" width="2.36328125" style="180" customWidth="1"/>
    <col min="8194" max="8194" width="37.453125" style="180" customWidth="1"/>
    <col min="8195" max="8195" width="10.453125" style="180" customWidth="1"/>
    <col min="8196" max="8196" width="14" style="180" bestFit="1" customWidth="1"/>
    <col min="8197" max="8197" width="9.54296875" style="180" customWidth="1"/>
    <col min="8198" max="8198" width="14" style="180" bestFit="1" customWidth="1"/>
    <col min="8199" max="8199" width="9.54296875" style="180" customWidth="1"/>
    <col min="8200" max="8203" width="19.36328125" style="180"/>
    <col min="8204" max="8204" width="12.36328125" style="180" bestFit="1" customWidth="1"/>
    <col min="8205" max="8448" width="19.36328125" style="180"/>
    <col min="8449" max="8449" width="2.36328125" style="180" customWidth="1"/>
    <col min="8450" max="8450" width="37.453125" style="180" customWidth="1"/>
    <col min="8451" max="8451" width="10.453125" style="180" customWidth="1"/>
    <col min="8452" max="8452" width="14" style="180" bestFit="1" customWidth="1"/>
    <col min="8453" max="8453" width="9.54296875" style="180" customWidth="1"/>
    <col min="8454" max="8454" width="14" style="180" bestFit="1" customWidth="1"/>
    <col min="8455" max="8455" width="9.54296875" style="180" customWidth="1"/>
    <col min="8456" max="8459" width="19.36328125" style="180"/>
    <col min="8460" max="8460" width="12.36328125" style="180" bestFit="1" customWidth="1"/>
    <col min="8461" max="8704" width="19.36328125" style="180"/>
    <col min="8705" max="8705" width="2.36328125" style="180" customWidth="1"/>
    <col min="8706" max="8706" width="37.453125" style="180" customWidth="1"/>
    <col min="8707" max="8707" width="10.453125" style="180" customWidth="1"/>
    <col min="8708" max="8708" width="14" style="180" bestFit="1" customWidth="1"/>
    <col min="8709" max="8709" width="9.54296875" style="180" customWidth="1"/>
    <col min="8710" max="8710" width="14" style="180" bestFit="1" customWidth="1"/>
    <col min="8711" max="8711" width="9.54296875" style="180" customWidth="1"/>
    <col min="8712" max="8715" width="19.36328125" style="180"/>
    <col min="8716" max="8716" width="12.36328125" style="180" bestFit="1" customWidth="1"/>
    <col min="8717" max="8960" width="19.36328125" style="180"/>
    <col min="8961" max="8961" width="2.36328125" style="180" customWidth="1"/>
    <col min="8962" max="8962" width="37.453125" style="180" customWidth="1"/>
    <col min="8963" max="8963" width="10.453125" style="180" customWidth="1"/>
    <col min="8964" max="8964" width="14" style="180" bestFit="1" customWidth="1"/>
    <col min="8965" max="8965" width="9.54296875" style="180" customWidth="1"/>
    <col min="8966" max="8966" width="14" style="180" bestFit="1" customWidth="1"/>
    <col min="8967" max="8967" width="9.54296875" style="180" customWidth="1"/>
    <col min="8968" max="8971" width="19.36328125" style="180"/>
    <col min="8972" max="8972" width="12.36328125" style="180" bestFit="1" customWidth="1"/>
    <col min="8973" max="9216" width="19.36328125" style="180"/>
    <col min="9217" max="9217" width="2.36328125" style="180" customWidth="1"/>
    <col min="9218" max="9218" width="37.453125" style="180" customWidth="1"/>
    <col min="9219" max="9219" width="10.453125" style="180" customWidth="1"/>
    <col min="9220" max="9220" width="14" style="180" bestFit="1" customWidth="1"/>
    <col min="9221" max="9221" width="9.54296875" style="180" customWidth="1"/>
    <col min="9222" max="9222" width="14" style="180" bestFit="1" customWidth="1"/>
    <col min="9223" max="9223" width="9.54296875" style="180" customWidth="1"/>
    <col min="9224" max="9227" width="19.36328125" style="180"/>
    <col min="9228" max="9228" width="12.36328125" style="180" bestFit="1" customWidth="1"/>
    <col min="9229" max="9472" width="19.36328125" style="180"/>
    <col min="9473" max="9473" width="2.36328125" style="180" customWidth="1"/>
    <col min="9474" max="9474" width="37.453125" style="180" customWidth="1"/>
    <col min="9475" max="9475" width="10.453125" style="180" customWidth="1"/>
    <col min="9476" max="9476" width="14" style="180" bestFit="1" customWidth="1"/>
    <col min="9477" max="9477" width="9.54296875" style="180" customWidth="1"/>
    <col min="9478" max="9478" width="14" style="180" bestFit="1" customWidth="1"/>
    <col min="9479" max="9479" width="9.54296875" style="180" customWidth="1"/>
    <col min="9480" max="9483" width="19.36328125" style="180"/>
    <col min="9484" max="9484" width="12.36328125" style="180" bestFit="1" customWidth="1"/>
    <col min="9485" max="9728" width="19.36328125" style="180"/>
    <col min="9729" max="9729" width="2.36328125" style="180" customWidth="1"/>
    <col min="9730" max="9730" width="37.453125" style="180" customWidth="1"/>
    <col min="9731" max="9731" width="10.453125" style="180" customWidth="1"/>
    <col min="9732" max="9732" width="14" style="180" bestFit="1" customWidth="1"/>
    <col min="9733" max="9733" width="9.54296875" style="180" customWidth="1"/>
    <col min="9734" max="9734" width="14" style="180" bestFit="1" customWidth="1"/>
    <col min="9735" max="9735" width="9.54296875" style="180" customWidth="1"/>
    <col min="9736" max="9739" width="19.36328125" style="180"/>
    <col min="9740" max="9740" width="12.36328125" style="180" bestFit="1" customWidth="1"/>
    <col min="9741" max="9984" width="19.36328125" style="180"/>
    <col min="9985" max="9985" width="2.36328125" style="180" customWidth="1"/>
    <col min="9986" max="9986" width="37.453125" style="180" customWidth="1"/>
    <col min="9987" max="9987" width="10.453125" style="180" customWidth="1"/>
    <col min="9988" max="9988" width="14" style="180" bestFit="1" customWidth="1"/>
    <col min="9989" max="9989" width="9.54296875" style="180" customWidth="1"/>
    <col min="9990" max="9990" width="14" style="180" bestFit="1" customWidth="1"/>
    <col min="9991" max="9991" width="9.54296875" style="180" customWidth="1"/>
    <col min="9992" max="9995" width="19.36328125" style="180"/>
    <col min="9996" max="9996" width="12.36328125" style="180" bestFit="1" customWidth="1"/>
    <col min="9997" max="10240" width="19.36328125" style="180"/>
    <col min="10241" max="10241" width="2.36328125" style="180" customWidth="1"/>
    <col min="10242" max="10242" width="37.453125" style="180" customWidth="1"/>
    <col min="10243" max="10243" width="10.453125" style="180" customWidth="1"/>
    <col min="10244" max="10244" width="14" style="180" bestFit="1" customWidth="1"/>
    <col min="10245" max="10245" width="9.54296875" style="180" customWidth="1"/>
    <col min="10246" max="10246" width="14" style="180" bestFit="1" customWidth="1"/>
    <col min="10247" max="10247" width="9.54296875" style="180" customWidth="1"/>
    <col min="10248" max="10251" width="19.36328125" style="180"/>
    <col min="10252" max="10252" width="12.36328125" style="180" bestFit="1" customWidth="1"/>
    <col min="10253" max="10496" width="19.36328125" style="180"/>
    <col min="10497" max="10497" width="2.36328125" style="180" customWidth="1"/>
    <col min="10498" max="10498" width="37.453125" style="180" customWidth="1"/>
    <col min="10499" max="10499" width="10.453125" style="180" customWidth="1"/>
    <col min="10500" max="10500" width="14" style="180" bestFit="1" customWidth="1"/>
    <col min="10501" max="10501" width="9.54296875" style="180" customWidth="1"/>
    <col min="10502" max="10502" width="14" style="180" bestFit="1" customWidth="1"/>
    <col min="10503" max="10503" width="9.54296875" style="180" customWidth="1"/>
    <col min="10504" max="10507" width="19.36328125" style="180"/>
    <col min="10508" max="10508" width="12.36328125" style="180" bestFit="1" customWidth="1"/>
    <col min="10509" max="10752" width="19.36328125" style="180"/>
    <col min="10753" max="10753" width="2.36328125" style="180" customWidth="1"/>
    <col min="10754" max="10754" width="37.453125" style="180" customWidth="1"/>
    <col min="10755" max="10755" width="10.453125" style="180" customWidth="1"/>
    <col min="10756" max="10756" width="14" style="180" bestFit="1" customWidth="1"/>
    <col min="10757" max="10757" width="9.54296875" style="180" customWidth="1"/>
    <col min="10758" max="10758" width="14" style="180" bestFit="1" customWidth="1"/>
    <col min="10759" max="10759" width="9.54296875" style="180" customWidth="1"/>
    <col min="10760" max="10763" width="19.36328125" style="180"/>
    <col min="10764" max="10764" width="12.36328125" style="180" bestFit="1" customWidth="1"/>
    <col min="10765" max="11008" width="19.36328125" style="180"/>
    <col min="11009" max="11009" width="2.36328125" style="180" customWidth="1"/>
    <col min="11010" max="11010" width="37.453125" style="180" customWidth="1"/>
    <col min="11011" max="11011" width="10.453125" style="180" customWidth="1"/>
    <col min="11012" max="11012" width="14" style="180" bestFit="1" customWidth="1"/>
    <col min="11013" max="11013" width="9.54296875" style="180" customWidth="1"/>
    <col min="11014" max="11014" width="14" style="180" bestFit="1" customWidth="1"/>
    <col min="11015" max="11015" width="9.54296875" style="180" customWidth="1"/>
    <col min="11016" max="11019" width="19.36328125" style="180"/>
    <col min="11020" max="11020" width="12.36328125" style="180" bestFit="1" customWidth="1"/>
    <col min="11021" max="11264" width="19.36328125" style="180"/>
    <col min="11265" max="11265" width="2.36328125" style="180" customWidth="1"/>
    <col min="11266" max="11266" width="37.453125" style="180" customWidth="1"/>
    <col min="11267" max="11267" width="10.453125" style="180" customWidth="1"/>
    <col min="11268" max="11268" width="14" style="180" bestFit="1" customWidth="1"/>
    <col min="11269" max="11269" width="9.54296875" style="180" customWidth="1"/>
    <col min="11270" max="11270" width="14" style="180" bestFit="1" customWidth="1"/>
    <col min="11271" max="11271" width="9.54296875" style="180" customWidth="1"/>
    <col min="11272" max="11275" width="19.36328125" style="180"/>
    <col min="11276" max="11276" width="12.36328125" style="180" bestFit="1" customWidth="1"/>
    <col min="11277" max="11520" width="19.36328125" style="180"/>
    <col min="11521" max="11521" width="2.36328125" style="180" customWidth="1"/>
    <col min="11522" max="11522" width="37.453125" style="180" customWidth="1"/>
    <col min="11523" max="11523" width="10.453125" style="180" customWidth="1"/>
    <col min="11524" max="11524" width="14" style="180" bestFit="1" customWidth="1"/>
    <col min="11525" max="11525" width="9.54296875" style="180" customWidth="1"/>
    <col min="11526" max="11526" width="14" style="180" bestFit="1" customWidth="1"/>
    <col min="11527" max="11527" width="9.54296875" style="180" customWidth="1"/>
    <col min="11528" max="11531" width="19.36328125" style="180"/>
    <col min="11532" max="11532" width="12.36328125" style="180" bestFit="1" customWidth="1"/>
    <col min="11533" max="11776" width="19.36328125" style="180"/>
    <col min="11777" max="11777" width="2.36328125" style="180" customWidth="1"/>
    <col min="11778" max="11778" width="37.453125" style="180" customWidth="1"/>
    <col min="11779" max="11779" width="10.453125" style="180" customWidth="1"/>
    <col min="11780" max="11780" width="14" style="180" bestFit="1" customWidth="1"/>
    <col min="11781" max="11781" width="9.54296875" style="180" customWidth="1"/>
    <col min="11782" max="11782" width="14" style="180" bestFit="1" customWidth="1"/>
    <col min="11783" max="11783" width="9.54296875" style="180" customWidth="1"/>
    <col min="11784" max="11787" width="19.36328125" style="180"/>
    <col min="11788" max="11788" width="12.36328125" style="180" bestFit="1" customWidth="1"/>
    <col min="11789" max="12032" width="19.36328125" style="180"/>
    <col min="12033" max="12033" width="2.36328125" style="180" customWidth="1"/>
    <col min="12034" max="12034" width="37.453125" style="180" customWidth="1"/>
    <col min="12035" max="12035" width="10.453125" style="180" customWidth="1"/>
    <col min="12036" max="12036" width="14" style="180" bestFit="1" customWidth="1"/>
    <col min="12037" max="12037" width="9.54296875" style="180" customWidth="1"/>
    <col min="12038" max="12038" width="14" style="180" bestFit="1" customWidth="1"/>
    <col min="12039" max="12039" width="9.54296875" style="180" customWidth="1"/>
    <col min="12040" max="12043" width="19.36328125" style="180"/>
    <col min="12044" max="12044" width="12.36328125" style="180" bestFit="1" customWidth="1"/>
    <col min="12045" max="12288" width="19.36328125" style="180"/>
    <col min="12289" max="12289" width="2.36328125" style="180" customWidth="1"/>
    <col min="12290" max="12290" width="37.453125" style="180" customWidth="1"/>
    <col min="12291" max="12291" width="10.453125" style="180" customWidth="1"/>
    <col min="12292" max="12292" width="14" style="180" bestFit="1" customWidth="1"/>
    <col min="12293" max="12293" width="9.54296875" style="180" customWidth="1"/>
    <col min="12294" max="12294" width="14" style="180" bestFit="1" customWidth="1"/>
    <col min="12295" max="12295" width="9.54296875" style="180" customWidth="1"/>
    <col min="12296" max="12299" width="19.36328125" style="180"/>
    <col min="12300" max="12300" width="12.36328125" style="180" bestFit="1" customWidth="1"/>
    <col min="12301" max="12544" width="19.36328125" style="180"/>
    <col min="12545" max="12545" width="2.36328125" style="180" customWidth="1"/>
    <col min="12546" max="12546" width="37.453125" style="180" customWidth="1"/>
    <col min="12547" max="12547" width="10.453125" style="180" customWidth="1"/>
    <col min="12548" max="12548" width="14" style="180" bestFit="1" customWidth="1"/>
    <col min="12549" max="12549" width="9.54296875" style="180" customWidth="1"/>
    <col min="12550" max="12550" width="14" style="180" bestFit="1" customWidth="1"/>
    <col min="12551" max="12551" width="9.54296875" style="180" customWidth="1"/>
    <col min="12552" max="12555" width="19.36328125" style="180"/>
    <col min="12556" max="12556" width="12.36328125" style="180" bestFit="1" customWidth="1"/>
    <col min="12557" max="12800" width="19.36328125" style="180"/>
    <col min="12801" max="12801" width="2.36328125" style="180" customWidth="1"/>
    <col min="12802" max="12802" width="37.453125" style="180" customWidth="1"/>
    <col min="12803" max="12803" width="10.453125" style="180" customWidth="1"/>
    <col min="12804" max="12804" width="14" style="180" bestFit="1" customWidth="1"/>
    <col min="12805" max="12805" width="9.54296875" style="180" customWidth="1"/>
    <col min="12806" max="12806" width="14" style="180" bestFit="1" customWidth="1"/>
    <col min="12807" max="12807" width="9.54296875" style="180" customWidth="1"/>
    <col min="12808" max="12811" width="19.36328125" style="180"/>
    <col min="12812" max="12812" width="12.36328125" style="180" bestFit="1" customWidth="1"/>
    <col min="12813" max="13056" width="19.36328125" style="180"/>
    <col min="13057" max="13057" width="2.36328125" style="180" customWidth="1"/>
    <col min="13058" max="13058" width="37.453125" style="180" customWidth="1"/>
    <col min="13059" max="13059" width="10.453125" style="180" customWidth="1"/>
    <col min="13060" max="13060" width="14" style="180" bestFit="1" customWidth="1"/>
    <col min="13061" max="13061" width="9.54296875" style="180" customWidth="1"/>
    <col min="13062" max="13062" width="14" style="180" bestFit="1" customWidth="1"/>
    <col min="13063" max="13063" width="9.54296875" style="180" customWidth="1"/>
    <col min="13064" max="13067" width="19.36328125" style="180"/>
    <col min="13068" max="13068" width="12.36328125" style="180" bestFit="1" customWidth="1"/>
    <col min="13069" max="13312" width="19.36328125" style="180"/>
    <col min="13313" max="13313" width="2.36328125" style="180" customWidth="1"/>
    <col min="13314" max="13314" width="37.453125" style="180" customWidth="1"/>
    <col min="13315" max="13315" width="10.453125" style="180" customWidth="1"/>
    <col min="13316" max="13316" width="14" style="180" bestFit="1" customWidth="1"/>
    <col min="13317" max="13317" width="9.54296875" style="180" customWidth="1"/>
    <col min="13318" max="13318" width="14" style="180" bestFit="1" customWidth="1"/>
    <col min="13319" max="13319" width="9.54296875" style="180" customWidth="1"/>
    <col min="13320" max="13323" width="19.36328125" style="180"/>
    <col min="13324" max="13324" width="12.36328125" style="180" bestFit="1" customWidth="1"/>
    <col min="13325" max="13568" width="19.36328125" style="180"/>
    <col min="13569" max="13569" width="2.36328125" style="180" customWidth="1"/>
    <col min="13570" max="13570" width="37.453125" style="180" customWidth="1"/>
    <col min="13571" max="13571" width="10.453125" style="180" customWidth="1"/>
    <col min="13572" max="13572" width="14" style="180" bestFit="1" customWidth="1"/>
    <col min="13573" max="13573" width="9.54296875" style="180" customWidth="1"/>
    <col min="13574" max="13574" width="14" style="180" bestFit="1" customWidth="1"/>
    <col min="13575" max="13575" width="9.54296875" style="180" customWidth="1"/>
    <col min="13576" max="13579" width="19.36328125" style="180"/>
    <col min="13580" max="13580" width="12.36328125" style="180" bestFit="1" customWidth="1"/>
    <col min="13581" max="13824" width="19.36328125" style="180"/>
    <col min="13825" max="13825" width="2.36328125" style="180" customWidth="1"/>
    <col min="13826" max="13826" width="37.453125" style="180" customWidth="1"/>
    <col min="13827" max="13827" width="10.453125" style="180" customWidth="1"/>
    <col min="13828" max="13828" width="14" style="180" bestFit="1" customWidth="1"/>
    <col min="13829" max="13829" width="9.54296875" style="180" customWidth="1"/>
    <col min="13830" max="13830" width="14" style="180" bestFit="1" customWidth="1"/>
    <col min="13831" max="13831" width="9.54296875" style="180" customWidth="1"/>
    <col min="13832" max="13835" width="19.36328125" style="180"/>
    <col min="13836" max="13836" width="12.36328125" style="180" bestFit="1" customWidth="1"/>
    <col min="13837" max="14080" width="19.36328125" style="180"/>
    <col min="14081" max="14081" width="2.36328125" style="180" customWidth="1"/>
    <col min="14082" max="14082" width="37.453125" style="180" customWidth="1"/>
    <col min="14083" max="14083" width="10.453125" style="180" customWidth="1"/>
    <col min="14084" max="14084" width="14" style="180" bestFit="1" customWidth="1"/>
    <col min="14085" max="14085" width="9.54296875" style="180" customWidth="1"/>
    <col min="14086" max="14086" width="14" style="180" bestFit="1" customWidth="1"/>
    <col min="14087" max="14087" width="9.54296875" style="180" customWidth="1"/>
    <col min="14088" max="14091" width="19.36328125" style="180"/>
    <col min="14092" max="14092" width="12.36328125" style="180" bestFit="1" customWidth="1"/>
    <col min="14093" max="14336" width="19.36328125" style="180"/>
    <col min="14337" max="14337" width="2.36328125" style="180" customWidth="1"/>
    <col min="14338" max="14338" width="37.453125" style="180" customWidth="1"/>
    <col min="14339" max="14339" width="10.453125" style="180" customWidth="1"/>
    <col min="14340" max="14340" width="14" style="180" bestFit="1" customWidth="1"/>
    <col min="14341" max="14341" width="9.54296875" style="180" customWidth="1"/>
    <col min="14342" max="14342" width="14" style="180" bestFit="1" customWidth="1"/>
    <col min="14343" max="14343" width="9.54296875" style="180" customWidth="1"/>
    <col min="14344" max="14347" width="19.36328125" style="180"/>
    <col min="14348" max="14348" width="12.36328125" style="180" bestFit="1" customWidth="1"/>
    <col min="14349" max="14592" width="19.36328125" style="180"/>
    <col min="14593" max="14593" width="2.36328125" style="180" customWidth="1"/>
    <col min="14594" max="14594" width="37.453125" style="180" customWidth="1"/>
    <col min="14595" max="14595" width="10.453125" style="180" customWidth="1"/>
    <col min="14596" max="14596" width="14" style="180" bestFit="1" customWidth="1"/>
    <col min="14597" max="14597" width="9.54296875" style="180" customWidth="1"/>
    <col min="14598" max="14598" width="14" style="180" bestFit="1" customWidth="1"/>
    <col min="14599" max="14599" width="9.54296875" style="180" customWidth="1"/>
    <col min="14600" max="14603" width="19.36328125" style="180"/>
    <col min="14604" max="14604" width="12.36328125" style="180" bestFit="1" customWidth="1"/>
    <col min="14605" max="14848" width="19.36328125" style="180"/>
    <col min="14849" max="14849" width="2.36328125" style="180" customWidth="1"/>
    <col min="14850" max="14850" width="37.453125" style="180" customWidth="1"/>
    <col min="14851" max="14851" width="10.453125" style="180" customWidth="1"/>
    <col min="14852" max="14852" width="14" style="180" bestFit="1" customWidth="1"/>
    <col min="14853" max="14853" width="9.54296875" style="180" customWidth="1"/>
    <col min="14854" max="14854" width="14" style="180" bestFit="1" customWidth="1"/>
    <col min="14855" max="14855" width="9.54296875" style="180" customWidth="1"/>
    <col min="14856" max="14859" width="19.36328125" style="180"/>
    <col min="14860" max="14860" width="12.36328125" style="180" bestFit="1" customWidth="1"/>
    <col min="14861" max="15104" width="19.36328125" style="180"/>
    <col min="15105" max="15105" width="2.36328125" style="180" customWidth="1"/>
    <col min="15106" max="15106" width="37.453125" style="180" customWidth="1"/>
    <col min="15107" max="15107" width="10.453125" style="180" customWidth="1"/>
    <col min="15108" max="15108" width="14" style="180" bestFit="1" customWidth="1"/>
    <col min="15109" max="15109" width="9.54296875" style="180" customWidth="1"/>
    <col min="15110" max="15110" width="14" style="180" bestFit="1" customWidth="1"/>
    <col min="15111" max="15111" width="9.54296875" style="180" customWidth="1"/>
    <col min="15112" max="15115" width="19.36328125" style="180"/>
    <col min="15116" max="15116" width="12.36328125" style="180" bestFit="1" customWidth="1"/>
    <col min="15117" max="15360" width="19.36328125" style="180"/>
    <col min="15361" max="15361" width="2.36328125" style="180" customWidth="1"/>
    <col min="15362" max="15362" width="37.453125" style="180" customWidth="1"/>
    <col min="15363" max="15363" width="10.453125" style="180" customWidth="1"/>
    <col min="15364" max="15364" width="14" style="180" bestFit="1" customWidth="1"/>
    <col min="15365" max="15365" width="9.54296875" style="180" customWidth="1"/>
    <col min="15366" max="15366" width="14" style="180" bestFit="1" customWidth="1"/>
    <col min="15367" max="15367" width="9.54296875" style="180" customWidth="1"/>
    <col min="15368" max="15371" width="19.36328125" style="180"/>
    <col min="15372" max="15372" width="12.36328125" style="180" bestFit="1" customWidth="1"/>
    <col min="15373" max="15616" width="19.36328125" style="180"/>
    <col min="15617" max="15617" width="2.36328125" style="180" customWidth="1"/>
    <col min="15618" max="15618" width="37.453125" style="180" customWidth="1"/>
    <col min="15619" max="15619" width="10.453125" style="180" customWidth="1"/>
    <col min="15620" max="15620" width="14" style="180" bestFit="1" customWidth="1"/>
    <col min="15621" max="15621" width="9.54296875" style="180" customWidth="1"/>
    <col min="15622" max="15622" width="14" style="180" bestFit="1" customWidth="1"/>
    <col min="15623" max="15623" width="9.54296875" style="180" customWidth="1"/>
    <col min="15624" max="15627" width="19.36328125" style="180"/>
    <col min="15628" max="15628" width="12.36328125" style="180" bestFit="1" customWidth="1"/>
    <col min="15629" max="15872" width="19.36328125" style="180"/>
    <col min="15873" max="15873" width="2.36328125" style="180" customWidth="1"/>
    <col min="15874" max="15874" width="37.453125" style="180" customWidth="1"/>
    <col min="15875" max="15875" width="10.453125" style="180" customWidth="1"/>
    <col min="15876" max="15876" width="14" style="180" bestFit="1" customWidth="1"/>
    <col min="15877" max="15877" width="9.54296875" style="180" customWidth="1"/>
    <col min="15878" max="15878" width="14" style="180" bestFit="1" customWidth="1"/>
    <col min="15879" max="15879" width="9.54296875" style="180" customWidth="1"/>
    <col min="15880" max="15883" width="19.36328125" style="180"/>
    <col min="15884" max="15884" width="12.36328125" style="180" bestFit="1" customWidth="1"/>
    <col min="15885" max="16128" width="19.36328125" style="180"/>
    <col min="16129" max="16129" width="2.36328125" style="180" customWidth="1"/>
    <col min="16130" max="16130" width="37.453125" style="180" customWidth="1"/>
    <col min="16131" max="16131" width="10.453125" style="180" customWidth="1"/>
    <col min="16132" max="16132" width="14" style="180" bestFit="1" customWidth="1"/>
    <col min="16133" max="16133" width="9.54296875" style="180" customWidth="1"/>
    <col min="16134" max="16134" width="14" style="180" bestFit="1" customWidth="1"/>
    <col min="16135" max="16135" width="9.54296875" style="180" customWidth="1"/>
    <col min="16136" max="16139" width="19.36328125" style="180"/>
    <col min="16140" max="16140" width="12.36328125" style="180" bestFit="1" customWidth="1"/>
    <col min="16141" max="16384" width="19.36328125" style="180"/>
  </cols>
  <sheetData>
    <row r="1" spans="1:253" ht="25.95" customHeight="1">
      <c r="B1" s="263" t="s">
        <v>383</v>
      </c>
      <c r="C1" s="263"/>
      <c r="D1" s="263"/>
      <c r="E1" s="263"/>
      <c r="F1" s="263"/>
    </row>
    <row r="2" spans="1:253" ht="15.6">
      <c r="B2" s="264" t="s">
        <v>384</v>
      </c>
      <c r="C2" s="264"/>
      <c r="D2" s="264"/>
      <c r="E2" s="264"/>
      <c r="F2" s="264"/>
    </row>
    <row r="3" spans="1:253" ht="15.6">
      <c r="B3" s="264" t="s">
        <v>385</v>
      </c>
      <c r="C3" s="264"/>
      <c r="D3" s="264"/>
      <c r="E3" s="264"/>
      <c r="F3" s="264"/>
    </row>
    <row r="4" spans="1:253" ht="15.6">
      <c r="B4" s="181"/>
      <c r="C4" s="181"/>
      <c r="D4" s="181"/>
      <c r="E4" s="181"/>
      <c r="F4" s="182"/>
    </row>
    <row r="5" spans="1:253" ht="15.6">
      <c r="B5" s="183"/>
      <c r="C5" s="181"/>
      <c r="D5" s="181"/>
      <c r="E5" s="181"/>
      <c r="F5" s="182"/>
    </row>
    <row r="6" spans="1:253">
      <c r="B6" s="184"/>
      <c r="C6" s="184"/>
      <c r="D6" s="184"/>
      <c r="E6" s="184"/>
      <c r="F6" s="185"/>
    </row>
    <row r="7" spans="1:253" ht="15.6">
      <c r="A7" s="186"/>
      <c r="B7" s="187"/>
      <c r="C7" s="187"/>
      <c r="D7" s="188" t="s">
        <v>386</v>
      </c>
      <c r="E7" s="189"/>
      <c r="F7" s="188" t="str">
        <f>B3</f>
        <v>12-31-16</v>
      </c>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row>
    <row r="8" spans="1:253" ht="15.6">
      <c r="A8" s="186"/>
      <c r="B8" s="187"/>
      <c r="C8" s="187"/>
      <c r="D8" s="190" t="s">
        <v>387</v>
      </c>
      <c r="E8" s="189"/>
      <c r="F8" s="190" t="s">
        <v>387</v>
      </c>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row>
    <row r="9" spans="1:253" ht="6.9" customHeight="1">
      <c r="A9" s="186"/>
      <c r="B9" s="187"/>
      <c r="C9" s="187"/>
      <c r="D9" s="191"/>
      <c r="E9" s="187"/>
      <c r="F9" s="191"/>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c r="DK9" s="186"/>
      <c r="DL9" s="186"/>
      <c r="DM9" s="186"/>
      <c r="DN9" s="186"/>
      <c r="DO9" s="186"/>
      <c r="DP9" s="186"/>
      <c r="DQ9" s="186"/>
      <c r="DR9" s="186"/>
      <c r="DS9" s="186"/>
      <c r="DT9" s="186"/>
      <c r="DU9" s="186"/>
      <c r="DV9" s="186"/>
      <c r="DW9" s="186"/>
      <c r="DX9" s="186"/>
      <c r="DY9" s="186"/>
      <c r="DZ9" s="186"/>
      <c r="EA9" s="186"/>
      <c r="EB9" s="186"/>
      <c r="EC9" s="186"/>
      <c r="ED9" s="186"/>
      <c r="EE9" s="186"/>
      <c r="EF9" s="186"/>
      <c r="EG9" s="186"/>
      <c r="EH9" s="186"/>
      <c r="EI9" s="186"/>
      <c r="EJ9" s="186"/>
      <c r="EK9" s="186"/>
      <c r="EL9" s="186"/>
      <c r="EM9" s="186"/>
      <c r="EN9" s="186"/>
      <c r="EO9" s="186"/>
      <c r="EP9" s="186"/>
      <c r="EQ9" s="186"/>
      <c r="ER9" s="186"/>
      <c r="ES9" s="186"/>
      <c r="ET9" s="186"/>
      <c r="EU9" s="186"/>
      <c r="EV9" s="186"/>
      <c r="EW9" s="186"/>
      <c r="EX9" s="186"/>
      <c r="EY9" s="186"/>
      <c r="EZ9" s="186"/>
      <c r="FA9" s="186"/>
      <c r="FB9" s="186"/>
      <c r="FC9" s="186"/>
      <c r="FD9" s="186"/>
      <c r="FE9" s="186"/>
      <c r="FF9" s="186"/>
      <c r="FG9" s="186"/>
      <c r="FH9" s="186"/>
      <c r="FI9" s="186"/>
      <c r="FJ9" s="186"/>
      <c r="FK9" s="186"/>
      <c r="FL9" s="186"/>
      <c r="FM9" s="186"/>
      <c r="FN9" s="186"/>
      <c r="FO9" s="186"/>
      <c r="FP9" s="186"/>
      <c r="FQ9" s="186"/>
      <c r="FR9" s="186"/>
      <c r="FS9" s="186"/>
      <c r="FT9" s="186"/>
      <c r="FU9" s="186"/>
      <c r="FV9" s="186"/>
      <c r="FW9" s="186"/>
      <c r="FX9" s="186"/>
      <c r="FY9" s="186"/>
      <c r="FZ9" s="186"/>
      <c r="GA9" s="186"/>
      <c r="GB9" s="186"/>
      <c r="GC9" s="186"/>
      <c r="GD9" s="186"/>
      <c r="GE9" s="186"/>
      <c r="GF9" s="186"/>
      <c r="GG9" s="186"/>
      <c r="GH9" s="186"/>
      <c r="GI9" s="186"/>
      <c r="GJ9" s="186"/>
      <c r="GK9" s="186"/>
      <c r="GL9" s="186"/>
      <c r="GM9" s="186"/>
      <c r="GN9" s="186"/>
      <c r="GO9" s="186"/>
      <c r="GP9" s="186"/>
      <c r="GQ9" s="186"/>
      <c r="GR9" s="186"/>
      <c r="GS9" s="186"/>
      <c r="GT9" s="186"/>
      <c r="GU9" s="186"/>
      <c r="GV9" s="186"/>
      <c r="GW9" s="186"/>
      <c r="GX9" s="186"/>
      <c r="GY9" s="186"/>
      <c r="GZ9" s="186"/>
      <c r="HA9" s="186"/>
      <c r="HB9" s="186"/>
      <c r="HC9" s="186"/>
      <c r="HD9" s="186"/>
      <c r="HE9" s="186"/>
      <c r="HF9" s="186"/>
      <c r="HG9" s="186"/>
      <c r="HH9" s="186"/>
      <c r="HI9" s="186"/>
      <c r="HJ9" s="186"/>
      <c r="HK9" s="186"/>
      <c r="HL9" s="186"/>
      <c r="HM9" s="186"/>
      <c r="HN9" s="186"/>
      <c r="HO9" s="186"/>
      <c r="HP9" s="186"/>
      <c r="HQ9" s="186"/>
      <c r="HR9" s="186"/>
      <c r="HS9" s="186"/>
      <c r="HT9" s="186"/>
      <c r="HU9" s="186"/>
      <c r="HV9" s="186"/>
      <c r="HW9" s="186"/>
      <c r="HX9" s="186"/>
      <c r="HY9" s="186"/>
      <c r="HZ9" s="186"/>
      <c r="IA9" s="186"/>
      <c r="IB9" s="186"/>
      <c r="IC9" s="186"/>
      <c r="ID9" s="186"/>
      <c r="IE9" s="186"/>
      <c r="IF9" s="186"/>
      <c r="IG9" s="186"/>
      <c r="IH9" s="186"/>
      <c r="II9" s="186"/>
      <c r="IJ9" s="186"/>
      <c r="IK9" s="186"/>
      <c r="IL9" s="186"/>
      <c r="IM9" s="186"/>
      <c r="IN9" s="186"/>
      <c r="IO9" s="186"/>
      <c r="IP9" s="186"/>
      <c r="IQ9" s="186"/>
      <c r="IR9" s="186"/>
      <c r="IS9" s="186"/>
    </row>
    <row r="10" spans="1:253" ht="15.6">
      <c r="A10" s="186"/>
      <c r="B10" s="192" t="s">
        <v>388</v>
      </c>
      <c r="C10" s="193"/>
      <c r="D10" s="191"/>
      <c r="E10" s="187"/>
      <c r="F10" s="191"/>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6"/>
      <c r="FN10" s="186"/>
      <c r="FO10" s="186"/>
      <c r="FP10" s="186"/>
      <c r="FQ10" s="186"/>
      <c r="FR10" s="186"/>
      <c r="FS10" s="186"/>
      <c r="FT10" s="186"/>
      <c r="FU10" s="186"/>
      <c r="FV10" s="186"/>
      <c r="FW10" s="186"/>
      <c r="FX10" s="186"/>
      <c r="FY10" s="186"/>
      <c r="FZ10" s="186"/>
      <c r="GA10" s="186"/>
      <c r="GB10" s="186"/>
      <c r="GC10" s="186"/>
      <c r="GD10" s="186"/>
      <c r="GE10" s="186"/>
      <c r="GF10" s="186"/>
      <c r="GG10" s="186"/>
      <c r="GH10" s="186"/>
      <c r="GI10" s="186"/>
      <c r="GJ10" s="186"/>
      <c r="GK10" s="186"/>
      <c r="GL10" s="186"/>
      <c r="GM10" s="186"/>
      <c r="GN10" s="186"/>
      <c r="GO10" s="186"/>
      <c r="GP10" s="186"/>
      <c r="GQ10" s="186"/>
      <c r="GR10" s="186"/>
      <c r="GS10" s="186"/>
      <c r="GT10" s="186"/>
      <c r="GU10" s="186"/>
      <c r="GV10" s="186"/>
      <c r="GW10" s="186"/>
      <c r="GX10" s="186"/>
      <c r="GY10" s="186"/>
      <c r="GZ10" s="186"/>
      <c r="HA10" s="186"/>
      <c r="HB10" s="186"/>
      <c r="HC10" s="186"/>
      <c r="HD10" s="186"/>
      <c r="HE10" s="186"/>
      <c r="HF10" s="186"/>
      <c r="HG10" s="186"/>
      <c r="HH10" s="186"/>
      <c r="HI10" s="186"/>
      <c r="HJ10" s="186"/>
      <c r="HK10" s="186"/>
      <c r="HL10" s="186"/>
      <c r="HM10" s="186"/>
      <c r="HN10" s="186"/>
      <c r="HO10" s="186"/>
      <c r="HP10" s="186"/>
      <c r="HQ10" s="186"/>
      <c r="HR10" s="186"/>
      <c r="HS10" s="186"/>
      <c r="HT10" s="186"/>
      <c r="HU10" s="186"/>
      <c r="HV10" s="186"/>
      <c r="HW10" s="186"/>
      <c r="HX10" s="186"/>
      <c r="HY10" s="186"/>
      <c r="HZ10" s="186"/>
      <c r="IA10" s="186"/>
      <c r="IB10" s="186"/>
      <c r="IC10" s="186"/>
      <c r="ID10" s="186"/>
      <c r="IE10" s="186"/>
      <c r="IF10" s="186"/>
      <c r="IG10" s="186"/>
      <c r="IH10" s="186"/>
      <c r="II10" s="186"/>
      <c r="IJ10" s="186"/>
      <c r="IK10" s="186"/>
      <c r="IL10" s="186"/>
      <c r="IM10" s="186"/>
      <c r="IN10" s="186"/>
      <c r="IO10" s="186"/>
      <c r="IP10" s="186"/>
      <c r="IQ10" s="186"/>
      <c r="IR10" s="186"/>
      <c r="IS10" s="186"/>
    </row>
    <row r="11" spans="1:253">
      <c r="B11" s="194"/>
      <c r="C11" s="195"/>
      <c r="D11" s="196"/>
      <c r="E11" s="194"/>
      <c r="F11" s="196"/>
    </row>
    <row r="12" spans="1:253" ht="15">
      <c r="B12" s="197" t="s">
        <v>389</v>
      </c>
      <c r="C12" s="198" t="s">
        <v>390</v>
      </c>
      <c r="D12" s="199">
        <v>167057.4</v>
      </c>
      <c r="E12" s="200"/>
      <c r="F12" s="199">
        <v>422649.3</v>
      </c>
    </row>
    <row r="13" spans="1:253" ht="15" customHeight="1">
      <c r="B13" s="201"/>
      <c r="C13" s="202"/>
      <c r="D13" s="199"/>
      <c r="E13" s="200"/>
      <c r="F13" s="199"/>
    </row>
    <row r="14" spans="1:253" ht="15" customHeight="1">
      <c r="B14" s="201" t="s">
        <v>391</v>
      </c>
      <c r="C14" s="198" t="s">
        <v>392</v>
      </c>
      <c r="D14" s="199">
        <v>47447.4</v>
      </c>
      <c r="E14" s="200"/>
      <c r="F14" s="199">
        <v>41117.58</v>
      </c>
    </row>
    <row r="15" spans="1:253" ht="15" customHeight="1">
      <c r="B15" s="201"/>
      <c r="C15" s="202"/>
      <c r="D15" s="199"/>
      <c r="E15" s="200"/>
      <c r="F15" s="199"/>
    </row>
    <row r="16" spans="1:253" ht="15" customHeight="1">
      <c r="B16" s="201" t="s">
        <v>393</v>
      </c>
      <c r="C16" s="198" t="s">
        <v>394</v>
      </c>
      <c r="D16" s="199">
        <v>7639.79</v>
      </c>
      <c r="E16" s="200"/>
      <c r="F16" s="199">
        <v>7220.92</v>
      </c>
    </row>
    <row r="17" spans="2:8" ht="15" customHeight="1">
      <c r="B17" s="201"/>
      <c r="C17" s="202"/>
      <c r="D17" s="199"/>
      <c r="E17" s="200"/>
      <c r="F17" s="199"/>
    </row>
    <row r="18" spans="2:8" ht="15" customHeight="1">
      <c r="B18" s="197" t="s">
        <v>395</v>
      </c>
      <c r="C18" s="198" t="s">
        <v>396</v>
      </c>
      <c r="D18" s="203">
        <v>12000</v>
      </c>
      <c r="E18" s="200"/>
      <c r="F18" s="203">
        <v>12000</v>
      </c>
    </row>
    <row r="19" spans="2:8" ht="15" customHeight="1">
      <c r="B19" s="201"/>
      <c r="C19" s="202"/>
      <c r="D19" s="203"/>
      <c r="E19" s="200"/>
      <c r="F19" s="203"/>
    </row>
    <row r="20" spans="2:8" ht="15">
      <c r="B20" s="197" t="s">
        <v>397</v>
      </c>
      <c r="C20" s="198" t="s">
        <v>398</v>
      </c>
      <c r="D20" s="203">
        <v>3479.27</v>
      </c>
      <c r="E20" s="200"/>
      <c r="F20" s="203">
        <v>3481.19</v>
      </c>
    </row>
    <row r="21" spans="2:8" ht="15" customHeight="1">
      <c r="B21" s="201"/>
      <c r="C21" s="202"/>
      <c r="D21" s="203"/>
      <c r="E21" s="200"/>
      <c r="F21" s="203"/>
    </row>
    <row r="22" spans="2:8" ht="15">
      <c r="B22" s="197" t="s">
        <v>399</v>
      </c>
      <c r="C22" s="198" t="s">
        <v>400</v>
      </c>
      <c r="D22" s="203">
        <v>1139.6199999999999</v>
      </c>
      <c r="E22" s="200"/>
      <c r="F22" s="203">
        <v>1139.6199999999999</v>
      </c>
    </row>
    <row r="23" spans="2:8" ht="14.25" customHeight="1">
      <c r="B23" s="201"/>
      <c r="C23" s="202"/>
      <c r="D23" s="204"/>
      <c r="E23" s="201"/>
      <c r="F23" s="204"/>
    </row>
    <row r="24" spans="2:8" ht="15">
      <c r="B24" s="197" t="s">
        <v>401</v>
      </c>
      <c r="C24" s="198" t="s">
        <v>402</v>
      </c>
      <c r="D24" s="203">
        <v>600</v>
      </c>
      <c r="E24" s="200"/>
      <c r="F24" s="203">
        <v>600</v>
      </c>
    </row>
    <row r="25" spans="2:8" ht="15" customHeight="1">
      <c r="B25" s="201"/>
      <c r="C25" s="202"/>
      <c r="D25" s="204"/>
      <c r="E25" s="201"/>
      <c r="F25" s="204"/>
    </row>
    <row r="26" spans="2:8" ht="15">
      <c r="B26" s="197" t="s">
        <v>403</v>
      </c>
      <c r="C26" s="198" t="s">
        <v>404</v>
      </c>
      <c r="D26" s="204">
        <v>22170.400000000001</v>
      </c>
      <c r="E26" s="201"/>
      <c r="F26" s="204">
        <v>24707.51</v>
      </c>
    </row>
    <row r="27" spans="2:8" ht="14.25" customHeight="1">
      <c r="B27" s="201"/>
      <c r="C27" s="202"/>
      <c r="D27" s="204"/>
      <c r="E27" s="201"/>
      <c r="F27" s="204"/>
    </row>
    <row r="28" spans="2:8" ht="15">
      <c r="B28" s="201" t="s">
        <v>405</v>
      </c>
      <c r="C28" s="198" t="s">
        <v>406</v>
      </c>
      <c r="D28" s="204">
        <v>2860</v>
      </c>
      <c r="E28" s="201"/>
      <c r="F28" s="204">
        <v>2860</v>
      </c>
    </row>
    <row r="29" spans="2:8" ht="15" customHeight="1">
      <c r="B29" s="201"/>
      <c r="C29" s="202"/>
      <c r="D29" s="204"/>
      <c r="E29" s="201"/>
      <c r="F29" s="204"/>
    </row>
    <row r="30" spans="2:8" ht="15">
      <c r="B30" s="197" t="s">
        <v>407</v>
      </c>
      <c r="C30" s="198" t="s">
        <v>408</v>
      </c>
      <c r="D30" s="205">
        <v>1512.4</v>
      </c>
      <c r="E30" s="200"/>
      <c r="F30" s="205">
        <v>1512.4</v>
      </c>
    </row>
    <row r="31" spans="2:8" ht="15" customHeight="1">
      <c r="B31" s="201"/>
      <c r="C31" s="202"/>
      <c r="D31" s="199"/>
      <c r="E31" s="201"/>
      <c r="F31" s="200"/>
      <c r="H31" s="206" t="s">
        <v>146</v>
      </c>
    </row>
    <row r="32" spans="2:8" ht="9.9" customHeight="1">
      <c r="B32" s="201"/>
      <c r="C32" s="207"/>
      <c r="D32" s="199"/>
      <c r="E32" s="201"/>
      <c r="F32" s="200"/>
    </row>
    <row r="33" spans="2:17" ht="15">
      <c r="B33" s="201"/>
      <c r="C33" s="207"/>
      <c r="D33" s="208">
        <f>SUM(D12:D30)</f>
        <v>265906.28000000003</v>
      </c>
      <c r="E33" s="200"/>
      <c r="F33" s="209">
        <f>SUM(F12:F30)</f>
        <v>517288.52</v>
      </c>
      <c r="H33" s="210">
        <f>SUM(F18:F30)</f>
        <v>46300.72</v>
      </c>
    </row>
    <row r="34" spans="2:17" ht="15">
      <c r="B34" s="201"/>
      <c r="C34" s="207"/>
      <c r="D34" s="209"/>
      <c r="E34" s="200"/>
      <c r="F34" s="209"/>
      <c r="H34" s="210"/>
    </row>
    <row r="35" spans="2:17" ht="22.8">
      <c r="B35" s="263" t="s">
        <v>383</v>
      </c>
      <c r="C35" s="263"/>
      <c r="D35" s="263"/>
      <c r="E35" s="263"/>
      <c r="F35" s="263"/>
      <c r="G35" s="211"/>
    </row>
    <row r="36" spans="2:17" ht="15.6">
      <c r="B36" s="262" t="s">
        <v>384</v>
      </c>
      <c r="C36" s="262"/>
      <c r="D36" s="262"/>
      <c r="E36" s="262"/>
      <c r="F36" s="262"/>
      <c r="G36" s="211"/>
    </row>
    <row r="37" spans="2:17" ht="15.6">
      <c r="B37" s="262" t="str">
        <f>B3</f>
        <v>12-31-16</v>
      </c>
      <c r="C37" s="262"/>
      <c r="D37" s="262"/>
      <c r="E37" s="262"/>
      <c r="F37" s="262"/>
      <c r="G37" s="211"/>
    </row>
    <row r="38" spans="2:17">
      <c r="B38" s="212"/>
      <c r="C38" s="213"/>
      <c r="D38" s="214"/>
      <c r="E38" s="213"/>
      <c r="F38" s="214"/>
      <c r="G38" s="211"/>
    </row>
    <row r="39" spans="2:17">
      <c r="B39" s="212"/>
      <c r="C39" s="213"/>
      <c r="D39" s="214"/>
      <c r="E39" s="213"/>
      <c r="F39" s="214"/>
      <c r="G39" s="211"/>
    </row>
    <row r="40" spans="2:17">
      <c r="B40" s="212"/>
      <c r="C40" s="213"/>
      <c r="D40" s="214"/>
      <c r="E40" s="213"/>
      <c r="F40" s="214"/>
      <c r="G40" s="211"/>
    </row>
    <row r="41" spans="2:17" ht="15.6">
      <c r="B41" s="215" t="s">
        <v>409</v>
      </c>
      <c r="C41" s="216"/>
      <c r="D41" s="217"/>
      <c r="E41" s="213"/>
      <c r="F41" s="214"/>
      <c r="G41" s="211"/>
    </row>
    <row r="42" spans="2:17" ht="15">
      <c r="B42" s="212"/>
      <c r="C42" s="213"/>
      <c r="D42" s="214"/>
      <c r="E42" s="213"/>
      <c r="F42" s="214"/>
      <c r="G42" s="218"/>
      <c r="H42" s="219"/>
      <c r="I42" s="219"/>
      <c r="J42" s="219"/>
      <c r="K42" s="220"/>
      <c r="L42" s="219"/>
      <c r="M42" s="221"/>
      <c r="N42" s="221"/>
      <c r="O42" s="220"/>
      <c r="P42" s="221"/>
      <c r="Q42" s="221"/>
    </row>
    <row r="43" spans="2:17" ht="15">
      <c r="B43" s="222" t="s">
        <v>410</v>
      </c>
      <c r="C43" s="223" t="s">
        <v>411</v>
      </c>
      <c r="D43" s="224">
        <v>127132.04</v>
      </c>
      <c r="F43" s="224">
        <v>42024.95</v>
      </c>
      <c r="G43" s="218"/>
      <c r="H43" s="225"/>
      <c r="I43" s="225"/>
      <c r="J43" s="225"/>
      <c r="K43" s="219"/>
      <c r="L43" s="219"/>
      <c r="M43" s="219"/>
      <c r="N43" s="219"/>
      <c r="O43" s="219"/>
      <c r="P43" s="221"/>
    </row>
    <row r="44" spans="2:17" ht="15">
      <c r="B44" s="226"/>
      <c r="C44" s="227"/>
      <c r="D44" s="199"/>
      <c r="F44" s="199"/>
      <c r="G44" s="218"/>
      <c r="H44" s="221"/>
      <c r="I44" s="221"/>
      <c r="J44" s="221"/>
      <c r="K44" s="219"/>
      <c r="L44" s="221"/>
      <c r="M44" s="221"/>
      <c r="N44" s="221"/>
      <c r="O44" s="221"/>
      <c r="P44" s="221"/>
      <c r="Q44" s="221"/>
    </row>
    <row r="45" spans="2:17" ht="15">
      <c r="B45" s="222" t="s">
        <v>412</v>
      </c>
      <c r="C45" s="223" t="s">
        <v>413</v>
      </c>
      <c r="D45" s="199">
        <v>120534.42</v>
      </c>
      <c r="F45" s="199">
        <v>138214.39999999999</v>
      </c>
      <c r="G45" s="228"/>
      <c r="H45" s="229"/>
      <c r="I45" s="229"/>
      <c r="J45" s="229"/>
      <c r="K45" s="230"/>
      <c r="L45" s="230"/>
      <c r="M45" s="230"/>
      <c r="N45" s="230"/>
      <c r="O45" s="230"/>
      <c r="P45" s="230"/>
      <c r="Q45" s="230"/>
    </row>
    <row r="46" spans="2:17">
      <c r="F46" s="180"/>
      <c r="G46" s="228"/>
      <c r="H46" s="229"/>
      <c r="I46" s="229"/>
      <c r="J46" s="229"/>
      <c r="K46" s="230"/>
      <c r="L46" s="230"/>
      <c r="M46" s="230"/>
      <c r="N46" s="230"/>
      <c r="O46" s="230"/>
      <c r="P46" s="230"/>
      <c r="Q46" s="230"/>
    </row>
    <row r="47" spans="2:17" ht="15">
      <c r="B47" s="222" t="s">
        <v>414</v>
      </c>
      <c r="C47" s="227"/>
      <c r="D47" s="203"/>
      <c r="F47" s="203"/>
      <c r="G47" s="228"/>
      <c r="H47" s="229"/>
      <c r="I47" s="229"/>
      <c r="J47" s="229"/>
      <c r="K47" s="230"/>
      <c r="L47" s="230"/>
      <c r="M47" s="230"/>
      <c r="N47" s="230"/>
      <c r="O47" s="230"/>
      <c r="P47" s="230"/>
      <c r="Q47" s="230"/>
    </row>
    <row r="48" spans="2:17" ht="15">
      <c r="B48" s="222" t="s">
        <v>415</v>
      </c>
      <c r="C48" s="227"/>
      <c r="D48" s="203"/>
      <c r="F48" s="203"/>
      <c r="G48" s="228"/>
      <c r="H48" s="230"/>
      <c r="I48" s="230"/>
      <c r="J48" s="230"/>
      <c r="K48" s="230"/>
      <c r="L48" s="230"/>
      <c r="M48" s="230"/>
      <c r="N48" s="230"/>
      <c r="O48" s="230"/>
      <c r="P48" s="230"/>
      <c r="Q48" s="230"/>
    </row>
    <row r="49" spans="2:17" ht="15">
      <c r="B49" s="222" t="s">
        <v>416</v>
      </c>
      <c r="C49" s="227"/>
      <c r="D49" s="203"/>
      <c r="F49" s="203"/>
      <c r="G49" s="228"/>
      <c r="H49" s="231"/>
      <c r="I49" s="231"/>
      <c r="J49" s="230"/>
      <c r="K49" s="230"/>
      <c r="L49" s="230"/>
      <c r="M49" s="230"/>
      <c r="N49" s="230"/>
      <c r="O49" s="230"/>
      <c r="P49" s="230"/>
      <c r="Q49" s="230"/>
    </row>
    <row r="50" spans="2:17" ht="15">
      <c r="B50" s="222"/>
      <c r="C50" s="227"/>
      <c r="D50" s="199"/>
      <c r="F50" s="199"/>
      <c r="G50" s="228"/>
      <c r="H50" s="231"/>
      <c r="I50" s="231"/>
      <c r="J50" s="231"/>
      <c r="K50" s="230"/>
      <c r="L50" s="230"/>
      <c r="M50" s="230"/>
      <c r="N50" s="230"/>
      <c r="O50" s="230"/>
      <c r="P50" s="230"/>
      <c r="Q50" s="230"/>
    </row>
    <row r="51" spans="2:17" ht="14.25" customHeight="1">
      <c r="B51" s="222" t="s">
        <v>417</v>
      </c>
      <c r="C51" s="223" t="s">
        <v>418</v>
      </c>
      <c r="D51" s="232">
        <v>436093.24</v>
      </c>
      <c r="F51" s="232">
        <v>481705.92</v>
      </c>
      <c r="G51" s="228"/>
      <c r="H51" s="231"/>
      <c r="I51" s="231"/>
      <c r="J51" s="231"/>
      <c r="K51" s="230"/>
      <c r="L51" s="230"/>
      <c r="M51" s="230"/>
      <c r="N51" s="230"/>
      <c r="O51" s="230"/>
      <c r="P51" s="230"/>
      <c r="Q51" s="230"/>
    </row>
    <row r="52" spans="2:17" ht="14.25" customHeight="1">
      <c r="B52" s="222" t="s">
        <v>419</v>
      </c>
      <c r="C52" s="223" t="s">
        <v>420</v>
      </c>
      <c r="D52" s="232">
        <v>56169.98</v>
      </c>
      <c r="F52" s="232">
        <v>62025.760000000002</v>
      </c>
      <c r="G52" s="228"/>
      <c r="H52" s="231"/>
      <c r="I52" s="231"/>
      <c r="J52" s="231"/>
      <c r="K52" s="233"/>
      <c r="L52" s="230"/>
      <c r="M52" s="230"/>
      <c r="N52" s="230"/>
      <c r="O52" s="230"/>
      <c r="P52" s="230"/>
      <c r="Q52" s="230"/>
    </row>
    <row r="53" spans="2:17">
      <c r="F53" s="180"/>
      <c r="G53" s="228"/>
      <c r="H53" s="234"/>
      <c r="I53" s="234"/>
      <c r="J53" s="231"/>
      <c r="K53" s="233"/>
      <c r="L53" s="230"/>
      <c r="M53" s="230"/>
      <c r="N53" s="230"/>
      <c r="O53" s="230"/>
      <c r="P53" s="230"/>
      <c r="Q53" s="230"/>
    </row>
    <row r="54" spans="2:17" ht="15">
      <c r="B54" s="222" t="s">
        <v>421</v>
      </c>
      <c r="C54" s="223" t="s">
        <v>422</v>
      </c>
      <c r="D54" s="203">
        <v>1534.68</v>
      </c>
      <c r="F54" s="203">
        <v>1675.8</v>
      </c>
      <c r="G54" s="228"/>
      <c r="H54" s="234"/>
      <c r="I54" s="234"/>
      <c r="J54" s="230"/>
      <c r="K54" s="233"/>
      <c r="L54" s="230"/>
      <c r="M54" s="230"/>
      <c r="N54" s="230"/>
      <c r="O54" s="230"/>
      <c r="P54" s="230"/>
      <c r="Q54" s="230"/>
    </row>
    <row r="55" spans="2:17" ht="15">
      <c r="B55" s="226"/>
      <c r="C55" s="227"/>
      <c r="D55" s="199"/>
      <c r="F55" s="199"/>
      <c r="G55" s="228"/>
      <c r="H55" s="234"/>
      <c r="I55" s="234"/>
      <c r="J55" s="230"/>
      <c r="K55" s="233"/>
      <c r="L55" s="235"/>
      <c r="M55" s="230"/>
      <c r="N55" s="230"/>
      <c r="O55" s="230"/>
      <c r="P55" s="230"/>
      <c r="Q55" s="230"/>
    </row>
    <row r="56" spans="2:17" ht="15">
      <c r="B56" s="222" t="s">
        <v>423</v>
      </c>
      <c r="C56" s="223" t="s">
        <v>424</v>
      </c>
      <c r="D56" s="203">
        <v>1500</v>
      </c>
      <c r="F56" s="203">
        <v>1500</v>
      </c>
      <c r="G56" s="228"/>
      <c r="H56" s="236"/>
      <c r="I56" s="236"/>
      <c r="J56" s="230"/>
      <c r="K56" s="236"/>
      <c r="L56" s="230"/>
      <c r="M56" s="230"/>
      <c r="N56" s="230"/>
      <c r="O56" s="230"/>
      <c r="P56" s="230"/>
      <c r="Q56" s="230"/>
    </row>
    <row r="57" spans="2:17" ht="15">
      <c r="B57" s="226"/>
      <c r="C57" s="227"/>
      <c r="D57" s="199"/>
      <c r="F57" s="199"/>
      <c r="G57" s="218"/>
      <c r="H57" s="229"/>
      <c r="I57" s="229"/>
      <c r="J57" s="229"/>
      <c r="K57" s="229"/>
      <c r="L57" s="229"/>
      <c r="M57" s="221"/>
      <c r="N57" s="221"/>
      <c r="O57" s="221"/>
      <c r="P57" s="221"/>
      <c r="Q57" s="237"/>
    </row>
    <row r="58" spans="2:17" ht="15">
      <c r="B58" s="222" t="s">
        <v>425</v>
      </c>
      <c r="C58" s="223" t="s">
        <v>426</v>
      </c>
      <c r="D58" s="199">
        <v>105490.61</v>
      </c>
      <c r="F58" s="199">
        <v>142622.20000000001</v>
      </c>
      <c r="G58" s="218"/>
      <c r="H58" s="229"/>
      <c r="I58" s="229"/>
      <c r="J58" s="229"/>
      <c r="K58" s="229"/>
      <c r="L58" s="229"/>
      <c r="M58" s="229"/>
      <c r="N58" s="229"/>
      <c r="O58" s="229"/>
      <c r="P58" s="229"/>
      <c r="Q58" s="229"/>
    </row>
    <row r="59" spans="2:17" ht="15">
      <c r="B59" s="226"/>
      <c r="C59" s="227"/>
      <c r="D59" s="199"/>
      <c r="F59" s="199"/>
      <c r="G59" s="211"/>
      <c r="K59" s="238"/>
    </row>
    <row r="60" spans="2:17" ht="15">
      <c r="B60" s="222" t="s">
        <v>427</v>
      </c>
      <c r="C60" s="223" t="s">
        <v>428</v>
      </c>
      <c r="D60" s="199">
        <v>5286740.9800000004</v>
      </c>
      <c r="F60" s="199">
        <v>5830057.6200000001</v>
      </c>
      <c r="G60" s="211"/>
    </row>
    <row r="61" spans="2:17" ht="15">
      <c r="B61" s="222"/>
      <c r="C61" s="227"/>
      <c r="D61" s="199"/>
      <c r="F61" s="199"/>
      <c r="G61" s="211"/>
    </row>
    <row r="62" spans="2:17" ht="15">
      <c r="B62" s="222" t="s">
        <v>429</v>
      </c>
      <c r="C62" s="227"/>
      <c r="D62" s="199"/>
      <c r="F62" s="199"/>
      <c r="G62" s="211"/>
    </row>
    <row r="63" spans="2:17" ht="15">
      <c r="B63" s="239" t="s">
        <v>430</v>
      </c>
      <c r="C63" s="223" t="s">
        <v>431</v>
      </c>
      <c r="D63" s="203">
        <v>200000</v>
      </c>
      <c r="F63" s="203">
        <v>200000</v>
      </c>
      <c r="G63" s="211"/>
    </row>
    <row r="64" spans="2:17" ht="15">
      <c r="B64" s="239" t="s">
        <v>432</v>
      </c>
      <c r="C64" s="227"/>
      <c r="D64" s="203">
        <v>0</v>
      </c>
      <c r="F64" s="203"/>
      <c r="G64" s="211"/>
    </row>
    <row r="65" spans="2:9" ht="15">
      <c r="B65" s="239" t="s">
        <v>433</v>
      </c>
      <c r="C65" s="223" t="s">
        <v>434</v>
      </c>
      <c r="D65" s="199">
        <v>400000</v>
      </c>
      <c r="F65" s="199">
        <v>400000</v>
      </c>
      <c r="G65" s="211"/>
    </row>
    <row r="66" spans="2:9" ht="15">
      <c r="B66" s="239" t="s">
        <v>435</v>
      </c>
      <c r="C66" s="240" t="s">
        <v>436</v>
      </c>
      <c r="D66" s="241">
        <v>250000</v>
      </c>
      <c r="F66" s="241">
        <v>250000</v>
      </c>
      <c r="G66" s="211"/>
    </row>
    <row r="67" spans="2:9" ht="12" customHeight="1">
      <c r="B67" s="226"/>
      <c r="C67" s="227"/>
      <c r="D67" s="199"/>
      <c r="E67" s="227"/>
      <c r="F67" s="199"/>
      <c r="G67" s="242"/>
      <c r="H67" s="243"/>
    </row>
    <row r="68" spans="2:9" ht="15">
      <c r="B68" s="226"/>
      <c r="C68" s="227"/>
      <c r="D68" s="208">
        <f>SUM(D43:D66)</f>
        <v>6985195.9500000002</v>
      </c>
      <c r="E68" s="227"/>
      <c r="F68" s="208">
        <f>SUM(F43:F66)</f>
        <v>7549826.6500000004</v>
      </c>
      <c r="G68" s="242"/>
      <c r="H68" s="244" t="s">
        <v>143</v>
      </c>
    </row>
    <row r="69" spans="2:9">
      <c r="B69" s="245"/>
      <c r="C69" s="246"/>
      <c r="D69" s="247"/>
      <c r="E69" s="246"/>
      <c r="F69" s="247"/>
      <c r="G69" s="242"/>
      <c r="H69" s="244"/>
    </row>
    <row r="70" spans="2:9" ht="14.4">
      <c r="B70" s="245"/>
      <c r="C70" s="246"/>
      <c r="D70" s="247"/>
      <c r="E70" s="246"/>
      <c r="F70" s="247"/>
      <c r="G70" s="242"/>
      <c r="H70" s="248"/>
    </row>
    <row r="71" spans="2:9">
      <c r="B71" s="245"/>
      <c r="C71" s="246"/>
      <c r="D71" s="247"/>
      <c r="E71" s="246"/>
      <c r="F71" s="247"/>
      <c r="G71" s="242"/>
      <c r="H71" s="244"/>
    </row>
    <row r="72" spans="2:9">
      <c r="B72" s="194"/>
      <c r="C72" s="194"/>
      <c r="D72" s="249"/>
      <c r="E72" s="194"/>
      <c r="F72" s="249"/>
      <c r="G72" s="211"/>
      <c r="H72" s="180" t="s">
        <v>145</v>
      </c>
    </row>
    <row r="73" spans="2:9" ht="15.6" thickBot="1">
      <c r="B73" s="201" t="s">
        <v>437</v>
      </c>
      <c r="C73" s="201"/>
      <c r="D73" s="250">
        <f>D33+D68</f>
        <v>7251102.2300000004</v>
      </c>
      <c r="E73" s="200"/>
      <c r="F73" s="250">
        <f>F33+F68</f>
        <v>8067115.1699999999</v>
      </c>
      <c r="G73" s="206"/>
      <c r="H73" s="206">
        <f>F43+F47+F48+F49+F54+F56+F63+F64</f>
        <v>245200.75</v>
      </c>
      <c r="I73" s="206">
        <f>D43+D47+D48+D49+D54+D56+D63+D64</f>
        <v>330166.71999999997</v>
      </c>
    </row>
    <row r="74" spans="2:9" ht="14.4" thickTop="1">
      <c r="B74" s="194"/>
      <c r="C74" s="194"/>
      <c r="D74" s="249"/>
      <c r="E74" s="249"/>
      <c r="F74" s="249"/>
    </row>
    <row r="75" spans="2:9">
      <c r="B75" s="194"/>
      <c r="C75" s="194"/>
      <c r="D75" s="249"/>
      <c r="E75" s="249"/>
      <c r="F75" s="249"/>
    </row>
    <row r="76" spans="2:9">
      <c r="B76" s="194"/>
      <c r="C76" s="194"/>
      <c r="D76" s="249"/>
      <c r="E76" s="249"/>
      <c r="F76" s="249"/>
      <c r="H76" s="206">
        <f>F45+F51+F52+F58+F60+F65+F66</f>
        <v>7304625.9000000004</v>
      </c>
    </row>
    <row r="77" spans="2:9">
      <c r="B77" s="194"/>
      <c r="C77" s="194"/>
      <c r="D77" s="249"/>
      <c r="E77" s="249"/>
      <c r="F77" s="249"/>
    </row>
    <row r="78" spans="2:9">
      <c r="D78" s="210"/>
      <c r="E78" s="210"/>
      <c r="F78" s="210"/>
    </row>
    <row r="79" spans="2:9">
      <c r="D79" s="210"/>
      <c r="E79" s="210"/>
      <c r="F79" s="210"/>
    </row>
    <row r="80" spans="2:9">
      <c r="F80" s="210"/>
    </row>
    <row r="81" spans="6:6">
      <c r="F81" s="210"/>
    </row>
    <row r="82" spans="6:6">
      <c r="F82" s="210"/>
    </row>
    <row r="83" spans="6:6">
      <c r="F83" s="210"/>
    </row>
    <row r="84" spans="6:6">
      <c r="F84" s="210"/>
    </row>
    <row r="85" spans="6:6">
      <c r="F85" s="210"/>
    </row>
    <row r="86" spans="6:6">
      <c r="F86" s="210"/>
    </row>
    <row r="87" spans="6:6">
      <c r="F87" s="210"/>
    </row>
    <row r="88" spans="6:6">
      <c r="F88" s="210"/>
    </row>
    <row r="89" spans="6:6">
      <c r="F89" s="210"/>
    </row>
    <row r="90" spans="6:6">
      <c r="F90" s="210"/>
    </row>
    <row r="91" spans="6:6">
      <c r="F91" s="210"/>
    </row>
    <row r="92" spans="6:6">
      <c r="F92" s="210"/>
    </row>
    <row r="93" spans="6:6">
      <c r="F93" s="210"/>
    </row>
    <row r="94" spans="6:6">
      <c r="F94" s="210"/>
    </row>
    <row r="95" spans="6:6">
      <c r="F95" s="210"/>
    </row>
    <row r="96" spans="6:6">
      <c r="F96" s="210"/>
    </row>
    <row r="97" spans="6:6">
      <c r="F97" s="210"/>
    </row>
    <row r="98" spans="6:6">
      <c r="F98" s="210"/>
    </row>
    <row r="99" spans="6:6">
      <c r="F99" s="210"/>
    </row>
    <row r="100" spans="6:6">
      <c r="F100" s="210"/>
    </row>
    <row r="101" spans="6:6">
      <c r="F101" s="210"/>
    </row>
    <row r="102" spans="6:6">
      <c r="F102" s="210"/>
    </row>
    <row r="103" spans="6:6">
      <c r="F103" s="210"/>
    </row>
    <row r="104" spans="6:6">
      <c r="F104" s="210"/>
    </row>
    <row r="105" spans="6:6">
      <c r="F105" s="210"/>
    </row>
    <row r="106" spans="6:6">
      <c r="F106" s="210"/>
    </row>
    <row r="107" spans="6:6">
      <c r="F107" s="210"/>
    </row>
    <row r="108" spans="6:6">
      <c r="F108" s="210"/>
    </row>
    <row r="109" spans="6:6">
      <c r="F109" s="210"/>
    </row>
    <row r="110" spans="6:6">
      <c r="F110" s="210"/>
    </row>
    <row r="111" spans="6:6">
      <c r="F111" s="210"/>
    </row>
    <row r="112" spans="6:6">
      <c r="F112" s="210"/>
    </row>
    <row r="113" spans="6:6">
      <c r="F113" s="210"/>
    </row>
    <row r="114" spans="6:6">
      <c r="F114" s="210"/>
    </row>
    <row r="115" spans="6:6">
      <c r="F115" s="210"/>
    </row>
    <row r="116" spans="6:6">
      <c r="F116" s="210"/>
    </row>
    <row r="117" spans="6:6">
      <c r="F117" s="210"/>
    </row>
    <row r="118" spans="6:6">
      <c r="F118" s="210"/>
    </row>
    <row r="119" spans="6:6">
      <c r="F119" s="210"/>
    </row>
    <row r="120" spans="6:6">
      <c r="F120" s="210"/>
    </row>
    <row r="121" spans="6:6">
      <c r="F121" s="210"/>
    </row>
    <row r="122" spans="6:6">
      <c r="F122" s="210"/>
    </row>
    <row r="123" spans="6:6">
      <c r="F123" s="210"/>
    </row>
    <row r="124" spans="6:6">
      <c r="F124" s="210"/>
    </row>
    <row r="125" spans="6:6">
      <c r="F125" s="210"/>
    </row>
    <row r="126" spans="6:6">
      <c r="F126" s="210"/>
    </row>
    <row r="127" spans="6:6">
      <c r="F127" s="210"/>
    </row>
    <row r="128" spans="6:6">
      <c r="F128" s="210"/>
    </row>
    <row r="129" spans="6:6">
      <c r="F129" s="210"/>
    </row>
    <row r="130" spans="6:6">
      <c r="F130" s="210"/>
    </row>
    <row r="131" spans="6:6">
      <c r="F131" s="210"/>
    </row>
    <row r="132" spans="6:6">
      <c r="F132" s="210"/>
    </row>
    <row r="133" spans="6:6">
      <c r="F133" s="210"/>
    </row>
    <row r="134" spans="6:6">
      <c r="F134" s="210"/>
    </row>
    <row r="135" spans="6:6">
      <c r="F135" s="210"/>
    </row>
    <row r="136" spans="6:6">
      <c r="F136" s="210"/>
    </row>
    <row r="137" spans="6:6">
      <c r="F137" s="210"/>
    </row>
    <row r="138" spans="6:6">
      <c r="F138" s="210"/>
    </row>
    <row r="139" spans="6:6">
      <c r="F139" s="210"/>
    </row>
    <row r="140" spans="6:6">
      <c r="F140" s="210"/>
    </row>
    <row r="141" spans="6:6">
      <c r="F141" s="210"/>
    </row>
    <row r="142" spans="6:6">
      <c r="F142" s="210"/>
    </row>
    <row r="143" spans="6:6">
      <c r="F143" s="210"/>
    </row>
    <row r="144" spans="6:6">
      <c r="F144" s="210"/>
    </row>
    <row r="145" spans="6:6">
      <c r="F145" s="210"/>
    </row>
    <row r="146" spans="6:6">
      <c r="F146" s="210"/>
    </row>
    <row r="147" spans="6:6">
      <c r="F147" s="210"/>
    </row>
    <row r="148" spans="6:6">
      <c r="F148" s="210"/>
    </row>
    <row r="149" spans="6:6">
      <c r="F149" s="210"/>
    </row>
    <row r="150" spans="6:6">
      <c r="F150" s="210"/>
    </row>
    <row r="151" spans="6:6">
      <c r="F151" s="210"/>
    </row>
    <row r="152" spans="6:6">
      <c r="F152" s="210"/>
    </row>
    <row r="153" spans="6:6">
      <c r="F153" s="210"/>
    </row>
    <row r="154" spans="6:6">
      <c r="F154" s="210"/>
    </row>
    <row r="155" spans="6:6">
      <c r="F155" s="210"/>
    </row>
    <row r="156" spans="6:6">
      <c r="F156" s="210"/>
    </row>
    <row r="157" spans="6:6">
      <c r="F157" s="210"/>
    </row>
    <row r="158" spans="6:6">
      <c r="F158" s="210"/>
    </row>
    <row r="159" spans="6:6">
      <c r="F159" s="210"/>
    </row>
    <row r="160" spans="6:6">
      <c r="F160" s="210"/>
    </row>
    <row r="161" spans="6:6">
      <c r="F161" s="210"/>
    </row>
    <row r="162" spans="6:6">
      <c r="F162" s="210"/>
    </row>
    <row r="163" spans="6:6">
      <c r="F163" s="210"/>
    </row>
    <row r="164" spans="6:6">
      <c r="F164" s="210"/>
    </row>
    <row r="165" spans="6:6">
      <c r="F165" s="210"/>
    </row>
    <row r="166" spans="6:6">
      <c r="F166" s="210"/>
    </row>
    <row r="167" spans="6:6">
      <c r="F167" s="210"/>
    </row>
    <row r="168" spans="6:6">
      <c r="F168" s="210"/>
    </row>
    <row r="169" spans="6:6">
      <c r="F169" s="210"/>
    </row>
    <row r="170" spans="6:6">
      <c r="F170" s="210"/>
    </row>
    <row r="171" spans="6:6">
      <c r="F171" s="210"/>
    </row>
  </sheetData>
  <mergeCells count="6">
    <mergeCell ref="B37:F37"/>
    <mergeCell ref="B1:F1"/>
    <mergeCell ref="B2:F2"/>
    <mergeCell ref="B3:F3"/>
    <mergeCell ref="B35:F35"/>
    <mergeCell ref="B36:F36"/>
  </mergeCells>
  <pageMargins left="0.5" right="0.25" top="0.5" bottom="0.55000000000000004" header="0.5" footer="0.5"/>
  <pageSetup scale="66" orientation="portrait" r:id="rId1"/>
  <headerFooter alignWithMargins="0"/>
  <rowBreaks count="1" manualBreakCount="1">
    <brk id="3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Nonlevelized RUS 12</vt:lpstr>
      <vt:lpstr>Unprotected</vt:lpstr>
      <vt:lpstr>Form 12</vt:lpstr>
      <vt:lpstr>Schedule 1-2-9</vt:lpstr>
      <vt:lpstr>Acct. 454-456</vt:lpstr>
      <vt:lpstr>'Acct. 454-456'!Print_Area</vt:lpstr>
      <vt:lpstr>'Nonlevelized RUS 12'!Print_Area</vt:lpstr>
      <vt:lpstr>'Acct. 454-456'!Print_Area_MI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William Sondermann</cp:lastModifiedBy>
  <cp:lastPrinted>2017-04-04T21:03:51Z</cp:lastPrinted>
  <dcterms:created xsi:type="dcterms:W3CDTF">2008-03-20T17:17:48Z</dcterms:created>
  <dcterms:modified xsi:type="dcterms:W3CDTF">2017-04-10T21:32:43Z</dcterms:modified>
</cp:coreProperties>
</file>