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tabRatio="893" activeTab="0"/>
  </bookViews>
  <sheets>
    <sheet name="CU AC Rate Design" sheetId="1" r:id="rId1"/>
    <sheet name="Estimate" sheetId="2" r:id="rId2"/>
    <sheet name="BHP WP2 Capital Additions" sheetId="3" r:id="rId3"/>
    <sheet name="BHP WP3 Capital Additions" sheetId="4" r:id="rId4"/>
    <sheet name="BHP WP5 Depreciation Rates" sheetId="5" r:id="rId5"/>
    <sheet name="WP6 Rate Base" sheetId="6" r:id="rId6"/>
    <sheet name="WP7 CU AC LOADS" sheetId="7" r:id="rId7"/>
  </sheets>
  <definedNames>
    <definedName name="_xlnm.Print_Area" localSheetId="2">'BHP WP2 Capital Additions'!$B$1:$G$59</definedName>
    <definedName name="_xlnm.Print_Area" localSheetId="3">'BHP WP3 Capital Additions'!$A$1:$F$30</definedName>
    <definedName name="_xlnm.Print_Area" localSheetId="0">'CU AC Rate Design'!$A$1:$H$36</definedName>
    <definedName name="_xlnm.Print_Area" localSheetId="1">'Estimate'!$A$1:$K$235</definedName>
    <definedName name="_xlnm.Print_Area" localSheetId="5">'WP6 Rate Base'!$A$1:$R$65</definedName>
    <definedName name="_xlnm.Print_Area" localSheetId="6">'WP7 CU AC LOADS'!$A$1:$J$47</definedName>
    <definedName name="_xlnm.Print_Titles" localSheetId="5">'WP6 Rate Base'!$A:$A</definedName>
  </definedNames>
  <calcPr fullCalcOnLoad="1"/>
</workbook>
</file>

<file path=xl/comments1.xml><?xml version="1.0" encoding="utf-8"?>
<comments xmlns="http://schemas.openxmlformats.org/spreadsheetml/2006/main">
  <authors>
    <author>Chris Kilpatrick</author>
  </authors>
  <commentList>
    <comment ref="D23" authorId="0">
      <text>
        <r>
          <rPr>
            <b/>
            <sz val="8"/>
            <rFont val="Tahoma"/>
            <family val="2"/>
          </rPr>
          <t>Chris Kilpatrick:</t>
        </r>
        <r>
          <rPr>
            <sz val="8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E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6.xml><?xml version="1.0" encoding="utf-8"?>
<comments xmlns="http://schemas.openxmlformats.org/spreadsheetml/2006/main">
  <authors>
    <author>Chris Kilpatrick</author>
  </authors>
  <commentList>
    <comment ref="E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F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</commentList>
</comments>
</file>

<file path=xl/comments7.xml><?xml version="1.0" encoding="utf-8"?>
<comments xmlns="http://schemas.openxmlformats.org/spreadsheetml/2006/main">
  <authors>
    <author>Wentz, Erin</author>
  </authors>
  <commentList>
    <comment ref="H8" authorId="0">
      <text>
        <r>
          <rPr>
            <b/>
            <sz val="8"/>
            <rFont val="Tahoma"/>
            <family val="2"/>
          </rPr>
          <t>Wentz, Erin:</t>
        </r>
        <r>
          <rPr>
            <sz val="8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<sst xmlns="http://schemas.openxmlformats.org/spreadsheetml/2006/main" count="625" uniqueCount="399">
  <si>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</si>
  <si>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</si>
  <si>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</si>
  <si>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</si>
  <si>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</si>
  <si>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</si>
  <si>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</si>
  <si>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</si>
  <si>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</si>
  <si>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</si>
  <si>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Total General Plant</t>
  </si>
  <si>
    <t>Tools, Shop and Garage Equipment</t>
  </si>
  <si>
    <t>Proprietary Capital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</si>
  <si>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</si>
  <si>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</si>
  <si>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</si>
  <si>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</si>
  <si>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</si>
  <si>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</si>
  <si>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</si>
  <si>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</si>
  <si>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</si>
  <si>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</si>
  <si>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</si>
  <si>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</si>
  <si>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</si>
  <si>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</si>
  <si>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</si>
  <si>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</si>
  <si>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</si>
  <si>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</si>
  <si>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</si>
  <si>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    Less FERC Annual Fees  (Note D)</t>
  </si>
  <si>
    <t xml:space="preserve">    Less: EPRI &amp; Reg. Comm. Exp. &amp; Non-safety  Ad. (Note E)</t>
  </si>
  <si>
    <t xml:space="preserve">    Less: Account 565 and 561</t>
  </si>
  <si>
    <t>BHP</t>
  </si>
  <si>
    <t>Allocation of the Revenue Credits to the Common Use AC Facilities:</t>
  </si>
  <si>
    <t>205.46.g</t>
  </si>
  <si>
    <t>111.57.c</t>
  </si>
  <si>
    <t>263.i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</si>
  <si>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</si>
  <si>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</si>
  <si>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</si>
  <si>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</si>
  <si>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</si>
  <si>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</si>
  <si>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</si>
  <si>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</si>
  <si>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</si>
  <si>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</si>
  <si>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</si>
  <si>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</si>
  <si>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</si>
  <si>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</si>
  <si>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</si>
  <si>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</si>
  <si>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</si>
  <si>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</si>
  <si>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</si>
  <si>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</si>
  <si>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</si>
  <si>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</si>
  <si>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</si>
  <si>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</si>
  <si>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</si>
  <si>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</si>
  <si>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</si>
  <si>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</si>
  <si>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</si>
  <si>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</si>
  <si>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</si>
  <si>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</si>
  <si>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</si>
  <si>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</si>
  <si>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</si>
  <si>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</si>
  <si>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</si>
  <si>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</si>
  <si>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</si>
  <si>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</si>
  <si>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</si>
  <si>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</si>
  <si>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</si>
  <si>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</si>
  <si>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</si>
  <si>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</si>
  <si>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</si>
  <si>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</si>
  <si>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</si>
  <si>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</si>
  <si>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</si>
  <si>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</si>
  <si>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</si>
  <si>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</si>
  <si>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</si>
  <si>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</si>
  <si>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</si>
  <si>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</si>
  <si>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</si>
  <si>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</si>
  <si>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</si>
  <si>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</si>
  <si>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</si>
  <si>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</si>
  <si>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</si>
  <si>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</si>
  <si>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August</t>
  </si>
  <si>
    <t>October</t>
  </si>
  <si>
    <t>November</t>
  </si>
  <si>
    <t>January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</si>
  <si>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</si>
  <si>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</si>
  <si>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</si>
  <si>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</si>
  <si>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</si>
  <si>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</si>
  <si>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</si>
  <si>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</si>
  <si>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</si>
  <si>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</si>
  <si>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</si>
  <si>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</si>
  <si>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</si>
  <si>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</si>
  <si>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</si>
  <si>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</si>
  <si>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</si>
  <si>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</si>
  <si>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</si>
  <si>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</si>
  <si>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</si>
  <si>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</si>
  <si>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</si>
  <si>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</si>
  <si>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</si>
  <si>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</si>
  <si>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</si>
  <si>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</si>
  <si>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</si>
  <si>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</si>
  <si>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</si>
  <si>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</si>
  <si>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</si>
  <si>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</si>
  <si>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</si>
  <si>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</si>
  <si>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</si>
  <si>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</si>
  <si>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</si>
  <si>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</si>
  <si>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</si>
  <si>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</si>
  <si>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</si>
  <si>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</si>
  <si>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</si>
  <si>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</si>
  <si>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</si>
  <si>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</si>
  <si>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</si>
  <si>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</si>
  <si>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</si>
  <si>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</si>
  <si>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</si>
  <si>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</si>
  <si>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</si>
  <si>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</si>
  <si>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</si>
  <si>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</si>
  <si>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</si>
  <si>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</si>
  <si>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</si>
  <si>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</si>
  <si>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</si>
  <si>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</si>
  <si>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</si>
  <si>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</si>
  <si>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</si>
  <si>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</si>
  <si>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</si>
  <si>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</si>
  <si>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</si>
  <si>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</si>
  <si>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</si>
  <si>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</si>
  <si>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</si>
  <si>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</si>
  <si>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</si>
  <si>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</si>
  <si>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</si>
  <si>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</si>
  <si>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</si>
  <si>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</si>
  <si>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</si>
  <si>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</si>
  <si>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</si>
  <si>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</si>
  <si>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</si>
  <si>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</si>
  <si>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</si>
  <si>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</si>
  <si>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</si>
  <si>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</si>
  <si>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</si>
  <si>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</si>
  <si>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</si>
  <si>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</si>
  <si>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</si>
  <si>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</si>
  <si>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</si>
  <si>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</si>
  <si>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</si>
  <si>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</si>
  <si>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</si>
  <si>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</si>
  <si>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</si>
  <si>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</si>
  <si>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</si>
  <si>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</si>
  <si>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</si>
  <si>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</si>
  <si>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</si>
  <si>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</si>
  <si>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</si>
  <si>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</si>
  <si>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</si>
  <si>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</si>
  <si>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</si>
  <si>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</si>
  <si>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</si>
  <si>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 xml:space="preserve">  Distribution </t>
  </si>
  <si>
    <t>WORKING CAPITAL  (Notes C &amp; H)</t>
  </si>
  <si>
    <t>214.x.d  (Notes B &amp; H)</t>
  </si>
  <si>
    <t>Annual Rate</t>
  </si>
  <si>
    <t>Black Hills Power, Inc.</t>
  </si>
  <si>
    <t>Cost of Service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</si>
  <si>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</si>
  <si>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</si>
  <si>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</si>
  <si>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</si>
  <si>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</si>
  <si>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</si>
  <si>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</si>
  <si>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</si>
  <si>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</si>
  <si>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</si>
  <si>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</si>
  <si>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</si>
  <si>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</si>
  <si>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</si>
  <si>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</si>
  <si>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</si>
  <si>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</si>
  <si>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</si>
  <si>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</si>
  <si>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</si>
  <si>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</si>
  <si>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</si>
  <si>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</si>
  <si>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</si>
  <si>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</si>
  <si>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</si>
  <si>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</si>
  <si>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</si>
  <si>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</si>
  <si>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</si>
  <si>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</si>
  <si>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</si>
  <si>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</si>
  <si>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</si>
  <si>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</si>
  <si>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</si>
  <si>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</si>
  <si>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</si>
  <si>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</si>
  <si>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</si>
  <si>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</si>
  <si>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</si>
  <si>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</si>
  <si>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</si>
  <si>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</si>
  <si>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</si>
  <si>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</si>
  <si>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</si>
  <si>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</si>
  <si>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</si>
  <si>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</si>
  <si>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</si>
  <si>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</si>
  <si>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</si>
  <si>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</si>
  <si>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</si>
  <si>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</si>
  <si>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</si>
  <si>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</si>
  <si>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</si>
  <si>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</si>
  <si>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</si>
  <si>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</si>
  <si>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</si>
  <si>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</si>
  <si>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</si>
  <si>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</si>
  <si>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113.62.c</t>
  </si>
  <si>
    <t>113.63.c</t>
  </si>
  <si>
    <t>113.64.c</t>
  </si>
  <si>
    <t>111.82.c</t>
  </si>
  <si>
    <t>113.57.c</t>
  </si>
  <si>
    <t>207.99.g - line 6</t>
  </si>
  <si>
    <t>219.20-24.c</t>
  </si>
  <si>
    <t>ADJUSTMENTS TO RATE BASE       (Notes A &amp; H)</t>
  </si>
  <si>
    <t>12/31/14 &amp; 12/31/15 average balance</t>
  </si>
  <si>
    <r>
      <t>2015 Actual Load Data</t>
    </r>
    <r>
      <rPr>
        <b/>
        <vertAlign val="superscript"/>
        <sz val="12"/>
        <rFont val="Arial"/>
        <family val="2"/>
      </rPr>
      <t>1</t>
    </r>
  </si>
  <si>
    <t>1 - Transmission actual load from OATI</t>
  </si>
  <si>
    <t>2 - Transmission projected load from Transmission Planning</t>
  </si>
  <si>
    <t>Amount based on actual calendar year 2015</t>
  </si>
  <si>
    <t>(Note H) **</t>
  </si>
  <si>
    <t>** Columns a and m use the FERC Form 1 balance except where otherwise referenced. Columns b through l are the Company's FERC account balances.</t>
  </si>
  <si>
    <t>WORKING CAPITAL  EXCLUDING CASH WORKING CAPITAL (Notes C &amp; H)</t>
  </si>
  <si>
    <t>* The above rates were developed in June 2006. See Note I.</t>
  </si>
  <si>
    <t>Rates*</t>
  </si>
  <si>
    <t>Date</t>
  </si>
  <si>
    <t>(232.1.f - 278.1.f - 278.3.f)*.35</t>
  </si>
  <si>
    <t xml:space="preserve">  New Construction CUS Assets</t>
  </si>
  <si>
    <t>Amount Placed</t>
  </si>
  <si>
    <t>Monthly Additions to the CUS System (over $1,000,000)</t>
  </si>
  <si>
    <t>in Service</t>
  </si>
  <si>
    <t>Transmission Plant Depreciation Rate (WP 5 line 11)</t>
  </si>
  <si>
    <t>(A)</t>
  </si>
  <si>
    <t>(Col A * Depr Rate/12)</t>
  </si>
  <si>
    <t>Asset Placed</t>
  </si>
  <si>
    <t>Depreciation</t>
  </si>
  <si>
    <t>Expense</t>
  </si>
  <si>
    <t>(B)</t>
  </si>
  <si>
    <t>(C)</t>
  </si>
  <si>
    <t>(D) = (B) * (C)/12</t>
  </si>
  <si>
    <t>Monthly Incremental Addition to the CUS System</t>
  </si>
  <si>
    <t>Weighting</t>
  </si>
  <si>
    <t>Weighted Amount in Service</t>
  </si>
  <si>
    <t>Annual Transmission Depreciation Expense (line 19 x line 21)</t>
  </si>
  <si>
    <t xml:space="preserve">  Additional Transmission Depr</t>
  </si>
  <si>
    <t>FOR RATES EFFECTIVE JANUARY 1, 2017</t>
  </si>
  <si>
    <t>Projected 2017 Load</t>
  </si>
  <si>
    <r>
      <t>2017 Projected Load Data</t>
    </r>
    <r>
      <rPr>
        <b/>
        <vertAlign val="superscript"/>
        <sz val="12"/>
        <rFont val="Arial"/>
        <family val="2"/>
      </rPr>
      <t>2</t>
    </r>
  </si>
  <si>
    <t>Transmission Accumulated Depreciation for 2016 &amp; 2017</t>
  </si>
  <si>
    <t>Subtotal of 2016 Increase for Accumulated Depreciation</t>
  </si>
  <si>
    <t>See WP3 for additional information on 2017 Transmission Additions</t>
  </si>
  <si>
    <t xml:space="preserve">Jan-16 - See line 2 col 5 of Estimate </t>
  </si>
  <si>
    <t>Total 2016 CUS Transmission Assets Place in Service</t>
  </si>
  <si>
    <t>2017 Weighted Average Plant in Service Additions for projects over $1,000,000</t>
  </si>
  <si>
    <t>See Workpaper 4 (line 5 col 1)</t>
  </si>
  <si>
    <t>See Workpaper 5 (line 5)</t>
  </si>
  <si>
    <t>207.94g</t>
  </si>
  <si>
    <t>See Workpaper 4 (line 24 col 1)</t>
  </si>
  <si>
    <t>See Workpaper 5 (line 11)</t>
  </si>
  <si>
    <t>See Workpaper 4 (line 22 col 2)</t>
  </si>
  <si>
    <t>(line 4)</t>
  </si>
  <si>
    <t>214.x.d  (Note B)</t>
  </si>
  <si>
    <t>321.84-92.b &amp; 96.b</t>
  </si>
  <si>
    <t>336.7.b</t>
  </si>
  <si>
    <t>336.10.b &amp; 336.1.d&amp;e</t>
  </si>
  <si>
    <t>263.3i, 263.4i, 263.12i</t>
  </si>
  <si>
    <t>263.23i</t>
  </si>
  <si>
    <t>See Note H for the True-Up calculation.</t>
  </si>
  <si>
    <t>Cash Working Capital assigned to transmission is one-eighth of O&amp;M allocated to transmission at line 47, column 5.</t>
  </si>
  <si>
    <t>Line 1 - EPRI Annual Membership Dues listed in Form 1 at 335.1.b, all Regulatory Commission Expenses itemized at 351.1.h, and non-safety</t>
  </si>
  <si>
    <t xml:space="preserve">   related advertising included in Account 930.1.</t>
  </si>
  <si>
    <t>117, sum of 62.c through 66.c</t>
  </si>
  <si>
    <t>(232.1.f - 278.3.f)*.35</t>
  </si>
  <si>
    <t>201.13.e + 201.13.f</t>
  </si>
  <si>
    <t xml:space="preserve">201.14.e + 201.14.f </t>
  </si>
  <si>
    <t>See Workpaper 3 (line 19 col D)</t>
  </si>
  <si>
    <t>See Workpaper 2 (line 9)</t>
  </si>
  <si>
    <t>See Workpaper 3 (line 23)</t>
  </si>
  <si>
    <t>See Workpaper 2 (line 13)</t>
  </si>
  <si>
    <t>WORKING CAPITAL EXCLUDING CWC</t>
  </si>
  <si>
    <t>WORKPAPER 3
CAPITAL ADDITIONS
BLACK HILLS POWER, INC.</t>
  </si>
  <si>
    <t>WORKPAPER 5
DEPRECIATION RATES
BLACK HILLS POWER, INC</t>
  </si>
  <si>
    <t>WORKPAPER 7
Joint Tariff Rates</t>
  </si>
  <si>
    <t>WORKPAPER 6
Cost of Service</t>
  </si>
  <si>
    <t xml:space="preserve">
BHP-11 Page 1 
Date: September 30, 2016</t>
  </si>
  <si>
    <t>BHP-11 Page 2 
September 30 2016</t>
  </si>
  <si>
    <t>BHP-11 Page 3
September 30 2016</t>
  </si>
  <si>
    <t>BHP-11 Page 4
September 30 2016</t>
  </si>
  <si>
    <t>BHP-11 Page 5
September 30 2016</t>
  </si>
  <si>
    <t xml:space="preserve"> WORKPAPER 2
CAPITAL ADDITIONS
BLACK HILLS POWER, INC.</t>
  </si>
  <si>
    <t>BHP-11 Page 6</t>
  </si>
  <si>
    <t>BHP-11 Page 7</t>
  </si>
  <si>
    <t>BHP-11 Page 8</t>
  </si>
  <si>
    <t>BHP-11 Page 9</t>
  </si>
  <si>
    <t>BHP-11 Page 10</t>
  </si>
  <si>
    <t>BHP-11 Page 11</t>
  </si>
  <si>
    <t>See Workpaper 9 (column b)</t>
  </si>
  <si>
    <t>See Workpaper 9 (column c)</t>
  </si>
  <si>
    <t>(Note A)</t>
  </si>
  <si>
    <t xml:space="preserve">    Plus Trans Related Reg. Comm.  Exp. (Note E) (Workpaper 1 line 11)</t>
  </si>
  <si>
    <t xml:space="preserve">  (percent of federal income tax deductible for state purposes</t>
  </si>
  <si>
    <t>Note: The capital additions in August 2016 (line 10) are for the Teckla to Osage 230 kV line.</t>
  </si>
  <si>
    <t xml:space="preserve">Note 1: The capital additions in May 2017 (line 10) are for the Osage-Rapid City 230 kV line. </t>
  </si>
  <si>
    <t>Note 2: The capital additions in October 2017 (line 15) are for the Hotsprings to Lonewell Creek 230 kV line.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</si>
</sst>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* #,##0.00000_);_(* \(#,##0.00000\);_(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[$-409]mmmm\-yy;@"/>
    <numFmt numFmtId="183" formatCode="mmm\-yyyy"/>
    <numFmt numFmtId="184" formatCode="0.0000%"/>
    <numFmt numFmtId="185" formatCode="#,##0.000000"/>
    <numFmt numFmtId="186" formatCode="[$-409]mmm\-yy;@"/>
    <numFmt numFmtId="187" formatCode="&quot;$&quot;#,##0.0;[Red]\-&quot;$&quot;#,##0.0"/>
    <numFmt numFmtId="188" formatCode="00000"/>
    <numFmt numFmtId="189" formatCode="#,##0\ ;\(#,##0\);\-\ \ \ \ \ "/>
    <numFmt numFmtId="190" formatCode="#,##0\ ;\(#,##0\);\–\ \ \ \ \ "/>
    <numFmt numFmtId="191" formatCode="#,##0;\(#,##0\)"/>
    <numFmt numFmtId="192" formatCode="yyyymmdd"/>
    <numFmt numFmtId="193" formatCode="_([$€-2]* #,##0.00_);_([$€-2]* \(#,##0.00\);_([$€-2]* &quot;-&quot;??_)"/>
    <numFmt numFmtId="194" formatCode="_-* #,##0.0_-;\-* #,##0.0_-;_-* &quot;-&quot;??_-;_-@_-"/>
    <numFmt numFmtId="195" formatCode="#,##0.00&quot; $&quot;;\-#,##0.00&quot; $&quot;"/>
    <numFmt numFmtId="196" formatCode="000000000"/>
    <numFmt numFmtId="197" formatCode="#,##0.0_);\(#,##0.0\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0_)"/>
    <numFmt numFmtId="201" formatCode="00"/>
    <numFmt numFmtId="202" formatCode="0_);\(0\)"/>
    <numFmt numFmtId="203" formatCode="000\-00\-0000"/>
    <numFmt numFmtId="204" formatCode="#,##0.000000_);\(#,##0.000000\)"/>
    <numFmt numFmtId="205" formatCode="#,##0.00000_);\(#,##0.00000\)"/>
    <numFmt numFmtId="206" formatCode="_(&quot;$&quot;* #,##0.0_);_(&quot;$&quot;* \(#,##0.0\);_(&quot;$&quot;* &quot;-&quot;??_);_(@_)"/>
    <numFmt numFmtId="207" formatCode="[$-409]dddd\,\ mmmm\ dd\,\ yyyy"/>
    <numFmt numFmtId="208" formatCode="[$-409]mmmm\ d\,\ yyyy;@"/>
    <numFmt numFmtId="209" formatCode="_(* #,##0.0000000_);_(* \(#,##0.0000000\);_(* &quot;-&quot;???????_);_(@_)"/>
    <numFmt numFmtId="210" formatCode="_(* #,##0.000_);_(* \(#,##0.000\);_(* &quot;-&quot;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0_);_(* \(#,##0.000000000\);_(* &quot;-&quot;??_);_(@_)"/>
    <numFmt numFmtId="215" formatCode="_(* #,##0.00000_);_(* \(#,##0.00000\);_(* &quot;-&quot;?????_);_(@_)"/>
  </numFmts>
  <fonts count="8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MT"/>
      <family val="0"/>
    </font>
    <font>
      <sz val="12"/>
      <color indexed="10"/>
      <name val="Arial MT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b/>
      <sz val="8"/>
      <name val="Arial MT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41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5">
    <xf numFmtId="172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7" fontId="33" fillId="0" borderId="0" applyFont="0" applyFill="0" applyBorder="0" applyAlignment="0" applyProtection="0"/>
    <xf numFmtId="37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7" fontId="33" fillId="0" borderId="0" applyFont="0" applyFill="0" applyBorder="0" applyAlignment="0" applyProtection="0"/>
    <xf numFmtId="37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7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7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38" fontId="42" fillId="0" borderId="0" applyBorder="0" applyAlignment="0">
      <protection/>
    </xf>
    <xf numFmtId="187" fontId="38" fillId="8" borderId="1">
      <alignment horizontal="center" vertical="center"/>
      <protection/>
    </xf>
    <xf numFmtId="188" fontId="7" fillId="0" borderId="2">
      <alignment horizontal="left"/>
      <protection/>
    </xf>
    <xf numFmtId="0" fontId="43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4" fillId="0" borderId="0" applyNumberFormat="0" applyFill="0" applyBorder="0" applyAlignment="0" applyProtection="0"/>
    <xf numFmtId="189" fontId="45" fillId="0" borderId="3" applyNumberFormat="0" applyFill="0" applyAlignment="0" applyProtection="0"/>
    <xf numFmtId="190" fontId="45" fillId="0" borderId="4" applyFill="0" applyAlignment="0" applyProtection="0"/>
    <xf numFmtId="38" fontId="7" fillId="0" borderId="0">
      <alignment horizontal="right"/>
      <protection/>
    </xf>
    <xf numFmtId="37" fontId="10" fillId="0" borderId="0" applyFill="0">
      <alignment horizontal="right"/>
      <protection/>
    </xf>
    <xf numFmtId="37" fontId="10" fillId="0" borderId="0">
      <alignment horizontal="right"/>
      <protection/>
    </xf>
    <xf numFmtId="0" fontId="10" fillId="0" borderId="0" applyFill="0">
      <alignment horizontal="center"/>
      <protection/>
    </xf>
    <xf numFmtId="37" fontId="10" fillId="0" borderId="5" applyFill="0">
      <alignment horizontal="right"/>
      <protection/>
    </xf>
    <xf numFmtId="37" fontId="10" fillId="0" borderId="0">
      <alignment horizontal="right"/>
      <protection/>
    </xf>
    <xf numFmtId="0" fontId="46" fillId="0" borderId="0" applyFill="0">
      <alignment vertical="top"/>
      <protection/>
    </xf>
    <xf numFmtId="0" fontId="47" fillId="0" borderId="0" applyFill="0">
      <alignment horizontal="left" vertical="top"/>
      <protection/>
    </xf>
    <xf numFmtId="37" fontId="10" fillId="0" borderId="6" applyFill="0">
      <alignment horizontal="right"/>
      <protection/>
    </xf>
    <xf numFmtId="0" fontId="7" fillId="0" borderId="0" applyNumberFormat="0" applyFont="0" applyAlignment="0">
      <protection/>
    </xf>
    <xf numFmtId="0" fontId="46" fillId="0" borderId="0" applyFill="0">
      <alignment wrapText="1"/>
      <protection/>
    </xf>
    <xf numFmtId="0" fontId="47" fillId="0" borderId="0" applyFill="0">
      <alignment horizontal="left" vertical="top" wrapText="1"/>
      <protection/>
    </xf>
    <xf numFmtId="37" fontId="10" fillId="0" borderId="0" applyFill="0">
      <alignment horizontal="right"/>
      <protection/>
    </xf>
    <xf numFmtId="0" fontId="48" fillId="0" borderId="0" applyNumberFormat="0" applyFont="0" applyAlignment="0">
      <protection/>
    </xf>
    <xf numFmtId="0" fontId="49" fillId="0" borderId="0" applyFill="0">
      <alignment vertical="top" wrapText="1"/>
      <protection/>
    </xf>
    <xf numFmtId="0" fontId="6" fillId="0" borderId="0" applyFill="0">
      <alignment horizontal="left" vertical="top" wrapText="1"/>
      <protection/>
    </xf>
    <xf numFmtId="37" fontId="10" fillId="0" borderId="0" applyFill="0">
      <alignment horizontal="right"/>
      <protection/>
    </xf>
    <xf numFmtId="0" fontId="48" fillId="0" borderId="0" applyNumberFormat="0" applyFont="0" applyAlignment="0">
      <protection/>
    </xf>
    <xf numFmtId="0" fontId="50" fillId="0" borderId="0" applyFill="0">
      <alignment vertical="center" wrapText="1"/>
      <protection/>
    </xf>
    <xf numFmtId="0" fontId="4" fillId="0" borderId="0">
      <alignment horizontal="left" vertical="center" wrapText="1"/>
      <protection/>
    </xf>
    <xf numFmtId="37" fontId="10" fillId="0" borderId="0" applyFill="0">
      <alignment horizontal="right"/>
      <protection/>
    </xf>
    <xf numFmtId="0" fontId="48" fillId="0" borderId="0" applyNumberFormat="0" applyFont="0" applyAlignment="0">
      <protection/>
    </xf>
    <xf numFmtId="0" fontId="2" fillId="0" borderId="0" applyFill="0">
      <alignment horizontal="center" vertical="center" wrapText="1"/>
      <protection/>
    </xf>
    <xf numFmtId="0" fontId="7" fillId="0" borderId="0" applyFill="0">
      <alignment horizontal="center" vertical="center" wrapText="1"/>
      <protection/>
    </xf>
    <xf numFmtId="37" fontId="51" fillId="0" borderId="0" applyFill="0">
      <alignment horizontal="right"/>
      <protection/>
    </xf>
    <xf numFmtId="0" fontId="48" fillId="0" borderId="0" applyNumberFormat="0" applyFont="0" applyAlignment="0">
      <protection/>
    </xf>
    <xf numFmtId="0" fontId="52" fillId="0" borderId="0" applyFill="0">
      <alignment horizontal="center" vertical="center" wrapText="1"/>
      <protection/>
    </xf>
    <xf numFmtId="0" fontId="53" fillId="0" borderId="0" applyFill="0">
      <alignment horizontal="center" vertical="center" wrapText="1"/>
      <protection/>
    </xf>
    <xf numFmtId="37" fontId="51" fillId="0" borderId="0" applyFill="0">
      <alignment horizontal="right"/>
      <protection/>
    </xf>
    <xf numFmtId="0" fontId="48" fillId="0" borderId="0" applyNumberFormat="0" applyFont="0" applyAlignment="0">
      <protection/>
    </xf>
    <xf numFmtId="0" fontId="54" fillId="0" borderId="0">
      <alignment horizontal="center" wrapText="1"/>
      <protection/>
    </xf>
    <xf numFmtId="0" fontId="55" fillId="0" borderId="0" applyFill="0">
      <alignment horizontal="center" wrapText="1"/>
      <protection/>
    </xf>
    <xf numFmtId="0" fontId="22" fillId="20" borderId="7" applyNumberFormat="0" applyAlignment="0" applyProtection="0"/>
    <xf numFmtId="0" fontId="22" fillId="20" borderId="7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1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7" fillId="0" borderId="0">
      <alignment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7" fillId="0" borderId="2">
      <alignment horizontal="center"/>
      <protection/>
    </xf>
    <xf numFmtId="193" fontId="5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7" fillId="0" borderId="0">
      <alignment/>
      <protection locked="0"/>
    </xf>
    <xf numFmtId="0" fontId="58" fillId="0" borderId="0">
      <alignment/>
      <protection/>
    </xf>
    <xf numFmtId="0" fontId="8" fillId="0" borderId="0" applyNumberFormat="0" applyFill="0" applyBorder="0" applyAlignment="0" applyProtection="0"/>
    <xf numFmtId="0" fontId="59" fillId="0" borderId="0">
      <alignment/>
      <protection/>
    </xf>
    <xf numFmtId="0" fontId="60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38" fontId="10" fillId="20" borderId="0" applyNumberFormat="0" applyBorder="0" applyAlignment="0" applyProtection="0"/>
    <xf numFmtId="0" fontId="61" fillId="0" borderId="0" applyNumberFormat="0" applyFill="0" applyBorder="0" applyAlignment="0" applyProtection="0"/>
    <xf numFmtId="0" fontId="6" fillId="0" borderId="9" applyNumberFormat="0" applyAlignment="0" applyProtection="0"/>
    <xf numFmtId="0" fontId="6" fillId="0" borderId="10">
      <alignment horizontal="left" vertical="center"/>
      <protection/>
    </xf>
    <xf numFmtId="0" fontId="62" fillId="0" borderId="0">
      <alignment horizontal="center"/>
      <protection/>
    </xf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5" fontId="7" fillId="0" borderId="0">
      <alignment/>
      <protection locked="0"/>
    </xf>
    <xf numFmtId="195" fontId="7" fillId="0" borderId="0">
      <alignment/>
      <protection locked="0"/>
    </xf>
    <xf numFmtId="0" fontId="63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29" fillId="7" borderId="7" applyNumberFormat="0" applyAlignment="0" applyProtection="0"/>
    <xf numFmtId="10" fontId="10" fillId="22" borderId="2" applyNumberFormat="0" applyBorder="0" applyAlignment="0" applyProtection="0"/>
    <xf numFmtId="0" fontId="29" fillId="7" borderId="7" applyNumberFormat="0" applyAlignment="0" applyProtection="0"/>
    <xf numFmtId="0" fontId="10" fillId="20" borderId="0">
      <alignment/>
      <protection/>
    </xf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96" fontId="7" fillId="0" borderId="2">
      <alignment horizontal="center"/>
      <protection/>
    </xf>
    <xf numFmtId="197" fontId="64" fillId="0" borderId="0">
      <alignment/>
      <protection/>
    </xf>
    <xf numFmtId="17" fontId="65" fillId="0" borderId="0">
      <alignment horizontal="center"/>
      <protection/>
    </xf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43" fontId="66" fillId="0" borderId="0" applyNumberFormat="0" applyFill="0" applyBorder="0" applyAlignment="0" applyProtection="0"/>
    <xf numFmtId="0" fontId="45" fillId="0" borderId="0" applyNumberFormat="0" applyFill="0" applyAlignment="0" applyProtection="0"/>
    <xf numFmtId="37" fontId="67" fillId="0" borderId="0">
      <alignment/>
      <protection/>
    </xf>
    <xf numFmtId="200" fontId="68" fillId="0" borderId="0">
      <alignment/>
      <protection/>
    </xf>
    <xf numFmtId="172" fontId="0" fillId="0" borderId="0" applyProtection="0">
      <alignment/>
    </xf>
    <xf numFmtId="0" fontId="7" fillId="0" borderId="0">
      <alignment/>
      <protection/>
    </xf>
    <xf numFmtId="0" fontId="81" fillId="0" borderId="0">
      <alignment/>
      <protection/>
    </xf>
    <xf numFmtId="0" fontId="14" fillId="0" borderId="0">
      <alignment/>
      <protection/>
    </xf>
    <xf numFmtId="0" fontId="7" fillId="0" borderId="2">
      <alignment horizontal="center" wrapText="1"/>
      <protection/>
    </xf>
    <xf numFmtId="2" fontId="7" fillId="0" borderId="2">
      <alignment horizontal="center"/>
      <protection/>
    </xf>
    <xf numFmtId="201" fontId="1" fillId="0" borderId="2" applyFont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2" borderId="16" applyNumberFormat="0" applyFont="0" applyAlignment="0" applyProtection="0"/>
    <xf numFmtId="0" fontId="7" fillId="22" borderId="16" applyNumberFormat="0" applyFont="0" applyAlignment="0" applyProtection="0"/>
    <xf numFmtId="1" fontId="7" fillId="0" borderId="2">
      <alignment horizontal="center"/>
      <protection/>
    </xf>
    <xf numFmtId="0" fontId="32" fillId="20" borderId="17" applyNumberFormat="0" applyAlignment="0" applyProtection="0"/>
    <xf numFmtId="0" fontId="32" fillId="20" borderId="17" applyNumberFormat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3">
      <alignment horizontal="center"/>
      <protection/>
    </xf>
    <xf numFmtId="3" fontId="33" fillId="0" borderId="0" applyFont="0" applyFill="0" applyBorder="0" applyAlignment="0" applyProtection="0"/>
    <xf numFmtId="0" fontId="33" fillId="24" borderId="0" applyNumberFormat="0" applyFont="0" applyBorder="0" applyAlignment="0" applyProtection="0"/>
    <xf numFmtId="37" fontId="10" fillId="20" borderId="0" applyFill="0">
      <alignment horizontal="right"/>
      <protection/>
    </xf>
    <xf numFmtId="0" fontId="51" fillId="0" borderId="0">
      <alignment horizontal="left"/>
      <protection/>
    </xf>
    <xf numFmtId="0" fontId="10" fillId="0" borderId="0" applyFill="0">
      <alignment horizontal="left"/>
      <protection/>
    </xf>
    <xf numFmtId="37" fontId="10" fillId="0" borderId="4" applyFill="0">
      <alignment horizontal="right"/>
      <protection/>
    </xf>
    <xf numFmtId="0" fontId="1" fillId="0" borderId="2" applyNumberFormat="0" applyFont="0" applyBorder="0">
      <alignment horizontal="right"/>
      <protection/>
    </xf>
    <xf numFmtId="0" fontId="69" fillId="0" borderId="0" applyFill="0">
      <alignment/>
      <protection/>
    </xf>
    <xf numFmtId="0" fontId="10" fillId="0" borderId="0" applyFill="0">
      <alignment horizontal="left"/>
      <protection/>
    </xf>
    <xf numFmtId="202" fontId="10" fillId="0" borderId="4" applyFill="0">
      <alignment horizontal="right"/>
      <protection/>
    </xf>
    <xf numFmtId="0" fontId="7" fillId="0" borderId="0" applyNumberFormat="0" applyFont="0" applyBorder="0" applyAlignment="0">
      <protection/>
    </xf>
    <xf numFmtId="0" fontId="49" fillId="0" borderId="0" applyFill="0">
      <alignment horizontal="left" indent="1"/>
      <protection/>
    </xf>
    <xf numFmtId="0" fontId="51" fillId="0" borderId="0" applyFill="0">
      <alignment horizontal="left"/>
      <protection/>
    </xf>
    <xf numFmtId="37" fontId="10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49" fillId="0" borderId="0" applyFill="0">
      <alignment horizontal="left" indent="2"/>
      <protection/>
    </xf>
    <xf numFmtId="0" fontId="10" fillId="0" borderId="0" applyFill="0">
      <alignment horizontal="left"/>
      <protection/>
    </xf>
    <xf numFmtId="37" fontId="10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70" fillId="0" borderId="0">
      <alignment horizontal="left" indent="3"/>
      <protection/>
    </xf>
    <xf numFmtId="0" fontId="10" fillId="0" borderId="0" applyFill="0">
      <alignment horizontal="left"/>
      <protection/>
    </xf>
    <xf numFmtId="37" fontId="10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2" fillId="0" borderId="0">
      <alignment horizontal="left" indent="4"/>
      <protection/>
    </xf>
    <xf numFmtId="0" fontId="10" fillId="0" borderId="0" applyFill="0">
      <alignment horizontal="left"/>
      <protection/>
    </xf>
    <xf numFmtId="37" fontId="51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52" fillId="0" borderId="0">
      <alignment horizontal="left" indent="5"/>
      <protection/>
    </xf>
    <xf numFmtId="0" fontId="51" fillId="0" borderId="0" applyFill="0">
      <alignment horizontal="left"/>
      <protection/>
    </xf>
    <xf numFmtId="37" fontId="51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4" fillId="0" borderId="0" applyFill="0">
      <alignment horizontal="left" indent="6"/>
      <protection/>
    </xf>
    <xf numFmtId="0" fontId="51" fillId="0" borderId="0" applyFill="0">
      <alignment horizontal="left"/>
      <protection/>
    </xf>
    <xf numFmtId="38" fontId="11" fillId="23" borderId="4">
      <alignment horizontal="right"/>
      <protection/>
    </xf>
    <xf numFmtId="38" fontId="7" fillId="25" borderId="0" applyNumberFormat="0" applyFont="0" applyBorder="0" applyAlignment="0" applyProtection="0"/>
    <xf numFmtId="0" fontId="71" fillId="0" borderId="0" applyNumberFormat="0" applyAlignment="0">
      <protection/>
    </xf>
    <xf numFmtId="0" fontId="45" fillId="0" borderId="4" applyNumberFormat="0" applyFill="0" applyAlignment="0" applyProtection="0"/>
    <xf numFmtId="37" fontId="72" fillId="0" borderId="0" applyNumberFormat="0">
      <alignment horizontal="left"/>
      <protection/>
    </xf>
    <xf numFmtId="203" fontId="7" fillId="0" borderId="2">
      <alignment horizontal="center" wrapText="1"/>
      <protection/>
    </xf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3" fontId="7" fillId="0" borderId="0" applyFill="0" applyBorder="0" applyAlignment="0" applyProtection="0"/>
    <xf numFmtId="37" fontId="73" fillId="0" borderId="0" applyNumberFormat="0">
      <alignment horizontal="left"/>
      <protection/>
    </xf>
    <xf numFmtId="37" fontId="74" fillId="0" borderId="0" applyNumberFormat="0">
      <alignment horizontal="left"/>
      <protection/>
    </xf>
    <xf numFmtId="37" fontId="75" fillId="0" borderId="0" applyNumberFormat="0">
      <alignment horizontal="left"/>
      <protection/>
    </xf>
    <xf numFmtId="197" fontId="76" fillId="0" borderId="0">
      <alignment/>
      <protection/>
    </xf>
    <xf numFmtId="40" fontId="77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37" fontId="10" fillId="23" borderId="0" applyNumberFormat="0" applyBorder="0" applyAlignment="0" applyProtection="0"/>
    <xf numFmtId="37" fontId="10" fillId="0" borderId="0">
      <alignment/>
      <protection/>
    </xf>
    <xf numFmtId="3" fontId="78" fillId="0" borderId="14" applyProtection="0">
      <alignment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46">
    <xf numFmtId="172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72" fontId="4" fillId="0" borderId="0" xfId="0" applyFont="1" applyAlignment="1">
      <alignment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Fill="1" applyAlignment="1">
      <alignment/>
    </xf>
    <xf numFmtId="0" fontId="4" fillId="0" borderId="3" xfId="0" applyNumberFormat="1" applyFont="1" applyBorder="1" applyAlignment="1" applyProtection="1">
      <alignment horizontal="center"/>
      <protection locked="0"/>
    </xf>
    <xf numFmtId="172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172" fontId="4" fillId="0" borderId="0" xfId="0" applyFont="1" applyFill="1" applyAlignment="1">
      <alignment/>
    </xf>
    <xf numFmtId="3" fontId="4" fillId="0" borderId="3" xfId="0" applyNumberFormat="1" applyFont="1" applyFill="1" applyBorder="1" applyAlignment="1">
      <alignment/>
    </xf>
    <xf numFmtId="0" fontId="7" fillId="0" borderId="0" xfId="183" applyAlignment="1">
      <alignment horizontal="center"/>
      <protection/>
    </xf>
    <xf numFmtId="0" fontId="7" fillId="0" borderId="0" xfId="183">
      <alignment/>
      <protection/>
    </xf>
    <xf numFmtId="0" fontId="1" fillId="0" borderId="0" xfId="183" applyFont="1">
      <alignment/>
      <protection/>
    </xf>
    <xf numFmtId="0" fontId="7" fillId="0" borderId="3" xfId="183" applyBorder="1" applyAlignment="1">
      <alignment horizontal="center"/>
      <protection/>
    </xf>
    <xf numFmtId="0" fontId="7" fillId="0" borderId="3" xfId="183" applyBorder="1">
      <alignment/>
      <protection/>
    </xf>
    <xf numFmtId="0" fontId="7" fillId="0" borderId="3" xfId="183" applyBorder="1" applyAlignment="1">
      <alignment horizontal="center" wrapText="1"/>
      <protection/>
    </xf>
    <xf numFmtId="0" fontId="7" fillId="0" borderId="0" xfId="183" applyAlignment="1">
      <alignment horizontal="center" wrapText="1"/>
      <protection/>
    </xf>
    <xf numFmtId="3" fontId="7" fillId="0" borderId="0" xfId="183" applyNumberFormat="1">
      <alignment/>
      <protection/>
    </xf>
    <xf numFmtId="9" fontId="7" fillId="0" borderId="0" xfId="191" applyAlignment="1">
      <alignment/>
    </xf>
    <xf numFmtId="41" fontId="7" fillId="0" borderId="0" xfId="183" applyNumberFormat="1">
      <alignment/>
      <protection/>
    </xf>
    <xf numFmtId="174" fontId="7" fillId="0" borderId="0" xfId="183" applyNumberFormat="1">
      <alignment/>
      <protection/>
    </xf>
    <xf numFmtId="43" fontId="7" fillId="0" borderId="0" xfId="183" applyNumberFormat="1">
      <alignment/>
      <protection/>
    </xf>
    <xf numFmtId="173" fontId="7" fillId="0" borderId="0" xfId="183" applyNumberFormat="1">
      <alignment/>
      <protection/>
    </xf>
    <xf numFmtId="174" fontId="7" fillId="0" borderId="3" xfId="183" applyNumberFormat="1" applyBorder="1">
      <alignment/>
      <protection/>
    </xf>
    <xf numFmtId="0" fontId="7" fillId="0" borderId="0" xfId="183" quotePrefix="1">
      <alignment/>
      <protection/>
    </xf>
    <xf numFmtId="10" fontId="7" fillId="0" borderId="0" xfId="191" applyNumberFormat="1" applyAlignment="1">
      <alignment/>
    </xf>
    <xf numFmtId="10" fontId="7" fillId="0" borderId="0" xfId="191" applyNumberFormat="1" applyFill="1" applyAlignment="1">
      <alignment/>
    </xf>
    <xf numFmtId="44" fontId="7" fillId="0" borderId="0" xfId="126" applyAlignment="1">
      <alignment/>
    </xf>
    <xf numFmtId="0" fontId="7" fillId="0" borderId="0" xfId="184">
      <alignment/>
      <protection/>
    </xf>
    <xf numFmtId="0" fontId="7" fillId="0" borderId="0" xfId="184" applyAlignment="1">
      <alignment horizontal="center"/>
      <protection/>
    </xf>
    <xf numFmtId="0" fontId="1" fillId="0" borderId="0" xfId="184" applyFont="1">
      <alignment/>
      <protection/>
    </xf>
    <xf numFmtId="44" fontId="7" fillId="0" borderId="0" xfId="184" applyNumberFormat="1">
      <alignment/>
      <protection/>
    </xf>
    <xf numFmtId="0" fontId="7" fillId="0" borderId="0" xfId="184" applyFont="1">
      <alignment/>
      <protection/>
    </xf>
    <xf numFmtId="0" fontId="7" fillId="0" borderId="0" xfId="183" applyFont="1">
      <alignment/>
      <protection/>
    </xf>
    <xf numFmtId="0" fontId="1" fillId="0" borderId="0" xfId="183" applyFont="1" applyAlignment="1">
      <alignment horizontal="right"/>
      <protection/>
    </xf>
    <xf numFmtId="0" fontId="1" fillId="0" borderId="0" xfId="183" applyFont="1" applyAlignment="1">
      <alignment horizontal="center"/>
      <protection/>
    </xf>
    <xf numFmtId="0" fontId="7" fillId="0" borderId="0" xfId="184" applyFill="1">
      <alignment/>
      <protection/>
    </xf>
    <xf numFmtId="173" fontId="7" fillId="0" borderId="0" xfId="119" applyNumberFormat="1" applyFont="1" applyFill="1" applyAlignment="1">
      <alignment/>
    </xf>
    <xf numFmtId="0" fontId="7" fillId="0" borderId="19" xfId="181" applyBorder="1" applyAlignment="1">
      <alignment horizontal="center"/>
      <protection/>
    </xf>
    <xf numFmtId="0" fontId="7" fillId="0" borderId="20" xfId="181" applyBorder="1" applyAlignment="1">
      <alignment horizontal="center"/>
      <protection/>
    </xf>
    <xf numFmtId="0" fontId="7" fillId="0" borderId="0" xfId="181">
      <alignment/>
      <protection/>
    </xf>
    <xf numFmtId="0" fontId="7" fillId="0" borderId="21" xfId="181" applyBorder="1" applyAlignment="1">
      <alignment horizontal="center"/>
      <protection/>
    </xf>
    <xf numFmtId="0" fontId="7" fillId="0" borderId="0" xfId="181" applyBorder="1" applyAlignment="1">
      <alignment horizontal="center"/>
      <protection/>
    </xf>
    <xf numFmtId="0" fontId="7" fillId="0" borderId="22" xfId="181" applyBorder="1" applyAlignment="1">
      <alignment horizontal="center"/>
      <protection/>
    </xf>
    <xf numFmtId="0" fontId="7" fillId="0" borderId="3" xfId="181" applyBorder="1" applyAlignment="1">
      <alignment horizontal="center"/>
      <protection/>
    </xf>
    <xf numFmtId="0" fontId="7" fillId="0" borderId="0" xfId="181" applyBorder="1">
      <alignment/>
      <protection/>
    </xf>
    <xf numFmtId="0" fontId="7" fillId="0" borderId="21" xfId="181" applyBorder="1">
      <alignment/>
      <protection/>
    </xf>
    <xf numFmtId="0" fontId="7" fillId="0" borderId="9" xfId="181" applyBorder="1">
      <alignment/>
      <protection/>
    </xf>
    <xf numFmtId="10" fontId="7" fillId="0" borderId="0" xfId="181" applyNumberFormat="1">
      <alignment/>
      <protection/>
    </xf>
    <xf numFmtId="10" fontId="7" fillId="0" borderId="0" xfId="181" applyNumberFormat="1" applyBorder="1" applyAlignment="1">
      <alignment horizontal="center"/>
      <protection/>
    </xf>
    <xf numFmtId="0" fontId="7" fillId="0" borderId="23" xfId="181" applyFont="1" applyBorder="1">
      <alignment/>
      <protection/>
    </xf>
    <xf numFmtId="0" fontId="7" fillId="0" borderId="0" xfId="181" applyAlignment="1">
      <alignment horizontal="left"/>
      <protection/>
    </xf>
    <xf numFmtId="0" fontId="7" fillId="0" borderId="0" xfId="181" applyFont="1">
      <alignment/>
      <protection/>
    </xf>
    <xf numFmtId="0" fontId="7" fillId="0" borderId="0" xfId="181" applyAlignment="1">
      <alignment/>
      <protection/>
    </xf>
    <xf numFmtId="0" fontId="7" fillId="0" borderId="0" xfId="181" applyFont="1" applyAlignment="1">
      <alignment horizontal="left"/>
      <protection/>
    </xf>
    <xf numFmtId="0" fontId="7" fillId="0" borderId="3" xfId="183" applyFont="1" applyBorder="1" applyAlignment="1">
      <alignment horizontal="center" wrapText="1"/>
      <protection/>
    </xf>
    <xf numFmtId="44" fontId="7" fillId="0" borderId="0" xfId="126" applyNumberFormat="1" applyAlignment="1">
      <alignment/>
    </xf>
    <xf numFmtId="44" fontId="7" fillId="0" borderId="0" xfId="183" applyNumberFormat="1">
      <alignment/>
      <protection/>
    </xf>
    <xf numFmtId="180" fontId="7" fillId="0" borderId="0" xfId="126" applyNumberFormat="1" applyAlignment="1">
      <alignment/>
    </xf>
    <xf numFmtId="181" fontId="7" fillId="0" borderId="0" xfId="126" applyNumberFormat="1" applyAlignment="1">
      <alignment/>
    </xf>
    <xf numFmtId="0" fontId="7" fillId="0" borderId="0" xfId="183" applyFont="1" applyFill="1">
      <alignment/>
      <protection/>
    </xf>
    <xf numFmtId="0" fontId="7" fillId="0" borderId="0" xfId="183" applyFill="1">
      <alignment/>
      <protection/>
    </xf>
    <xf numFmtId="173" fontId="4" fillId="0" borderId="0" xfId="119" applyNumberFormat="1" applyFont="1" applyAlignment="1">
      <alignment/>
    </xf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fill"/>
    </xf>
    <xf numFmtId="0" fontId="7" fillId="0" borderId="24" xfId="181" applyFill="1" applyBorder="1" applyAlignment="1">
      <alignment horizontal="center"/>
      <protection/>
    </xf>
    <xf numFmtId="0" fontId="7" fillId="0" borderId="20" xfId="181" applyFill="1" applyBorder="1" applyAlignment="1">
      <alignment horizontal="center"/>
      <protection/>
    </xf>
    <xf numFmtId="0" fontId="7" fillId="0" borderId="25" xfId="181" applyFill="1" applyBorder="1" applyAlignment="1">
      <alignment horizontal="center"/>
      <protection/>
    </xf>
    <xf numFmtId="0" fontId="7" fillId="0" borderId="0" xfId="181" applyFill="1" applyBorder="1" applyAlignment="1">
      <alignment horizontal="center"/>
      <protection/>
    </xf>
    <xf numFmtId="0" fontId="7" fillId="0" borderId="25" xfId="181" applyFont="1" applyFill="1" applyBorder="1" applyAlignment="1">
      <alignment horizontal="center"/>
      <protection/>
    </xf>
    <xf numFmtId="0" fontId="7" fillId="0" borderId="26" xfId="181" applyFill="1" applyBorder="1" applyAlignment="1">
      <alignment horizontal="center"/>
      <protection/>
    </xf>
    <xf numFmtId="0" fontId="7" fillId="0" borderId="3" xfId="181" applyFill="1" applyBorder="1" applyAlignment="1">
      <alignment horizontal="center"/>
      <protection/>
    </xf>
    <xf numFmtId="0" fontId="7" fillId="0" borderId="25" xfId="181" applyFill="1" applyBorder="1">
      <alignment/>
      <protection/>
    </xf>
    <xf numFmtId="1" fontId="7" fillId="0" borderId="27" xfId="181" applyNumberFormat="1" applyFill="1" applyBorder="1" applyAlignment="1">
      <alignment horizontal="center"/>
      <protection/>
    </xf>
    <xf numFmtId="173" fontId="4" fillId="0" borderId="0" xfId="119" applyNumberFormat="1" applyFont="1" applyFill="1" applyAlignment="1">
      <alignment/>
    </xf>
    <xf numFmtId="0" fontId="7" fillId="0" borderId="0" xfId="184" applyFont="1" applyAlignment="1">
      <alignment horizontal="center"/>
      <protection/>
    </xf>
    <xf numFmtId="0" fontId="7" fillId="0" borderId="4" xfId="184" applyFont="1" applyBorder="1" applyAlignment="1">
      <alignment horizontal="center"/>
      <protection/>
    </xf>
    <xf numFmtId="0" fontId="4" fillId="0" borderId="0" xfId="184" applyFont="1" applyFill="1" applyAlignment="1">
      <alignment horizontal="left"/>
      <protection/>
    </xf>
    <xf numFmtId="0" fontId="7" fillId="0" borderId="24" xfId="181" applyFont="1" applyFill="1" applyBorder="1" applyAlignment="1">
      <alignment horizontal="center"/>
      <protection/>
    </xf>
    <xf numFmtId="0" fontId="7" fillId="0" borderId="26" xfId="181" applyFont="1" applyFill="1" applyBorder="1" applyAlignment="1">
      <alignment horizontal="center"/>
      <protection/>
    </xf>
    <xf numFmtId="0" fontId="7" fillId="0" borderId="25" xfId="181" applyFont="1" applyFill="1" applyBorder="1" applyAlignment="1" quotePrefix="1">
      <alignment horizontal="left"/>
      <protection/>
    </xf>
    <xf numFmtId="0" fontId="7" fillId="0" borderId="20" xfId="181" applyFill="1" applyBorder="1">
      <alignment/>
      <protection/>
    </xf>
    <xf numFmtId="0" fontId="7" fillId="0" borderId="0" xfId="181" applyFill="1" applyBorder="1">
      <alignment/>
      <protection/>
    </xf>
    <xf numFmtId="0" fontId="7" fillId="0" borderId="26" xfId="181" applyFont="1" applyFill="1" applyBorder="1" applyAlignment="1" quotePrefix="1">
      <alignment horizontal="left"/>
      <protection/>
    </xf>
    <xf numFmtId="0" fontId="7" fillId="0" borderId="3" xfId="181" applyFill="1" applyBorder="1">
      <alignment/>
      <protection/>
    </xf>
    <xf numFmtId="0" fontId="7" fillId="0" borderId="0" xfId="181" applyFont="1" applyFill="1" applyAlignment="1">
      <alignment horizontal="left"/>
      <protection/>
    </xf>
    <xf numFmtId="0" fontId="7" fillId="0" borderId="0" xfId="181" applyFill="1">
      <alignment/>
      <protection/>
    </xf>
    <xf numFmtId="0" fontId="7" fillId="0" borderId="0" xfId="181" applyFill="1" applyAlignment="1">
      <alignment horizontal="left"/>
      <protection/>
    </xf>
    <xf numFmtId="172" fontId="38" fillId="0" borderId="0" xfId="0" applyFont="1" applyAlignment="1">
      <alignment/>
    </xf>
    <xf numFmtId="0" fontId="7" fillId="0" borderId="4" xfId="184" applyFont="1" applyBorder="1">
      <alignment/>
      <protection/>
    </xf>
    <xf numFmtId="44" fontId="7" fillId="0" borderId="4" xfId="184" applyNumberFormat="1" applyFont="1" applyBorder="1" applyAlignment="1">
      <alignment horizontal="center"/>
      <protection/>
    </xf>
    <xf numFmtId="0" fontId="7" fillId="0" borderId="0" xfId="184" applyFont="1" applyAlignment="1">
      <alignment horizontal="right"/>
      <protection/>
    </xf>
    <xf numFmtId="172" fontId="7" fillId="0" borderId="0" xfId="0" applyFont="1" applyFill="1" applyAlignment="1">
      <alignment/>
    </xf>
    <xf numFmtId="173" fontId="4" fillId="0" borderId="0" xfId="119" applyNumberFormat="1" applyFont="1" applyAlignment="1">
      <alignment horizontal="center"/>
    </xf>
    <xf numFmtId="3" fontId="39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184" applyFont="1" applyFill="1">
      <alignment/>
      <protection/>
    </xf>
    <xf numFmtId="172" fontId="7" fillId="0" borderId="0" xfId="0" applyFont="1" applyAlignment="1">
      <alignment horizontal="center"/>
    </xf>
    <xf numFmtId="172" fontId="7" fillId="0" borderId="4" xfId="0" applyFont="1" applyBorder="1" applyAlignment="1">
      <alignment horizontal="center"/>
    </xf>
    <xf numFmtId="173" fontId="4" fillId="0" borderId="0" xfId="119" applyNumberFormat="1" applyFont="1" applyFill="1" applyBorder="1" applyAlignment="1">
      <alignment/>
    </xf>
    <xf numFmtId="172" fontId="6" fillId="0" borderId="0" xfId="0" applyFont="1" applyFill="1" applyAlignment="1">
      <alignment/>
    </xf>
    <xf numFmtId="172" fontId="0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173" fontId="4" fillId="0" borderId="6" xfId="119" applyNumberFormat="1" applyFont="1" applyFill="1" applyBorder="1" applyAlignment="1">
      <alignment/>
    </xf>
    <xf numFmtId="173" fontId="4" fillId="0" borderId="6" xfId="119" applyNumberFormat="1" applyFont="1" applyBorder="1" applyAlignment="1">
      <alignment/>
    </xf>
    <xf numFmtId="0" fontId="7" fillId="0" borderId="3" xfId="183" applyFont="1" applyBorder="1">
      <alignment/>
      <protection/>
    </xf>
    <xf numFmtId="44" fontId="7" fillId="0" borderId="3" xfId="183" applyNumberFormat="1" applyFont="1" applyBorder="1">
      <alignment/>
      <protection/>
    </xf>
    <xf numFmtId="170" fontId="7" fillId="0" borderId="3" xfId="191" applyNumberFormat="1" applyFont="1" applyBorder="1" applyAlignment="1">
      <alignment horizontal="right"/>
    </xf>
    <xf numFmtId="174" fontId="7" fillId="0" borderId="3" xfId="126" applyNumberFormat="1" applyFont="1" applyBorder="1" applyAlignment="1">
      <alignment/>
    </xf>
    <xf numFmtId="175" fontId="12" fillId="0" borderId="0" xfId="183" applyNumberFormat="1" applyFont="1">
      <alignment/>
      <protection/>
    </xf>
    <xf numFmtId="42" fontId="7" fillId="0" borderId="0" xfId="183" applyNumberFormat="1" applyFill="1">
      <alignment/>
      <protection/>
    </xf>
    <xf numFmtId="42" fontId="7" fillId="0" borderId="3" xfId="183" applyNumberFormat="1" applyFill="1" applyBorder="1">
      <alignment/>
      <protection/>
    </xf>
    <xf numFmtId="174" fontId="41" fillId="0" borderId="0" xfId="183" applyNumberFormat="1" applyFont="1" applyFill="1">
      <alignment/>
      <protection/>
    </xf>
    <xf numFmtId="172" fontId="16" fillId="0" borderId="0" xfId="0" applyFont="1" applyAlignment="1">
      <alignment/>
    </xf>
    <xf numFmtId="43" fontId="7" fillId="0" borderId="0" xfId="119" applyAlignment="1">
      <alignment/>
    </xf>
    <xf numFmtId="172" fontId="4" fillId="26" borderId="0" xfId="0" applyFont="1" applyFill="1" applyAlignment="1">
      <alignment/>
    </xf>
    <xf numFmtId="0" fontId="4" fillId="26" borderId="0" xfId="0" applyNumberFormat="1" applyFont="1" applyFill="1" applyAlignment="1" applyProtection="1">
      <alignment/>
      <protection locked="0"/>
    </xf>
    <xf numFmtId="0" fontId="7" fillId="26" borderId="19" xfId="181" applyFill="1" applyBorder="1" applyAlignment="1">
      <alignment horizontal="center"/>
      <protection/>
    </xf>
    <xf numFmtId="0" fontId="7" fillId="26" borderId="24" xfId="181" applyFill="1" applyBorder="1" applyAlignment="1">
      <alignment horizontal="center"/>
      <protection/>
    </xf>
    <xf numFmtId="0" fontId="7" fillId="26" borderId="28" xfId="181" applyFill="1" applyBorder="1" applyAlignment="1">
      <alignment horizontal="center"/>
      <protection/>
    </xf>
    <xf numFmtId="0" fontId="7" fillId="26" borderId="21" xfId="181" applyFill="1" applyBorder="1" applyAlignment="1">
      <alignment horizontal="center"/>
      <protection/>
    </xf>
    <xf numFmtId="0" fontId="7" fillId="26" borderId="25" xfId="181" applyFill="1" applyBorder="1" applyAlignment="1">
      <alignment horizontal="center"/>
      <protection/>
    </xf>
    <xf numFmtId="0" fontId="7" fillId="26" borderId="29" xfId="181" applyFill="1" applyBorder="1" applyAlignment="1">
      <alignment horizontal="center"/>
      <protection/>
    </xf>
    <xf numFmtId="0" fontId="7" fillId="26" borderId="22" xfId="181" applyFill="1" applyBorder="1" applyAlignment="1">
      <alignment horizontal="center"/>
      <protection/>
    </xf>
    <xf numFmtId="0" fontId="7" fillId="26" borderId="26" xfId="181" applyFill="1" applyBorder="1" applyAlignment="1">
      <alignment horizontal="center"/>
      <protection/>
    </xf>
    <xf numFmtId="0" fontId="7" fillId="26" borderId="30" xfId="181" applyFill="1" applyBorder="1" applyAlignment="1">
      <alignment horizontal="center"/>
      <protection/>
    </xf>
    <xf numFmtId="173" fontId="4" fillId="0" borderId="0" xfId="0" applyNumberFormat="1" applyFont="1" applyAlignment="1">
      <alignment horizontal="fill"/>
    </xf>
    <xf numFmtId="176" fontId="7" fillId="27" borderId="0" xfId="183" applyNumberFormat="1" applyFill="1">
      <alignment/>
      <protection/>
    </xf>
    <xf numFmtId="0" fontId="7" fillId="0" borderId="3" xfId="183" applyFont="1" applyFill="1" applyBorder="1" applyAlignment="1">
      <alignment horizontal="center" wrapText="1"/>
      <protection/>
    </xf>
    <xf numFmtId="0" fontId="7" fillId="0" borderId="31" xfId="183" applyBorder="1">
      <alignment/>
      <protection/>
    </xf>
    <xf numFmtId="0" fontId="7" fillId="0" borderId="6" xfId="183" applyBorder="1">
      <alignment/>
      <protection/>
    </xf>
    <xf numFmtId="0" fontId="7" fillId="0" borderId="32" xfId="183" applyBorder="1">
      <alignment/>
      <protection/>
    </xf>
    <xf numFmtId="0" fontId="7" fillId="0" borderId="33" xfId="183" applyBorder="1">
      <alignment/>
      <protection/>
    </xf>
    <xf numFmtId="0" fontId="7" fillId="0" borderId="0" xfId="183" applyBorder="1">
      <alignment/>
      <protection/>
    </xf>
    <xf numFmtId="0" fontId="7" fillId="0" borderId="34" xfId="183" applyBorder="1">
      <alignment/>
      <protection/>
    </xf>
    <xf numFmtId="0" fontId="7" fillId="0" borderId="35" xfId="183" applyBorder="1">
      <alignment/>
      <protection/>
    </xf>
    <xf numFmtId="0" fontId="7" fillId="0" borderId="4" xfId="183" applyBorder="1">
      <alignment/>
      <protection/>
    </xf>
    <xf numFmtId="0" fontId="7" fillId="0" borderId="36" xfId="183" applyBorder="1">
      <alignment/>
      <protection/>
    </xf>
    <xf numFmtId="0" fontId="7" fillId="0" borderId="3" xfId="183" applyFont="1" applyBorder="1" applyAlignment="1">
      <alignment horizontal="center"/>
      <protection/>
    </xf>
    <xf numFmtId="0" fontId="7" fillId="0" borderId="0" xfId="183" applyFont="1" applyAlignment="1">
      <alignment horizontal="center"/>
      <protection/>
    </xf>
    <xf numFmtId="0" fontId="7" fillId="0" borderId="0" xfId="183" applyFont="1" applyAlignment="1">
      <alignment horizontal="center" wrapText="1"/>
      <protection/>
    </xf>
    <xf numFmtId="170" fontId="7" fillId="0" borderId="0" xfId="191" applyNumberFormat="1" applyFont="1" applyAlignment="1">
      <alignment horizontal="right"/>
    </xf>
    <xf numFmtId="174" fontId="7" fillId="0" borderId="0" xfId="126" applyNumberFormat="1" applyFont="1" applyAlignment="1">
      <alignment/>
    </xf>
    <xf numFmtId="9" fontId="7" fillId="0" borderId="0" xfId="191" applyFont="1" applyAlignment="1">
      <alignment horizontal="right"/>
    </xf>
    <xf numFmtId="174" fontId="7" fillId="0" borderId="0" xfId="183" applyNumberFormat="1" applyFont="1">
      <alignment/>
      <protection/>
    </xf>
    <xf numFmtId="43" fontId="7" fillId="0" borderId="0" xfId="183" applyNumberFormat="1" applyFont="1" applyFill="1">
      <alignment/>
      <protection/>
    </xf>
    <xf numFmtId="173" fontId="7" fillId="0" borderId="0" xfId="183" applyNumberFormat="1" applyFont="1" applyFill="1">
      <alignment/>
      <protection/>
    </xf>
    <xf numFmtId="173" fontId="7" fillId="0" borderId="3" xfId="183" applyNumberFormat="1" applyFont="1" applyFill="1" applyBorder="1">
      <alignment/>
      <protection/>
    </xf>
    <xf numFmtId="43" fontId="7" fillId="0" borderId="3" xfId="183" applyNumberFormat="1" applyFont="1" applyFill="1" applyBorder="1">
      <alignment/>
      <protection/>
    </xf>
    <xf numFmtId="0" fontId="7" fillId="0" borderId="19" xfId="181" applyFill="1" applyBorder="1" applyAlignment="1">
      <alignment horizontal="center"/>
      <protection/>
    </xf>
    <xf numFmtId="0" fontId="7" fillId="0" borderId="21" xfId="181" applyFill="1" applyBorder="1" applyAlignment="1">
      <alignment horizontal="center"/>
      <protection/>
    </xf>
    <xf numFmtId="0" fontId="7" fillId="0" borderId="22" xfId="181" applyFill="1" applyBorder="1" applyAlignment="1">
      <alignment horizontal="center"/>
      <protection/>
    </xf>
    <xf numFmtId="0" fontId="7" fillId="26" borderId="20" xfId="181" applyFill="1" applyBorder="1" applyAlignment="1">
      <alignment horizontal="center"/>
      <protection/>
    </xf>
    <xf numFmtId="0" fontId="7" fillId="26" borderId="0" xfId="181" applyFill="1" applyBorder="1" applyAlignment="1">
      <alignment horizontal="center"/>
      <protection/>
    </xf>
    <xf numFmtId="0" fontId="7" fillId="26" borderId="25" xfId="181" applyFill="1" applyBorder="1">
      <alignment/>
      <protection/>
    </xf>
    <xf numFmtId="1" fontId="7" fillId="26" borderId="27" xfId="181" applyNumberFormat="1" applyFill="1" applyBorder="1" applyAlignment="1">
      <alignment horizontal="center"/>
      <protection/>
    </xf>
    <xf numFmtId="0" fontId="7" fillId="26" borderId="0" xfId="181" applyFill="1">
      <alignment/>
      <protection/>
    </xf>
    <xf numFmtId="0" fontId="7" fillId="26" borderId="24" xfId="181" applyFont="1" applyFill="1" applyBorder="1" applyAlignment="1">
      <alignment horizontal="center"/>
      <protection/>
    </xf>
    <xf numFmtId="0" fontId="7" fillId="26" borderId="25" xfId="181" applyFont="1" applyFill="1" applyBorder="1" applyAlignment="1">
      <alignment horizontal="center"/>
      <protection/>
    </xf>
    <xf numFmtId="0" fontId="7" fillId="26" borderId="3" xfId="181" applyFill="1" applyBorder="1" applyAlignment="1">
      <alignment horizontal="center"/>
      <protection/>
    </xf>
    <xf numFmtId="0" fontId="7" fillId="26" borderId="26" xfId="181" applyFont="1" applyFill="1" applyBorder="1" applyAlignment="1">
      <alignment horizontal="center"/>
      <protection/>
    </xf>
    <xf numFmtId="10" fontId="7" fillId="0" borderId="0" xfId="184" applyNumberFormat="1" applyFont="1">
      <alignment/>
      <protection/>
    </xf>
    <xf numFmtId="1" fontId="7" fillId="0" borderId="0" xfId="181" applyNumberFormat="1" applyFill="1" applyBorder="1" applyAlignment="1">
      <alignment horizontal="center"/>
      <protection/>
    </xf>
    <xf numFmtId="0" fontId="1" fillId="27" borderId="0" xfId="183" applyFont="1" applyFill="1">
      <alignment/>
      <protection/>
    </xf>
    <xf numFmtId="0" fontId="7" fillId="27" borderId="0" xfId="183" applyFill="1">
      <alignment/>
      <protection/>
    </xf>
    <xf numFmtId="0" fontId="7" fillId="27" borderId="0" xfId="183" applyFont="1" applyFill="1">
      <alignment/>
      <protection/>
    </xf>
    <xf numFmtId="3" fontId="40" fillId="0" borderId="0" xfId="0" applyNumberFormat="1" applyFont="1" applyFill="1" applyAlignment="1">
      <alignment/>
    </xf>
    <xf numFmtId="173" fontId="4" fillId="0" borderId="0" xfId="119" applyNumberFormat="1" applyFont="1" applyFill="1" applyAlignment="1">
      <alignment horizontal="center"/>
    </xf>
    <xf numFmtId="186" fontId="4" fillId="0" borderId="0" xfId="0" applyNumberFormat="1" applyFont="1" applyFill="1" applyAlignment="1">
      <alignment horizontal="center"/>
    </xf>
    <xf numFmtId="173" fontId="4" fillId="0" borderId="4" xfId="119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72" fontId="0" fillId="0" borderId="0" xfId="0" applyFill="1" applyAlignment="1">
      <alignment/>
    </xf>
    <xf numFmtId="174" fontId="7" fillId="0" borderId="0" xfId="126" applyNumberFormat="1" applyFont="1" applyFill="1" applyAlignment="1">
      <alignment/>
    </xf>
    <xf numFmtId="172" fontId="4" fillId="0" borderId="0" xfId="0" applyFont="1" applyAlignment="1">
      <alignment horizontal="right"/>
    </xf>
    <xf numFmtId="172" fontId="0" fillId="0" borderId="0" xfId="0" applyFont="1" applyAlignment="1">
      <alignment horizontal="right"/>
    </xf>
    <xf numFmtId="3" fontId="4" fillId="26" borderId="0" xfId="0" applyNumberFormat="1" applyFont="1" applyFill="1" applyAlignment="1">
      <alignment/>
    </xf>
    <xf numFmtId="0" fontId="7" fillId="0" borderId="0" xfId="184" applyFill="1" applyAlignment="1">
      <alignment horizontal="center"/>
      <protection/>
    </xf>
    <xf numFmtId="44" fontId="7" fillId="0" borderId="0" xfId="184" applyNumberFormat="1" applyAlignment="1">
      <alignment horizontal="center"/>
      <protection/>
    </xf>
    <xf numFmtId="3" fontId="4" fillId="28" borderId="0" xfId="0" applyNumberFormat="1" applyFont="1" applyFill="1" applyAlignment="1">
      <alignment/>
    </xf>
    <xf numFmtId="3" fontId="4" fillId="28" borderId="3" xfId="0" applyNumberFormat="1" applyFont="1" applyFill="1" applyBorder="1" applyAlignment="1">
      <alignment/>
    </xf>
    <xf numFmtId="173" fontId="4" fillId="28" borderId="0" xfId="119" applyNumberFormat="1" applyFont="1" applyFill="1" applyAlignment="1">
      <alignment/>
    </xf>
    <xf numFmtId="173" fontId="4" fillId="28" borderId="3" xfId="119" applyNumberFormat="1" applyFont="1" applyFill="1" applyBorder="1" applyAlignment="1">
      <alignment/>
    </xf>
    <xf numFmtId="173" fontId="4" fillId="28" borderId="0" xfId="119" applyNumberFormat="1" applyFont="1" applyFill="1" applyBorder="1" applyAlignment="1">
      <alignment/>
    </xf>
    <xf numFmtId="44" fontId="7" fillId="0" borderId="0" xfId="184" applyNumberFormat="1" applyFont="1">
      <alignment/>
      <protection/>
    </xf>
    <xf numFmtId="49" fontId="1" fillId="0" borderId="0" xfId="184" applyNumberFormat="1" applyFont="1" applyAlignment="1">
      <alignment horizontal="right"/>
      <protection/>
    </xf>
    <xf numFmtId="173" fontId="1" fillId="0" borderId="0" xfId="119" applyNumberFormat="1" applyFont="1" applyAlignment="1">
      <alignment horizontal="center"/>
    </xf>
    <xf numFmtId="173" fontId="1" fillId="0" borderId="4" xfId="119" applyNumberFormat="1" applyFont="1" applyBorder="1" applyAlignment="1">
      <alignment horizontal="center"/>
    </xf>
    <xf numFmtId="182" fontId="7" fillId="0" borderId="0" xfId="184" applyNumberFormat="1" applyAlignment="1">
      <alignment horizontal="left"/>
      <protection/>
    </xf>
    <xf numFmtId="182" fontId="7" fillId="0" borderId="0" xfId="184" applyNumberFormat="1" applyFont="1" applyAlignment="1">
      <alignment horizontal="left"/>
      <protection/>
    </xf>
    <xf numFmtId="0" fontId="1" fillId="0" borderId="0" xfId="184" applyFont="1" applyFill="1">
      <alignment/>
      <protection/>
    </xf>
    <xf numFmtId="173" fontId="7" fillId="0" borderId="6" xfId="119" applyNumberFormat="1" applyFont="1" applyFill="1" applyBorder="1" applyAlignment="1">
      <alignment/>
    </xf>
    <xf numFmtId="10" fontId="7" fillId="0" borderId="0" xfId="191" applyNumberFormat="1" applyFont="1" applyAlignment="1">
      <alignment/>
    </xf>
    <xf numFmtId="174" fontId="7" fillId="0" borderId="37" xfId="126" applyNumberFormat="1" applyFont="1" applyFill="1" applyBorder="1" applyAlignment="1">
      <alignment/>
    </xf>
    <xf numFmtId="173" fontId="7" fillId="0" borderId="0" xfId="119" applyNumberFormat="1" applyFont="1" applyAlignment="1">
      <alignment/>
    </xf>
    <xf numFmtId="173" fontId="7" fillId="0" borderId="0" xfId="119" applyNumberFormat="1" applyFont="1" applyAlignment="1">
      <alignment horizontal="center"/>
    </xf>
    <xf numFmtId="44" fontId="7" fillId="0" borderId="0" xfId="184" applyNumberFormat="1" applyFont="1" applyAlignment="1">
      <alignment horizontal="center"/>
      <protection/>
    </xf>
    <xf numFmtId="17" fontId="7" fillId="0" borderId="0" xfId="184" applyNumberFormat="1" applyFont="1" applyAlignment="1">
      <alignment horizontal="right"/>
      <protection/>
    </xf>
    <xf numFmtId="17" fontId="7" fillId="0" borderId="0" xfId="184" applyNumberFormat="1" applyFont="1">
      <alignment/>
      <protection/>
    </xf>
    <xf numFmtId="173" fontId="7" fillId="0" borderId="0" xfId="119" applyNumberFormat="1" applyAlignment="1">
      <alignment/>
    </xf>
    <xf numFmtId="173" fontId="7" fillId="0" borderId="0" xfId="184" applyNumberFormat="1">
      <alignment/>
      <protection/>
    </xf>
    <xf numFmtId="173" fontId="7" fillId="0" borderId="6" xfId="184" applyNumberFormat="1" applyBorder="1">
      <alignment/>
      <protection/>
    </xf>
    <xf numFmtId="44" fontId="7" fillId="0" borderId="0" xfId="184" applyNumberFormat="1" applyFont="1" applyAlignment="1">
      <alignment horizontal="right"/>
      <protection/>
    </xf>
    <xf numFmtId="173" fontId="7" fillId="0" borderId="38" xfId="184" applyNumberFormat="1" applyBorder="1">
      <alignment/>
      <protection/>
    </xf>
    <xf numFmtId="0" fontId="6" fillId="0" borderId="0" xfId="184" applyFont="1" applyAlignment="1">
      <alignment horizontal="center"/>
      <protection/>
    </xf>
    <xf numFmtId="0" fontId="7" fillId="0" borderId="0" xfId="182" applyFont="1" applyAlignment="1">
      <alignment horizontal="center"/>
      <protection/>
    </xf>
    <xf numFmtId="0" fontId="7" fillId="0" borderId="0" xfId="184" applyFont="1" applyAlignment="1">
      <alignment horizontal="center" wrapText="1"/>
      <protection/>
    </xf>
    <xf numFmtId="178" fontId="7" fillId="0" borderId="0" xfId="119" applyNumberFormat="1" applyFont="1" applyFill="1" applyAlignment="1">
      <alignment horizontal="center"/>
    </xf>
    <xf numFmtId="0" fontId="7" fillId="0" borderId="6" xfId="184" applyBorder="1">
      <alignment/>
      <protection/>
    </xf>
    <xf numFmtId="44" fontId="7" fillId="0" borderId="0" xfId="184" applyNumberFormat="1" applyFont="1" applyFill="1">
      <alignment/>
      <protection/>
    </xf>
    <xf numFmtId="3" fontId="4" fillId="28" borderId="4" xfId="0" applyNumberFormat="1" applyFont="1" applyFill="1" applyBorder="1" applyAlignment="1">
      <alignment/>
    </xf>
    <xf numFmtId="0" fontId="7" fillId="0" borderId="28" xfId="181" applyFill="1" applyBorder="1" applyAlignment="1">
      <alignment horizontal="center"/>
      <protection/>
    </xf>
    <xf numFmtId="1" fontId="7" fillId="0" borderId="24" xfId="181" applyNumberFormat="1" applyFill="1" applyBorder="1" applyAlignment="1">
      <alignment horizontal="center"/>
      <protection/>
    </xf>
    <xf numFmtId="0" fontId="7" fillId="0" borderId="29" xfId="181" applyFill="1" applyBorder="1" applyAlignment="1">
      <alignment horizontal="center"/>
      <protection/>
    </xf>
    <xf numFmtId="1" fontId="7" fillId="0" borderId="25" xfId="181" applyNumberFormat="1" applyFill="1" applyBorder="1" applyAlignment="1">
      <alignment horizontal="center"/>
      <protection/>
    </xf>
    <xf numFmtId="0" fontId="7" fillId="0" borderId="30" xfId="181" applyFill="1" applyBorder="1" applyAlignment="1">
      <alignment horizontal="center"/>
      <protection/>
    </xf>
    <xf numFmtId="1" fontId="7" fillId="0" borderId="26" xfId="181" applyNumberFormat="1" applyFill="1" applyBorder="1" applyAlignment="1">
      <alignment horizontal="center"/>
      <protection/>
    </xf>
    <xf numFmtId="0" fontId="7" fillId="0" borderId="21" xfId="181" applyFill="1" applyBorder="1">
      <alignment/>
      <protection/>
    </xf>
    <xf numFmtId="0" fontId="7" fillId="0" borderId="24" xfId="181" applyFill="1" applyBorder="1">
      <alignment/>
      <protection/>
    </xf>
    <xf numFmtId="0" fontId="7" fillId="0" borderId="23" xfId="181" applyFont="1" applyFill="1" applyBorder="1">
      <alignment/>
      <protection/>
    </xf>
    <xf numFmtId="0" fontId="7" fillId="0" borderId="9" xfId="181" applyFill="1" applyBorder="1">
      <alignment/>
      <protection/>
    </xf>
    <xf numFmtId="214" fontId="7" fillId="0" borderId="0" xfId="183" applyNumberFormat="1">
      <alignment/>
      <protection/>
    </xf>
    <xf numFmtId="0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172" fontId="0" fillId="0" borderId="0" xfId="0" applyFill="1" applyBorder="1" applyAlignment="1">
      <alignment horizontal="right"/>
    </xf>
    <xf numFmtId="172" fontId="4" fillId="0" borderId="0" xfId="0" applyFont="1" applyBorder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172" fontId="4" fillId="0" borderId="0" xfId="0" applyFont="1" applyFill="1" applyAlignment="1">
      <alignment horizontal="left"/>
    </xf>
    <xf numFmtId="165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173" fontId="4" fillId="0" borderId="0" xfId="119" applyNumberFormat="1" applyFont="1" applyBorder="1" applyAlignment="1">
      <alignment/>
    </xf>
    <xf numFmtId="173" fontId="4" fillId="0" borderId="3" xfId="119" applyNumberFormat="1" applyFont="1" applyBorder="1" applyAlignment="1">
      <alignment/>
    </xf>
    <xf numFmtId="165" fontId="4" fillId="0" borderId="0" xfId="0" applyNumberFormat="1" applyFont="1" applyFill="1" applyAlignment="1">
      <alignment/>
    </xf>
    <xf numFmtId="172" fontId="4" fillId="0" borderId="0" xfId="0" applyFont="1" applyFill="1" applyBorder="1" applyAlignment="1">
      <alignment/>
    </xf>
    <xf numFmtId="172" fontId="4" fillId="0" borderId="3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39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left"/>
    </xf>
    <xf numFmtId="3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Fill="1" applyAlignment="1">
      <alignment horizontal="right"/>
    </xf>
    <xf numFmtId="172" fontId="4" fillId="0" borderId="0" xfId="0" applyFont="1" applyFill="1" applyAlignment="1" quotePrefix="1">
      <alignment/>
    </xf>
    <xf numFmtId="167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 applyProtection="1">
      <alignment horizontal="left"/>
      <protection locked="0"/>
    </xf>
    <xf numFmtId="3" fontId="4" fillId="0" borderId="1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3" fontId="80" fillId="0" borderId="0" xfId="0" applyNumberFormat="1" applyFont="1" applyFill="1" applyAlignment="1">
      <alignment/>
    </xf>
    <xf numFmtId="0" fontId="4" fillId="0" borderId="3" xfId="0" applyNumberFormat="1" applyFont="1" applyFill="1" applyBorder="1" applyAlignment="1" applyProtection="1">
      <alignment/>
      <protection locked="0"/>
    </xf>
    <xf numFmtId="0" fontId="4" fillId="0" borderId="3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6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185" fontId="4" fillId="0" borderId="0" xfId="0" applyNumberFormat="1" applyFont="1" applyFill="1" applyAlignment="1">
      <alignment horizontal="right"/>
    </xf>
    <xf numFmtId="172" fontId="4" fillId="0" borderId="6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6" xfId="0" applyNumberFormat="1" applyFont="1" applyFill="1" applyBorder="1" applyAlignment="1" applyProtection="1">
      <alignment/>
      <protection locked="0"/>
    </xf>
    <xf numFmtId="0" fontId="4" fillId="0" borderId="6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Alignment="1">
      <alignment/>
    </xf>
    <xf numFmtId="6" fontId="4" fillId="0" borderId="0" xfId="185" applyNumberFormat="1" applyFont="1" applyBorder="1">
      <alignment/>
      <protection/>
    </xf>
    <xf numFmtId="4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10" fontId="4" fillId="0" borderId="0" xfId="191" applyNumberFormat="1" applyFont="1" applyAlignment="1">
      <alignment/>
    </xf>
    <xf numFmtId="9" fontId="4" fillId="0" borderId="0" xfId="191" applyFont="1" applyAlignment="1">
      <alignment/>
    </xf>
    <xf numFmtId="10" fontId="4" fillId="0" borderId="0" xfId="191" applyNumberFormat="1" applyFont="1" applyAlignment="1" applyProtection="1">
      <alignment horizontal="left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9" fontId="4" fillId="0" borderId="6" xfId="191" applyFont="1" applyBorder="1" applyAlignment="1">
      <alignment/>
    </xf>
    <xf numFmtId="10" fontId="4" fillId="0" borderId="0" xfId="191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0" fontId="4" fillId="0" borderId="4" xfId="0" applyNumberFormat="1" applyFont="1" applyFill="1" applyBorder="1" applyAlignment="1">
      <alignment/>
    </xf>
    <xf numFmtId="172" fontId="38" fillId="0" borderId="0" xfId="0" applyFont="1" applyFill="1" applyAlignment="1">
      <alignment/>
    </xf>
    <xf numFmtId="0" fontId="4" fillId="0" borderId="0" xfId="0" applyNumberFormat="1" applyFont="1" applyFill="1" applyAlignment="1" quotePrefix="1">
      <alignment/>
    </xf>
    <xf numFmtId="49" fontId="4" fillId="0" borderId="3" xfId="0" applyNumberFormat="1" applyFont="1" applyFill="1" applyBorder="1" applyAlignment="1">
      <alignment horizontal="center"/>
    </xf>
    <xf numFmtId="1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0" fontId="4" fillId="28" borderId="0" xfId="191" applyNumberFormat="1" applyFont="1" applyFill="1" applyAlignment="1">
      <alignment/>
    </xf>
    <xf numFmtId="3" fontId="4" fillId="0" borderId="0" xfId="0" applyNumberFormat="1" applyFont="1" applyAlignment="1" quotePrefix="1">
      <alignment/>
    </xf>
    <xf numFmtId="10" fontId="4" fillId="0" borderId="0" xfId="191" applyNumberFormat="1" applyFont="1" applyFill="1" applyAlignment="1">
      <alignment/>
    </xf>
    <xf numFmtId="10" fontId="4" fillId="0" borderId="3" xfId="191" applyNumberFormat="1" applyFont="1" applyBorder="1" applyAlignment="1">
      <alignment/>
    </xf>
    <xf numFmtId="10" fontId="4" fillId="0" borderId="0" xfId="0" applyNumberFormat="1" applyFont="1" applyFill="1" applyAlignment="1" applyProtection="1">
      <alignment/>
      <protection locked="0"/>
    </xf>
    <xf numFmtId="172" fontId="4" fillId="0" borderId="0" xfId="0" applyFont="1" applyAlignment="1">
      <alignment horizontal="center"/>
    </xf>
    <xf numFmtId="172" fontId="0" fillId="0" borderId="0" xfId="0" applyAlignment="1">
      <alignment horizontal="center"/>
    </xf>
    <xf numFmtId="172" fontId="0" fillId="0" borderId="0" xfId="0" applyFont="1" applyAlignment="1" quotePrefix="1">
      <alignment/>
    </xf>
    <xf numFmtId="172" fontId="0" fillId="0" borderId="0" xfId="0" applyFont="1" applyAlignment="1">
      <alignment/>
    </xf>
    <xf numFmtId="208" fontId="0" fillId="0" borderId="0" xfId="0" applyNumberFormat="1" applyFill="1" applyBorder="1" applyAlignment="1">
      <alignment horizontal="left" wrapText="1" indent="1"/>
    </xf>
    <xf numFmtId="0" fontId="4" fillId="0" borderId="0" xfId="0" applyNumberFormat="1" applyFont="1" applyFill="1" applyBorder="1" applyAlignment="1">
      <alignment horizontal="left" indent="1"/>
    </xf>
    <xf numFmtId="0" fontId="1" fillId="0" borderId="0" xfId="183" applyFont="1" applyAlignment="1">
      <alignment horizontal="center"/>
      <protection/>
    </xf>
    <xf numFmtId="0" fontId="7" fillId="0" borderId="0" xfId="183" applyAlignment="1">
      <alignment horizontal="left" wrapText="1"/>
      <protection/>
    </xf>
    <xf numFmtId="0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0" xfId="184" applyFont="1" applyAlignment="1">
      <alignment horizontal="center" wrapText="1"/>
      <protection/>
    </xf>
    <xf numFmtId="0" fontId="1" fillId="0" borderId="0" xfId="184" applyFont="1" applyAlignment="1">
      <alignment horizontal="center"/>
      <protection/>
    </xf>
    <xf numFmtId="0" fontId="7" fillId="0" borderId="0" xfId="184" applyAlignment="1">
      <alignment horizontal="left"/>
      <protection/>
    </xf>
    <xf numFmtId="0" fontId="6" fillId="0" borderId="0" xfId="184" applyFont="1" applyAlignment="1">
      <alignment horizontal="center"/>
      <protection/>
    </xf>
    <xf numFmtId="0" fontId="6" fillId="0" borderId="0" xfId="0" applyNumberFormat="1" applyFont="1" applyAlignment="1" applyProtection="1">
      <alignment horizontal="center" wrapText="1"/>
      <protection locked="0"/>
    </xf>
    <xf numFmtId="0" fontId="6" fillId="0" borderId="39" xfId="183" applyFont="1" applyBorder="1" applyAlignment="1">
      <alignment horizontal="center"/>
      <protection/>
    </xf>
    <xf numFmtId="0" fontId="6" fillId="0" borderId="10" xfId="183" applyFont="1" applyBorder="1" applyAlignment="1">
      <alignment horizontal="center"/>
      <protection/>
    </xf>
    <xf numFmtId="0" fontId="6" fillId="0" borderId="40" xfId="183" applyFont="1" applyBorder="1" applyAlignment="1">
      <alignment horizontal="center"/>
      <protection/>
    </xf>
    <xf numFmtId="0" fontId="6" fillId="0" borderId="39" xfId="183" applyFont="1" applyFill="1" applyBorder="1" applyAlignment="1">
      <alignment horizontal="center"/>
      <protection/>
    </xf>
    <xf numFmtId="0" fontId="6" fillId="0" borderId="10" xfId="183" applyFont="1" applyFill="1" applyBorder="1" applyAlignment="1">
      <alignment horizontal="center"/>
      <protection/>
    </xf>
    <xf numFmtId="0" fontId="6" fillId="0" borderId="40" xfId="183" applyFont="1" applyFill="1" applyBorder="1" applyAlignment="1">
      <alignment horizontal="center"/>
      <protection/>
    </xf>
    <xf numFmtId="0" fontId="1" fillId="0" borderId="0" xfId="183" applyFont="1" applyAlignment="1">
      <alignment horizontal="center" wrapText="1"/>
      <protection/>
    </xf>
  </cellXfs>
  <cellStyles count="241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2" xfId="28"/>
    <cellStyle name="20% - Accent2 2" xfId="29"/>
    <cellStyle name="20% - Accent3" xfId="30"/>
    <cellStyle name="20% - Accent3 2" xfId="31"/>
    <cellStyle name="20% - Accent4" xfId="32"/>
    <cellStyle name="20% - Accent4 2" xfId="33"/>
    <cellStyle name="20% - Accent5" xfId="34"/>
    <cellStyle name="20% - Accent5 2" xfId="35"/>
    <cellStyle name="20% - Accent6" xfId="36"/>
    <cellStyle name="20% - Accent6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ccounting" xfId="74"/>
    <cellStyle name="Actual Date" xfId="75"/>
    <cellStyle name="ADDR" xfId="76"/>
    <cellStyle name="Agara" xfId="77"/>
    <cellStyle name="Bad" xfId="78"/>
    <cellStyle name="Bad 2" xfId="79"/>
    <cellStyle name="Body" xfId="80"/>
    <cellStyle name="Bottom bold border" xfId="81"/>
    <cellStyle name="Bottom single border" xfId="82"/>
    <cellStyle name="Business Unit" xfId="83"/>
    <cellStyle name="C00A" xfId="84"/>
    <cellStyle name="C00B" xfId="85"/>
    <cellStyle name="C00L" xfId="86"/>
    <cellStyle name="C01A" xfId="87"/>
    <cellStyle name="C01B" xfId="88"/>
    <cellStyle name="C01H" xfId="89"/>
    <cellStyle name="C01L" xfId="90"/>
    <cellStyle name="C02A" xfId="91"/>
    <cellStyle name="C02B" xfId="92"/>
    <cellStyle name="C02H" xfId="93"/>
    <cellStyle name="C02L" xfId="94"/>
    <cellStyle name="C03A" xfId="95"/>
    <cellStyle name="C03B" xfId="96"/>
    <cellStyle name="C03H" xfId="97"/>
    <cellStyle name="C03L" xfId="98"/>
    <cellStyle name="C04A" xfId="99"/>
    <cellStyle name="C04B" xfId="100"/>
    <cellStyle name="C04H" xfId="101"/>
    <cellStyle name="C04L" xfId="102"/>
    <cellStyle name="C05A" xfId="103"/>
    <cellStyle name="C05B" xfId="104"/>
    <cellStyle name="C05H" xfId="105"/>
    <cellStyle name="C05L" xfId="106"/>
    <cellStyle name="C06A" xfId="107"/>
    <cellStyle name="C06B" xfId="108"/>
    <cellStyle name="C06H" xfId="109"/>
    <cellStyle name="C06L" xfId="110"/>
    <cellStyle name="C07A" xfId="111"/>
    <cellStyle name="C07B" xfId="112"/>
    <cellStyle name="C07H" xfId="113"/>
    <cellStyle name="C07L" xfId="114"/>
    <cellStyle name="Calculation" xfId="115"/>
    <cellStyle name="Calculation 2" xfId="116"/>
    <cellStyle name="Check Cell" xfId="117"/>
    <cellStyle name="Check Cell 2" xfId="118"/>
    <cellStyle name="Comma" xfId="119"/>
    <cellStyle name="Comma [0]" xfId="120"/>
    <cellStyle name="Comma 0" xfId="121"/>
    <cellStyle name="Comma 2" xfId="122"/>
    <cellStyle name="Comma 3" xfId="123"/>
    <cellStyle name="Comma 4" xfId="124"/>
    <cellStyle name="Comma0 - Style1" xfId="125"/>
    <cellStyle name="Currency" xfId="126"/>
    <cellStyle name="Currency [0]" xfId="127"/>
    <cellStyle name="Currency 2" xfId="128"/>
    <cellStyle name="Date" xfId="129"/>
    <cellStyle name="Euro" xfId="130"/>
    <cellStyle name="Explanatory Text" xfId="131"/>
    <cellStyle name="Explanatory Text 2" xfId="132"/>
    <cellStyle name="Fixed" xfId="133"/>
    <cellStyle name="Fixed1 - Style1" xfId="134"/>
    <cellStyle name="Followed Hyperlink" xfId="135"/>
    <cellStyle name="Gilsans" xfId="136"/>
    <cellStyle name="Gilsansl" xfId="137"/>
    <cellStyle name="Good" xfId="138"/>
    <cellStyle name="Good 2" xfId="139"/>
    <cellStyle name="Grey" xfId="140"/>
    <cellStyle name="HEADER" xfId="141"/>
    <cellStyle name="Header1" xfId="142"/>
    <cellStyle name="Header2" xfId="143"/>
    <cellStyle name="Heading" xfId="144"/>
    <cellStyle name="Heading 1" xfId="145"/>
    <cellStyle name="Heading 1 2" xfId="146"/>
    <cellStyle name="Heading 2" xfId="147"/>
    <cellStyle name="Heading 2 2" xfId="148"/>
    <cellStyle name="Heading 3" xfId="149"/>
    <cellStyle name="Heading 3 2" xfId="150"/>
    <cellStyle name="Heading 4" xfId="151"/>
    <cellStyle name="Heading 4 2" xfId="152"/>
    <cellStyle name="Heading1" xfId="153"/>
    <cellStyle name="Heading2" xfId="154"/>
    <cellStyle name="HIGHLIGHT" xfId="155"/>
    <cellStyle name="Hyperlink" xfId="156"/>
    <cellStyle name="Input" xfId="157"/>
    <cellStyle name="Input [yellow]" xfId="158"/>
    <cellStyle name="Input 2" xfId="159"/>
    <cellStyle name="Lines" xfId="160"/>
    <cellStyle name="Linked Cell" xfId="161"/>
    <cellStyle name="Linked Cell 2" xfId="162"/>
    <cellStyle name="MEM SSN" xfId="163"/>
    <cellStyle name="Mine" xfId="164"/>
    <cellStyle name="mmm-yy" xfId="165"/>
    <cellStyle name="Monétaire [0]_pldt" xfId="166"/>
    <cellStyle name="Monétaire_pldt" xfId="167"/>
    <cellStyle name="Neutral" xfId="168"/>
    <cellStyle name="Neutral 2" xfId="169"/>
    <cellStyle name="New" xfId="170"/>
    <cellStyle name="No Border" xfId="171"/>
    <cellStyle name="no dec" xfId="172"/>
    <cellStyle name="Normal - Style1" xfId="173"/>
    <cellStyle name="Normal 2" xfId="174"/>
    <cellStyle name="Normal 2 2" xfId="175"/>
    <cellStyle name="Normal 3" xfId="176"/>
    <cellStyle name="Normal 3 2" xfId="177"/>
    <cellStyle name="Normal CEN" xfId="178"/>
    <cellStyle name="Normal Centered" xfId="179"/>
    <cellStyle name="NORMAL CTR" xfId="180"/>
    <cellStyle name="Normal_2002 AREA LOADS FOR JNT TARIFF" xfId="181"/>
    <cellStyle name="Normal_BHP WP2" xfId="182"/>
    <cellStyle name="Normal_CU AC Rate Design" xfId="183"/>
    <cellStyle name="Normal_PRECorp2002HeintzResponse 8-21-03" xfId="184"/>
    <cellStyle name="Normal_TopSheet Type Ancillaries Worksheet-Updated 81903" xfId="185"/>
    <cellStyle name="Note" xfId="186"/>
    <cellStyle name="Note 2" xfId="187"/>
    <cellStyle name="nUMBER" xfId="188"/>
    <cellStyle name="Output" xfId="189"/>
    <cellStyle name="Output 2" xfId="190"/>
    <cellStyle name="Percent" xfId="191"/>
    <cellStyle name="Percent [2]" xfId="192"/>
    <cellStyle name="Percent 2" xfId="193"/>
    <cellStyle name="PSChar" xfId="194"/>
    <cellStyle name="PSDate" xfId="195"/>
    <cellStyle name="PSDec" xfId="196"/>
    <cellStyle name="PSHeading" xfId="197"/>
    <cellStyle name="PSInt" xfId="198"/>
    <cellStyle name="PSSpacer" xfId="199"/>
    <cellStyle name="R00A" xfId="200"/>
    <cellStyle name="R00B" xfId="201"/>
    <cellStyle name="R00L" xfId="202"/>
    <cellStyle name="R01A" xfId="203"/>
    <cellStyle name="R01B" xfId="204"/>
    <cellStyle name="R01H" xfId="205"/>
    <cellStyle name="R01L" xfId="206"/>
    <cellStyle name="R02A" xfId="207"/>
    <cellStyle name="R02B" xfId="208"/>
    <cellStyle name="R02H" xfId="209"/>
    <cellStyle name="R02L" xfId="210"/>
    <cellStyle name="R03A" xfId="211"/>
    <cellStyle name="R03B" xfId="212"/>
    <cellStyle name="R03H" xfId="213"/>
    <cellStyle name="R03L" xfId="214"/>
    <cellStyle name="R04A" xfId="215"/>
    <cellStyle name="R04B" xfId="216"/>
    <cellStyle name="R04H" xfId="217"/>
    <cellStyle name="R04L" xfId="218"/>
    <cellStyle name="R05A" xfId="219"/>
    <cellStyle name="R05B" xfId="220"/>
    <cellStyle name="R05H" xfId="221"/>
    <cellStyle name="R05L" xfId="222"/>
    <cellStyle name="R06A" xfId="223"/>
    <cellStyle name="R06B" xfId="224"/>
    <cellStyle name="R06H" xfId="225"/>
    <cellStyle name="R06L" xfId="226"/>
    <cellStyle name="R07A" xfId="227"/>
    <cellStyle name="R07B" xfId="228"/>
    <cellStyle name="R07H" xfId="229"/>
    <cellStyle name="R07L" xfId="230"/>
    <cellStyle name="Resource Detail" xfId="231"/>
    <cellStyle name="Shade" xfId="232"/>
    <cellStyle name="single acct" xfId="233"/>
    <cellStyle name="Single Border" xfId="234"/>
    <cellStyle name="Small Page Heading" xfId="235"/>
    <cellStyle name="ssn" xfId="236"/>
    <cellStyle name="Style 1" xfId="237"/>
    <cellStyle name="Style 2" xfId="238"/>
    <cellStyle name="Style 27" xfId="239"/>
    <cellStyle name="Style 28" xfId="240"/>
    <cellStyle name="Table Sub Heading" xfId="241"/>
    <cellStyle name="Table Title" xfId="242"/>
    <cellStyle name="Table Units" xfId="243"/>
    <cellStyle name="Theirs" xfId="244"/>
    <cellStyle name="Times New Roman" xfId="245"/>
    <cellStyle name="Title" xfId="246"/>
    <cellStyle name="Title 2" xfId="247"/>
    <cellStyle name="Total" xfId="248"/>
    <cellStyle name="Total 2" xfId="249"/>
    <cellStyle name="Unprot" xfId="250"/>
    <cellStyle name="Unprot$" xfId="251"/>
    <cellStyle name="Unprotect" xfId="252"/>
    <cellStyle name="Warning Text" xfId="253"/>
    <cellStyle name="Warning Text 2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">
      <selection activeCell="F6" sqref="F6"/>
    </sheetView>
  </sheetViews>
  <sheetFormatPr defaultColWidth="7.10546875" defaultRowHeight="15"/>
  <cols>
    <col min="1" max="1" width="3.77734375" style="22" customWidth="1"/>
    <col min="2" max="2" width="7.10546875" style="23" customWidth="1"/>
    <col min="3" max="3" width="6.88671875" style="23" customWidth="1"/>
    <col min="4" max="4" width="11.5546875" style="23" customWidth="1"/>
    <col min="5" max="5" width="11.5546875" style="23" bestFit="1" customWidth="1"/>
    <col min="6" max="6" width="12.10546875" style="23" customWidth="1"/>
    <col min="7" max="7" width="8.77734375" style="23" bestFit="1" customWidth="1"/>
    <col min="8" max="8" width="9.5546875" style="23" bestFit="1" customWidth="1"/>
    <col min="9" max="9" width="8.5546875" style="23" customWidth="1"/>
    <col min="10" max="10" width="8.77734375" style="23" bestFit="1" customWidth="1"/>
    <col min="11" max="11" width="7.10546875" style="23" customWidth="1"/>
    <col min="12" max="12" width="11.4453125" style="23" customWidth="1"/>
    <col min="13" max="16" width="7.10546875" style="23" customWidth="1"/>
    <col min="17" max="17" width="13.6640625" style="23" customWidth="1"/>
    <col min="18" max="16384" width="7.10546875" style="23" customWidth="1"/>
  </cols>
  <sheetData>
    <row r="1" spans="7:8" ht="29.25" customHeight="1">
      <c r="G1" s="329" t="s">
        <v>379</v>
      </c>
      <c r="H1" s="329"/>
    </row>
    <row r="2" spans="7:10" ht="12.75">
      <c r="G2" s="72"/>
      <c r="H2" s="73"/>
      <c r="I2" s="73"/>
      <c r="J2" s="73"/>
    </row>
    <row r="3" spans="1:8" ht="15" customHeight="1">
      <c r="A3" s="328" t="s">
        <v>269</v>
      </c>
      <c r="B3" s="328"/>
      <c r="C3" s="328"/>
      <c r="D3" s="328"/>
      <c r="E3" s="328"/>
      <c r="F3" s="328"/>
      <c r="G3" s="328"/>
      <c r="H3" s="328"/>
    </row>
    <row r="4" spans="1:8" ht="15" customHeight="1">
      <c r="A4" s="328" t="s">
        <v>40</v>
      </c>
      <c r="B4" s="328"/>
      <c r="C4" s="328"/>
      <c r="D4" s="328"/>
      <c r="E4" s="328"/>
      <c r="F4" s="328"/>
      <c r="G4" s="328"/>
      <c r="H4" s="328"/>
    </row>
    <row r="5" ht="12.75"/>
    <row r="6" ht="12.75">
      <c r="A6" s="24" t="s">
        <v>36</v>
      </c>
    </row>
    <row r="7" ht="12.75"/>
    <row r="8" spans="1:11" ht="12.75">
      <c r="A8" s="22">
        <v>1</v>
      </c>
      <c r="B8" s="45" t="s">
        <v>77</v>
      </c>
      <c r="D8" s="72"/>
      <c r="E8" s="73"/>
      <c r="G8" s="45"/>
      <c r="H8" s="184">
        <v>807405</v>
      </c>
      <c r="I8" s="72" t="s">
        <v>314</v>
      </c>
      <c r="K8" s="73"/>
    </row>
    <row r="9" spans="7:8" ht="12.75">
      <c r="G9" s="45"/>
      <c r="H9" s="45"/>
    </row>
    <row r="10" spans="4:8" ht="39" thickBot="1">
      <c r="D10" s="25" t="str">
        <f>+B20</f>
        <v>Entity</v>
      </c>
      <c r="E10" s="26"/>
      <c r="F10" s="67" t="s">
        <v>110</v>
      </c>
      <c r="G10" s="150" t="s">
        <v>188</v>
      </c>
      <c r="H10" s="67" t="s">
        <v>271</v>
      </c>
    </row>
    <row r="11" spans="4:11" ht="12.75">
      <c r="D11" s="22"/>
      <c r="F11" s="28"/>
      <c r="G11" s="151"/>
      <c r="H11" s="152"/>
      <c r="K11" s="23" t="s">
        <v>129</v>
      </c>
    </row>
    <row r="12" spans="1:11" ht="12.75">
      <c r="A12" s="22">
        <v>2</v>
      </c>
      <c r="D12" s="23" t="s">
        <v>272</v>
      </c>
      <c r="F12" s="68">
        <f>+L22</f>
        <v>17.876056788375557</v>
      </c>
      <c r="G12" s="153">
        <f>+F12/F$15</f>
        <v>0.5032154928365262</v>
      </c>
      <c r="H12" s="154">
        <f>+H$8*G12</f>
        <v>406298.70499367546</v>
      </c>
      <c r="J12" s="29"/>
      <c r="K12" s="30"/>
    </row>
    <row r="13" spans="1:11" ht="12.75">
      <c r="A13" s="22">
        <v>3</v>
      </c>
      <c r="D13" s="23" t="s">
        <v>273</v>
      </c>
      <c r="F13" s="69">
        <f>+L23</f>
        <v>16.359645545254313</v>
      </c>
      <c r="G13" s="153">
        <f>+F13/F$15</f>
        <v>0.4605281350996498</v>
      </c>
      <c r="H13" s="154">
        <f>+H$8*G13</f>
        <v>371832.7189201327</v>
      </c>
      <c r="J13" s="31"/>
      <c r="K13" s="30"/>
    </row>
    <row r="14" spans="1:11" ht="13.5" thickBot="1">
      <c r="A14" s="22">
        <v>4</v>
      </c>
      <c r="D14" s="117" t="s">
        <v>274</v>
      </c>
      <c r="E14" s="117"/>
      <c r="F14" s="118">
        <f>+L24</f>
        <v>1.2879590854805738</v>
      </c>
      <c r="G14" s="119">
        <f>+F14/F$15</f>
        <v>0.03625637206382387</v>
      </c>
      <c r="H14" s="120">
        <f>+H$8*G14</f>
        <v>29273.57608619171</v>
      </c>
      <c r="J14" s="31"/>
      <c r="K14" s="30"/>
    </row>
    <row r="15" spans="1:10" ht="12.75">
      <c r="A15" s="22">
        <v>5</v>
      </c>
      <c r="D15" s="23" t="s">
        <v>133</v>
      </c>
      <c r="F15" s="69">
        <f>SUM(F12:F14)</f>
        <v>35.52366141911045</v>
      </c>
      <c r="G15" s="155">
        <f>+F15/F$15</f>
        <v>1</v>
      </c>
      <c r="H15" s="156">
        <f>SUM(H12:H14)</f>
        <v>807404.9999999999</v>
      </c>
      <c r="J15" s="29"/>
    </row>
    <row r="16" spans="7:8" ht="12.75">
      <c r="G16" s="45"/>
      <c r="H16" s="45"/>
    </row>
    <row r="17" spans="7:8" ht="12.75">
      <c r="G17" s="45"/>
      <c r="H17" s="45"/>
    </row>
    <row r="18" spans="1:8" ht="12.75">
      <c r="A18" s="24" t="s">
        <v>275</v>
      </c>
      <c r="E18" s="175" t="s">
        <v>340</v>
      </c>
      <c r="F18" s="176"/>
      <c r="G18" s="177"/>
      <c r="H18" s="177"/>
    </row>
    <row r="19" spans="7:8" ht="12.75">
      <c r="G19" s="45"/>
      <c r="H19" s="45"/>
    </row>
    <row r="20" spans="2:8" ht="51.75" thickBot="1">
      <c r="B20" s="26" t="s">
        <v>276</v>
      </c>
      <c r="C20" s="26"/>
      <c r="D20" s="27" t="s">
        <v>111</v>
      </c>
      <c r="E20" s="27" t="s">
        <v>113</v>
      </c>
      <c r="F20" s="27" t="s">
        <v>277</v>
      </c>
      <c r="G20" s="140" t="s">
        <v>341</v>
      </c>
      <c r="H20" s="67" t="s">
        <v>232</v>
      </c>
    </row>
    <row r="21" spans="7:16" ht="12.75">
      <c r="G21" s="45"/>
      <c r="H21" s="45"/>
      <c r="M21" s="141" t="s">
        <v>298</v>
      </c>
      <c r="N21" s="142"/>
      <c r="O21" s="142"/>
      <c r="P21" s="143"/>
    </row>
    <row r="22" spans="1:17" ht="12.75">
      <c r="A22" s="22">
        <v>6</v>
      </c>
      <c r="B22" s="23" t="str">
        <f>+D12</f>
        <v>Black Hills</v>
      </c>
      <c r="D22" s="124">
        <f>Estimate!J122</f>
        <v>18009894.594474394</v>
      </c>
      <c r="E22" s="32">
        <f>-H12</f>
        <v>-406298.70499367546</v>
      </c>
      <c r="F22" s="32">
        <f>+E22+D22</f>
        <v>17603595.889480717</v>
      </c>
      <c r="G22" s="49">
        <f>+'WP7 CU AC LOADS'!J44*1000</f>
        <v>984758.3333333334</v>
      </c>
      <c r="H22" s="157">
        <f>+F22/G22</f>
        <v>17.876056788363353</v>
      </c>
      <c r="J22" s="121" t="s">
        <v>80</v>
      </c>
      <c r="L22" s="139">
        <v>17.876056788375557</v>
      </c>
      <c r="M22" s="144" t="s">
        <v>299</v>
      </c>
      <c r="N22" s="145"/>
      <c r="O22" s="145"/>
      <c r="P22" s="146"/>
      <c r="Q22" s="232">
        <f>H22-L22</f>
        <v>-1.220357148667972E-11</v>
      </c>
    </row>
    <row r="23" spans="1:17" ht="12.75">
      <c r="A23" s="22">
        <v>7</v>
      </c>
      <c r="B23" s="23" t="str">
        <f>+D13</f>
        <v>Basin Electric</v>
      </c>
      <c r="D23" s="122">
        <v>16482130</v>
      </c>
      <c r="E23" s="32">
        <f>-H13</f>
        <v>-371832.7189201327</v>
      </c>
      <c r="F23" s="32">
        <f>+E23+D23</f>
        <v>16110297.281079868</v>
      </c>
      <c r="G23" s="158">
        <f>+G22</f>
        <v>984758.3333333334</v>
      </c>
      <c r="H23" s="157">
        <f>+F23/G23</f>
        <v>16.359645545265625</v>
      </c>
      <c r="J23" s="121" t="s">
        <v>80</v>
      </c>
      <c r="L23" s="139">
        <v>16.359645545254313</v>
      </c>
      <c r="M23" s="144" t="s">
        <v>300</v>
      </c>
      <c r="N23" s="145"/>
      <c r="O23" s="145"/>
      <c r="P23" s="146"/>
      <c r="Q23" s="232">
        <f>H23-L23</f>
        <v>1.1311840353300795E-11</v>
      </c>
    </row>
    <row r="24" spans="1:17" ht="13.5" thickBot="1">
      <c r="A24" s="22">
        <v>8</v>
      </c>
      <c r="B24" s="26" t="str">
        <f>+D14</f>
        <v>PRECorp</v>
      </c>
      <c r="C24" s="26"/>
      <c r="D24" s="123">
        <v>1297602.0185064427</v>
      </c>
      <c r="E24" s="35">
        <f>-H14</f>
        <v>-29273.57608619171</v>
      </c>
      <c r="F24" s="35">
        <f>+E24+D24</f>
        <v>1268328.442420251</v>
      </c>
      <c r="G24" s="159">
        <f>+G23</f>
        <v>984758.3333333334</v>
      </c>
      <c r="H24" s="160">
        <f>+F24/G24</f>
        <v>1.2879590854814642</v>
      </c>
      <c r="J24" s="121" t="s">
        <v>80</v>
      </c>
      <c r="L24" s="139">
        <v>1.2879590854805738</v>
      </c>
      <c r="M24" s="147" t="s">
        <v>301</v>
      </c>
      <c r="N24" s="148"/>
      <c r="O24" s="148"/>
      <c r="P24" s="149"/>
      <c r="Q24" s="232">
        <f>H24-L24</f>
        <v>8.903988657493755E-13</v>
      </c>
    </row>
    <row r="25" spans="1:8" ht="12.75">
      <c r="A25" s="22">
        <v>9</v>
      </c>
      <c r="B25" s="23" t="s">
        <v>133</v>
      </c>
      <c r="D25" s="32">
        <f>SUM(D22:D24)</f>
        <v>35789626.612980835</v>
      </c>
      <c r="E25" s="32">
        <f>SUM(E22:E24)</f>
        <v>-807404.9999999999</v>
      </c>
      <c r="F25" s="32">
        <f>SUM(F22:F24)</f>
        <v>34982221.612980835</v>
      </c>
      <c r="H25" s="33">
        <f>SUM(H22:H24)</f>
        <v>35.52366141911044</v>
      </c>
    </row>
    <row r="26" spans="6:8" ht="12.75">
      <c r="F26" s="32"/>
      <c r="G26" s="34"/>
      <c r="H26" s="33"/>
    </row>
    <row r="27" ht="12.75">
      <c r="A27" s="24" t="s">
        <v>278</v>
      </c>
    </row>
    <row r="28" spans="1:7" ht="12.75">
      <c r="A28" s="22">
        <v>10</v>
      </c>
      <c r="D28" s="23" t="s">
        <v>279</v>
      </c>
      <c r="F28" s="39">
        <f>+H25</f>
        <v>35.52366141911044</v>
      </c>
      <c r="G28" s="36" t="s">
        <v>280</v>
      </c>
    </row>
    <row r="29" spans="1:7" ht="12.75">
      <c r="A29" s="22">
        <f aca="true" t="shared" si="0" ref="A29:A34">+A28+1</f>
        <v>11</v>
      </c>
      <c r="D29" s="23" t="s">
        <v>281</v>
      </c>
      <c r="F29" s="68">
        <f>ROUND(F28/12,2)</f>
        <v>2.96</v>
      </c>
      <c r="G29" s="36" t="s">
        <v>282</v>
      </c>
    </row>
    <row r="30" spans="1:7" ht="12.75">
      <c r="A30" s="22">
        <f t="shared" si="0"/>
        <v>12</v>
      </c>
      <c r="D30" s="23" t="s">
        <v>283</v>
      </c>
      <c r="F30" s="68">
        <f>ROUND(F28/52,2)</f>
        <v>0.68</v>
      </c>
      <c r="G30" s="36" t="s">
        <v>284</v>
      </c>
    </row>
    <row r="31" spans="1:7" ht="12.75">
      <c r="A31" s="22">
        <f t="shared" si="0"/>
        <v>13</v>
      </c>
      <c r="D31" s="23" t="s">
        <v>285</v>
      </c>
      <c r="E31" s="23" t="s">
        <v>286</v>
      </c>
      <c r="F31" s="70">
        <f>+F30/6</f>
        <v>0.11333333333333334</v>
      </c>
      <c r="G31" s="36" t="s">
        <v>287</v>
      </c>
    </row>
    <row r="32" spans="1:7" ht="12.75">
      <c r="A32" s="22">
        <f t="shared" si="0"/>
        <v>14</v>
      </c>
      <c r="D32" s="23" t="s">
        <v>288</v>
      </c>
      <c r="E32" s="23" t="s">
        <v>289</v>
      </c>
      <c r="F32" s="70">
        <f>+F30/7</f>
        <v>0.09714285714285716</v>
      </c>
      <c r="G32" s="36" t="s">
        <v>287</v>
      </c>
    </row>
    <row r="33" spans="1:7" ht="12.75">
      <c r="A33" s="22">
        <f t="shared" si="0"/>
        <v>15</v>
      </c>
      <c r="D33" s="23" t="s">
        <v>290</v>
      </c>
      <c r="E33" s="23" t="s">
        <v>291</v>
      </c>
      <c r="F33" s="71">
        <f>+F31/16</f>
        <v>0.007083333333333334</v>
      </c>
      <c r="G33" s="36" t="s">
        <v>292</v>
      </c>
    </row>
    <row r="34" spans="1:7" ht="12.75">
      <c r="A34" s="22">
        <f t="shared" si="0"/>
        <v>16</v>
      </c>
      <c r="D34" s="23" t="s">
        <v>293</v>
      </c>
      <c r="E34" s="23" t="s">
        <v>294</v>
      </c>
      <c r="F34" s="71">
        <f>+F32/24</f>
        <v>0.004047619047619048</v>
      </c>
      <c r="G34" s="36" t="s">
        <v>292</v>
      </c>
    </row>
    <row r="40" ht="12.75">
      <c r="A40" s="24" t="s">
        <v>295</v>
      </c>
    </row>
    <row r="42" spans="2:5" ht="12.75">
      <c r="B42" s="23" t="str">
        <f>+D20</f>
        <v>Component Annual Revenue Requirements</v>
      </c>
      <c r="E42" s="32">
        <f>+D25</f>
        <v>35789626.612980835</v>
      </c>
    </row>
    <row r="43" spans="2:5" ht="12.75">
      <c r="B43" s="45" t="s">
        <v>270</v>
      </c>
      <c r="E43" s="32">
        <f>+E25</f>
        <v>-807404.9999999999</v>
      </c>
    </row>
    <row r="44" spans="2:5" ht="12.75">
      <c r="B44" s="23" t="str">
        <f>+F20</f>
        <v>Net Revenue Requirements</v>
      </c>
      <c r="E44" s="32">
        <f>+F25</f>
        <v>34982221.612980835</v>
      </c>
    </row>
    <row r="45" spans="2:5" ht="12.75">
      <c r="B45" s="23" t="str">
        <f>+G20</f>
        <v>Projected 2017 Load</v>
      </c>
      <c r="E45" s="34">
        <f>+G22</f>
        <v>984758.3333333334</v>
      </c>
    </row>
    <row r="46" spans="2:5" ht="12.75">
      <c r="B46" s="23" t="str">
        <f>+H20</f>
        <v>Annual Rate</v>
      </c>
      <c r="E46" s="39">
        <f>+E44/E45</f>
        <v>35.52366141911044</v>
      </c>
    </row>
  </sheetData>
  <sheetProtection/>
  <mergeCells count="3">
    <mergeCell ref="A3:H3"/>
    <mergeCell ref="A4:H4"/>
    <mergeCell ref="G1:H1"/>
  </mergeCells>
  <printOptions horizontalCentered="1"/>
  <pageMargins left="0.75" right="0.75" top="1" bottom="1" header="0.5" footer="0.5"/>
  <pageSetup fitToHeight="1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4"/>
  <sheetViews>
    <sheetView zoomScale="90" zoomScaleNormal="90" workbookViewId="0" topLeftCell="A22">
      <selection activeCell="J51" sqref="J51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2.21484375" style="0" customWidth="1"/>
    <col min="4" max="4" width="31.21484375" style="0" customWidth="1"/>
    <col min="5" max="5" width="15.21484375" style="183" customWidth="1"/>
    <col min="6" max="6" width="7.77734375" style="0" customWidth="1"/>
    <col min="7" max="7" width="6.5546875" style="0" customWidth="1"/>
    <col min="8" max="8" width="11.21484375" style="0" customWidth="1"/>
    <col min="9" max="9" width="7.10546875" style="0" customWidth="1"/>
    <col min="10" max="10" width="20.5546875" style="0" customWidth="1"/>
    <col min="11" max="11" width="1.2265625" style="0" customWidth="1"/>
    <col min="12" max="12" width="13.4453125" style="0" bestFit="1" customWidth="1"/>
    <col min="13" max="13" width="14.4453125" style="0" bestFit="1" customWidth="1"/>
  </cols>
  <sheetData>
    <row r="1" spans="9:10" ht="30">
      <c r="I1" s="236" t="s">
        <v>320</v>
      </c>
      <c r="J1" s="326" t="s">
        <v>380</v>
      </c>
    </row>
    <row r="2" spans="1:47" ht="15.75">
      <c r="A2" s="6"/>
      <c r="B2" s="6"/>
      <c r="C2" s="6"/>
      <c r="D2" s="112"/>
      <c r="E2" s="20"/>
      <c r="F2" s="6"/>
      <c r="G2" s="6"/>
      <c r="I2" s="237" t="s">
        <v>112</v>
      </c>
      <c r="J2" s="327">
        <v>2017</v>
      </c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</row>
    <row r="3" spans="1:47" ht="15">
      <c r="A3" s="6"/>
      <c r="B3" s="6"/>
      <c r="C3" s="6"/>
      <c r="D3" s="6"/>
      <c r="E3" s="20"/>
      <c r="F3" s="6"/>
      <c r="G3" s="6"/>
      <c r="H3" s="6"/>
      <c r="I3" s="6"/>
      <c r="J3" s="6"/>
      <c r="K3" s="6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</row>
    <row r="4" spans="1:47" ht="15" customHeight="1">
      <c r="A4" s="330" t="s">
        <v>234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</row>
    <row r="5" spans="1:47" ht="15.75">
      <c r="A5" s="331" t="s">
        <v>130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</row>
    <row r="6" spans="1:47" ht="15">
      <c r="A6" s="6"/>
      <c r="B6" s="6"/>
      <c r="C6" s="1"/>
      <c r="D6" s="1"/>
      <c r="F6" s="1"/>
      <c r="G6" s="1"/>
      <c r="H6" s="1"/>
      <c r="I6" s="1"/>
      <c r="J6" s="1"/>
      <c r="K6" s="1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</row>
    <row r="7" spans="1:47" ht="15" customHeight="1">
      <c r="A7" s="332" t="s">
        <v>233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</row>
    <row r="8" spans="1:47" ht="15">
      <c r="A8" s="13"/>
      <c r="B8" s="6"/>
      <c r="C8" s="1"/>
      <c r="D8" s="1"/>
      <c r="E8" s="238"/>
      <c r="F8" s="1"/>
      <c r="G8" s="1"/>
      <c r="H8" s="1"/>
      <c r="I8" s="1"/>
      <c r="J8" s="1"/>
      <c r="K8" s="1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</row>
    <row r="9" spans="1:47" ht="15">
      <c r="A9" s="6"/>
      <c r="B9" s="6"/>
      <c r="C9" s="3" t="s">
        <v>135</v>
      </c>
      <c r="D9" s="3" t="s">
        <v>136</v>
      </c>
      <c r="E9" s="239" t="s">
        <v>137</v>
      </c>
      <c r="F9" s="4" t="s">
        <v>129</v>
      </c>
      <c r="G9" s="4"/>
      <c r="H9" s="240" t="s">
        <v>138</v>
      </c>
      <c r="I9" s="4"/>
      <c r="J9" s="241" t="s">
        <v>139</v>
      </c>
      <c r="K9" s="4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</row>
    <row r="10" spans="1:47" ht="15.75">
      <c r="A10" s="6"/>
      <c r="B10" s="6"/>
      <c r="C10" s="2"/>
      <c r="D10" s="10" t="s">
        <v>140</v>
      </c>
      <c r="E10" s="15"/>
      <c r="F10" s="4"/>
      <c r="G10" s="242" t="s">
        <v>56</v>
      </c>
      <c r="H10" s="13"/>
      <c r="I10" s="4"/>
      <c r="J10" s="14" t="s">
        <v>141</v>
      </c>
      <c r="K10" s="4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</row>
    <row r="11" spans="1:47" ht="15.75">
      <c r="A11" s="13" t="s">
        <v>131</v>
      </c>
      <c r="B11" s="6"/>
      <c r="C11" s="2"/>
      <c r="D11" s="17" t="s">
        <v>142</v>
      </c>
      <c r="E11" s="243" t="s">
        <v>143</v>
      </c>
      <c r="F11" s="18"/>
      <c r="G11" s="244" t="s">
        <v>46</v>
      </c>
      <c r="H11" s="245"/>
      <c r="I11" s="18"/>
      <c r="J11" s="13" t="s">
        <v>144</v>
      </c>
      <c r="K11" s="4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</row>
    <row r="12" spans="1:47" ht="16.5" thickBot="1">
      <c r="A12" s="16" t="s">
        <v>132</v>
      </c>
      <c r="B12" s="6"/>
      <c r="C12" s="7" t="s">
        <v>145</v>
      </c>
      <c r="D12" s="4"/>
      <c r="E12" s="15"/>
      <c r="F12" s="4"/>
      <c r="G12" s="4"/>
      <c r="H12" s="4"/>
      <c r="I12" s="4"/>
      <c r="J12" s="4"/>
      <c r="K12" s="4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</row>
    <row r="13" spans="1:47" ht="15">
      <c r="A13" s="13"/>
      <c r="B13" s="6"/>
      <c r="C13" s="2"/>
      <c r="D13" s="4"/>
      <c r="E13" s="4"/>
      <c r="F13" s="4"/>
      <c r="G13" s="4"/>
      <c r="H13" s="4"/>
      <c r="I13" s="4"/>
      <c r="J13" s="4"/>
      <c r="K13" s="4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</row>
    <row r="14" spans="1:47" ht="15">
      <c r="A14" s="13"/>
      <c r="B14" s="6"/>
      <c r="C14" s="2" t="s">
        <v>146</v>
      </c>
      <c r="D14" s="4"/>
      <c r="E14" s="15"/>
      <c r="F14" s="4"/>
      <c r="G14" s="4"/>
      <c r="H14" s="4"/>
      <c r="I14" s="4"/>
      <c r="J14" s="4"/>
      <c r="K14" s="4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</row>
    <row r="15" spans="1:47" ht="15">
      <c r="A15" s="13">
        <v>1</v>
      </c>
      <c r="B15" s="6"/>
      <c r="C15" s="2" t="s">
        <v>147</v>
      </c>
      <c r="D15" s="4" t="s">
        <v>37</v>
      </c>
      <c r="E15" s="190">
        <f>+'WP6 Rate Base'!Q15</f>
        <v>572666019</v>
      </c>
      <c r="F15" s="4"/>
      <c r="G15" s="4" t="s">
        <v>148</v>
      </c>
      <c r="H15" s="246" t="s">
        <v>129</v>
      </c>
      <c r="I15" s="4"/>
      <c r="J15" s="4" t="s">
        <v>129</v>
      </c>
      <c r="K15" s="4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</row>
    <row r="16" spans="1:47" ht="15">
      <c r="A16" s="13">
        <f>+A15+1</f>
        <v>2</v>
      </c>
      <c r="B16" s="6"/>
      <c r="C16" s="2" t="s">
        <v>149</v>
      </c>
      <c r="D16" s="4" t="s">
        <v>81</v>
      </c>
      <c r="E16" s="190">
        <f>+'WP6 Rate Base'!Q16</f>
        <v>117708462</v>
      </c>
      <c r="F16" s="4"/>
      <c r="G16" s="4" t="s">
        <v>134</v>
      </c>
      <c r="H16" s="246">
        <f>+J144</f>
        <v>0.865338</v>
      </c>
      <c r="I16" s="4"/>
      <c r="J16" s="4">
        <f>+H16*E16</f>
        <v>101857605.090156</v>
      </c>
      <c r="K16" s="4"/>
      <c r="L16" s="4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</row>
    <row r="17" spans="1:47" ht="15">
      <c r="A17" s="13">
        <f aca="true" t="shared" si="0" ref="A17:A67">+A16+1</f>
        <v>3</v>
      </c>
      <c r="B17" s="6"/>
      <c r="C17" s="2" t="s">
        <v>322</v>
      </c>
      <c r="D17" s="4" t="s">
        <v>371</v>
      </c>
      <c r="E17" s="15">
        <f>'BHP WP2 Capital Additions'!F20</f>
        <v>31593278</v>
      </c>
      <c r="F17" s="4"/>
      <c r="G17" s="4" t="s">
        <v>134</v>
      </c>
      <c r="H17" s="246">
        <f>+H16</f>
        <v>0.865338</v>
      </c>
      <c r="I17" s="4"/>
      <c r="J17" s="4">
        <f>+H17*E17</f>
        <v>27338863.997964002</v>
      </c>
      <c r="K17" s="4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</row>
    <row r="18" spans="1:47" ht="15">
      <c r="A18" s="13">
        <f t="shared" si="0"/>
        <v>4</v>
      </c>
      <c r="B18" s="6"/>
      <c r="C18" s="2" t="s">
        <v>322</v>
      </c>
      <c r="D18" s="15" t="s">
        <v>370</v>
      </c>
      <c r="E18" s="15">
        <f>'BHP WP3 Capital Additions'!F23</f>
        <v>16003200.625</v>
      </c>
      <c r="F18" s="4"/>
      <c r="G18" s="4" t="s">
        <v>134</v>
      </c>
      <c r="H18" s="246">
        <f>+H17</f>
        <v>0.865338</v>
      </c>
      <c r="I18" s="4"/>
      <c r="J18" s="4">
        <f>+H18*E18</f>
        <v>13848177.622436251</v>
      </c>
      <c r="K18" s="4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</row>
    <row r="19" spans="1:47" ht="15">
      <c r="A19" s="13">
        <f t="shared" si="0"/>
        <v>5</v>
      </c>
      <c r="B19" s="6"/>
      <c r="C19" s="2" t="s">
        <v>150</v>
      </c>
      <c r="D19" s="4" t="s">
        <v>82</v>
      </c>
      <c r="E19" s="190">
        <f>+'WP6 Rate Base'!Q17</f>
        <v>353240829</v>
      </c>
      <c r="F19" s="4"/>
      <c r="G19" s="4" t="s">
        <v>148</v>
      </c>
      <c r="H19" s="247"/>
      <c r="I19" s="4"/>
      <c r="J19" s="4"/>
      <c r="K19" s="4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</row>
    <row r="20" spans="1:47" ht="15">
      <c r="A20" s="13">
        <f t="shared" si="0"/>
        <v>6</v>
      </c>
      <c r="B20" s="6"/>
      <c r="C20" s="2" t="s">
        <v>151</v>
      </c>
      <c r="D20" s="4" t="s">
        <v>349</v>
      </c>
      <c r="E20" s="190">
        <f>+'WP6 Rate Base'!Q18</f>
        <v>46226063</v>
      </c>
      <c r="F20" s="4"/>
      <c r="G20" s="4" t="s">
        <v>152</v>
      </c>
      <c r="H20" s="246">
        <f>J176</f>
        <v>0.10257922009407149</v>
      </c>
      <c r="I20" s="4"/>
      <c r="J20" s="4">
        <f>+H20*E20</f>
        <v>4741833.490559414</v>
      </c>
      <c r="K20" s="4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</row>
    <row r="21" spans="1:47" ht="15">
      <c r="A21" s="13">
        <f t="shared" si="0"/>
        <v>7</v>
      </c>
      <c r="B21" s="6"/>
      <c r="C21" s="2" t="s">
        <v>97</v>
      </c>
      <c r="D21" s="4" t="s">
        <v>350</v>
      </c>
      <c r="E21" s="190">
        <f>+'WP6 Rate Base'!Q19</f>
        <v>35466174</v>
      </c>
      <c r="F21" s="4"/>
      <c r="G21" s="4" t="s">
        <v>152</v>
      </c>
      <c r="H21" s="246">
        <f>+H20</f>
        <v>0.10257922009407149</v>
      </c>
      <c r="I21" s="4"/>
      <c r="J21" s="4">
        <f>+H21*E21</f>
        <v>3638092.4686406357</v>
      </c>
      <c r="K21" s="4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</row>
    <row r="22" spans="1:47" ht="15">
      <c r="A22" s="13">
        <f t="shared" si="0"/>
        <v>8</v>
      </c>
      <c r="B22" s="6"/>
      <c r="C22" s="2" t="s">
        <v>65</v>
      </c>
      <c r="D22" s="4" t="s">
        <v>351</v>
      </c>
      <c r="E22" s="190">
        <f>+'WP6 Rate Base'!Q20</f>
        <v>7245851</v>
      </c>
      <c r="F22" s="4"/>
      <c r="G22" s="4" t="s">
        <v>92</v>
      </c>
      <c r="H22" s="246">
        <f>+J181</f>
        <v>0.2984652268838467</v>
      </c>
      <c r="I22" s="4"/>
      <c r="J22" s="4">
        <f>+H22*E22</f>
        <v>2162634.5626815474</v>
      </c>
      <c r="K22" s="4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</row>
    <row r="23" spans="1:47" ht="15.75" thickBot="1">
      <c r="A23" s="13">
        <f t="shared" si="0"/>
        <v>9</v>
      </c>
      <c r="B23" s="6"/>
      <c r="C23" s="2" t="s">
        <v>153</v>
      </c>
      <c r="D23" s="4" t="s">
        <v>154</v>
      </c>
      <c r="E23" s="191">
        <f>+'WP6 Rate Base'!Q21</f>
        <v>0</v>
      </c>
      <c r="F23" s="4"/>
      <c r="G23" s="4" t="s">
        <v>185</v>
      </c>
      <c r="H23" s="246">
        <v>0</v>
      </c>
      <c r="I23" s="4"/>
      <c r="J23" s="248">
        <f>+H23*E23</f>
        <v>0</v>
      </c>
      <c r="K23" s="4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</row>
    <row r="24" spans="1:47" ht="15">
      <c r="A24" s="13">
        <f t="shared" si="0"/>
        <v>10</v>
      </c>
      <c r="B24" s="6"/>
      <c r="C24" s="12" t="s">
        <v>4</v>
      </c>
      <c r="D24" s="4" t="str">
        <f>"(sum lines "&amp;A15&amp;" - "&amp;A23&amp;")"</f>
        <v>(sum lines 1 - 9)</v>
      </c>
      <c r="E24" s="15">
        <f>SUM(E15:E23)</f>
        <v>1180149876.625</v>
      </c>
      <c r="F24" s="4"/>
      <c r="G24" s="4" t="s">
        <v>155</v>
      </c>
      <c r="H24" s="249">
        <f>IF(E24&gt;0,+J24/E24,0)</f>
        <v>0.1301421203141312</v>
      </c>
      <c r="I24" s="4"/>
      <c r="J24" s="4">
        <f>SUM(J15:J23)</f>
        <v>153587207.23243785</v>
      </c>
      <c r="K24" s="4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</row>
    <row r="25" spans="1:47" ht="15">
      <c r="A25" s="13">
        <f t="shared" si="0"/>
        <v>11</v>
      </c>
      <c r="B25" s="6"/>
      <c r="C25" s="2"/>
      <c r="D25" s="4"/>
      <c r="E25" s="15"/>
      <c r="F25" s="4"/>
      <c r="G25" s="4"/>
      <c r="H25" s="8"/>
      <c r="I25" s="4"/>
      <c r="J25" s="4"/>
      <c r="K25" s="4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</row>
    <row r="26" spans="1:47" ht="15">
      <c r="A26" s="13">
        <f t="shared" si="0"/>
        <v>12</v>
      </c>
      <c r="B26" s="6"/>
      <c r="C26" s="2" t="s">
        <v>156</v>
      </c>
      <c r="D26" s="4"/>
      <c r="E26" s="15"/>
      <c r="F26" s="4"/>
      <c r="G26" s="4"/>
      <c r="H26" s="4"/>
      <c r="I26" s="4"/>
      <c r="J26" s="4"/>
      <c r="K26" s="4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</row>
    <row r="27" spans="1:47" ht="15">
      <c r="A27" s="13">
        <f t="shared" si="0"/>
        <v>13</v>
      </c>
      <c r="B27" s="6"/>
      <c r="C27" s="2" t="str">
        <f>+C15</f>
        <v>  Production</v>
      </c>
      <c r="D27" s="4" t="s">
        <v>308</v>
      </c>
      <c r="E27" s="190">
        <f>+'WP6 Rate Base'!Q25</f>
        <v>170975302</v>
      </c>
      <c r="F27" s="4"/>
      <c r="G27" s="4" t="str">
        <f>+G15</f>
        <v>NA</v>
      </c>
      <c r="H27" s="246" t="str">
        <f>+H15</f>
        <v> </v>
      </c>
      <c r="I27" s="4"/>
      <c r="J27" s="4" t="s">
        <v>129</v>
      </c>
      <c r="K27" s="4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</row>
    <row r="28" spans="1:47" ht="15">
      <c r="A28" s="13">
        <f t="shared" si="0"/>
        <v>14</v>
      </c>
      <c r="B28" s="6"/>
      <c r="C28" s="2" t="s">
        <v>149</v>
      </c>
      <c r="D28" s="4" t="s">
        <v>83</v>
      </c>
      <c r="E28" s="190">
        <f>+'WP6 Rate Base'!Q26</f>
        <v>37460156</v>
      </c>
      <c r="F28" s="4"/>
      <c r="G28" s="4" t="s">
        <v>43</v>
      </c>
      <c r="H28" s="246">
        <f>+J162</f>
        <v>0.840272</v>
      </c>
      <c r="I28" s="4"/>
      <c r="J28" s="15">
        <f>+H28*E28</f>
        <v>31476720.202432</v>
      </c>
      <c r="K28" s="4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</row>
    <row r="29" spans="1:47" ht="15">
      <c r="A29" s="13">
        <f t="shared" si="0"/>
        <v>15</v>
      </c>
      <c r="B29" s="6"/>
      <c r="C29" s="233" t="s">
        <v>339</v>
      </c>
      <c r="D29" s="4" t="str">
        <f>"See Workpaper 2 (line 48)"</f>
        <v>See Workpaper 2 (line 48)</v>
      </c>
      <c r="E29" s="15">
        <f>'BHP WP2 Capital Additions'!F57</f>
        <v>4417640.863670762</v>
      </c>
      <c r="F29" s="4"/>
      <c r="G29" s="4" t="str">
        <f>+G28</f>
        <v>TPA</v>
      </c>
      <c r="H29" s="246">
        <f>+H28</f>
        <v>0.840272</v>
      </c>
      <c r="I29" s="4"/>
      <c r="J29" s="15">
        <f>+H29*E29</f>
        <v>3712019.9237983585</v>
      </c>
      <c r="K29" s="4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</row>
    <row r="30" spans="1:47" ht="15">
      <c r="A30" s="13">
        <f t="shared" si="0"/>
        <v>16</v>
      </c>
      <c r="B30" s="6"/>
      <c r="C30" s="2" t="s">
        <v>150</v>
      </c>
      <c r="D30" s="4" t="s">
        <v>84</v>
      </c>
      <c r="E30" s="190">
        <f>+'WP6 Rate Base'!Q27</f>
        <v>118816578</v>
      </c>
      <c r="F30" s="4"/>
      <c r="G30" s="4" t="s">
        <v>148</v>
      </c>
      <c r="H30" s="246"/>
      <c r="I30" s="4"/>
      <c r="J30" s="4"/>
      <c r="K30" s="4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</row>
    <row r="31" spans="1:47" ht="15">
      <c r="A31" s="13">
        <f t="shared" si="0"/>
        <v>17</v>
      </c>
      <c r="B31" s="6"/>
      <c r="C31" s="2" t="str">
        <f>+C20</f>
        <v>  General &amp; Intangible</v>
      </c>
      <c r="D31" s="4" t="s">
        <v>352</v>
      </c>
      <c r="E31" s="190">
        <f>+'WP6 Rate Base'!Q28</f>
        <v>16469869.120000001</v>
      </c>
      <c r="F31" s="4"/>
      <c r="G31" s="4" t="str">
        <f>+G20</f>
        <v>W/S</v>
      </c>
      <c r="H31" s="246">
        <f>+H20</f>
        <v>0.10257922009407149</v>
      </c>
      <c r="I31" s="4"/>
      <c r="J31" s="4">
        <f>+H31*E31</f>
        <v>1689466.3293810314</v>
      </c>
      <c r="K31" s="4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</row>
    <row r="32" spans="1:47" ht="15">
      <c r="A32" s="13">
        <f t="shared" si="0"/>
        <v>18</v>
      </c>
      <c r="B32" s="6"/>
      <c r="C32" s="2" t="s">
        <v>97</v>
      </c>
      <c r="D32" s="4" t="s">
        <v>353</v>
      </c>
      <c r="E32" s="190">
        <f>+'WP6 Rate Base'!Q29</f>
        <v>19705752</v>
      </c>
      <c r="F32" s="4"/>
      <c r="G32" s="4" t="str">
        <f>+G21</f>
        <v>W/S</v>
      </c>
      <c r="H32" s="246">
        <f>+H31</f>
        <v>0.10257922009407149</v>
      </c>
      <c r="I32" s="4"/>
      <c r="J32" s="4">
        <f>+H32*E32</f>
        <v>2021400.6715271894</v>
      </c>
      <c r="K32" s="4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</row>
    <row r="33" spans="1:47" ht="15">
      <c r="A33" s="13">
        <f t="shared" si="0"/>
        <v>19</v>
      </c>
      <c r="B33" s="6"/>
      <c r="C33" s="2" t="str">
        <f>+C22</f>
        <v>  Communication System</v>
      </c>
      <c r="D33" s="4" t="s">
        <v>354</v>
      </c>
      <c r="E33" s="190">
        <f>+'WP6 Rate Base'!Q30</f>
        <v>1904067.88</v>
      </c>
      <c r="F33" s="4"/>
      <c r="G33" s="4" t="str">
        <f>+G22</f>
        <v>T&amp;D</v>
      </c>
      <c r="H33" s="246">
        <f>+H22</f>
        <v>0.2984652268838467</v>
      </c>
      <c r="I33" s="4"/>
      <c r="J33" s="4">
        <f>+H33*E33</f>
        <v>568298.0518064449</v>
      </c>
      <c r="K33" s="4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</row>
    <row r="34" spans="1:47" ht="15.75" thickBot="1">
      <c r="A34" s="13">
        <f t="shared" si="0"/>
        <v>20</v>
      </c>
      <c r="B34" s="6"/>
      <c r="C34" s="2" t="str">
        <f>+C23</f>
        <v>  Common</v>
      </c>
      <c r="D34" s="4" t="s">
        <v>154</v>
      </c>
      <c r="E34" s="191">
        <f>+'WP6 Rate Base'!R31</f>
        <v>0</v>
      </c>
      <c r="F34" s="4"/>
      <c r="G34" s="4" t="str">
        <f>+G23</f>
        <v>CE</v>
      </c>
      <c r="H34" s="246">
        <f>+H23</f>
        <v>0</v>
      </c>
      <c r="I34" s="4"/>
      <c r="J34" s="248">
        <f>+H34*E34</f>
        <v>0</v>
      </c>
      <c r="K34" s="4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</row>
    <row r="35" spans="1:47" ht="15">
      <c r="A35" s="13">
        <f t="shared" si="0"/>
        <v>21</v>
      </c>
      <c r="B35" s="6"/>
      <c r="C35" s="2" t="s">
        <v>6</v>
      </c>
      <c r="D35" s="4" t="str">
        <f>"(sum lines "&amp;A27&amp;" - "&amp;A34&amp;")"</f>
        <v>(sum lines 13 - 20)</v>
      </c>
      <c r="E35" s="15">
        <f>SUM(E27:E34)</f>
        <v>369749365.86367077</v>
      </c>
      <c r="F35" s="4"/>
      <c r="G35" s="4"/>
      <c r="H35" s="4"/>
      <c r="I35" s="4"/>
      <c r="J35" s="4">
        <f>SUM(J27:J34)</f>
        <v>39467905.17894503</v>
      </c>
      <c r="K35" s="4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</row>
    <row r="36" spans="1:47" ht="15">
      <c r="A36" s="13">
        <f t="shared" si="0"/>
        <v>22</v>
      </c>
      <c r="B36" s="6"/>
      <c r="C36" s="6"/>
      <c r="D36" s="4" t="s">
        <v>129</v>
      </c>
      <c r="E36" s="20"/>
      <c r="F36" s="4"/>
      <c r="G36" s="4"/>
      <c r="H36" s="8"/>
      <c r="I36" s="4"/>
      <c r="J36" s="6"/>
      <c r="K36" s="4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</row>
    <row r="37" spans="1:47" ht="15">
      <c r="A37" s="13">
        <f t="shared" si="0"/>
        <v>23</v>
      </c>
      <c r="B37" s="6"/>
      <c r="C37" s="2" t="s">
        <v>157</v>
      </c>
      <c r="D37" s="4"/>
      <c r="E37" s="15"/>
      <c r="F37" s="4"/>
      <c r="G37" s="4"/>
      <c r="H37" s="4"/>
      <c r="I37" s="4"/>
      <c r="J37" s="4"/>
      <c r="K37" s="4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</row>
    <row r="38" spans="1:47" ht="15">
      <c r="A38" s="13">
        <f t="shared" si="0"/>
        <v>24</v>
      </c>
      <c r="B38" s="6"/>
      <c r="C38" s="2" t="str">
        <f>+C27</f>
        <v>  Production</v>
      </c>
      <c r="D38" s="4" t="str">
        <f>"(line "&amp;A15&amp;" - line "&amp;A27&amp;")"</f>
        <v>(line 1 - line 13)</v>
      </c>
      <c r="E38" s="15">
        <f>E15-E27</f>
        <v>401690717</v>
      </c>
      <c r="F38" s="4"/>
      <c r="G38" s="4" t="s">
        <v>54</v>
      </c>
      <c r="H38" s="8"/>
      <c r="I38" s="4"/>
      <c r="J38" s="4" t="s">
        <v>129</v>
      </c>
      <c r="K38" s="4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</row>
    <row r="39" spans="1:47" ht="15">
      <c r="A39" s="13">
        <f t="shared" si="0"/>
        <v>25</v>
      </c>
      <c r="B39" s="6"/>
      <c r="C39" s="2" t="s">
        <v>149</v>
      </c>
      <c r="D39" s="4" t="str">
        <f>"(line "&amp;A16&amp;" - line "&amp;A28&amp;")"</f>
        <v>(line 2 - line 14)</v>
      </c>
      <c r="E39" s="15">
        <f>E16-E28</f>
        <v>80248306</v>
      </c>
      <c r="F39" s="4"/>
      <c r="G39" s="4" t="s">
        <v>54</v>
      </c>
      <c r="H39" s="246"/>
      <c r="I39" s="4"/>
      <c r="J39" s="4">
        <f>J16-J28</f>
        <v>70380884.88772401</v>
      </c>
      <c r="K39" s="4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</row>
    <row r="40" spans="1:47" ht="15">
      <c r="A40" s="13">
        <f t="shared" si="0"/>
        <v>26</v>
      </c>
      <c r="B40" s="6"/>
      <c r="C40" s="2" t="str">
        <f>+C17</f>
        <v>  New Construction CUS Assets</v>
      </c>
      <c r="D40" s="4" t="str">
        <f>"(line "&amp;A17&amp;" - line "&amp;A29&amp;")"</f>
        <v>(line 3 - line 15)</v>
      </c>
      <c r="E40" s="15">
        <f>E17-E29</f>
        <v>27175637.136329237</v>
      </c>
      <c r="F40" s="4"/>
      <c r="G40" s="4" t="s">
        <v>54</v>
      </c>
      <c r="H40" s="246"/>
      <c r="I40" s="4"/>
      <c r="J40" s="4">
        <f>J17-J29</f>
        <v>23626844.074165642</v>
      </c>
      <c r="K40" s="4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</row>
    <row r="41" spans="1:47" ht="15">
      <c r="A41" s="13">
        <f t="shared" si="0"/>
        <v>27</v>
      </c>
      <c r="B41" s="6"/>
      <c r="C41" s="2" t="s">
        <v>322</v>
      </c>
      <c r="D41" s="4" t="s">
        <v>355</v>
      </c>
      <c r="E41" s="15">
        <f>E18</f>
        <v>16003200.625</v>
      </c>
      <c r="F41" s="4"/>
      <c r="G41" s="4" t="s">
        <v>54</v>
      </c>
      <c r="H41" s="246"/>
      <c r="I41" s="4"/>
      <c r="J41" s="4">
        <f>J18</f>
        <v>13848177.622436251</v>
      </c>
      <c r="K41" s="4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</row>
    <row r="42" spans="1:47" ht="15">
      <c r="A42" s="13">
        <f t="shared" si="0"/>
        <v>28</v>
      </c>
      <c r="B42" s="6"/>
      <c r="C42" s="2" t="s">
        <v>229</v>
      </c>
      <c r="D42" s="4" t="str">
        <f>"(line "&amp;A19&amp;" - line "&amp;A30&amp;")"</f>
        <v>(line 5 - line 16)</v>
      </c>
      <c r="E42" s="15">
        <f>E19-E30</f>
        <v>234424251</v>
      </c>
      <c r="F42" s="4"/>
      <c r="G42" s="4" t="s">
        <v>54</v>
      </c>
      <c r="H42" s="8"/>
      <c r="I42" s="4"/>
      <c r="J42" s="4"/>
      <c r="K42" s="4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</row>
    <row r="43" spans="1:47" ht="15">
      <c r="A43" s="13">
        <f t="shared" si="0"/>
        <v>29</v>
      </c>
      <c r="B43" s="6"/>
      <c r="C43" s="2" t="str">
        <f>+C31</f>
        <v>  General &amp; Intangible</v>
      </c>
      <c r="D43" s="4" t="str">
        <f>"(line "&amp;A20&amp;" - line "&amp;A31&amp;")"</f>
        <v>(line 6 - line 17)</v>
      </c>
      <c r="E43" s="15">
        <f>E20-E31</f>
        <v>29756193.88</v>
      </c>
      <c r="F43" s="4"/>
      <c r="G43" s="4" t="s">
        <v>54</v>
      </c>
      <c r="H43" s="8"/>
      <c r="I43" s="4"/>
      <c r="J43" s="4">
        <f>J20-J31</f>
        <v>3052367.1611783826</v>
      </c>
      <c r="K43" s="4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</row>
    <row r="44" spans="1:47" ht="15">
      <c r="A44" s="13">
        <f t="shared" si="0"/>
        <v>30</v>
      </c>
      <c r="B44" s="6"/>
      <c r="C44" s="2" t="s">
        <v>97</v>
      </c>
      <c r="D44" s="4" t="str">
        <f>"(line "&amp;A21&amp;" - line "&amp;A32&amp;")"</f>
        <v>(line 7 - line 18)</v>
      </c>
      <c r="E44" s="15">
        <f>E21-E32</f>
        <v>15760422</v>
      </c>
      <c r="F44" s="4"/>
      <c r="G44" s="4" t="s">
        <v>54</v>
      </c>
      <c r="H44" s="8"/>
      <c r="I44" s="4"/>
      <c r="J44" s="4">
        <f>J21-J32</f>
        <v>1616691.7971134463</v>
      </c>
      <c r="K44" s="4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</row>
    <row r="45" spans="1:47" ht="15">
      <c r="A45" s="13">
        <f t="shared" si="0"/>
        <v>31</v>
      </c>
      <c r="B45" s="6"/>
      <c r="C45" s="2" t="str">
        <f>+C33</f>
        <v>  Communication System</v>
      </c>
      <c r="D45" s="4" t="str">
        <f>"(line "&amp;A22&amp;" - line "&amp;A33&amp;")"</f>
        <v>(line 8 - line 19)</v>
      </c>
      <c r="E45" s="15">
        <f>E22-E33</f>
        <v>5341783.12</v>
      </c>
      <c r="F45" s="4"/>
      <c r="G45" s="4" t="s">
        <v>54</v>
      </c>
      <c r="H45" s="8"/>
      <c r="I45" s="4"/>
      <c r="J45" s="4">
        <f>J22-J33</f>
        <v>1594336.5108751026</v>
      </c>
      <c r="K45" s="4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</row>
    <row r="46" spans="1:47" ht="15.75" thickBot="1">
      <c r="A46" s="13">
        <f t="shared" si="0"/>
        <v>32</v>
      </c>
      <c r="B46" s="6"/>
      <c r="C46" s="2" t="str">
        <f>+C34</f>
        <v>  Common</v>
      </c>
      <c r="D46" s="4" t="str">
        <f>"(line "&amp;A23&amp;" - line "&amp;A34&amp;")"</f>
        <v>(line 9 - line 20)</v>
      </c>
      <c r="E46" s="21">
        <f>E23-E34</f>
        <v>0</v>
      </c>
      <c r="F46" s="4"/>
      <c r="G46" s="4" t="s">
        <v>54</v>
      </c>
      <c r="H46" s="8"/>
      <c r="I46" s="4"/>
      <c r="J46" s="248">
        <f>J23-J34</f>
        <v>0</v>
      </c>
      <c r="K46" s="4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</row>
    <row r="47" spans="1:47" ht="15">
      <c r="A47" s="13">
        <f t="shared" si="0"/>
        <v>33</v>
      </c>
      <c r="B47" s="6"/>
      <c r="C47" s="2" t="s">
        <v>5</v>
      </c>
      <c r="D47" s="4" t="str">
        <f>"(sum lines "&amp;A38&amp;" - "&amp;A46&amp;")"</f>
        <v>(sum lines 24 - 32)</v>
      </c>
      <c r="E47" s="15">
        <f>SUM(E38:E46)</f>
        <v>810400510.7613292</v>
      </c>
      <c r="F47" s="4"/>
      <c r="G47" s="4" t="s">
        <v>158</v>
      </c>
      <c r="H47" s="249">
        <f>+J47/E47</f>
        <v>0.1408183984808742</v>
      </c>
      <c r="I47" s="4"/>
      <c r="J47" s="4">
        <f>SUM(J38:J46)</f>
        <v>114119302.05349284</v>
      </c>
      <c r="K47" s="4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</row>
    <row r="48" spans="1:47" ht="15">
      <c r="A48" s="13">
        <f t="shared" si="0"/>
        <v>34</v>
      </c>
      <c r="B48" s="6"/>
      <c r="C48" s="6"/>
      <c r="D48" s="4"/>
      <c r="E48" s="86"/>
      <c r="F48" s="4"/>
      <c r="G48" s="6"/>
      <c r="H48" s="6"/>
      <c r="I48" s="4"/>
      <c r="J48" s="6"/>
      <c r="K48" s="4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</row>
    <row r="49" spans="1:47" ht="15">
      <c r="A49" s="13">
        <f t="shared" si="0"/>
        <v>35</v>
      </c>
      <c r="B49" s="6"/>
      <c r="C49" s="12" t="s">
        <v>27</v>
      </c>
      <c r="D49" s="4" t="s">
        <v>393</v>
      </c>
      <c r="E49" s="15"/>
      <c r="F49" s="4"/>
      <c r="G49" s="4"/>
      <c r="H49" s="4"/>
      <c r="I49" s="4"/>
      <c r="J49" s="4"/>
      <c r="K49" s="4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</row>
    <row r="50" spans="1:47" ht="15">
      <c r="A50" s="13">
        <f t="shared" si="0"/>
        <v>36</v>
      </c>
      <c r="B50" s="6"/>
      <c r="C50" s="2" t="s">
        <v>203</v>
      </c>
      <c r="D50" s="4" t="s">
        <v>159</v>
      </c>
      <c r="E50" s="192">
        <f>+'WP6 Rate Base'!F50</f>
        <v>0</v>
      </c>
      <c r="F50" s="15"/>
      <c r="G50" s="15" t="str">
        <f>+G27</f>
        <v>NA</v>
      </c>
      <c r="H50" s="250" t="s">
        <v>223</v>
      </c>
      <c r="I50" s="4"/>
      <c r="J50" s="74">
        <v>0</v>
      </c>
      <c r="K50" s="4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</row>
    <row r="51" spans="1:47" ht="15">
      <c r="A51" s="13">
        <f t="shared" si="0"/>
        <v>37</v>
      </c>
      <c r="B51" s="6"/>
      <c r="C51" s="2" t="s">
        <v>204</v>
      </c>
      <c r="D51" s="4" t="s">
        <v>161</v>
      </c>
      <c r="E51" s="192">
        <f>+'WP6 Rate Base'!F51</f>
        <v>-189107994</v>
      </c>
      <c r="F51" s="4"/>
      <c r="G51" s="4" t="s">
        <v>160</v>
      </c>
      <c r="H51" s="246">
        <f>+H47</f>
        <v>0.1408183984808742</v>
      </c>
      <c r="I51" s="4"/>
      <c r="J51" s="86">
        <v>-33556482</v>
      </c>
      <c r="K51" s="4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</row>
    <row r="52" spans="1:47" ht="15">
      <c r="A52" s="13">
        <f t="shared" si="0"/>
        <v>38</v>
      </c>
      <c r="B52" s="6"/>
      <c r="C52" s="2" t="s">
        <v>205</v>
      </c>
      <c r="D52" s="4" t="s">
        <v>162</v>
      </c>
      <c r="E52" s="192">
        <f>+'WP6 Rate Base'!F52</f>
        <v>-31595886</v>
      </c>
      <c r="F52" s="4"/>
      <c r="G52" s="4" t="str">
        <f>+G51</f>
        <v>NP</v>
      </c>
      <c r="H52" s="246">
        <f>+H51</f>
        <v>0.1408183984808742</v>
      </c>
      <c r="I52" s="4"/>
      <c r="J52" s="74">
        <f>E52*H52</f>
        <v>-4449282.065104275</v>
      </c>
      <c r="K52" s="4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</row>
    <row r="53" spans="1:47" ht="15">
      <c r="A53" s="13">
        <f t="shared" si="0"/>
        <v>39</v>
      </c>
      <c r="B53" s="6"/>
      <c r="C53" s="2" t="s">
        <v>207</v>
      </c>
      <c r="D53" s="4" t="s">
        <v>163</v>
      </c>
      <c r="E53" s="192">
        <f>+'WP6 Rate Base'!F53</f>
        <v>30565748</v>
      </c>
      <c r="F53" s="4"/>
      <c r="G53" s="4" t="str">
        <f>+G52</f>
        <v>NP</v>
      </c>
      <c r="H53" s="246">
        <f>+H52</f>
        <v>0.1408183984808742</v>
      </c>
      <c r="I53" s="4"/>
      <c r="J53" s="86">
        <v>4304269</v>
      </c>
      <c r="K53" s="4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</row>
    <row r="54" spans="1:47" ht="15">
      <c r="A54" s="13">
        <f t="shared" si="0"/>
        <v>40</v>
      </c>
      <c r="B54" s="6"/>
      <c r="C54" s="6" t="s">
        <v>206</v>
      </c>
      <c r="D54" s="6" t="s">
        <v>85</v>
      </c>
      <c r="E54" s="192">
        <f>+'WP6 Rate Base'!F54</f>
        <v>0</v>
      </c>
      <c r="F54" s="4"/>
      <c r="G54" s="4" t="str">
        <f>+G53</f>
        <v>NP</v>
      </c>
      <c r="H54" s="246">
        <f>+H52</f>
        <v>0.1408183984808742</v>
      </c>
      <c r="I54" s="4"/>
      <c r="J54" s="251">
        <f>E54*H54</f>
        <v>0</v>
      </c>
      <c r="K54" s="4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</row>
    <row r="55" spans="1:47" ht="15.75" thickBot="1">
      <c r="A55" s="13">
        <f t="shared" si="0"/>
        <v>41</v>
      </c>
      <c r="B55" s="6"/>
      <c r="C55" s="2" t="s">
        <v>225</v>
      </c>
      <c r="D55" s="20" t="s">
        <v>321</v>
      </c>
      <c r="E55" s="193">
        <f>+'WP6 Rate Base'!F55</f>
        <v>2999344.5999999996</v>
      </c>
      <c r="F55" s="4"/>
      <c r="G55" s="4" t="str">
        <f>+G54</f>
        <v>NP</v>
      </c>
      <c r="H55" s="246">
        <f>+H54</f>
        <v>0.1408183984808742</v>
      </c>
      <c r="I55" s="4"/>
      <c r="J55" s="252">
        <f>+H55*E55</f>
        <v>422362.9030642582</v>
      </c>
      <c r="K55" s="4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</row>
    <row r="56" spans="1:47" ht="15">
      <c r="A56" s="13">
        <f t="shared" si="0"/>
        <v>42</v>
      </c>
      <c r="B56" s="6"/>
      <c r="C56" s="2" t="s">
        <v>7</v>
      </c>
      <c r="D56" s="4" t="str">
        <f>"(sum lines "&amp;A50&amp;" - "&amp;A55&amp;")"</f>
        <v>(sum lines 36 - 41)</v>
      </c>
      <c r="E56" s="15"/>
      <c r="F56" s="4"/>
      <c r="G56" s="4"/>
      <c r="H56" s="4"/>
      <c r="I56" s="4"/>
      <c r="J56" s="74">
        <f>SUM(J50:J55)</f>
        <v>-33279132.162040018</v>
      </c>
      <c r="K56" s="4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</row>
    <row r="57" spans="1:47" ht="15">
      <c r="A57" s="13">
        <f t="shared" si="0"/>
        <v>43</v>
      </c>
      <c r="B57" s="6"/>
      <c r="C57" s="6"/>
      <c r="D57" s="4"/>
      <c r="E57" s="20"/>
      <c r="F57" s="4"/>
      <c r="G57" s="4"/>
      <c r="H57" s="8"/>
      <c r="I57" s="4"/>
      <c r="J57" s="6"/>
      <c r="K57" s="4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</row>
    <row r="58" spans="1:47" ht="15">
      <c r="A58" s="13">
        <f t="shared" si="0"/>
        <v>44</v>
      </c>
      <c r="B58" s="6"/>
      <c r="C58" s="12" t="s">
        <v>164</v>
      </c>
      <c r="D58" s="4" t="s">
        <v>356</v>
      </c>
      <c r="E58" s="15">
        <f>+'WP6 Rate Base'!F58</f>
        <v>0</v>
      </c>
      <c r="F58" s="4"/>
      <c r="G58" s="15" t="s">
        <v>296</v>
      </c>
      <c r="H58" s="253">
        <v>0</v>
      </c>
      <c r="I58" s="4"/>
      <c r="J58" s="4">
        <f>+H58*E58</f>
        <v>0</v>
      </c>
      <c r="K58" s="4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</row>
    <row r="59" spans="1:47" ht="15">
      <c r="A59" s="13">
        <f t="shared" si="0"/>
        <v>45</v>
      </c>
      <c r="B59" s="6"/>
      <c r="C59" s="2"/>
      <c r="D59" s="4"/>
      <c r="E59" s="15"/>
      <c r="F59" s="4"/>
      <c r="G59" s="4"/>
      <c r="H59" s="4"/>
      <c r="I59" s="4"/>
      <c r="J59" s="4"/>
      <c r="K59" s="4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</row>
    <row r="60" spans="1:47" ht="15">
      <c r="A60" s="13">
        <f t="shared" si="0"/>
        <v>46</v>
      </c>
      <c r="B60" s="6"/>
      <c r="C60" s="2" t="s">
        <v>230</v>
      </c>
      <c r="D60" s="4" t="s">
        <v>129</v>
      </c>
      <c r="E60" s="15"/>
      <c r="F60" s="4"/>
      <c r="G60" s="4"/>
      <c r="H60" s="4"/>
      <c r="I60" s="4"/>
      <c r="J60" s="4"/>
      <c r="K60" s="4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</row>
    <row r="61" spans="1:47" ht="15">
      <c r="A61" s="13">
        <f t="shared" si="0"/>
        <v>47</v>
      </c>
      <c r="B61" s="6"/>
      <c r="C61" s="2" t="s">
        <v>222</v>
      </c>
      <c r="D61" s="20" t="str">
        <f>"(1/8 * line "&amp;A90&amp;")"</f>
        <v>(1/8 * line 63)</v>
      </c>
      <c r="E61" s="15">
        <f>+E90/8</f>
        <v>3178843.625</v>
      </c>
      <c r="F61" s="4"/>
      <c r="G61" s="4" t="s">
        <v>54</v>
      </c>
      <c r="H61" s="8"/>
      <c r="I61" s="4"/>
      <c r="J61" s="4">
        <f>+J90/8</f>
        <v>443621.87834810035</v>
      </c>
      <c r="K61" s="1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</row>
    <row r="62" spans="1:47" ht="15">
      <c r="A62" s="13">
        <f t="shared" si="0"/>
        <v>48</v>
      </c>
      <c r="B62" s="6"/>
      <c r="C62" s="2" t="s">
        <v>267</v>
      </c>
      <c r="D62" s="4" t="s">
        <v>95</v>
      </c>
      <c r="E62" s="190">
        <f>+'WP6 Rate Base'!F62</f>
        <v>4339123</v>
      </c>
      <c r="F62" s="4"/>
      <c r="G62" s="4" t="s">
        <v>92</v>
      </c>
      <c r="H62" s="246">
        <f>+J181</f>
        <v>0.2984652268838467</v>
      </c>
      <c r="I62" s="4"/>
      <c r="J62" s="4">
        <f>+H62*E62</f>
        <v>1295077.3306719174</v>
      </c>
      <c r="K62" s="4" t="s">
        <v>129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</row>
    <row r="63" spans="1:47" ht="15">
      <c r="A63" s="13">
        <f t="shared" si="0"/>
        <v>49</v>
      </c>
      <c r="B63" s="6"/>
      <c r="C63" s="2" t="s">
        <v>267</v>
      </c>
      <c r="D63" s="4" t="s">
        <v>94</v>
      </c>
      <c r="E63" s="190">
        <f>+'WP6 Rate Base'!F63</f>
        <v>19709</v>
      </c>
      <c r="F63" s="4"/>
      <c r="G63" s="4" t="s">
        <v>134</v>
      </c>
      <c r="H63" s="246">
        <f>+J144</f>
        <v>0.865338</v>
      </c>
      <c r="I63" s="4"/>
      <c r="J63" s="4">
        <f>+H63*E63</f>
        <v>17054.946642000003</v>
      </c>
      <c r="K63" s="4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</row>
    <row r="64" spans="1:47" ht="15.75" thickBot="1">
      <c r="A64" s="13">
        <f t="shared" si="0"/>
        <v>50</v>
      </c>
      <c r="B64" s="6"/>
      <c r="C64" s="2" t="s">
        <v>208</v>
      </c>
      <c r="D64" s="4" t="s">
        <v>38</v>
      </c>
      <c r="E64" s="190">
        <f>+'WP6 Rate Base'!F64</f>
        <v>3481482</v>
      </c>
      <c r="F64" s="4"/>
      <c r="G64" s="4" t="s">
        <v>165</v>
      </c>
      <c r="H64" s="246">
        <f>+H24</f>
        <v>0.1301421203141312</v>
      </c>
      <c r="I64" s="4"/>
      <c r="J64" s="248">
        <f>+H64*E64</f>
        <v>453087.4493154821</v>
      </c>
      <c r="K64" s="4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</row>
    <row r="65" spans="1:47" ht="15">
      <c r="A65" s="13">
        <f t="shared" si="0"/>
        <v>51</v>
      </c>
      <c r="B65" s="6"/>
      <c r="C65" s="2" t="s">
        <v>8</v>
      </c>
      <c r="D65" s="4" t="str">
        <f>"(sum lines "&amp;A61&amp;" - "&amp;A64&amp;")"</f>
        <v>(sum lines 47 - 50)</v>
      </c>
      <c r="E65" s="15"/>
      <c r="F65" s="1"/>
      <c r="G65" s="1"/>
      <c r="H65" s="1"/>
      <c r="I65" s="1"/>
      <c r="J65" s="4">
        <f>SUM(J61:J64)</f>
        <v>2208841.6049774997</v>
      </c>
      <c r="K65" s="1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</row>
    <row r="66" spans="1:47" ht="15.75" thickBot="1">
      <c r="A66" s="13">
        <f t="shared" si="0"/>
        <v>52</v>
      </c>
      <c r="B66" s="6"/>
      <c r="C66" s="6"/>
      <c r="D66" s="4"/>
      <c r="E66" s="254"/>
      <c r="F66" s="4"/>
      <c r="G66" s="4"/>
      <c r="H66" s="4"/>
      <c r="I66" s="4"/>
      <c r="J66" s="255"/>
      <c r="K66" s="4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</row>
    <row r="67" spans="1:47" ht="15.75" thickBot="1">
      <c r="A67" s="13">
        <f t="shared" si="0"/>
        <v>53</v>
      </c>
      <c r="B67" s="6"/>
      <c r="C67" s="2" t="s">
        <v>9</v>
      </c>
      <c r="D67" s="4" t="str">
        <f>"(sum lines "&amp;A47&amp;", "&amp;A56&amp;", "&amp;A58&amp;", &amp; "&amp;A65&amp;")"</f>
        <v>(sum lines 33, 42, 44, &amp; 51)</v>
      </c>
      <c r="E67" s="256"/>
      <c r="F67" s="4"/>
      <c r="G67" s="4"/>
      <c r="H67" s="8"/>
      <c r="I67" s="4"/>
      <c r="J67" s="257">
        <f>+J65+J58+J56+J47</f>
        <v>83049011.49643032</v>
      </c>
      <c r="K67" s="4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</row>
    <row r="68" spans="1:47" ht="30.75" thickTop="1">
      <c r="A68" s="13"/>
      <c r="B68" s="6"/>
      <c r="C68" s="2"/>
      <c r="D68" s="4"/>
      <c r="E68" s="256"/>
      <c r="F68" s="4"/>
      <c r="G68" s="4"/>
      <c r="H68" s="8"/>
      <c r="I68" s="236" t="s">
        <v>320</v>
      </c>
      <c r="J68" s="326" t="s">
        <v>381</v>
      </c>
      <c r="K68" s="4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</row>
    <row r="69" spans="1:47" ht="15">
      <c r="A69" s="13"/>
      <c r="B69" s="6"/>
      <c r="C69" s="2"/>
      <c r="D69" s="4"/>
      <c r="E69" s="15"/>
      <c r="F69" s="4"/>
      <c r="G69" s="4"/>
      <c r="I69" s="237" t="s">
        <v>112</v>
      </c>
      <c r="J69" s="327">
        <v>2017</v>
      </c>
      <c r="K69" s="4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</row>
    <row r="70" spans="1:47" ht="15">
      <c r="A70" s="13"/>
      <c r="B70" s="6"/>
      <c r="C70" s="2"/>
      <c r="D70" s="4"/>
      <c r="E70" s="15"/>
      <c r="F70" s="4"/>
      <c r="G70" s="4"/>
      <c r="H70" s="4"/>
      <c r="K70" s="4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</row>
    <row r="71" spans="1:47" ht="15.75">
      <c r="A71" s="330" t="s">
        <v>234</v>
      </c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</row>
    <row r="72" spans="1:47" ht="15.75">
      <c r="A72" s="331" t="s">
        <v>130</v>
      </c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</row>
    <row r="73" spans="1:47" ht="15">
      <c r="A73" s="6"/>
      <c r="B73" s="6"/>
      <c r="C73" s="1"/>
      <c r="D73" s="1"/>
      <c r="F73" s="1"/>
      <c r="G73" s="1"/>
      <c r="H73" s="1"/>
      <c r="I73" s="1"/>
      <c r="J73" s="1"/>
      <c r="K73" s="1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</row>
    <row r="74" spans="1:47" ht="15.75">
      <c r="A74" s="332" t="s">
        <v>233</v>
      </c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</row>
    <row r="75" spans="1:47" ht="15">
      <c r="A75" s="13"/>
      <c r="B75" s="6"/>
      <c r="C75" s="3" t="s">
        <v>135</v>
      </c>
      <c r="D75" s="3" t="s">
        <v>136</v>
      </c>
      <c r="E75" s="239" t="s">
        <v>137</v>
      </c>
      <c r="F75" s="4" t="s">
        <v>129</v>
      </c>
      <c r="G75" s="4"/>
      <c r="H75" s="240" t="s">
        <v>138</v>
      </c>
      <c r="I75" s="4"/>
      <c r="J75" s="241" t="s">
        <v>139</v>
      </c>
      <c r="K75" s="4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</row>
    <row r="76" spans="1:47" ht="15">
      <c r="A76" s="13"/>
      <c r="B76" s="6"/>
      <c r="C76" s="3"/>
      <c r="D76" s="258"/>
      <c r="E76" s="19"/>
      <c r="F76" s="258"/>
      <c r="G76" s="258"/>
      <c r="H76" s="258"/>
      <c r="I76" s="258"/>
      <c r="J76" s="258"/>
      <c r="K76" s="258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</row>
    <row r="77" spans="1:47" ht="15.75">
      <c r="A77" s="13" t="s">
        <v>131</v>
      </c>
      <c r="B77" s="6"/>
      <c r="C77" s="2"/>
      <c r="D77" s="10" t="s">
        <v>140</v>
      </c>
      <c r="E77" s="15"/>
      <c r="F77" s="4"/>
      <c r="G77" s="18" t="str">
        <f>+G10</f>
        <v>      Allocator</v>
      </c>
      <c r="H77" s="13"/>
      <c r="I77" s="4"/>
      <c r="J77" s="14" t="s">
        <v>141</v>
      </c>
      <c r="K77" s="4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</row>
    <row r="78" spans="1:47" ht="16.5" thickBot="1">
      <c r="A78" s="16" t="s">
        <v>132</v>
      </c>
      <c r="B78" s="6"/>
      <c r="C78" s="2"/>
      <c r="D78" s="17" t="s">
        <v>142</v>
      </c>
      <c r="E78" s="243" t="s">
        <v>143</v>
      </c>
      <c r="F78" s="18"/>
      <c r="G78" s="259" t="str">
        <f>+G11</f>
        <v>        (page 4)</v>
      </c>
      <c r="H78" s="6"/>
      <c r="I78" s="18"/>
      <c r="J78" s="13" t="s">
        <v>144</v>
      </c>
      <c r="K78" s="4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</row>
    <row r="79" spans="1:47" ht="15.75">
      <c r="A79" s="6"/>
      <c r="B79" s="6"/>
      <c r="C79" s="2"/>
      <c r="D79" s="4"/>
      <c r="E79" s="260"/>
      <c r="F79" s="261"/>
      <c r="G79" s="262"/>
      <c r="H79" s="6"/>
      <c r="I79" s="261"/>
      <c r="J79" s="263"/>
      <c r="K79" s="4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</row>
    <row r="80" spans="1:47" ht="15">
      <c r="A80" s="13"/>
      <c r="B80" s="6"/>
      <c r="C80" s="2" t="s">
        <v>166</v>
      </c>
      <c r="D80" s="4"/>
      <c r="E80" s="15"/>
      <c r="F80" s="4"/>
      <c r="G80" s="4"/>
      <c r="H80" s="4"/>
      <c r="I80" s="4"/>
      <c r="J80" s="4"/>
      <c r="K80" s="4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</row>
    <row r="81" spans="1:47" ht="15">
      <c r="A81" s="13">
        <f>+A67+1</f>
        <v>54</v>
      </c>
      <c r="B81" s="6"/>
      <c r="C81" s="2" t="s">
        <v>167</v>
      </c>
      <c r="D81" s="4" t="s">
        <v>98</v>
      </c>
      <c r="E81" s="190">
        <v>23463615</v>
      </c>
      <c r="F81" s="4"/>
      <c r="G81" s="15" t="s">
        <v>134</v>
      </c>
      <c r="H81" s="253">
        <f>+J144</f>
        <v>0.865338</v>
      </c>
      <c r="I81" s="4"/>
      <c r="J81" s="4">
        <f>+H81*E81</f>
        <v>20303957.67687</v>
      </c>
      <c r="K81" s="1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</row>
    <row r="82" spans="1:47" ht="15">
      <c r="A82" s="13">
        <f>+A81+1</f>
        <v>55</v>
      </c>
      <c r="B82" s="6"/>
      <c r="C82" s="2" t="s">
        <v>34</v>
      </c>
      <c r="D82" s="4" t="s">
        <v>357</v>
      </c>
      <c r="E82" s="190">
        <f>2568967+19065613</f>
        <v>21634580</v>
      </c>
      <c r="F82" s="4"/>
      <c r="G82" s="15" t="str">
        <f>+G81</f>
        <v>TP</v>
      </c>
      <c r="H82" s="253">
        <f>+H81</f>
        <v>0.865338</v>
      </c>
      <c r="I82" s="4"/>
      <c r="J82" s="4">
        <f aca="true" t="shared" si="1" ref="J82:J89">+H82*E82</f>
        <v>18721224.18804</v>
      </c>
      <c r="K82" s="1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</row>
    <row r="83" spans="1:47" ht="15">
      <c r="A83" s="13">
        <f aca="true" t="shared" si="2" ref="A83:A122">+A82+1</f>
        <v>56</v>
      </c>
      <c r="B83" s="6"/>
      <c r="C83" s="2" t="s">
        <v>168</v>
      </c>
      <c r="D83" s="4" t="s">
        <v>86</v>
      </c>
      <c r="E83" s="190">
        <v>24850168</v>
      </c>
      <c r="F83" s="4"/>
      <c r="G83" s="4" t="s">
        <v>152</v>
      </c>
      <c r="H83" s="246">
        <f>+H31</f>
        <v>0.10257922009407149</v>
      </c>
      <c r="I83" s="4"/>
      <c r="J83" s="4">
        <f t="shared" si="1"/>
        <v>2549110.852646652</v>
      </c>
      <c r="K83" s="4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</row>
    <row r="84" spans="1:47" ht="15">
      <c r="A84" s="13">
        <f t="shared" si="2"/>
        <v>57</v>
      </c>
      <c r="B84" s="6"/>
      <c r="C84" s="2" t="s">
        <v>32</v>
      </c>
      <c r="D84" s="4" t="s">
        <v>96</v>
      </c>
      <c r="E84" s="190">
        <v>506790</v>
      </c>
      <c r="F84" s="4"/>
      <c r="G84" s="4" t="s">
        <v>152</v>
      </c>
      <c r="H84" s="253">
        <v>1</v>
      </c>
      <c r="I84" s="4"/>
      <c r="J84" s="4">
        <f>+H84*E84</f>
        <v>506790</v>
      </c>
      <c r="K84" s="4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</row>
    <row r="85" spans="1:47" ht="15">
      <c r="A85" s="13">
        <f t="shared" si="2"/>
        <v>58</v>
      </c>
      <c r="B85" s="6"/>
      <c r="C85" s="233" t="s">
        <v>226</v>
      </c>
      <c r="D85" s="15" t="s">
        <v>114</v>
      </c>
      <c r="E85" s="15">
        <v>227200</v>
      </c>
      <c r="F85" s="15"/>
      <c r="G85" s="4" t="str">
        <f>G83</f>
        <v>W/S</v>
      </c>
      <c r="H85" s="253">
        <f>$J$176</f>
        <v>0.10257922009407149</v>
      </c>
      <c r="I85" s="15"/>
      <c r="J85" s="4">
        <f t="shared" si="1"/>
        <v>23305.99880537304</v>
      </c>
      <c r="K85" s="4"/>
      <c r="L85" s="113"/>
      <c r="M85" s="325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</row>
    <row r="86" spans="1:47" ht="15">
      <c r="A86" s="13">
        <f t="shared" si="2"/>
        <v>59</v>
      </c>
      <c r="B86" s="6"/>
      <c r="C86" s="233" t="s">
        <v>227</v>
      </c>
      <c r="D86" s="15" t="s">
        <v>115</v>
      </c>
      <c r="E86" s="15">
        <v>242516</v>
      </c>
      <c r="F86" s="15"/>
      <c r="G86" s="4" t="str">
        <f>+G85</f>
        <v>W/S</v>
      </c>
      <c r="H86" s="253">
        <f>$J$176</f>
        <v>0.10257922009407149</v>
      </c>
      <c r="I86" s="15"/>
      <c r="J86" s="4">
        <f t="shared" si="1"/>
        <v>24877.10214033384</v>
      </c>
      <c r="K86" s="4"/>
      <c r="L86" s="113"/>
      <c r="M86" s="325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</row>
    <row r="87" spans="1:47" ht="15">
      <c r="A87" s="13">
        <f t="shared" si="2"/>
        <v>60</v>
      </c>
      <c r="B87" s="6"/>
      <c r="C87" s="233" t="s">
        <v>33</v>
      </c>
      <c r="D87" s="264"/>
      <c r="E87" s="15">
        <v>726348</v>
      </c>
      <c r="F87" s="4"/>
      <c r="G87" s="4" t="str">
        <f>G83</f>
        <v>W/S</v>
      </c>
      <c r="H87" s="253">
        <f>H83</f>
        <v>0.10257922009407149</v>
      </c>
      <c r="I87" s="4"/>
      <c r="J87" s="4">
        <f t="shared" si="1"/>
        <v>74508.21135688864</v>
      </c>
      <c r="K87" s="4"/>
      <c r="L87" s="113"/>
      <c r="M87" s="325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</row>
    <row r="88" spans="1:47" ht="15">
      <c r="A88" s="13">
        <f t="shared" si="2"/>
        <v>61</v>
      </c>
      <c r="B88" s="6"/>
      <c r="C88" s="233" t="s">
        <v>394</v>
      </c>
      <c r="D88" s="15"/>
      <c r="E88" s="15">
        <v>0</v>
      </c>
      <c r="F88" s="15"/>
      <c r="G88" s="265" t="str">
        <f>+G81</f>
        <v>TP</v>
      </c>
      <c r="H88" s="253">
        <f>+H81</f>
        <v>0.865338</v>
      </c>
      <c r="I88" s="15"/>
      <c r="J88" s="15">
        <f>+H88*E88</f>
        <v>0</v>
      </c>
      <c r="K88" s="4"/>
      <c r="L88" s="113"/>
      <c r="M88" s="325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</row>
    <row r="89" spans="1:47" ht="15.75" thickBot="1">
      <c r="A89" s="13">
        <f t="shared" si="2"/>
        <v>62</v>
      </c>
      <c r="B89" s="6"/>
      <c r="C89" s="2" t="s">
        <v>153</v>
      </c>
      <c r="D89" s="4" t="str">
        <f>+D34</f>
        <v>356.1</v>
      </c>
      <c r="E89" s="191">
        <v>0</v>
      </c>
      <c r="F89" s="4"/>
      <c r="G89" s="4" t="s">
        <v>185</v>
      </c>
      <c r="H89" s="246">
        <f>+H34</f>
        <v>0</v>
      </c>
      <c r="I89" s="4"/>
      <c r="J89" s="248">
        <f t="shared" si="1"/>
        <v>0</v>
      </c>
      <c r="K89" s="4"/>
      <c r="L89" s="113"/>
      <c r="M89" s="325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</row>
    <row r="90" spans="1:47" ht="15">
      <c r="A90" s="13">
        <f t="shared" si="2"/>
        <v>63</v>
      </c>
      <c r="B90" s="6"/>
      <c r="C90" s="2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4"/>
      <c r="E90" s="256">
        <f>+E81-E82+E83-E84-E87+E89+E88+E85-E86</f>
        <v>25430749</v>
      </c>
      <c r="F90" s="4"/>
      <c r="G90" s="4"/>
      <c r="H90" s="4"/>
      <c r="I90" s="4"/>
      <c r="J90" s="266">
        <f>+J81-J82+J83-J84-J87+J89+J88+J85-J86</f>
        <v>3548975.026784803</v>
      </c>
      <c r="K90" s="4"/>
      <c r="L90" s="113"/>
      <c r="M90" s="324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</row>
    <row r="91" spans="1:47" ht="15">
      <c r="A91" s="13">
        <f t="shared" si="2"/>
        <v>64</v>
      </c>
      <c r="B91" s="6"/>
      <c r="C91" s="6"/>
      <c r="D91" s="4"/>
      <c r="E91" s="20"/>
      <c r="F91" s="4"/>
      <c r="G91" s="4"/>
      <c r="H91" s="4"/>
      <c r="I91" s="4"/>
      <c r="J91" s="6"/>
      <c r="K91" s="4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</row>
    <row r="92" spans="1:47" ht="15">
      <c r="A92" s="13">
        <f t="shared" si="2"/>
        <v>65</v>
      </c>
      <c r="B92" s="6"/>
      <c r="C92" s="2" t="s">
        <v>119</v>
      </c>
      <c r="D92" s="4"/>
      <c r="E92" s="15"/>
      <c r="F92" s="4"/>
      <c r="G92" s="4"/>
      <c r="H92" s="4"/>
      <c r="I92" s="4"/>
      <c r="J92" s="4"/>
      <c r="K92" s="4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</row>
    <row r="93" spans="1:47" ht="15">
      <c r="A93" s="13">
        <f t="shared" si="2"/>
        <v>66</v>
      </c>
      <c r="B93" s="6"/>
      <c r="C93" s="2" t="str">
        <f>+C16</f>
        <v>  Transmission</v>
      </c>
      <c r="D93" s="187" t="s">
        <v>358</v>
      </c>
      <c r="E93" s="190">
        <f>E16*'BHP WP5 Depreciation Rates'!H21</f>
        <v>2730836.3183999998</v>
      </c>
      <c r="F93" s="4"/>
      <c r="G93" s="4" t="s">
        <v>134</v>
      </c>
      <c r="H93" s="246">
        <f>+J144</f>
        <v>0.865338</v>
      </c>
      <c r="I93" s="4"/>
      <c r="J93" s="15">
        <f>+H93*E93</f>
        <v>2363096.438091619</v>
      </c>
      <c r="K93" s="4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</row>
    <row r="94" spans="1:47" ht="15">
      <c r="A94" s="13">
        <f t="shared" si="2"/>
        <v>67</v>
      </c>
      <c r="B94" s="6"/>
      <c r="C94" s="2" t="str">
        <f>+C17</f>
        <v>  New Construction CUS Assets</v>
      </c>
      <c r="D94" s="2" t="s">
        <v>373</v>
      </c>
      <c r="E94" s="15">
        <f>'BHP WP2 Capital Additions'!F22</f>
        <v>732964.0495999999</v>
      </c>
      <c r="F94" s="4"/>
      <c r="G94" s="4" t="s">
        <v>134</v>
      </c>
      <c r="H94" s="246">
        <f>H93</f>
        <v>0.865338</v>
      </c>
      <c r="I94" s="4"/>
      <c r="J94" s="15">
        <f>+H94*E94</f>
        <v>634261.6447527647</v>
      </c>
      <c r="K94" s="4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</row>
    <row r="95" spans="1:47" ht="15">
      <c r="A95" s="13">
        <f t="shared" si="2"/>
        <v>68</v>
      </c>
      <c r="B95" s="6"/>
      <c r="C95" s="2" t="str">
        <f>+C18</f>
        <v>  New Construction CUS Assets</v>
      </c>
      <c r="D95" s="2" t="s">
        <v>372</v>
      </c>
      <c r="E95" s="15">
        <f>'BHP WP3 Capital Additions'!F27</f>
        <v>371274.2545</v>
      </c>
      <c r="F95" s="4"/>
      <c r="G95" s="4" t="s">
        <v>134</v>
      </c>
      <c r="H95" s="246">
        <f>H94</f>
        <v>0.865338</v>
      </c>
      <c r="I95" s="4"/>
      <c r="J95" s="15">
        <f>+H95*E95</f>
        <v>321277.720840521</v>
      </c>
      <c r="K95" s="4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</row>
    <row r="96" spans="1:47" ht="15">
      <c r="A96" s="13">
        <f t="shared" si="2"/>
        <v>69</v>
      </c>
      <c r="B96" s="6"/>
      <c r="C96" s="233" t="s">
        <v>228</v>
      </c>
      <c r="D96" s="15" t="s">
        <v>359</v>
      </c>
      <c r="E96" s="190">
        <f>(E20+E22)*'BHP WP5 Depreciation Rates'!H35</f>
        <v>3491715.9842</v>
      </c>
      <c r="F96" s="4"/>
      <c r="G96" s="4" t="s">
        <v>152</v>
      </c>
      <c r="H96" s="246">
        <f>H85</f>
        <v>0.10257922009407149</v>
      </c>
      <c r="I96" s="4"/>
      <c r="J96" s="4">
        <f>+H96*E96</f>
        <v>358177.5024492392</v>
      </c>
      <c r="K96" s="4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</row>
    <row r="97" spans="1:47" ht="15.75" thickBot="1">
      <c r="A97" s="13">
        <f t="shared" si="2"/>
        <v>70</v>
      </c>
      <c r="B97" s="6"/>
      <c r="C97" s="2" t="str">
        <f>+C89</f>
        <v>  Common</v>
      </c>
      <c r="D97" s="4" t="s">
        <v>87</v>
      </c>
      <c r="E97" s="191">
        <v>0</v>
      </c>
      <c r="F97" s="4"/>
      <c r="G97" s="4" t="s">
        <v>185</v>
      </c>
      <c r="H97" s="246">
        <f>+H89</f>
        <v>0</v>
      </c>
      <c r="I97" s="4"/>
      <c r="J97" s="248">
        <f>+H97*E97</f>
        <v>0</v>
      </c>
      <c r="K97" s="4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</row>
    <row r="98" spans="1:47" ht="15">
      <c r="A98" s="13">
        <f t="shared" si="2"/>
        <v>71</v>
      </c>
      <c r="B98" s="6"/>
      <c r="C98" s="233" t="str">
        <f>"TOTAL DEPRECIATION (Sum lines "&amp;A93&amp;" - "&amp;A97&amp;")"</f>
        <v>TOTAL DEPRECIATION (Sum lines 66 - 70)</v>
      </c>
      <c r="D98" s="4"/>
      <c r="E98" s="15">
        <f>SUM(E93:E97)</f>
        <v>7326790.606699999</v>
      </c>
      <c r="F98" s="4"/>
      <c r="G98" s="4"/>
      <c r="H98" s="4"/>
      <c r="I98" s="4"/>
      <c r="J98" s="4">
        <f>SUM(J93:J97)</f>
        <v>3676813.306134144</v>
      </c>
      <c r="K98" s="4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</row>
    <row r="99" spans="1:47" ht="15">
      <c r="A99" s="13">
        <f t="shared" si="2"/>
        <v>72</v>
      </c>
      <c r="B99" s="6"/>
      <c r="C99" s="2"/>
      <c r="D99" s="4"/>
      <c r="E99" s="15"/>
      <c r="F99" s="4"/>
      <c r="G99" s="4"/>
      <c r="H99" s="4"/>
      <c r="I99" s="4"/>
      <c r="J99" s="4"/>
      <c r="K99" s="4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</row>
    <row r="100" spans="1:47" ht="15">
      <c r="A100" s="13">
        <f t="shared" si="2"/>
        <v>73</v>
      </c>
      <c r="B100" s="6"/>
      <c r="C100" s="2" t="s">
        <v>52</v>
      </c>
      <c r="D100" s="6"/>
      <c r="E100" s="15"/>
      <c r="F100" s="4"/>
      <c r="G100" s="4"/>
      <c r="H100" s="4"/>
      <c r="I100" s="4"/>
      <c r="J100" s="4"/>
      <c r="K100" s="4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</row>
    <row r="101" spans="1:47" ht="15">
      <c r="A101" s="13">
        <f t="shared" si="2"/>
        <v>74</v>
      </c>
      <c r="B101" s="6"/>
      <c r="C101" s="2" t="s">
        <v>169</v>
      </c>
      <c r="D101" s="6"/>
      <c r="E101" s="20"/>
      <c r="F101" s="4"/>
      <c r="G101" s="4"/>
      <c r="H101" s="6"/>
      <c r="I101" s="4"/>
      <c r="J101" s="6"/>
      <c r="K101" s="4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</row>
    <row r="102" spans="1:47" ht="15">
      <c r="A102" s="13">
        <f t="shared" si="2"/>
        <v>75</v>
      </c>
      <c r="B102" s="6"/>
      <c r="C102" s="2" t="s">
        <v>170</v>
      </c>
      <c r="D102" s="4" t="s">
        <v>360</v>
      </c>
      <c r="E102" s="190">
        <v>-168576</v>
      </c>
      <c r="F102" s="4"/>
      <c r="G102" s="4" t="s">
        <v>152</v>
      </c>
      <c r="H102" s="267">
        <f>+J176</f>
        <v>0.10257922009407149</v>
      </c>
      <c r="I102" s="4"/>
      <c r="J102" s="4">
        <f>+H102*E102</f>
        <v>-17292.394606578197</v>
      </c>
      <c r="K102" s="4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</row>
    <row r="103" spans="1:47" ht="15">
      <c r="A103" s="13">
        <f t="shared" si="2"/>
        <v>76</v>
      </c>
      <c r="B103" s="6"/>
      <c r="C103" s="2" t="s">
        <v>171</v>
      </c>
      <c r="D103" s="4" t="s">
        <v>39</v>
      </c>
      <c r="E103" s="190">
        <v>0</v>
      </c>
      <c r="F103" s="4"/>
      <c r="G103" s="4" t="str">
        <f>+G102</f>
        <v>W/S</v>
      </c>
      <c r="H103" s="267">
        <f>+H102</f>
        <v>0.10257922009407149</v>
      </c>
      <c r="I103" s="4"/>
      <c r="J103" s="4">
        <f>+H103*E103</f>
        <v>0</v>
      </c>
      <c r="K103" s="4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</row>
    <row r="104" spans="1:47" ht="15">
      <c r="A104" s="13">
        <f t="shared" si="2"/>
        <v>77</v>
      </c>
      <c r="B104" s="6"/>
      <c r="C104" s="2" t="s">
        <v>172</v>
      </c>
      <c r="D104" s="4" t="s">
        <v>129</v>
      </c>
      <c r="E104" s="20"/>
      <c r="F104" s="4"/>
      <c r="G104" s="4"/>
      <c r="H104" s="6"/>
      <c r="I104" s="4"/>
      <c r="J104" s="6"/>
      <c r="K104" s="4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</row>
    <row r="105" spans="1:47" ht="15">
      <c r="A105" s="13">
        <f t="shared" si="2"/>
        <v>78</v>
      </c>
      <c r="B105" s="6"/>
      <c r="C105" s="2" t="s">
        <v>173</v>
      </c>
      <c r="D105" s="4" t="s">
        <v>361</v>
      </c>
      <c r="E105" s="190">
        <v>5971462</v>
      </c>
      <c r="F105" s="4"/>
      <c r="G105" s="4" t="s">
        <v>165</v>
      </c>
      <c r="H105" s="267">
        <f>+H24</f>
        <v>0.1301421203141312</v>
      </c>
      <c r="I105" s="4"/>
      <c r="J105" s="4">
        <f>+H105*E105</f>
        <v>777138.7260552625</v>
      </c>
      <c r="K105" s="4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</row>
    <row r="106" spans="1:47" ht="15">
      <c r="A106" s="13">
        <f t="shared" si="2"/>
        <v>79</v>
      </c>
      <c r="B106" s="6"/>
      <c r="C106" s="2" t="s">
        <v>174</v>
      </c>
      <c r="D106" s="4" t="s">
        <v>39</v>
      </c>
      <c r="E106" s="190">
        <v>0</v>
      </c>
      <c r="F106" s="4"/>
      <c r="G106" s="15" t="str">
        <f>+G50</f>
        <v>NA</v>
      </c>
      <c r="H106" s="268" t="s">
        <v>223</v>
      </c>
      <c r="I106" s="4"/>
      <c r="J106" s="4">
        <v>0</v>
      </c>
      <c r="K106" s="4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</row>
    <row r="107" spans="1:47" ht="15.75" thickBot="1">
      <c r="A107" s="13">
        <f t="shared" si="2"/>
        <v>80</v>
      </c>
      <c r="B107" s="6"/>
      <c r="C107" s="2" t="s">
        <v>175</v>
      </c>
      <c r="D107" s="4" t="str">
        <f>+D106</f>
        <v>263.i</v>
      </c>
      <c r="E107" s="191">
        <v>0</v>
      </c>
      <c r="F107" s="4"/>
      <c r="G107" s="4" t="str">
        <f>+G105</f>
        <v>GP</v>
      </c>
      <c r="H107" s="267">
        <f>+H105</f>
        <v>0.1301421203141312</v>
      </c>
      <c r="I107" s="4"/>
      <c r="J107" s="248">
        <f>+H107*E107</f>
        <v>0</v>
      </c>
      <c r="K107" s="4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</row>
    <row r="108" spans="1:47" ht="15">
      <c r="A108" s="13">
        <f t="shared" si="2"/>
        <v>81</v>
      </c>
      <c r="B108" s="6"/>
      <c r="C108" s="233" t="str">
        <f>"TOTAL OTHER TAXES  (sum lines "&amp;A102&amp;" - "&amp;A107&amp;")"</f>
        <v>TOTAL OTHER TAXES  (sum lines 75 - 80)</v>
      </c>
      <c r="D108" s="4"/>
      <c r="E108" s="256">
        <f>SUM(E102:E107)</f>
        <v>5802886</v>
      </c>
      <c r="F108" s="4"/>
      <c r="G108" s="4"/>
      <c r="H108" s="267"/>
      <c r="I108" s="4"/>
      <c r="J108" s="266">
        <f>SUM(J102:J107)</f>
        <v>759846.3314486843</v>
      </c>
      <c r="K108" s="4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</row>
    <row r="109" spans="1:47" ht="15">
      <c r="A109" s="13">
        <f t="shared" si="2"/>
        <v>82</v>
      </c>
      <c r="B109" s="6"/>
      <c r="C109" s="2"/>
      <c r="D109" s="4"/>
      <c r="E109" s="15"/>
      <c r="F109" s="4"/>
      <c r="G109" s="4"/>
      <c r="H109" s="267"/>
      <c r="I109" s="4"/>
      <c r="J109" s="4"/>
      <c r="K109" s="4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</row>
    <row r="110" spans="1:47" ht="15">
      <c r="A110" s="13">
        <f t="shared" si="2"/>
        <v>83</v>
      </c>
      <c r="B110" s="6"/>
      <c r="C110" s="2"/>
      <c r="D110" s="4"/>
      <c r="E110" s="15"/>
      <c r="F110" s="4"/>
      <c r="G110" s="4"/>
      <c r="H110" s="267"/>
      <c r="I110" s="4"/>
      <c r="J110" s="4"/>
      <c r="K110" s="4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</row>
    <row r="111" spans="1:47" ht="15">
      <c r="A111" s="13">
        <f t="shared" si="2"/>
        <v>84</v>
      </c>
      <c r="B111" s="6"/>
      <c r="C111" s="2" t="s">
        <v>176</v>
      </c>
      <c r="D111" s="4" t="s">
        <v>51</v>
      </c>
      <c r="E111" s="15"/>
      <c r="F111" s="4"/>
      <c r="G111" s="6"/>
      <c r="H111" s="269"/>
      <c r="I111" s="15"/>
      <c r="J111" s="20"/>
      <c r="K111" s="15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</row>
    <row r="112" spans="1:47" ht="15">
      <c r="A112" s="13">
        <f t="shared" si="2"/>
        <v>85</v>
      </c>
      <c r="B112" s="6"/>
      <c r="C112" s="11" t="s">
        <v>219</v>
      </c>
      <c r="D112" s="4"/>
      <c r="E112" s="270">
        <f>IF(E230&gt;0,1-(((1-E231)*(1-E230))/(1-E231*E230*E232)),0)</f>
        <v>0.35</v>
      </c>
      <c r="F112" s="4"/>
      <c r="G112" s="6"/>
      <c r="H112" s="15"/>
      <c r="I112" s="15"/>
      <c r="J112" s="20"/>
      <c r="K112" s="15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</row>
    <row r="113" spans="1:47" ht="15">
      <c r="A113" s="13">
        <f t="shared" si="2"/>
        <v>86</v>
      </c>
      <c r="B113" s="6"/>
      <c r="C113" s="6" t="s">
        <v>220</v>
      </c>
      <c r="D113" s="4"/>
      <c r="E113" s="270">
        <f>IF(J199&gt;0,(E112/(1-E112))*(1-J196/J199),0)</f>
        <v>0.378591721501511</v>
      </c>
      <c r="F113" s="4"/>
      <c r="G113" s="6"/>
      <c r="H113" s="15"/>
      <c r="I113" s="15"/>
      <c r="J113" s="20"/>
      <c r="K113" s="15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</row>
    <row r="114" spans="1:47" ht="15">
      <c r="A114" s="13">
        <f t="shared" si="2"/>
        <v>87</v>
      </c>
      <c r="B114" s="6"/>
      <c r="C114" s="233" t="str">
        <f>"       where WCLTD=(line "&amp;A196&amp;") and R= (line "&amp;A199&amp;")"</f>
        <v>       where WCLTD=(line 156) and R= (line 159)</v>
      </c>
      <c r="D114" s="15"/>
      <c r="E114" s="15"/>
      <c r="F114" s="4"/>
      <c r="G114" s="6"/>
      <c r="H114" s="269"/>
      <c r="I114" s="15"/>
      <c r="J114" s="20"/>
      <c r="K114" s="15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</row>
    <row r="115" spans="1:47" ht="15">
      <c r="A115" s="13">
        <f t="shared" si="2"/>
        <v>88</v>
      </c>
      <c r="B115" s="6"/>
      <c r="C115" s="2" t="s">
        <v>53</v>
      </c>
      <c r="D115" s="4"/>
      <c r="E115" s="15"/>
      <c r="F115" s="4"/>
      <c r="G115" s="6"/>
      <c r="H115" s="269"/>
      <c r="I115" s="15"/>
      <c r="J115" s="20"/>
      <c r="K115" s="15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</row>
    <row r="116" spans="1:47" ht="15">
      <c r="A116" s="13">
        <f t="shared" si="2"/>
        <v>89</v>
      </c>
      <c r="B116" s="6"/>
      <c r="C116" s="271"/>
      <c r="D116" s="4"/>
      <c r="E116" s="272"/>
      <c r="F116" s="4"/>
      <c r="G116" s="6"/>
      <c r="H116" s="273"/>
      <c r="I116" s="4"/>
      <c r="J116" s="6"/>
      <c r="K116" s="4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</row>
    <row r="117" spans="1:47" ht="15">
      <c r="A117" s="13">
        <f t="shared" si="2"/>
        <v>90</v>
      </c>
      <c r="B117" s="6"/>
      <c r="C117" s="274" t="s">
        <v>210</v>
      </c>
      <c r="D117" s="6" t="str">
        <f>"(line "&amp;A113&amp;" * line "&amp;A120&amp;")"</f>
        <v>(line 86 * line 93)</v>
      </c>
      <c r="E117" s="275"/>
      <c r="F117" s="4"/>
      <c r="G117" s="4" t="s">
        <v>129</v>
      </c>
      <c r="H117" s="267" t="s">
        <v>129</v>
      </c>
      <c r="I117" s="4"/>
      <c r="J117" s="4">
        <f>E113*J120</f>
        <v>2752883.0795416734</v>
      </c>
      <c r="K117" s="4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</row>
    <row r="118" spans="1:47" ht="15">
      <c r="A118" s="13">
        <f t="shared" si="2"/>
        <v>91</v>
      </c>
      <c r="B118" s="6"/>
      <c r="C118" s="276"/>
      <c r="D118" s="277"/>
      <c r="E118" s="15"/>
      <c r="F118" s="15"/>
      <c r="G118" s="15"/>
      <c r="H118" s="278"/>
      <c r="I118" s="15"/>
      <c r="J118" s="15"/>
      <c r="K118" s="4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</row>
    <row r="119" spans="1:47" ht="15">
      <c r="A119" s="13">
        <f t="shared" si="2"/>
        <v>92</v>
      </c>
      <c r="B119" s="6"/>
      <c r="C119" s="2" t="s">
        <v>177</v>
      </c>
      <c r="D119" s="8"/>
      <c r="E119" s="15"/>
      <c r="F119" s="4"/>
      <c r="K119" s="4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</row>
    <row r="120" spans="1:47" ht="17.25" customHeight="1">
      <c r="A120" s="13">
        <f t="shared" si="2"/>
        <v>93</v>
      </c>
      <c r="B120" s="6"/>
      <c r="C120" s="279" t="str">
        <f>"  [ Rate Base (line "&amp;A67&amp;") * R (line "&amp;A199&amp;")]"</f>
        <v>  [ Rate Base (line 53) * R (line 159)]</v>
      </c>
      <c r="D120" s="20"/>
      <c r="E120" s="15"/>
      <c r="F120" s="4"/>
      <c r="G120" t="s">
        <v>54</v>
      </c>
      <c r="J120" s="4">
        <f>+$J199*J67</f>
        <v>7271376.850565092</v>
      </c>
      <c r="K120" s="4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</row>
    <row r="121" spans="1:47" ht="15">
      <c r="A121" s="13">
        <f t="shared" si="2"/>
        <v>94</v>
      </c>
      <c r="B121" s="6"/>
      <c r="C121" s="2"/>
      <c r="D121" s="6"/>
      <c r="E121" s="256"/>
      <c r="F121" s="4"/>
      <c r="G121" s="4"/>
      <c r="H121" s="273"/>
      <c r="I121" s="4"/>
      <c r="J121" s="266"/>
      <c r="K121" s="4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</row>
    <row r="122" spans="1:47" ht="15">
      <c r="A122" s="13">
        <f t="shared" si="2"/>
        <v>95</v>
      </c>
      <c r="B122" s="6"/>
      <c r="C122" s="233" t="str">
        <f>"ESTIMATED REVENUE REQUIREMENT  (sum lines "&amp;A90&amp;", "&amp;A98&amp;", "&amp;A108&amp;", "&amp;A117&amp;", "&amp;A120&amp;")"</f>
        <v>ESTIMATED REVENUE REQUIREMENT  (sum lines 63, 71, 81, 90, 93)</v>
      </c>
      <c r="D122" s="4"/>
      <c r="E122" s="234">
        <f>E117+E108+E98+E90</f>
        <v>38560425.6067</v>
      </c>
      <c r="F122" s="4"/>
      <c r="G122" s="4"/>
      <c r="H122" s="4"/>
      <c r="I122" s="4"/>
      <c r="J122" s="280">
        <f>J117+J108+J98+J90+J120</f>
        <v>18009894.594474394</v>
      </c>
      <c r="K122" s="1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</row>
    <row r="123" spans="1:47" ht="15">
      <c r="A123" s="13"/>
      <c r="B123" s="6"/>
      <c r="C123" s="6"/>
      <c r="D123" s="6"/>
      <c r="E123" s="20"/>
      <c r="F123" s="6"/>
      <c r="G123" s="6"/>
      <c r="H123" s="6"/>
      <c r="I123" s="6"/>
      <c r="J123" s="6"/>
      <c r="K123" s="4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</row>
    <row r="124" spans="1:47" ht="30">
      <c r="A124" s="13"/>
      <c r="B124" s="6"/>
      <c r="C124" s="6"/>
      <c r="D124" s="6"/>
      <c r="E124" s="20"/>
      <c r="F124" s="6"/>
      <c r="G124" s="6"/>
      <c r="H124" s="6"/>
      <c r="I124" s="236" t="s">
        <v>320</v>
      </c>
      <c r="J124" s="326" t="s">
        <v>382</v>
      </c>
      <c r="K124" s="4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</row>
    <row r="125" spans="1:47" ht="15">
      <c r="A125" s="13"/>
      <c r="B125" s="6"/>
      <c r="C125" s="6"/>
      <c r="D125" s="6"/>
      <c r="E125" s="20"/>
      <c r="F125" s="6"/>
      <c r="G125" s="6"/>
      <c r="H125" s="6"/>
      <c r="I125" s="237" t="s">
        <v>112</v>
      </c>
      <c r="J125" s="327">
        <v>2017</v>
      </c>
      <c r="K125" s="4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</row>
    <row r="126" spans="1:47" ht="15.75">
      <c r="A126" s="330" t="s">
        <v>234</v>
      </c>
      <c r="B126" s="330"/>
      <c r="C126" s="330"/>
      <c r="D126" s="330"/>
      <c r="E126" s="330"/>
      <c r="F126" s="330"/>
      <c r="G126" s="330"/>
      <c r="H126" s="330"/>
      <c r="I126" s="330"/>
      <c r="J126" s="330"/>
      <c r="K126" s="330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</row>
    <row r="127" spans="1:47" ht="15.75">
      <c r="A127" s="331" t="s">
        <v>130</v>
      </c>
      <c r="B127" s="331"/>
      <c r="C127" s="331"/>
      <c r="D127" s="331"/>
      <c r="E127" s="331"/>
      <c r="F127" s="331"/>
      <c r="G127" s="331"/>
      <c r="H127" s="331"/>
      <c r="I127" s="331"/>
      <c r="J127" s="331"/>
      <c r="K127" s="331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</row>
    <row r="128" spans="1:47" ht="15">
      <c r="A128" s="6"/>
      <c r="B128" s="6"/>
      <c r="C128" s="1"/>
      <c r="D128" s="1"/>
      <c r="F128" s="1"/>
      <c r="G128" s="1"/>
      <c r="H128" s="1"/>
      <c r="I128" s="1"/>
      <c r="J128" s="1"/>
      <c r="K128" s="1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</row>
    <row r="129" spans="1:47" ht="15.75">
      <c r="A129" s="332" t="s">
        <v>233</v>
      </c>
      <c r="B129" s="332"/>
      <c r="C129" s="332"/>
      <c r="D129" s="332"/>
      <c r="E129" s="332"/>
      <c r="F129" s="332"/>
      <c r="G129" s="332"/>
      <c r="H129" s="332"/>
      <c r="I129" s="332"/>
      <c r="J129" s="332"/>
      <c r="K129" s="332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</row>
    <row r="130" spans="1:47" ht="15">
      <c r="A130" s="13"/>
      <c r="B130" s="6"/>
      <c r="C130" s="6"/>
      <c r="D130" s="2"/>
      <c r="E130" s="233"/>
      <c r="F130" s="2"/>
      <c r="G130" s="2"/>
      <c r="H130" s="281"/>
      <c r="I130" s="2"/>
      <c r="J130" s="2"/>
      <c r="K130" s="2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</row>
    <row r="131" spans="1:47" ht="15" customHeight="1">
      <c r="A131" s="333" t="s">
        <v>2</v>
      </c>
      <c r="B131" s="333"/>
      <c r="C131" s="333"/>
      <c r="D131" s="333"/>
      <c r="E131" s="333"/>
      <c r="F131" s="333"/>
      <c r="G131" s="333"/>
      <c r="H131" s="333"/>
      <c r="I131" s="333"/>
      <c r="J131" s="333"/>
      <c r="K131" s="33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</row>
    <row r="132" spans="1:47" ht="15.75">
      <c r="A132" s="13"/>
      <c r="B132" s="6"/>
      <c r="C132" s="7"/>
      <c r="D132" s="1"/>
      <c r="E132" s="182"/>
      <c r="F132" s="1"/>
      <c r="G132" s="1"/>
      <c r="H132" s="1"/>
      <c r="I132" s="1"/>
      <c r="J132" s="1"/>
      <c r="K132" s="4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</row>
    <row r="133" spans="1:47" ht="15.75">
      <c r="A133" s="13" t="s">
        <v>131</v>
      </c>
      <c r="B133" s="6"/>
      <c r="C133" s="7"/>
      <c r="D133" s="1"/>
      <c r="E133" s="182"/>
      <c r="F133" s="1"/>
      <c r="G133" s="1"/>
      <c r="H133" s="1"/>
      <c r="I133" s="1"/>
      <c r="J133" s="1"/>
      <c r="K133" s="4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</row>
    <row r="134" spans="1:47" ht="15.75" thickBot="1">
      <c r="A134" s="16" t="s">
        <v>132</v>
      </c>
      <c r="B134" s="6"/>
      <c r="C134" s="235" t="s">
        <v>78</v>
      </c>
      <c r="D134" s="182"/>
      <c r="E134" s="182"/>
      <c r="F134" s="182"/>
      <c r="G134" s="182"/>
      <c r="H134" s="182"/>
      <c r="I134" s="20"/>
      <c r="J134" s="20"/>
      <c r="K134" s="15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</row>
    <row r="135" spans="1:47" ht="15.75" thickBot="1">
      <c r="A135" s="13"/>
      <c r="B135" s="6"/>
      <c r="C135" s="235"/>
      <c r="D135" s="182"/>
      <c r="E135" s="21" t="s">
        <v>180</v>
      </c>
      <c r="F135" s="182"/>
      <c r="G135" s="182"/>
      <c r="H135" s="182"/>
      <c r="I135" s="182"/>
      <c r="J135" s="182"/>
      <c r="K135" s="15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</row>
    <row r="136" spans="1:47" ht="16.5" customHeight="1">
      <c r="A136" s="13">
        <f>A122+1</f>
        <v>96</v>
      </c>
      <c r="B136" s="6"/>
      <c r="C136" s="19" t="s">
        <v>68</v>
      </c>
      <c r="D136" s="182"/>
      <c r="E136" s="15" t="str">
        <f>"Column (3) sum lines "&amp;A16&amp;" - "&amp;A18&amp;""</f>
        <v>Column (3) sum lines 2 - 4</v>
      </c>
      <c r="F136" s="15"/>
      <c r="G136" s="15"/>
      <c r="H136" s="15"/>
      <c r="I136" s="15"/>
      <c r="J136" s="15">
        <f>E16+E17+E18</f>
        <v>165304940.625</v>
      </c>
      <c r="K136" s="15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</row>
    <row r="137" spans="1:47" ht="15">
      <c r="A137" s="13">
        <f>A136+1</f>
        <v>97</v>
      </c>
      <c r="B137" s="6"/>
      <c r="C137" s="19" t="s">
        <v>49</v>
      </c>
      <c r="D137" s="20"/>
      <c r="E137" s="20" t="s">
        <v>116</v>
      </c>
      <c r="F137" s="20"/>
      <c r="G137" s="20"/>
      <c r="H137" s="20"/>
      <c r="I137" s="20"/>
      <c r="J137" s="282">
        <v>23535545</v>
      </c>
      <c r="K137" s="15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</row>
    <row r="138" spans="1:47" ht="15.75" thickBot="1">
      <c r="A138" s="13">
        <f aca="true" t="shared" si="3" ref="A138:A199">A137+1</f>
        <v>98</v>
      </c>
      <c r="B138" s="6"/>
      <c r="C138" s="283" t="s">
        <v>50</v>
      </c>
      <c r="D138" s="284"/>
      <c r="E138" s="21"/>
      <c r="F138" s="15"/>
      <c r="G138" s="15"/>
      <c r="H138" s="285"/>
      <c r="I138" s="15"/>
      <c r="J138" s="21">
        <v>0</v>
      </c>
      <c r="K138" s="15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</row>
    <row r="139" spans="1:47" ht="15">
      <c r="A139" s="13">
        <f t="shared" si="3"/>
        <v>99</v>
      </c>
      <c r="B139" s="6"/>
      <c r="C139" s="19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182"/>
      <c r="E139" s="15"/>
      <c r="F139" s="15"/>
      <c r="G139" s="15"/>
      <c r="H139" s="285"/>
      <c r="I139" s="15"/>
      <c r="J139" s="15">
        <f>J136-J137-J138</f>
        <v>141769395.625</v>
      </c>
      <c r="K139" s="15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</row>
    <row r="140" spans="1:47" ht="15">
      <c r="A140" s="13">
        <f t="shared" si="3"/>
        <v>100</v>
      </c>
      <c r="B140" s="6"/>
      <c r="C140" s="19" t="str">
        <f>"Plus Common Use AC Facilities (line "&amp;A150&amp;")"</f>
        <v>Plus Common Use AC Facilities (line 110)</v>
      </c>
      <c r="D140" s="182"/>
      <c r="E140" s="15"/>
      <c r="F140" s="15"/>
      <c r="G140" s="15"/>
      <c r="H140" s="285"/>
      <c r="I140" s="15"/>
      <c r="J140" s="15">
        <f>+J150</f>
        <v>9470506.5</v>
      </c>
      <c r="K140" s="15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</row>
    <row r="141" spans="1:47" ht="15">
      <c r="A141" s="13">
        <f t="shared" si="3"/>
        <v>101</v>
      </c>
      <c r="B141" s="6"/>
      <c r="C141" s="19" t="str">
        <f>"Total Gross Plant for the CUS System (line "&amp;A139&amp;" plus line "&amp;A140&amp;")"</f>
        <v>Total Gross Plant for the CUS System (line 99 plus line 100)</v>
      </c>
      <c r="D141" s="182"/>
      <c r="E141" s="15"/>
      <c r="F141" s="15"/>
      <c r="G141" s="15"/>
      <c r="H141" s="285"/>
      <c r="I141" s="15"/>
      <c r="J141" s="286">
        <f>SUM(J139:J140)</f>
        <v>151239902.125</v>
      </c>
      <c r="K141" s="15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</row>
    <row r="142" spans="1:47" ht="15">
      <c r="A142" s="13">
        <f t="shared" si="3"/>
        <v>102</v>
      </c>
      <c r="B142" s="6"/>
      <c r="C142" s="19" t="str">
        <f>"Total CUS Plant (line "&amp;A136&amp;" plus line "&amp;A150&amp;")"</f>
        <v>Total CUS Plant (line 96 plus line 110)</v>
      </c>
      <c r="D142" s="182"/>
      <c r="E142" s="15"/>
      <c r="F142" s="15"/>
      <c r="G142" s="15"/>
      <c r="H142" s="285"/>
      <c r="I142" s="15"/>
      <c r="J142" s="256">
        <f>+J136+J150</f>
        <v>174775447.125</v>
      </c>
      <c r="K142" s="15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</row>
    <row r="143" spans="1:47" ht="15">
      <c r="A143" s="13">
        <f t="shared" si="3"/>
        <v>103</v>
      </c>
      <c r="B143" s="6"/>
      <c r="C143" s="20"/>
      <c r="D143" s="182"/>
      <c r="E143" s="15"/>
      <c r="F143" s="15"/>
      <c r="G143" s="15"/>
      <c r="H143" s="285"/>
      <c r="I143" s="15"/>
      <c r="J143" s="20"/>
      <c r="K143" s="15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</row>
    <row r="144" spans="1:47" ht="15">
      <c r="A144" s="13">
        <f t="shared" si="3"/>
        <v>104</v>
      </c>
      <c r="B144" s="6"/>
      <c r="C144" s="19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238"/>
      <c r="E144" s="287"/>
      <c r="F144" s="287"/>
      <c r="G144" s="287"/>
      <c r="H144" s="288"/>
      <c r="I144" s="15" t="s">
        <v>178</v>
      </c>
      <c r="J144" s="289">
        <f>ROUND(IF(J142&gt;0,J141/J142,0),6)</f>
        <v>0.865338</v>
      </c>
      <c r="K144" s="15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</row>
    <row r="145" spans="1:47" ht="15">
      <c r="A145" s="13">
        <f t="shared" si="3"/>
        <v>105</v>
      </c>
      <c r="B145" s="6"/>
      <c r="C145" s="20"/>
      <c r="D145" s="20"/>
      <c r="E145" s="20"/>
      <c r="F145" s="20"/>
      <c r="G145" s="20"/>
      <c r="H145" s="20"/>
      <c r="I145" s="20"/>
      <c r="J145" s="20"/>
      <c r="K145" s="15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</row>
    <row r="146" spans="1:47" ht="15.75" thickBot="1">
      <c r="A146" s="13">
        <f t="shared" si="3"/>
        <v>106</v>
      </c>
      <c r="B146" s="6"/>
      <c r="C146" s="235" t="s">
        <v>66</v>
      </c>
      <c r="D146" s="182"/>
      <c r="E146" s="21" t="s">
        <v>180</v>
      </c>
      <c r="F146" s="182"/>
      <c r="G146" s="182"/>
      <c r="H146" s="182"/>
      <c r="I146" s="182"/>
      <c r="J146" s="182"/>
      <c r="K146" s="6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</row>
    <row r="147" spans="1:47" ht="15">
      <c r="A147" s="13">
        <f t="shared" si="3"/>
        <v>107</v>
      </c>
      <c r="B147" s="6"/>
      <c r="C147" s="19" t="s">
        <v>67</v>
      </c>
      <c r="D147" s="182"/>
      <c r="E147" s="15" t="str">
        <f>"Column (3) line "&amp;A19&amp;""</f>
        <v>Column (3) line 5</v>
      </c>
      <c r="F147" s="15"/>
      <c r="G147" s="15"/>
      <c r="H147" s="15"/>
      <c r="I147" s="15"/>
      <c r="J147" s="15">
        <f>+E19</f>
        <v>353240829</v>
      </c>
      <c r="K147" s="6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</row>
    <row r="148" spans="1:47" ht="15">
      <c r="A148" s="13">
        <f t="shared" si="3"/>
        <v>108</v>
      </c>
      <c r="B148" s="6"/>
      <c r="C148" s="19" t="s">
        <v>70</v>
      </c>
      <c r="D148" s="20"/>
      <c r="E148" s="20" t="s">
        <v>116</v>
      </c>
      <c r="F148" s="20"/>
      <c r="G148" s="20"/>
      <c r="H148" s="20"/>
      <c r="I148" s="20"/>
      <c r="J148" s="282">
        <v>343770322.5</v>
      </c>
      <c r="K148" s="6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</row>
    <row r="149" spans="1:47" ht="15.75" thickBot="1">
      <c r="A149" s="13">
        <f t="shared" si="3"/>
        <v>109</v>
      </c>
      <c r="B149" s="6"/>
      <c r="C149" s="283" t="s">
        <v>71</v>
      </c>
      <c r="D149" s="284"/>
      <c r="E149" s="21"/>
      <c r="F149" s="15"/>
      <c r="G149" s="15"/>
      <c r="H149" s="285"/>
      <c r="I149" s="15"/>
      <c r="J149" s="21">
        <v>0</v>
      </c>
      <c r="K149" s="6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</row>
    <row r="150" spans="1:47" ht="15">
      <c r="A150" s="13">
        <f t="shared" si="3"/>
        <v>110</v>
      </c>
      <c r="B150" s="6"/>
      <c r="C150" s="19" t="str">
        <f>"Common Use AC Facilities (line "&amp;A147&amp;" less lines "&amp;A148&amp;" &amp; "&amp;A149&amp;")"</f>
        <v>Common Use AC Facilities (line 107 less lines 108 &amp; 109)</v>
      </c>
      <c r="D150" s="182"/>
      <c r="E150" s="15"/>
      <c r="F150" s="15"/>
      <c r="G150" s="15"/>
      <c r="H150" s="285"/>
      <c r="I150" s="15"/>
      <c r="J150" s="15">
        <f>J147-J148-J149</f>
        <v>9470506.5</v>
      </c>
      <c r="K150" s="6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</row>
    <row r="151" spans="1:47" ht="15">
      <c r="A151" s="13">
        <f t="shared" si="3"/>
        <v>111</v>
      </c>
      <c r="B151" s="6"/>
      <c r="C151" s="20"/>
      <c r="D151" s="182"/>
      <c r="E151" s="15"/>
      <c r="F151" s="15"/>
      <c r="G151" s="15"/>
      <c r="H151" s="285"/>
      <c r="I151" s="15"/>
      <c r="J151" s="20"/>
      <c r="K151" s="6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</row>
    <row r="152" spans="1:47" ht="15">
      <c r="A152" s="13">
        <f t="shared" si="3"/>
        <v>112</v>
      </c>
      <c r="B152" s="6"/>
      <c r="C152" s="19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238"/>
      <c r="E152" s="287"/>
      <c r="F152" s="287"/>
      <c r="G152" s="287"/>
      <c r="H152" s="288"/>
      <c r="I152" s="15" t="s">
        <v>69</v>
      </c>
      <c r="J152" s="289">
        <f>ROUND(IF(J147&gt;0,J150/J147,0),6)</f>
        <v>0.02681</v>
      </c>
      <c r="K152" s="6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</row>
    <row r="153" spans="1:47" ht="15">
      <c r="A153" s="13">
        <f t="shared" si="3"/>
        <v>113</v>
      </c>
      <c r="B153" s="6"/>
      <c r="C153" s="6"/>
      <c r="D153" s="1"/>
      <c r="E153" s="15"/>
      <c r="F153" s="4"/>
      <c r="G153" s="4"/>
      <c r="H153" s="5"/>
      <c r="I153" s="4"/>
      <c r="J153" s="20"/>
      <c r="K153" s="6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</row>
    <row r="154" spans="1:47" ht="15.75" thickBot="1">
      <c r="A154" s="13">
        <f t="shared" si="3"/>
        <v>114</v>
      </c>
      <c r="B154" s="6"/>
      <c r="C154" s="235" t="s">
        <v>156</v>
      </c>
      <c r="D154" s="1"/>
      <c r="E154" s="21" t="s">
        <v>180</v>
      </c>
      <c r="F154" s="4"/>
      <c r="G154" s="4"/>
      <c r="H154" s="5"/>
      <c r="I154" s="4"/>
      <c r="J154" s="15"/>
      <c r="K154" s="6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</row>
    <row r="155" spans="1:47" ht="15">
      <c r="A155" s="13">
        <f t="shared" si="3"/>
        <v>115</v>
      </c>
      <c r="B155" s="6"/>
      <c r="C155" s="6" t="s">
        <v>41</v>
      </c>
      <c r="D155" s="1"/>
      <c r="E155" s="15" t="str">
        <f>"Column (3), sum lines "&amp;A28&amp;" - "&amp;A29&amp;""</f>
        <v>Column (3), sum lines 14 - 15</v>
      </c>
      <c r="F155" s="4"/>
      <c r="G155" s="4"/>
      <c r="H155" s="5"/>
      <c r="I155" s="4"/>
      <c r="J155" s="15">
        <f>SUM(E28:E29)</f>
        <v>41877796.86367076</v>
      </c>
      <c r="K155" s="6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</row>
    <row r="156" spans="1:47" ht="15">
      <c r="A156" s="13">
        <f t="shared" si="3"/>
        <v>116</v>
      </c>
      <c r="B156" s="6"/>
      <c r="C156" s="19" t="s">
        <v>49</v>
      </c>
      <c r="D156" s="1"/>
      <c r="E156" s="15" t="s">
        <v>116</v>
      </c>
      <c r="F156" s="4"/>
      <c r="G156" s="4"/>
      <c r="H156" s="5"/>
      <c r="I156" s="4"/>
      <c r="J156" s="282">
        <v>7186098</v>
      </c>
      <c r="K156" s="6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</row>
    <row r="157" spans="1:47" ht="15">
      <c r="A157" s="13">
        <f t="shared" si="3"/>
        <v>117</v>
      </c>
      <c r="B157" s="6"/>
      <c r="C157" s="290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291"/>
      <c r="E157" s="286"/>
      <c r="F157" s="4"/>
      <c r="G157" s="4"/>
      <c r="H157" s="5"/>
      <c r="I157" s="4"/>
      <c r="J157" s="286">
        <f>J155-J156</f>
        <v>34691698.86367076</v>
      </c>
      <c r="K157" s="6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</row>
    <row r="158" spans="1:47" ht="15">
      <c r="A158" s="13">
        <f t="shared" si="3"/>
        <v>118</v>
      </c>
      <c r="B158" s="6"/>
      <c r="C158" s="19" t="str">
        <f>"Plus Common Use AC Facilities Accumulated Depreciation (line "&amp;A167&amp;")"</f>
        <v>Plus Common Use AC Facilities Accumulated Depreciation (line 127)</v>
      </c>
      <c r="D158" s="292"/>
      <c r="E158" s="256"/>
      <c r="F158" s="4"/>
      <c r="G158" s="4"/>
      <c r="H158" s="5"/>
      <c r="I158" s="4"/>
      <c r="J158" s="256">
        <f>+J167</f>
        <v>3111680.5</v>
      </c>
      <c r="K158" s="6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</row>
    <row r="159" spans="1:47" ht="15">
      <c r="A159" s="13">
        <f t="shared" si="3"/>
        <v>119</v>
      </c>
      <c r="B159" s="6"/>
      <c r="C159" s="19" t="str">
        <f>"Total Accumulated Depreciation for the CUS System (line "&amp;A157&amp;" plus line "&amp;A158&amp;")"</f>
        <v>Total Accumulated Depreciation for the CUS System (line 117 plus line 118)</v>
      </c>
      <c r="D159" s="293"/>
      <c r="E159" s="256"/>
      <c r="F159" s="4"/>
      <c r="G159" s="4"/>
      <c r="H159" s="5"/>
      <c r="I159" s="4"/>
      <c r="J159" s="286">
        <f>SUM(J157:J158)</f>
        <v>37803379.36367076</v>
      </c>
      <c r="K159" s="6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</row>
    <row r="160" spans="1:47" ht="15">
      <c r="A160" s="13">
        <f t="shared" si="3"/>
        <v>120</v>
      </c>
      <c r="B160" s="6"/>
      <c r="C160" s="19" t="str">
        <f>"Total CUS Accumulated Depreciation (line "&amp;A155&amp;" plus line "&amp;A158&amp;")"</f>
        <v>Total CUS Accumulated Depreciation (line 115 plus line 118)</v>
      </c>
      <c r="D160" s="293"/>
      <c r="E160" s="256"/>
      <c r="F160" s="4"/>
      <c r="G160" s="4"/>
      <c r="H160" s="5"/>
      <c r="I160" s="4"/>
      <c r="J160" s="256">
        <f>+J155+J158</f>
        <v>44989477.36367076</v>
      </c>
      <c r="K160" s="6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</row>
    <row r="161" spans="1:47" ht="15">
      <c r="A161" s="13">
        <f t="shared" si="3"/>
        <v>121</v>
      </c>
      <c r="B161" s="6"/>
      <c r="C161" s="6"/>
      <c r="D161" s="1"/>
      <c r="E161" s="15"/>
      <c r="F161" s="4"/>
      <c r="G161" s="4"/>
      <c r="H161" s="5"/>
      <c r="I161" s="4"/>
      <c r="J161" s="15"/>
      <c r="K161" s="6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</row>
    <row r="162" spans="1:47" ht="15">
      <c r="A162" s="13">
        <f t="shared" si="3"/>
        <v>122</v>
      </c>
      <c r="B162" s="6"/>
      <c r="C162" s="19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1"/>
      <c r="E162" s="15"/>
      <c r="F162" s="15"/>
      <c r="G162" s="15"/>
      <c r="H162" s="285"/>
      <c r="I162" s="4" t="s">
        <v>42</v>
      </c>
      <c r="J162" s="289">
        <f>ROUND(IF(J160&gt;0,J159/J160,0),6)</f>
        <v>0.840272</v>
      </c>
      <c r="K162" s="6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</row>
    <row r="163" spans="1:47" ht="15">
      <c r="A163" s="13">
        <f t="shared" si="3"/>
        <v>123</v>
      </c>
      <c r="B163" s="6"/>
      <c r="C163" s="19"/>
      <c r="D163" s="1"/>
      <c r="E163" s="15"/>
      <c r="F163" s="15"/>
      <c r="G163" s="15"/>
      <c r="H163" s="285"/>
      <c r="I163" s="4"/>
      <c r="J163" s="289"/>
      <c r="K163" s="6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</row>
    <row r="164" spans="1:47" ht="15.75" thickBot="1">
      <c r="A164" s="13">
        <f t="shared" si="3"/>
        <v>124</v>
      </c>
      <c r="B164" s="6"/>
      <c r="C164" s="6"/>
      <c r="D164" s="1"/>
      <c r="E164" s="21" t="s">
        <v>180</v>
      </c>
      <c r="F164" s="4"/>
      <c r="G164" s="4"/>
      <c r="H164" s="5"/>
      <c r="I164" s="4"/>
      <c r="J164" s="15"/>
      <c r="K164" s="6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</row>
    <row r="165" spans="1:47" ht="15">
      <c r="A165" s="13">
        <f t="shared" si="3"/>
        <v>125</v>
      </c>
      <c r="B165" s="6"/>
      <c r="C165" s="6" t="s">
        <v>44</v>
      </c>
      <c r="D165" s="1"/>
      <c r="E165" s="15" t="s">
        <v>84</v>
      </c>
      <c r="F165" s="4"/>
      <c r="G165" s="4"/>
      <c r="H165" s="5"/>
      <c r="I165" s="4"/>
      <c r="J165" s="15">
        <f>+E30</f>
        <v>118816578</v>
      </c>
      <c r="K165" s="6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</row>
    <row r="166" spans="1:47" ht="15">
      <c r="A166" s="13">
        <f t="shared" si="3"/>
        <v>126</v>
      </c>
      <c r="B166" s="6"/>
      <c r="C166" s="6" t="s">
        <v>117</v>
      </c>
      <c r="D166" s="1"/>
      <c r="E166" s="15"/>
      <c r="F166" s="4"/>
      <c r="G166" s="4"/>
      <c r="H166" s="5"/>
      <c r="I166" s="4"/>
      <c r="J166" s="282">
        <v>115704897.5</v>
      </c>
      <c r="K166" s="6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</row>
    <row r="167" spans="1:47" ht="15">
      <c r="A167" s="13">
        <f t="shared" si="3"/>
        <v>127</v>
      </c>
      <c r="B167" s="6"/>
      <c r="C167" s="294" t="str">
        <f>"Common Use AC Facilities (line "&amp;A165&amp;" less line "&amp;A166&amp;")"</f>
        <v>Common Use AC Facilities (line 125 less line 126)</v>
      </c>
      <c r="D167" s="295"/>
      <c r="E167" s="286"/>
      <c r="F167" s="4"/>
      <c r="G167" s="4"/>
      <c r="H167" s="5"/>
      <c r="I167" s="4"/>
      <c r="J167" s="286">
        <f>J165-J166</f>
        <v>3111680.5</v>
      </c>
      <c r="K167" s="6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</row>
    <row r="168" spans="1:47" ht="15">
      <c r="A168" s="13">
        <f t="shared" si="3"/>
        <v>128</v>
      </c>
      <c r="B168" s="6"/>
      <c r="C168" s="6"/>
      <c r="D168" s="1"/>
      <c r="E168" s="15"/>
      <c r="F168" s="4"/>
      <c r="G168" s="4"/>
      <c r="H168" s="5"/>
      <c r="I168" s="4"/>
      <c r="J168" s="15"/>
      <c r="K168" s="6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</row>
    <row r="169" spans="1:47" ht="15">
      <c r="A169" s="13">
        <f t="shared" si="3"/>
        <v>129</v>
      </c>
      <c r="B169" s="6"/>
      <c r="C169" s="19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1"/>
      <c r="E169" s="15"/>
      <c r="F169" s="4"/>
      <c r="G169" s="4"/>
      <c r="H169" s="5"/>
      <c r="I169" s="4" t="s">
        <v>45</v>
      </c>
      <c r="J169" s="289">
        <f>ROUND(IF(J165&gt;0,J167/J165,0),6)</f>
        <v>0.026189</v>
      </c>
      <c r="K169" s="6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</row>
    <row r="170" spans="1:47" ht="15">
      <c r="A170" s="13">
        <f t="shared" si="3"/>
        <v>130</v>
      </c>
      <c r="B170" s="6"/>
      <c r="C170" s="6"/>
      <c r="D170" s="1"/>
      <c r="E170" s="15"/>
      <c r="F170" s="4"/>
      <c r="G170" s="4"/>
      <c r="H170" s="5"/>
      <c r="I170" s="4"/>
      <c r="J170" s="15"/>
      <c r="K170" s="6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</row>
    <row r="171" spans="1:47" ht="15">
      <c r="A171" s="13">
        <f t="shared" si="3"/>
        <v>131</v>
      </c>
      <c r="B171" s="6"/>
      <c r="C171" s="2" t="s">
        <v>179</v>
      </c>
      <c r="D171" s="4"/>
      <c r="E171" s="15"/>
      <c r="F171" s="4"/>
      <c r="G171" s="4"/>
      <c r="H171" s="4"/>
      <c r="I171" s="4"/>
      <c r="J171" s="15"/>
      <c r="K171" s="4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</row>
    <row r="172" spans="1:47" ht="15.75" thickBot="1">
      <c r="A172" s="13">
        <f t="shared" si="3"/>
        <v>132</v>
      </c>
      <c r="B172" s="6"/>
      <c r="C172" s="2"/>
      <c r="D172" s="248" t="s">
        <v>180</v>
      </c>
      <c r="E172" s="296" t="s">
        <v>181</v>
      </c>
      <c r="F172" s="296" t="s">
        <v>134</v>
      </c>
      <c r="G172" s="4"/>
      <c r="H172" s="297" t="s">
        <v>182</v>
      </c>
      <c r="I172" s="266"/>
      <c r="J172" s="298"/>
      <c r="K172" s="4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</row>
    <row r="173" spans="1:47" ht="15">
      <c r="A173" s="13">
        <f t="shared" si="3"/>
        <v>133</v>
      </c>
      <c r="B173" s="6"/>
      <c r="C173" s="2" t="s">
        <v>149</v>
      </c>
      <c r="D173" s="4" t="s">
        <v>88</v>
      </c>
      <c r="E173" s="190">
        <v>1483779</v>
      </c>
      <c r="F173" s="299">
        <f>+J144</f>
        <v>0.865338</v>
      </c>
      <c r="G173" s="6"/>
      <c r="H173" s="4">
        <f>E173*F173</f>
        <v>1283970.3523020002</v>
      </c>
      <c r="I173" s="266"/>
      <c r="J173" s="300"/>
      <c r="K173" s="4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</row>
    <row r="174" spans="1:47" ht="15">
      <c r="A174" s="13">
        <f t="shared" si="3"/>
        <v>134</v>
      </c>
      <c r="B174" s="6"/>
      <c r="C174" s="2" t="s">
        <v>101</v>
      </c>
      <c r="D174" s="4" t="s">
        <v>102</v>
      </c>
      <c r="E174" s="190">
        <v>20336220</v>
      </c>
      <c r="F174" s="299">
        <v>0</v>
      </c>
      <c r="G174" s="301"/>
      <c r="H174" s="4">
        <f>E174*F174</f>
        <v>0</v>
      </c>
      <c r="I174" s="266"/>
      <c r="J174" s="298" t="s">
        <v>183</v>
      </c>
      <c r="K174" s="4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</row>
    <row r="175" spans="1:47" ht="15.75" thickBot="1">
      <c r="A175" s="13">
        <f t="shared" si="3"/>
        <v>135</v>
      </c>
      <c r="B175" s="6"/>
      <c r="C175" s="2" t="s">
        <v>103</v>
      </c>
      <c r="D175" s="4" t="s">
        <v>104</v>
      </c>
      <c r="E175" s="221">
        <v>-7819354</v>
      </c>
      <c r="F175" s="299">
        <v>0</v>
      </c>
      <c r="G175" s="301"/>
      <c r="H175" s="248">
        <f>E175*F175</f>
        <v>0</v>
      </c>
      <c r="I175" s="266"/>
      <c r="J175" s="16" t="s">
        <v>184</v>
      </c>
      <c r="K175" s="4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</row>
    <row r="176" spans="1:47" ht="15">
      <c r="A176" s="13">
        <f t="shared" si="3"/>
        <v>136</v>
      </c>
      <c r="B176" s="6"/>
      <c r="C176" s="2" t="str">
        <f>"  Adjusted Total  (sum lines "&amp;A174&amp;"-"&amp;A175&amp;")"</f>
        <v>  Adjusted Total  (sum lines 134-135)</v>
      </c>
      <c r="D176" s="4"/>
      <c r="E176" s="15">
        <f>SUM(E174:E175)</f>
        <v>12516866</v>
      </c>
      <c r="F176" s="4"/>
      <c r="G176" s="6"/>
      <c r="H176" s="4">
        <f>SUM(H173:H175)</f>
        <v>1283970.3523020002</v>
      </c>
      <c r="I176" s="4" t="s">
        <v>55</v>
      </c>
      <c r="J176" s="246">
        <f>IF(E176&gt;0,+H176/E176,0)</f>
        <v>0.10257922009407149</v>
      </c>
      <c r="K176" s="5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</row>
    <row r="177" spans="1:47" ht="15">
      <c r="A177" s="13">
        <f t="shared" si="3"/>
        <v>137</v>
      </c>
      <c r="B177" s="6"/>
      <c r="D177" s="4"/>
      <c r="E177" s="15"/>
      <c r="F177" s="4"/>
      <c r="G177" s="4"/>
      <c r="H177" s="4"/>
      <c r="I177" s="4"/>
      <c r="J177" s="4"/>
      <c r="K177" s="4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</row>
    <row r="178" spans="1:47" ht="15.75" thickBot="1">
      <c r="A178" s="13">
        <f t="shared" si="3"/>
        <v>138</v>
      </c>
      <c r="B178" s="6"/>
      <c r="C178" s="2" t="s">
        <v>89</v>
      </c>
      <c r="D178" s="4"/>
      <c r="E178" s="296" t="s">
        <v>181</v>
      </c>
      <c r="F178" s="297" t="s">
        <v>188</v>
      </c>
      <c r="G178" s="302" t="s">
        <v>134</v>
      </c>
      <c r="H178" s="303" t="s">
        <v>92</v>
      </c>
      <c r="I178" s="273"/>
      <c r="J178" s="8"/>
      <c r="K178" s="6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</row>
    <row r="179" spans="1:47" ht="15">
      <c r="A179" s="13">
        <f t="shared" si="3"/>
        <v>139</v>
      </c>
      <c r="B179" s="6"/>
      <c r="C179" s="2" t="s">
        <v>90</v>
      </c>
      <c r="D179" s="15" t="str">
        <f>"lines "&amp;A39&amp;", "&amp;A40&amp;" &amp; "&amp;A41&amp;""</f>
        <v>lines 25, 26 &amp; 27</v>
      </c>
      <c r="E179" s="15">
        <f>E39+E40+E41</f>
        <v>123427143.76132923</v>
      </c>
      <c r="F179" s="304">
        <f>IF(E181&gt;0,+E179/E181,0)</f>
        <v>0.3449117303109845</v>
      </c>
      <c r="G179" s="305">
        <f>+J144</f>
        <v>0.865338</v>
      </c>
      <c r="H179" s="306">
        <f>IF(F179&gt;0,+G179*F179,0)</f>
        <v>0.2984652268838467</v>
      </c>
      <c r="I179" s="307"/>
      <c r="J179" s="13"/>
      <c r="K179" s="4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</row>
    <row r="180" spans="1:47" ht="15">
      <c r="A180" s="13">
        <f t="shared" si="3"/>
        <v>140</v>
      </c>
      <c r="B180" s="6"/>
      <c r="C180" s="2" t="s">
        <v>91</v>
      </c>
      <c r="D180" s="15" t="str">
        <f>"line "&amp;A42&amp;""</f>
        <v>line 28</v>
      </c>
      <c r="E180" s="15">
        <f>E42</f>
        <v>234424251</v>
      </c>
      <c r="F180" s="304">
        <f>IF(E181&gt;0,+E180/E181,0)</f>
        <v>0.6550882696890156</v>
      </c>
      <c r="G180" s="6"/>
      <c r="H180" s="267"/>
      <c r="I180" s="5"/>
      <c r="J180" s="267"/>
      <c r="K180" s="27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</row>
    <row r="181" spans="1:47" ht="15">
      <c r="A181" s="13">
        <f t="shared" si="3"/>
        <v>141</v>
      </c>
      <c r="B181" s="6"/>
      <c r="C181" s="2" t="str">
        <f>"  Total  (sum lines "&amp;A179&amp;" - "&amp;A180&amp;")"</f>
        <v>  Total  (sum lines 139 - 140)</v>
      </c>
      <c r="D181" s="4"/>
      <c r="E181" s="286">
        <f>SUM(E179:E180)</f>
        <v>357851394.76132923</v>
      </c>
      <c r="F181" s="308">
        <f>SUM(F179:F180)</f>
        <v>1</v>
      </c>
      <c r="G181" s="4"/>
      <c r="H181" s="4"/>
      <c r="I181" s="4" t="s">
        <v>93</v>
      </c>
      <c r="J181" s="309">
        <f>+H179</f>
        <v>0.2984652268838467</v>
      </c>
      <c r="K181" s="4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</row>
    <row r="182" spans="1:47" ht="15">
      <c r="A182" s="13">
        <f t="shared" si="3"/>
        <v>142</v>
      </c>
      <c r="B182" s="6"/>
      <c r="C182" s="2"/>
      <c r="D182" s="4"/>
      <c r="E182" s="20"/>
      <c r="F182" s="4"/>
      <c r="G182" s="4"/>
      <c r="H182" s="4"/>
      <c r="I182" s="4"/>
      <c r="J182" s="309"/>
      <c r="K182" s="4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</row>
    <row r="183" spans="1:11" s="100" customFormat="1" ht="15.75" thickBot="1">
      <c r="A183" s="13">
        <f t="shared" si="3"/>
        <v>143</v>
      </c>
      <c r="B183" s="310"/>
      <c r="C183" s="311" t="s">
        <v>186</v>
      </c>
      <c r="D183" s="302" t="s">
        <v>180</v>
      </c>
      <c r="E183" s="15"/>
      <c r="F183" s="15"/>
      <c r="G183" s="15"/>
      <c r="H183" s="15"/>
      <c r="I183" s="15"/>
      <c r="J183" s="296" t="s">
        <v>181</v>
      </c>
      <c r="K183" s="15"/>
    </row>
    <row r="184" spans="1:47" ht="15">
      <c r="A184" s="13">
        <f t="shared" si="3"/>
        <v>144</v>
      </c>
      <c r="B184" s="310"/>
      <c r="C184" s="182" t="s">
        <v>238</v>
      </c>
      <c r="D184" s="15" t="s">
        <v>366</v>
      </c>
      <c r="E184" s="15"/>
      <c r="F184" s="15"/>
      <c r="G184" s="15"/>
      <c r="H184" s="15"/>
      <c r="I184" s="15"/>
      <c r="J184" s="192">
        <f>20234413+205714+280887</f>
        <v>20721014</v>
      </c>
      <c r="K184" s="15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</row>
    <row r="185" spans="1:47" ht="15">
      <c r="A185" s="13">
        <f t="shared" si="3"/>
        <v>145</v>
      </c>
      <c r="B185" s="312"/>
      <c r="C185" s="233"/>
      <c r="D185" s="15"/>
      <c r="E185" s="15"/>
      <c r="F185" s="15"/>
      <c r="G185" s="15"/>
      <c r="H185" s="15"/>
      <c r="I185" s="15"/>
      <c r="J185" s="15"/>
      <c r="K185" s="15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</row>
    <row r="186" spans="1:47" ht="15">
      <c r="A186" s="13">
        <f t="shared" si="3"/>
        <v>146</v>
      </c>
      <c r="B186" s="310"/>
      <c r="C186" s="233" t="s">
        <v>239</v>
      </c>
      <c r="D186" s="15" t="s">
        <v>240</v>
      </c>
      <c r="E186" s="15"/>
      <c r="F186" s="15"/>
      <c r="G186" s="15"/>
      <c r="H186" s="15"/>
      <c r="I186" s="15"/>
      <c r="J186" s="192">
        <v>0</v>
      </c>
      <c r="K186" s="15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</row>
    <row r="187" spans="1:47" ht="15">
      <c r="A187" s="13">
        <f t="shared" si="3"/>
        <v>147</v>
      </c>
      <c r="B187" s="310"/>
      <c r="C187" s="233"/>
      <c r="D187" s="15"/>
      <c r="E187" s="15"/>
      <c r="F187" s="15"/>
      <c r="G187" s="15"/>
      <c r="H187" s="15"/>
      <c r="I187" s="15"/>
      <c r="J187" s="15"/>
      <c r="K187" s="15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</row>
    <row r="188" spans="1:47" ht="15">
      <c r="A188" s="13">
        <f t="shared" si="3"/>
        <v>148</v>
      </c>
      <c r="B188" s="310"/>
      <c r="C188" s="311" t="s">
        <v>241</v>
      </c>
      <c r="D188" s="302" t="s">
        <v>180</v>
      </c>
      <c r="E188" s="15"/>
      <c r="F188" s="15"/>
      <c r="G188" s="15"/>
      <c r="H188" s="15"/>
      <c r="I188" s="15"/>
      <c r="J188" s="15"/>
      <c r="K188" s="15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</row>
    <row r="189" spans="1:47" ht="15">
      <c r="A189" s="13">
        <f t="shared" si="3"/>
        <v>149</v>
      </c>
      <c r="B189" s="310"/>
      <c r="C189" s="233" t="s">
        <v>12</v>
      </c>
      <c r="D189" s="15" t="s">
        <v>242</v>
      </c>
      <c r="E189" s="182"/>
      <c r="F189" s="15"/>
      <c r="G189" s="15"/>
      <c r="H189" s="15"/>
      <c r="I189" s="15"/>
      <c r="J189" s="192">
        <v>391979909</v>
      </c>
      <c r="K189" s="15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</row>
    <row r="190" spans="1:47" ht="15">
      <c r="A190" s="13">
        <f t="shared" si="3"/>
        <v>150</v>
      </c>
      <c r="B190" s="310"/>
      <c r="C190" s="233" t="s">
        <v>243</v>
      </c>
      <c r="D190" s="15" t="s">
        <v>244</v>
      </c>
      <c r="E190" s="15"/>
      <c r="F190" s="15"/>
      <c r="G190" s="15"/>
      <c r="H190" s="15"/>
      <c r="I190" s="15"/>
      <c r="J190" s="192">
        <v>0</v>
      </c>
      <c r="K190" s="15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</row>
    <row r="191" spans="1:47" ht="15">
      <c r="A191" s="13">
        <f t="shared" si="3"/>
        <v>151</v>
      </c>
      <c r="B191" s="310"/>
      <c r="C191" s="233" t="s">
        <v>245</v>
      </c>
      <c r="D191" s="15" t="s">
        <v>246</v>
      </c>
      <c r="E191" s="15"/>
      <c r="F191" s="15"/>
      <c r="G191" s="15"/>
      <c r="H191" s="15"/>
      <c r="I191" s="15"/>
      <c r="J191" s="194">
        <v>0</v>
      </c>
      <c r="K191" s="15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</row>
    <row r="192" spans="1:47" ht="15.75" thickBot="1">
      <c r="A192" s="13">
        <f t="shared" si="3"/>
        <v>152</v>
      </c>
      <c r="B192" s="310"/>
      <c r="C192" s="233" t="s">
        <v>247</v>
      </c>
      <c r="D192" s="15" t="s">
        <v>248</v>
      </c>
      <c r="E192" s="15"/>
      <c r="F192" s="15"/>
      <c r="G192" s="15"/>
      <c r="H192" s="15"/>
      <c r="I192" s="15"/>
      <c r="J192" s="193">
        <v>1306744</v>
      </c>
      <c r="K192" s="15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</row>
    <row r="193" spans="1:47" ht="15">
      <c r="A193" s="13">
        <f t="shared" si="3"/>
        <v>153</v>
      </c>
      <c r="B193" s="310"/>
      <c r="C193" s="313" t="s">
        <v>249</v>
      </c>
      <c r="D193" s="15"/>
      <c r="E193" s="182" t="str">
        <f>"(sum lines "&amp;A189&amp;"-"&amp;A192&amp;")"</f>
        <v>(sum lines 149-152)</v>
      </c>
      <c r="F193" s="182"/>
      <c r="G193" s="182"/>
      <c r="H193" s="182"/>
      <c r="I193" s="182"/>
      <c r="J193" s="86">
        <f>SUM(J189:J192)</f>
        <v>393286653</v>
      </c>
      <c r="K193" s="15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</row>
    <row r="194" spans="1:47" ht="15">
      <c r="A194" s="13">
        <f t="shared" si="3"/>
        <v>154</v>
      </c>
      <c r="B194" s="6"/>
      <c r="C194" s="2"/>
      <c r="D194" s="4"/>
      <c r="E194" s="15"/>
      <c r="F194" s="4"/>
      <c r="G194" s="4"/>
      <c r="H194" s="5"/>
      <c r="I194" s="4"/>
      <c r="J194" s="4"/>
      <c r="K194" s="4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</row>
    <row r="195" spans="1:47" ht="15.75" thickBot="1">
      <c r="A195" s="13">
        <f t="shared" si="3"/>
        <v>155</v>
      </c>
      <c r="B195" s="6"/>
      <c r="C195" s="2"/>
      <c r="D195" s="248" t="s">
        <v>180</v>
      </c>
      <c r="E195" s="314" t="s">
        <v>181</v>
      </c>
      <c r="F195" s="16" t="s">
        <v>188</v>
      </c>
      <c r="G195" s="4"/>
      <c r="H195" s="16" t="s">
        <v>187</v>
      </c>
      <c r="I195" s="4"/>
      <c r="J195" s="16" t="s">
        <v>189</v>
      </c>
      <c r="K195" s="4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</row>
    <row r="196" spans="1:47" ht="15">
      <c r="A196" s="13">
        <f t="shared" si="3"/>
        <v>156</v>
      </c>
      <c r="B196" s="6"/>
      <c r="C196" s="12" t="s">
        <v>236</v>
      </c>
      <c r="D196" s="89" t="s">
        <v>297</v>
      </c>
      <c r="E196" s="190">
        <v>342756330</v>
      </c>
      <c r="F196" s="315">
        <v>0.43</v>
      </c>
      <c r="G196" s="316"/>
      <c r="H196" s="317">
        <f>IF(E196&gt;0,+J184/E196,0)</f>
        <v>0.060454066595940034</v>
      </c>
      <c r="I196" s="6"/>
      <c r="J196" s="304">
        <f>H196*F196</f>
        <v>0.025995248636254215</v>
      </c>
      <c r="K196" s="318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</row>
    <row r="197" spans="1:47" ht="15">
      <c r="A197" s="13">
        <f t="shared" si="3"/>
        <v>157</v>
      </c>
      <c r="B197" s="6"/>
      <c r="C197" s="12" t="s">
        <v>237</v>
      </c>
      <c r="D197" s="245" t="s">
        <v>244</v>
      </c>
      <c r="E197" s="190"/>
      <c r="F197" s="315">
        <f>IF($E$199&gt;0,E197/$E$199,0)</f>
        <v>0</v>
      </c>
      <c r="G197" s="316"/>
      <c r="H197" s="304">
        <f>IF(E197&gt;0,J186/E197,0)</f>
        <v>0</v>
      </c>
      <c r="I197" s="6"/>
      <c r="J197" s="304">
        <f>H197*F197</f>
        <v>0</v>
      </c>
      <c r="K197" s="4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</row>
    <row r="198" spans="1:47" ht="15.75" thickBot="1">
      <c r="A198" s="13">
        <f t="shared" si="3"/>
        <v>158</v>
      </c>
      <c r="B198" s="6"/>
      <c r="C198" s="313" t="s">
        <v>250</v>
      </c>
      <c r="D198" s="245" t="str">
        <f>"(see above line "&amp;A193&amp;")"</f>
        <v>(see above line 153)</v>
      </c>
      <c r="E198" s="21">
        <f>+J193</f>
        <v>393286653</v>
      </c>
      <c r="F198" s="315">
        <v>0.57</v>
      </c>
      <c r="G198" s="6" t="s">
        <v>118</v>
      </c>
      <c r="H198" s="319">
        <v>0.108</v>
      </c>
      <c r="I198" s="6" t="s">
        <v>118</v>
      </c>
      <c r="J198" s="320">
        <f>H198*F198</f>
        <v>0.06156</v>
      </c>
      <c r="K198" s="4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</row>
    <row r="199" spans="1:47" ht="15">
      <c r="A199" s="13">
        <f t="shared" si="3"/>
        <v>159</v>
      </c>
      <c r="B199" s="6"/>
      <c r="C199" s="2" t="str">
        <f>"Total  (sum lines "&amp;A196&amp;"-"&amp;A198&amp;")"</f>
        <v>Total  (sum lines 156-158)</v>
      </c>
      <c r="D199" s="20"/>
      <c r="E199" s="15">
        <f>E198+E197+E196</f>
        <v>736042983</v>
      </c>
      <c r="F199" s="4" t="s">
        <v>129</v>
      </c>
      <c r="G199" s="4"/>
      <c r="H199" s="4"/>
      <c r="I199" s="4" t="s">
        <v>266</v>
      </c>
      <c r="J199" s="304">
        <f>SUM(J196:J198)</f>
        <v>0.08755524863625422</v>
      </c>
      <c r="K199" s="318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</row>
    <row r="200" spans="1:47" ht="15">
      <c r="A200" s="6"/>
      <c r="B200" s="6"/>
      <c r="C200" s="6"/>
      <c r="D200" s="6"/>
      <c r="E200" s="20"/>
      <c r="F200" s="4"/>
      <c r="G200" s="4"/>
      <c r="H200" s="4"/>
      <c r="I200" s="4"/>
      <c r="J200" s="6"/>
      <c r="K200" s="6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</row>
    <row r="201" spans="1:47" ht="30">
      <c r="A201" s="13"/>
      <c r="B201" s="6"/>
      <c r="C201" s="2"/>
      <c r="D201" s="1"/>
      <c r="E201" s="15"/>
      <c r="F201" s="4"/>
      <c r="G201" s="4"/>
      <c r="I201" s="236" t="s">
        <v>320</v>
      </c>
      <c r="J201" s="326" t="s">
        <v>383</v>
      </c>
      <c r="K201" s="1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</row>
    <row r="202" spans="1:47" ht="15">
      <c r="A202" s="13"/>
      <c r="B202" s="6"/>
      <c r="C202" s="2"/>
      <c r="D202" s="1"/>
      <c r="E202" s="15"/>
      <c r="F202" s="4"/>
      <c r="G202" s="4"/>
      <c r="H202" s="4"/>
      <c r="I202" s="237" t="s">
        <v>112</v>
      </c>
      <c r="J202" s="327">
        <v>2017</v>
      </c>
      <c r="K202" s="1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</row>
    <row r="203" spans="1:47" ht="15">
      <c r="A203" s="6"/>
      <c r="B203" s="6"/>
      <c r="C203" s="1"/>
      <c r="D203" s="1"/>
      <c r="F203" s="1"/>
      <c r="G203" s="1"/>
      <c r="H203" s="1"/>
      <c r="I203" s="1"/>
      <c r="J203" s="1"/>
      <c r="K203" s="1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</row>
    <row r="204" spans="1:47" ht="15.75">
      <c r="A204" s="330" t="s">
        <v>234</v>
      </c>
      <c r="B204" s="330"/>
      <c r="C204" s="330"/>
      <c r="D204" s="330"/>
      <c r="E204" s="330"/>
      <c r="F204" s="330"/>
      <c r="G204" s="330"/>
      <c r="H204" s="330"/>
      <c r="I204" s="330"/>
      <c r="J204" s="330"/>
      <c r="K204" s="330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</row>
    <row r="205" spans="1:47" ht="15.75">
      <c r="A205" s="331" t="s">
        <v>130</v>
      </c>
      <c r="B205" s="331"/>
      <c r="C205" s="331"/>
      <c r="D205" s="331"/>
      <c r="E205" s="331"/>
      <c r="F205" s="331"/>
      <c r="G205" s="331"/>
      <c r="H205" s="331"/>
      <c r="I205" s="331"/>
      <c r="J205" s="331"/>
      <c r="K205" s="331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</row>
    <row r="206" spans="1:47" ht="15">
      <c r="A206" s="6"/>
      <c r="B206" s="258"/>
      <c r="C206" s="12"/>
      <c r="D206" s="13"/>
      <c r="E206" s="15"/>
      <c r="F206" s="4"/>
      <c r="G206" s="4"/>
      <c r="H206" s="4"/>
      <c r="I206" s="258"/>
      <c r="J206" s="4"/>
      <c r="K206" s="258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</row>
    <row r="207" spans="1:47" ht="15.75">
      <c r="A207" s="332" t="s">
        <v>233</v>
      </c>
      <c r="B207" s="332"/>
      <c r="C207" s="332"/>
      <c r="D207" s="332"/>
      <c r="E207" s="332"/>
      <c r="F207" s="332"/>
      <c r="G207" s="332"/>
      <c r="H207" s="332"/>
      <c r="I207" s="332"/>
      <c r="J207" s="332"/>
      <c r="K207" s="332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</row>
    <row r="208" spans="1:47" ht="15">
      <c r="A208" s="13"/>
      <c r="B208" s="258"/>
      <c r="C208" s="12"/>
      <c r="D208" s="13"/>
      <c r="E208" s="15"/>
      <c r="F208" s="4"/>
      <c r="G208" s="4"/>
      <c r="H208" s="4"/>
      <c r="I208" s="258"/>
      <c r="J208" s="4"/>
      <c r="K208" s="258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</row>
    <row r="209" spans="1:47" ht="15">
      <c r="A209" s="13" t="s">
        <v>190</v>
      </c>
      <c r="B209" s="258"/>
      <c r="C209" s="12"/>
      <c r="D209" s="258"/>
      <c r="E209" s="15"/>
      <c r="F209" s="4"/>
      <c r="G209" s="4"/>
      <c r="H209" s="4"/>
      <c r="I209" s="258"/>
      <c r="J209" s="4"/>
      <c r="K209" s="258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</row>
    <row r="210" spans="1:47" ht="15.75" thickBot="1">
      <c r="A210" s="16" t="s">
        <v>191</v>
      </c>
      <c r="B210" s="258"/>
      <c r="C210" s="12"/>
      <c r="D210" s="258"/>
      <c r="E210" s="15"/>
      <c r="F210" s="4"/>
      <c r="G210" s="4"/>
      <c r="H210" s="4"/>
      <c r="I210" s="258"/>
      <c r="J210" s="4"/>
      <c r="K210" s="258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</row>
    <row r="211" spans="1:47" ht="15">
      <c r="A211" s="13"/>
      <c r="B211" s="258"/>
      <c r="C211" s="235"/>
      <c r="D211" s="19"/>
      <c r="E211" s="15"/>
      <c r="F211" s="15"/>
      <c r="G211" s="15"/>
      <c r="H211" s="15"/>
      <c r="I211" s="19"/>
      <c r="J211" s="15"/>
      <c r="K211" s="19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</row>
    <row r="212" spans="1:47" ht="15">
      <c r="A212" s="6"/>
      <c r="B212" s="6"/>
      <c r="C212" s="6"/>
      <c r="D212" s="6"/>
      <c r="E212" s="20"/>
      <c r="F212" s="6"/>
      <c r="G212" s="6"/>
      <c r="H212" s="6"/>
      <c r="I212" s="6"/>
      <c r="J212" s="19"/>
      <c r="K212" s="19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</row>
    <row r="213" spans="1:47" ht="15">
      <c r="A213" s="13" t="s">
        <v>192</v>
      </c>
      <c r="B213" s="258"/>
      <c r="C213" s="19" t="s">
        <v>268</v>
      </c>
      <c r="D213" s="19"/>
      <c r="E213" s="19"/>
      <c r="F213" s="19"/>
      <c r="G213" s="19"/>
      <c r="H213" s="19"/>
      <c r="I213" s="19"/>
      <c r="J213" s="19"/>
      <c r="K213" s="19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</row>
    <row r="214" spans="1:47" ht="15">
      <c r="A214" s="13"/>
      <c r="B214" s="258"/>
      <c r="C214" s="19" t="s">
        <v>47</v>
      </c>
      <c r="D214" s="19"/>
      <c r="E214" s="19"/>
      <c r="F214" s="19"/>
      <c r="G214" s="19"/>
      <c r="H214" s="19"/>
      <c r="I214" s="19"/>
      <c r="J214" s="19"/>
      <c r="K214" s="19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</row>
    <row r="215" spans="1:47" ht="15">
      <c r="A215" s="13"/>
      <c r="B215" s="258"/>
      <c r="C215" s="19" t="s">
        <v>75</v>
      </c>
      <c r="D215" s="19"/>
      <c r="E215" s="19"/>
      <c r="F215" s="19"/>
      <c r="G215" s="19"/>
      <c r="H215" s="19"/>
      <c r="I215" s="19"/>
      <c r="J215" s="19"/>
      <c r="K215" s="19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</row>
    <row r="216" spans="1:47" ht="15">
      <c r="A216" s="13" t="s">
        <v>193</v>
      </c>
      <c r="B216" s="258"/>
      <c r="C216" s="19" t="s">
        <v>199</v>
      </c>
      <c r="D216" s="19"/>
      <c r="E216" s="19"/>
      <c r="F216" s="19"/>
      <c r="G216" s="19"/>
      <c r="H216" s="19"/>
      <c r="I216" s="19"/>
      <c r="J216" s="19"/>
      <c r="K216" s="19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</row>
    <row r="217" spans="1:47" ht="15">
      <c r="A217" s="13" t="s">
        <v>194</v>
      </c>
      <c r="B217" s="258"/>
      <c r="C217" s="19" t="s">
        <v>363</v>
      </c>
      <c r="D217" s="19"/>
      <c r="E217" s="19"/>
      <c r="F217" s="19"/>
      <c r="G217" s="19"/>
      <c r="H217" s="19"/>
      <c r="I217" s="19"/>
      <c r="J217" s="19"/>
      <c r="K217" s="19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</row>
    <row r="218" spans="1:47" ht="15">
      <c r="A218" s="13" t="s">
        <v>195</v>
      </c>
      <c r="B218" s="258"/>
      <c r="C218" s="19" t="s">
        <v>48</v>
      </c>
      <c r="D218" s="19"/>
      <c r="E218" s="19"/>
      <c r="F218" s="19"/>
      <c r="G218" s="19"/>
      <c r="H218" s="19"/>
      <c r="I218" s="19"/>
      <c r="J218" s="19"/>
      <c r="K218" s="19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</row>
    <row r="219" spans="1:47" ht="15">
      <c r="A219" s="13" t="s">
        <v>196</v>
      </c>
      <c r="B219" s="258"/>
      <c r="C219" s="19" t="s">
        <v>364</v>
      </c>
      <c r="D219" s="19"/>
      <c r="E219" s="19"/>
      <c r="F219" s="19"/>
      <c r="G219" s="19"/>
      <c r="H219" s="19"/>
      <c r="I219" s="19"/>
      <c r="J219" s="19"/>
      <c r="K219" s="19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</row>
    <row r="220" spans="1:47" ht="15">
      <c r="A220" s="13"/>
      <c r="B220" s="258"/>
      <c r="C220" s="20" t="s">
        <v>365</v>
      </c>
      <c r="D220" s="19"/>
      <c r="E220" s="19"/>
      <c r="F220" s="19"/>
      <c r="G220" s="19"/>
      <c r="H220" s="19"/>
      <c r="I220" s="19"/>
      <c r="J220" s="19"/>
      <c r="K220" s="19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</row>
    <row r="221" spans="1:47" ht="15">
      <c r="A221" s="13" t="s">
        <v>197</v>
      </c>
      <c r="B221" s="258"/>
      <c r="C221" s="19" t="s">
        <v>202</v>
      </c>
      <c r="D221" s="19"/>
      <c r="E221" s="19"/>
      <c r="F221" s="19"/>
      <c r="G221" s="19"/>
      <c r="H221" s="19"/>
      <c r="I221" s="19"/>
      <c r="J221" s="19"/>
      <c r="K221" s="19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</row>
    <row r="222" spans="1:47" ht="15">
      <c r="A222" s="13"/>
      <c r="B222" s="258"/>
      <c r="C222" s="19" t="s">
        <v>128</v>
      </c>
      <c r="D222" s="19"/>
      <c r="E222" s="19"/>
      <c r="F222" s="19"/>
      <c r="G222" s="19"/>
      <c r="H222" s="19"/>
      <c r="I222" s="19"/>
      <c r="J222" s="19"/>
      <c r="K222" s="19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</row>
    <row r="223" spans="1:47" ht="15">
      <c r="A223" s="13"/>
      <c r="B223" s="258"/>
      <c r="C223" s="19" t="s">
        <v>224</v>
      </c>
      <c r="D223" s="19"/>
      <c r="E223" s="19"/>
      <c r="F223" s="19"/>
      <c r="G223" s="19"/>
      <c r="H223" s="19"/>
      <c r="I223" s="19"/>
      <c r="J223" s="19"/>
      <c r="K223" s="19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</row>
    <row r="224" spans="1:47" ht="15">
      <c r="A224" s="13" t="s">
        <v>198</v>
      </c>
      <c r="B224" s="258"/>
      <c r="C224" s="19" t="s">
        <v>209</v>
      </c>
      <c r="D224" s="19"/>
      <c r="E224" s="19"/>
      <c r="F224" s="19"/>
      <c r="G224" s="19"/>
      <c r="H224" s="19"/>
      <c r="I224" s="19"/>
      <c r="J224" s="19"/>
      <c r="K224" s="19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</row>
    <row r="225" spans="1:47" ht="15">
      <c r="A225" s="13"/>
      <c r="B225" s="258"/>
      <c r="C225" s="19" t="s">
        <v>211</v>
      </c>
      <c r="D225" s="19"/>
      <c r="E225" s="19"/>
      <c r="F225" s="19"/>
      <c r="G225" s="19"/>
      <c r="H225" s="19"/>
      <c r="I225" s="19"/>
      <c r="J225" s="19"/>
      <c r="K225" s="19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</row>
    <row r="226" spans="1:47" ht="15">
      <c r="A226" s="13"/>
      <c r="B226" s="258"/>
      <c r="C226" s="19" t="s">
        <v>212</v>
      </c>
      <c r="D226" s="19"/>
      <c r="E226" s="19"/>
      <c r="F226" s="19"/>
      <c r="G226" s="19"/>
      <c r="H226" s="19"/>
      <c r="I226" s="19"/>
      <c r="J226" s="19"/>
      <c r="K226" s="19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</row>
    <row r="227" spans="1:47" ht="15">
      <c r="A227" s="13"/>
      <c r="B227" s="258"/>
      <c r="C227" s="19" t="s">
        <v>213</v>
      </c>
      <c r="D227" s="19"/>
      <c r="E227" s="19"/>
      <c r="F227" s="19"/>
      <c r="G227" s="19"/>
      <c r="H227" s="19"/>
      <c r="I227" s="19"/>
      <c r="J227" s="19"/>
      <c r="K227" s="19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</row>
    <row r="228" spans="1:47" ht="15">
      <c r="A228" s="13"/>
      <c r="B228" s="258"/>
      <c r="C228" s="19" t="s">
        <v>214</v>
      </c>
      <c r="D228" s="19"/>
      <c r="E228" s="19"/>
      <c r="F228" s="19"/>
      <c r="G228" s="19"/>
      <c r="H228" s="19"/>
      <c r="I228" s="19"/>
      <c r="J228" s="19"/>
      <c r="K228" s="19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</row>
    <row r="229" spans="1:47" ht="15">
      <c r="A229" s="13"/>
      <c r="B229" s="258"/>
      <c r="C229" s="19" t="s">
        <v>76</v>
      </c>
      <c r="D229" s="19"/>
      <c r="E229" s="19"/>
      <c r="F229" s="19"/>
      <c r="G229" s="19"/>
      <c r="H229" s="19"/>
      <c r="I229" s="19"/>
      <c r="J229" s="19"/>
      <c r="K229" s="19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</row>
    <row r="230" spans="1:47" ht="15">
      <c r="A230" s="13" t="s">
        <v>129</v>
      </c>
      <c r="B230" s="258"/>
      <c r="C230" s="19" t="s">
        <v>221</v>
      </c>
      <c r="D230" s="19" t="s">
        <v>215</v>
      </c>
      <c r="E230" s="321">
        <v>0.35</v>
      </c>
      <c r="F230" s="19"/>
      <c r="G230" s="19"/>
      <c r="H230" s="19"/>
      <c r="I230" s="19"/>
      <c r="J230" s="19"/>
      <c r="K230" s="19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</row>
    <row r="231" spans="1:47" ht="15">
      <c r="A231" s="13"/>
      <c r="B231" s="258"/>
      <c r="C231" s="19"/>
      <c r="D231" s="19" t="s">
        <v>216</v>
      </c>
      <c r="E231" s="321">
        <v>0</v>
      </c>
      <c r="F231" s="19" t="s">
        <v>217</v>
      </c>
      <c r="G231" s="19"/>
      <c r="H231" s="19"/>
      <c r="I231" s="19"/>
      <c r="J231" s="19"/>
      <c r="K231" s="19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</row>
    <row r="232" spans="1:47" ht="15">
      <c r="A232" s="13"/>
      <c r="B232" s="258"/>
      <c r="C232" s="19"/>
      <c r="D232" s="19" t="s">
        <v>218</v>
      </c>
      <c r="E232" s="321">
        <v>0</v>
      </c>
      <c r="F232" s="19" t="s">
        <v>395</v>
      </c>
      <c r="G232" s="19"/>
      <c r="H232" s="19"/>
      <c r="I232" s="19"/>
      <c r="J232" s="19"/>
      <c r="K232" s="19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</row>
    <row r="233" spans="1:11" ht="15">
      <c r="A233" s="322" t="s">
        <v>200</v>
      </c>
      <c r="B233" s="6"/>
      <c r="C233" s="20" t="s">
        <v>362</v>
      </c>
      <c r="D233" s="20"/>
      <c r="E233" s="20"/>
      <c r="F233" s="20"/>
      <c r="G233" s="20"/>
      <c r="H233" s="20"/>
      <c r="I233" s="20"/>
      <c r="J233" s="20"/>
      <c r="K233" s="6"/>
    </row>
    <row r="234" spans="1:3" ht="15" customHeight="1">
      <c r="A234" s="323" t="s">
        <v>201</v>
      </c>
      <c r="C234" s="235" t="s">
        <v>31</v>
      </c>
    </row>
  </sheetData>
  <sheetProtection/>
  <mergeCells count="13">
    <mergeCell ref="A4:K4"/>
    <mergeCell ref="A5:K5"/>
    <mergeCell ref="A7:K7"/>
    <mergeCell ref="A71:K71"/>
    <mergeCell ref="A72:K72"/>
    <mergeCell ref="A74:K74"/>
    <mergeCell ref="A204:K204"/>
    <mergeCell ref="A205:K205"/>
    <mergeCell ref="A207:K207"/>
    <mergeCell ref="A131:K131"/>
    <mergeCell ref="A126:K126"/>
    <mergeCell ref="A127:K127"/>
    <mergeCell ref="A129:K129"/>
  </mergeCells>
  <printOptions horizontalCentered="1"/>
  <pageMargins left="0.5" right="0.5" top="0.75" bottom="0.75" header="0.5" footer="0.5"/>
  <pageSetup fitToHeight="5" horizontalDpi="600" verticalDpi="600" orientation="portrait" scale="54" r:id="rId3"/>
  <headerFooter alignWithMargins="0">
    <oddHeader>&amp;C&amp;"Arial MT,Bold"ESTIMATED SERVICE YEAR ATRR
BLACK HILLS POWER, INC.</oddHeader>
    <oddFooter>&amp;L&amp;9
</oddFooter>
  </headerFooter>
  <rowBreaks count="3" manualBreakCount="3">
    <brk id="67" max="12" man="1"/>
    <brk id="123" max="10" man="1"/>
    <brk id="200" max="12" man="1"/>
  </rowBreaks>
  <ignoredErrors>
    <ignoredError sqref="H5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16"/>
  <sheetViews>
    <sheetView workbookViewId="0" topLeftCell="A5">
      <selection activeCell="D15" sqref="D15"/>
    </sheetView>
  </sheetViews>
  <sheetFormatPr defaultColWidth="7.10546875" defaultRowHeight="15"/>
  <cols>
    <col min="1" max="1" width="3.4453125" style="40" customWidth="1"/>
    <col min="2" max="2" width="4.10546875" style="40" customWidth="1"/>
    <col min="3" max="3" width="1.77734375" style="40" customWidth="1"/>
    <col min="4" max="4" width="44.88671875" style="43" customWidth="1"/>
    <col min="5" max="5" width="11.5546875" style="43" bestFit="1" customWidth="1"/>
    <col min="6" max="6" width="10.88671875" style="40" customWidth="1"/>
    <col min="7" max="7" width="9.4453125" style="40" customWidth="1"/>
    <col min="8" max="8" width="11.3359375" style="40" customWidth="1"/>
    <col min="9" max="16384" width="7.10546875" style="40" customWidth="1"/>
  </cols>
  <sheetData>
    <row r="1" spans="6:7" ht="12.75">
      <c r="F1" s="336" t="s">
        <v>385</v>
      </c>
      <c r="G1" s="336"/>
    </row>
    <row r="2" spans="2:7" ht="43.5" customHeight="1">
      <c r="B2" s="334" t="s">
        <v>384</v>
      </c>
      <c r="C2" s="335"/>
      <c r="D2" s="335"/>
      <c r="E2" s="335"/>
      <c r="F2" s="335"/>
      <c r="G2" s="335"/>
    </row>
    <row r="3" spans="4:6" ht="12.75">
      <c r="D3" s="195"/>
      <c r="F3" s="196"/>
    </row>
    <row r="4" ht="12.75">
      <c r="B4" s="87" t="s">
        <v>131</v>
      </c>
    </row>
    <row r="5" spans="2:6" ht="12.75">
      <c r="B5" s="88" t="s">
        <v>132</v>
      </c>
      <c r="F5" s="197" t="s">
        <v>323</v>
      </c>
    </row>
    <row r="6" spans="2:6" ht="12.75">
      <c r="B6" s="41">
        <v>1</v>
      </c>
      <c r="C6" s="42" t="s">
        <v>324</v>
      </c>
      <c r="D6" s="44"/>
      <c r="E6" s="44"/>
      <c r="F6" s="198" t="s">
        <v>325</v>
      </c>
    </row>
    <row r="7" spans="2:6" ht="12.75">
      <c r="B7" s="41">
        <f>+B6+1</f>
        <v>2</v>
      </c>
      <c r="C7" s="44"/>
      <c r="D7" s="199">
        <v>42339</v>
      </c>
      <c r="E7" s="108"/>
      <c r="F7" s="49"/>
    </row>
    <row r="8" spans="2:6" ht="12.75">
      <c r="B8" s="41">
        <f aca="true" t="shared" si="0" ref="B8:B59">+B7+1</f>
        <v>3</v>
      </c>
      <c r="C8" s="44"/>
      <c r="D8" s="199">
        <v>42370</v>
      </c>
      <c r="E8" s="108"/>
      <c r="F8" s="49"/>
    </row>
    <row r="9" spans="2:6" ht="12.75">
      <c r="B9" s="41">
        <f t="shared" si="0"/>
        <v>4</v>
      </c>
      <c r="C9" s="44"/>
      <c r="D9" s="199">
        <v>42401</v>
      </c>
      <c r="E9" s="108"/>
      <c r="F9" s="49"/>
    </row>
    <row r="10" spans="2:6" ht="12.75">
      <c r="B10" s="41">
        <f t="shared" si="0"/>
        <v>5</v>
      </c>
      <c r="C10" s="44"/>
      <c r="D10" s="199">
        <v>42430</v>
      </c>
      <c r="E10" s="108"/>
      <c r="F10" s="49"/>
    </row>
    <row r="11" spans="2:6" ht="12.75">
      <c r="B11" s="41">
        <f t="shared" si="0"/>
        <v>6</v>
      </c>
      <c r="C11" s="44"/>
      <c r="D11" s="200">
        <v>42473</v>
      </c>
      <c r="E11" s="108"/>
      <c r="F11" s="49"/>
    </row>
    <row r="12" spans="2:6" ht="12.75" customHeight="1">
      <c r="B12" s="41">
        <f t="shared" si="0"/>
        <v>7</v>
      </c>
      <c r="C12" s="44"/>
      <c r="D12" s="199">
        <v>42491</v>
      </c>
      <c r="E12" s="108"/>
      <c r="F12" s="49"/>
    </row>
    <row r="13" spans="2:6" ht="12.75">
      <c r="B13" s="41">
        <f t="shared" si="0"/>
        <v>8</v>
      </c>
      <c r="C13" s="42"/>
      <c r="D13" s="200">
        <v>42531</v>
      </c>
      <c r="E13" s="108"/>
      <c r="F13" s="49"/>
    </row>
    <row r="14" spans="2:6" ht="12.75">
      <c r="B14" s="41">
        <f t="shared" si="0"/>
        <v>9</v>
      </c>
      <c r="C14" s="44"/>
      <c r="D14" s="199">
        <v>42552</v>
      </c>
      <c r="E14" s="108"/>
      <c r="F14" s="49"/>
    </row>
    <row r="15" spans="2:6" ht="12.75">
      <c r="B15" s="41">
        <f t="shared" si="0"/>
        <v>10</v>
      </c>
      <c r="C15" s="44"/>
      <c r="D15" s="199">
        <v>42583</v>
      </c>
      <c r="E15" s="108"/>
      <c r="F15" s="49">
        <v>31593278</v>
      </c>
    </row>
    <row r="16" spans="2:6" ht="12.75">
      <c r="B16" s="41">
        <f t="shared" si="0"/>
        <v>11</v>
      </c>
      <c r="C16" s="44"/>
      <c r="D16" s="200">
        <v>42622</v>
      </c>
      <c r="E16" s="108"/>
      <c r="F16" s="49"/>
    </row>
    <row r="17" spans="2:6" ht="12.75">
      <c r="B17" s="41">
        <f t="shared" si="0"/>
        <v>12</v>
      </c>
      <c r="C17" s="44"/>
      <c r="D17" s="199">
        <v>42644</v>
      </c>
      <c r="E17" s="108"/>
      <c r="F17" s="49"/>
    </row>
    <row r="18" spans="2:6" ht="12.75">
      <c r="B18" s="41">
        <f t="shared" si="0"/>
        <v>13</v>
      </c>
      <c r="C18" s="44"/>
      <c r="D18" s="200">
        <v>42684</v>
      </c>
      <c r="E18" s="108"/>
      <c r="F18" s="49"/>
    </row>
    <row r="19" spans="2:7" ht="12.75">
      <c r="B19" s="41">
        <f t="shared" si="0"/>
        <v>14</v>
      </c>
      <c r="C19" s="44"/>
      <c r="D19" s="200">
        <v>42717</v>
      </c>
      <c r="E19" s="108"/>
      <c r="F19" s="49"/>
      <c r="G19" s="44"/>
    </row>
    <row r="20" spans="2:8" ht="12.75">
      <c r="B20" s="41">
        <f t="shared" si="0"/>
        <v>15</v>
      </c>
      <c r="C20" s="201" t="s">
        <v>347</v>
      </c>
      <c r="D20" s="40"/>
      <c r="E20" s="108"/>
      <c r="F20" s="202">
        <f>SUM(F7:F19)</f>
        <v>31593278</v>
      </c>
      <c r="G20" s="48"/>
      <c r="H20" s="48"/>
    </row>
    <row r="21" spans="2:6" ht="12.75">
      <c r="B21" s="41">
        <f t="shared" si="0"/>
        <v>16</v>
      </c>
      <c r="C21" s="44"/>
      <c r="D21" s="44" t="s">
        <v>326</v>
      </c>
      <c r="E21" s="44"/>
      <c r="F21" s="203">
        <f>'BHP WP5 Depreciation Rates'!H21</f>
        <v>0.0232</v>
      </c>
    </row>
    <row r="22" spans="2:6" ht="13.5" thickBot="1">
      <c r="B22" s="41">
        <f t="shared" si="0"/>
        <v>17</v>
      </c>
      <c r="C22" s="42" t="str">
        <f>"Annual Transmisison Depreciation Expense (line "&amp;B20&amp;" x line "&amp;B21&amp;")"</f>
        <v>Annual Transmisison Depreciation Expense (line 15 x line 16)</v>
      </c>
      <c r="D22" s="44"/>
      <c r="E22" s="44"/>
      <c r="F22" s="204">
        <f>+F20*F21</f>
        <v>732964.0495999999</v>
      </c>
    </row>
    <row r="23" spans="2:5" ht="13.5" thickTop="1">
      <c r="B23" s="41">
        <f t="shared" si="0"/>
        <v>18</v>
      </c>
      <c r="C23" s="44"/>
      <c r="D23" s="205"/>
      <c r="E23" s="205"/>
    </row>
    <row r="24" spans="2:6" ht="12.75">
      <c r="B24" s="41">
        <f>+B23+1</f>
        <v>19</v>
      </c>
      <c r="C24" s="44"/>
      <c r="D24" s="205"/>
      <c r="E24" s="206" t="s">
        <v>327</v>
      </c>
      <c r="F24" s="44" t="s">
        <v>328</v>
      </c>
    </row>
    <row r="25" spans="2:6" ht="12.75">
      <c r="B25" s="41">
        <f t="shared" si="0"/>
        <v>20</v>
      </c>
      <c r="C25" s="42"/>
      <c r="E25" s="207" t="s">
        <v>329</v>
      </c>
      <c r="F25" s="87" t="s">
        <v>330</v>
      </c>
    </row>
    <row r="26" spans="2:6" ht="12.75">
      <c r="B26" s="41">
        <f t="shared" si="0"/>
        <v>21</v>
      </c>
      <c r="C26" s="42" t="s">
        <v>343</v>
      </c>
      <c r="E26" s="207" t="s">
        <v>325</v>
      </c>
      <c r="F26" s="87" t="s">
        <v>331</v>
      </c>
    </row>
    <row r="27" spans="2:6" ht="12.75">
      <c r="B27" s="41">
        <f t="shared" si="0"/>
        <v>22</v>
      </c>
      <c r="F27" s="49"/>
    </row>
    <row r="28" spans="2:6" ht="12.75">
      <c r="B28" s="41">
        <f t="shared" si="0"/>
        <v>23</v>
      </c>
      <c r="D28" s="208" t="s">
        <v>346</v>
      </c>
      <c r="E28" s="205">
        <f>Estimate!J16+F8</f>
        <v>101857605.090156</v>
      </c>
      <c r="F28" s="49">
        <f aca="true" t="shared" si="1" ref="F28:F37">(+E28*$F$21)/12</f>
        <v>196924.70317430157</v>
      </c>
    </row>
    <row r="29" spans="2:6" ht="12.75">
      <c r="B29" s="41">
        <f t="shared" si="0"/>
        <v>24</v>
      </c>
      <c r="D29" s="209">
        <v>42401</v>
      </c>
      <c r="E29" s="210">
        <f>+E28+F9</f>
        <v>101857605.090156</v>
      </c>
      <c r="F29" s="49">
        <f t="shared" si="1"/>
        <v>196924.70317430157</v>
      </c>
    </row>
    <row r="30" spans="2:6" ht="12.75">
      <c r="B30" s="41">
        <f t="shared" si="0"/>
        <v>25</v>
      </c>
      <c r="D30" s="209">
        <v>42430</v>
      </c>
      <c r="E30" s="210">
        <f>+E29+F10</f>
        <v>101857605.090156</v>
      </c>
      <c r="F30" s="49">
        <f t="shared" si="1"/>
        <v>196924.70317430157</v>
      </c>
    </row>
    <row r="31" spans="2:6" ht="12.75">
      <c r="B31" s="41">
        <f t="shared" si="0"/>
        <v>26</v>
      </c>
      <c r="D31" s="209">
        <v>42461</v>
      </c>
      <c r="E31" s="210">
        <f aca="true" t="shared" si="2" ref="E31:E39">+E30+F11</f>
        <v>101857605.090156</v>
      </c>
      <c r="F31" s="49">
        <f t="shared" si="1"/>
        <v>196924.70317430157</v>
      </c>
    </row>
    <row r="32" spans="2:6" ht="12.75">
      <c r="B32" s="41">
        <f t="shared" si="0"/>
        <v>27</v>
      </c>
      <c r="D32" s="209">
        <v>42491</v>
      </c>
      <c r="E32" s="210">
        <f t="shared" si="2"/>
        <v>101857605.090156</v>
      </c>
      <c r="F32" s="49">
        <f t="shared" si="1"/>
        <v>196924.70317430157</v>
      </c>
    </row>
    <row r="33" spans="2:6" ht="12.75">
      <c r="B33" s="41">
        <f t="shared" si="0"/>
        <v>28</v>
      </c>
      <c r="D33" s="209">
        <v>42522</v>
      </c>
      <c r="E33" s="210">
        <f t="shared" si="2"/>
        <v>101857605.090156</v>
      </c>
      <c r="F33" s="49">
        <f t="shared" si="1"/>
        <v>196924.70317430157</v>
      </c>
    </row>
    <row r="34" spans="2:6" ht="12.75">
      <c r="B34" s="41">
        <f t="shared" si="0"/>
        <v>29</v>
      </c>
      <c r="D34" s="209">
        <v>42552</v>
      </c>
      <c r="E34" s="210">
        <f t="shared" si="2"/>
        <v>101857605.090156</v>
      </c>
      <c r="F34" s="49">
        <f t="shared" si="1"/>
        <v>196924.70317430157</v>
      </c>
    </row>
    <row r="35" spans="2:6" ht="12.75">
      <c r="B35" s="41">
        <f t="shared" si="0"/>
        <v>30</v>
      </c>
      <c r="D35" s="209">
        <v>42583</v>
      </c>
      <c r="E35" s="210">
        <f>+E34+F15</f>
        <v>133450883.090156</v>
      </c>
      <c r="F35" s="49">
        <f t="shared" si="1"/>
        <v>258005.04064096825</v>
      </c>
    </row>
    <row r="36" spans="2:6" ht="12.75">
      <c r="B36" s="41">
        <f t="shared" si="0"/>
        <v>31</v>
      </c>
      <c r="D36" s="209">
        <v>42614</v>
      </c>
      <c r="E36" s="210">
        <f t="shared" si="2"/>
        <v>133450883.090156</v>
      </c>
      <c r="F36" s="49">
        <f t="shared" si="1"/>
        <v>258005.04064096825</v>
      </c>
    </row>
    <row r="37" spans="2:6" ht="12.75">
      <c r="B37" s="41">
        <f t="shared" si="0"/>
        <v>32</v>
      </c>
      <c r="D37" s="209">
        <v>42644</v>
      </c>
      <c r="E37" s="210">
        <f t="shared" si="2"/>
        <v>133450883.090156</v>
      </c>
      <c r="F37" s="49">
        <f t="shared" si="1"/>
        <v>258005.04064096825</v>
      </c>
    </row>
    <row r="38" spans="2:6" ht="12.75">
      <c r="B38" s="41">
        <f t="shared" si="0"/>
        <v>33</v>
      </c>
      <c r="D38" s="209">
        <v>42675</v>
      </c>
      <c r="E38" s="210">
        <f t="shared" si="2"/>
        <v>133450883.090156</v>
      </c>
      <c r="F38" s="49">
        <f aca="true" t="shared" si="3" ref="F38:F53">(+E38*$F$21)/12</f>
        <v>258005.04064096825</v>
      </c>
    </row>
    <row r="39" spans="2:6" ht="12.75">
      <c r="B39" s="41">
        <f t="shared" si="0"/>
        <v>34</v>
      </c>
      <c r="D39" s="209">
        <v>42705</v>
      </c>
      <c r="E39" s="210">
        <f t="shared" si="2"/>
        <v>133450883.090156</v>
      </c>
      <c r="F39" s="49">
        <f>(+E39*$F$21)/12</f>
        <v>258005.04064096825</v>
      </c>
    </row>
    <row r="40" spans="2:6" ht="12.75">
      <c r="B40" s="41">
        <f t="shared" si="0"/>
        <v>35</v>
      </c>
      <c r="D40" s="208" t="s">
        <v>344</v>
      </c>
      <c r="E40" s="210"/>
      <c r="F40" s="202">
        <f>SUM(F28:F39)</f>
        <v>2668498.1254249527</v>
      </c>
    </row>
    <row r="41" spans="2:6" ht="12.75">
      <c r="B41" s="41">
        <f t="shared" si="0"/>
        <v>36</v>
      </c>
      <c r="C41" s="44" t="s">
        <v>345</v>
      </c>
      <c r="D41" s="209"/>
      <c r="E41" s="210"/>
      <c r="F41" s="49"/>
    </row>
    <row r="42" spans="2:7" ht="12.75">
      <c r="B42" s="41">
        <f t="shared" si="0"/>
        <v>37</v>
      </c>
      <c r="D42" s="209">
        <v>42370</v>
      </c>
      <c r="E42" s="210">
        <f>+E39+'BHP WP3 Capital Additions'!D10</f>
        <v>133450883.090156</v>
      </c>
      <c r="F42" s="49">
        <f>(+E42*$F$21)/12</f>
        <v>258005.04064096825</v>
      </c>
      <c r="G42" s="211"/>
    </row>
    <row r="43" spans="2:7" ht="12.75">
      <c r="B43" s="41">
        <f t="shared" si="0"/>
        <v>38</v>
      </c>
      <c r="D43" s="209">
        <v>42401</v>
      </c>
      <c r="E43" s="210">
        <f>+E42+'BHP WP3 Capital Additions'!D11</f>
        <v>133450883.090156</v>
      </c>
      <c r="F43" s="49">
        <f t="shared" si="3"/>
        <v>258005.04064096825</v>
      </c>
      <c r="G43" s="211"/>
    </row>
    <row r="44" spans="2:7" ht="12.75">
      <c r="B44" s="41">
        <f t="shared" si="0"/>
        <v>39</v>
      </c>
      <c r="D44" s="209">
        <v>42430</v>
      </c>
      <c r="E44" s="210">
        <f>+E43+'BHP WP3 Capital Additions'!D12</f>
        <v>133450883.090156</v>
      </c>
      <c r="F44" s="49">
        <f t="shared" si="3"/>
        <v>258005.04064096825</v>
      </c>
      <c r="G44" s="211"/>
    </row>
    <row r="45" spans="2:7" ht="12.75">
      <c r="B45" s="41">
        <f t="shared" si="0"/>
        <v>40</v>
      </c>
      <c r="D45" s="209">
        <v>42461</v>
      </c>
      <c r="E45" s="210">
        <f>+E44+'BHP WP3 Capital Additions'!D13</f>
        <v>133450883.090156</v>
      </c>
      <c r="F45" s="49">
        <f t="shared" si="3"/>
        <v>258005.04064096825</v>
      </c>
      <c r="G45" s="211"/>
    </row>
    <row r="46" spans="2:7" ht="12.75">
      <c r="B46" s="41">
        <f t="shared" si="0"/>
        <v>41</v>
      </c>
      <c r="D46" s="209">
        <v>42491</v>
      </c>
      <c r="E46" s="210">
        <f>+E45+'BHP WP3 Capital Additions'!D14</f>
        <v>155849564.09015602</v>
      </c>
      <c r="F46" s="49">
        <f t="shared" si="3"/>
        <v>301309.15724096826</v>
      </c>
      <c r="G46" s="211"/>
    </row>
    <row r="47" spans="2:7" ht="12.75">
      <c r="B47" s="41">
        <f t="shared" si="0"/>
        <v>42</v>
      </c>
      <c r="D47" s="209">
        <v>42522</v>
      </c>
      <c r="E47" s="210">
        <f>+E46+'BHP WP3 Capital Additions'!D15</f>
        <v>155849564.09015602</v>
      </c>
      <c r="F47" s="49">
        <f t="shared" si="3"/>
        <v>301309.15724096826</v>
      </c>
      <c r="G47" s="211"/>
    </row>
    <row r="48" spans="2:7" ht="12.75">
      <c r="B48" s="41">
        <f t="shared" si="0"/>
        <v>43</v>
      </c>
      <c r="D48" s="209">
        <v>42552</v>
      </c>
      <c r="E48" s="210">
        <f>+E47+'BHP WP3 Capital Additions'!D16</f>
        <v>155849564.09015602</v>
      </c>
      <c r="F48" s="49">
        <f t="shared" si="3"/>
        <v>301309.15724096826</v>
      </c>
      <c r="G48" s="211"/>
    </row>
    <row r="49" spans="2:7" ht="12.75">
      <c r="B49" s="41">
        <f t="shared" si="0"/>
        <v>44</v>
      </c>
      <c r="D49" s="209">
        <v>42583</v>
      </c>
      <c r="E49" s="210">
        <f>+E48+'BHP WP3 Capital Additions'!D17</f>
        <v>155849564.09015602</v>
      </c>
      <c r="F49" s="49">
        <f t="shared" si="3"/>
        <v>301309.15724096826</v>
      </c>
      <c r="G49" s="211"/>
    </row>
    <row r="50" spans="2:7" ht="12.75">
      <c r="B50" s="41">
        <f t="shared" si="0"/>
        <v>45</v>
      </c>
      <c r="D50" s="209">
        <v>42614</v>
      </c>
      <c r="E50" s="210">
        <f>+E49+'BHP WP3 Capital Additions'!D18</f>
        <v>155849564.09015602</v>
      </c>
      <c r="F50" s="49">
        <f t="shared" si="3"/>
        <v>301309.15724096826</v>
      </c>
      <c r="G50" s="211"/>
    </row>
    <row r="51" spans="2:7" ht="12.75">
      <c r="B51" s="41">
        <f t="shared" si="0"/>
        <v>46</v>
      </c>
      <c r="D51" s="209">
        <v>42644</v>
      </c>
      <c r="E51" s="210">
        <f>+E50+'BHP WP3 Capital Additions'!D19</f>
        <v>165468884.09015602</v>
      </c>
      <c r="F51" s="49">
        <f t="shared" si="3"/>
        <v>319906.50924096827</v>
      </c>
      <c r="G51" s="211"/>
    </row>
    <row r="52" spans="2:7" ht="12.75">
      <c r="B52" s="41">
        <f t="shared" si="0"/>
        <v>47</v>
      </c>
      <c r="D52" s="209">
        <v>42675</v>
      </c>
      <c r="E52" s="210">
        <f>+E51+'BHP WP3 Capital Additions'!D20</f>
        <v>165468884.09015602</v>
      </c>
      <c r="F52" s="49">
        <f t="shared" si="3"/>
        <v>319906.50924096827</v>
      </c>
      <c r="G52" s="211"/>
    </row>
    <row r="53" spans="2:7" ht="12.75">
      <c r="B53" s="41">
        <f t="shared" si="0"/>
        <v>48</v>
      </c>
      <c r="D53" s="209">
        <v>42705</v>
      </c>
      <c r="E53" s="210">
        <f>+E52+'BHP WP3 Capital Additions'!D21</f>
        <v>165468884.09015602</v>
      </c>
      <c r="F53" s="49">
        <f t="shared" si="3"/>
        <v>319906.50924096827</v>
      </c>
      <c r="G53" s="211"/>
    </row>
    <row r="54" spans="2:6" ht="12.75">
      <c r="B54" s="41">
        <f t="shared" si="0"/>
        <v>49</v>
      </c>
      <c r="D54" s="208" t="str">
        <f>"Subtotal of 2017 Increase for Accumulated Depreciation (lines "&amp;B42&amp;"-"&amp;B53&amp;")"</f>
        <v>Subtotal of 2017 Increase for Accumulated Depreciation (lines 37-48)</v>
      </c>
      <c r="F54" s="212">
        <f>SUM(F42:F53)</f>
        <v>3498285.4764916184</v>
      </c>
    </row>
    <row r="55" spans="2:6" ht="12.75">
      <c r="B55" s="41">
        <f t="shared" si="0"/>
        <v>50</v>
      </c>
      <c r="D55" s="213" t="str">
        <f>"Average 2017 Impact for rate base consideration (line "&amp;B54&amp;" ÷ 2)"</f>
        <v>Average 2017 Impact for rate base consideration (line 49 ÷ 2)</v>
      </c>
      <c r="F55" s="210">
        <f>+F54/2</f>
        <v>1749142.7382458092</v>
      </c>
    </row>
    <row r="56" ht="12.75">
      <c r="B56" s="41">
        <f t="shared" si="0"/>
        <v>51</v>
      </c>
    </row>
    <row r="57" spans="2:6" ht="13.5" thickBot="1">
      <c r="B57" s="41">
        <f t="shared" si="0"/>
        <v>52</v>
      </c>
      <c r="D57" s="213" t="str">
        <f>"Total Accumulated Depreciation for 2016 &amp; 2017 (lines "&amp;B40&amp;" + "&amp;B55&amp;")"</f>
        <v>Total Accumulated Depreciation for 2016 &amp; 2017 (lines 35 + 50)</v>
      </c>
      <c r="F57" s="214">
        <f>+F40+F55</f>
        <v>4417640.863670762</v>
      </c>
    </row>
    <row r="58" ht="13.5" thickTop="1">
      <c r="B58" s="41">
        <f t="shared" si="0"/>
        <v>53</v>
      </c>
    </row>
    <row r="59" spans="2:4" ht="12.75">
      <c r="B59" s="41">
        <f t="shared" si="0"/>
        <v>54</v>
      </c>
      <c r="D59" s="43" t="s">
        <v>396</v>
      </c>
    </row>
    <row r="115" spans="7:8" ht="12.75">
      <c r="G115" s="40" t="s">
        <v>134</v>
      </c>
      <c r="H115" s="40">
        <f>+J184</f>
        <v>0</v>
      </c>
    </row>
    <row r="116" ht="12.75">
      <c r="H116" s="40">
        <f>+H115</f>
        <v>0</v>
      </c>
    </row>
  </sheetData>
  <sheetProtection/>
  <mergeCells count="2">
    <mergeCell ref="B2:G2"/>
    <mergeCell ref="F1:G1"/>
  </mergeCells>
  <printOptions horizontalCentered="1"/>
  <pageMargins left="0.5" right="0.25" top="1" bottom="0.5" header="0.5" footer="0.5"/>
  <pageSetup horizontalDpi="600" verticalDpi="600" orientation="portrait" scale="88" r:id="rId1"/>
  <headerFooter alignWithMargins="0">
    <oddHeader>&amp;C&amp;"Arial MT,Bold"ESTIMATED SERVICE YEAR ATRR
BLACK HILLS POWER, INC.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workbookViewId="0" topLeftCell="A1">
      <selection activeCell="C31" sqref="C31"/>
    </sheetView>
  </sheetViews>
  <sheetFormatPr defaultColWidth="7.10546875" defaultRowHeight="15"/>
  <cols>
    <col min="1" max="1" width="3.5546875" style="40" customWidth="1"/>
    <col min="2" max="2" width="1.77734375" style="40" customWidth="1"/>
    <col min="3" max="3" width="43.5546875" style="43" customWidth="1"/>
    <col min="4" max="4" width="10.88671875" style="40" customWidth="1"/>
    <col min="5" max="5" width="9.4453125" style="40" customWidth="1"/>
    <col min="6" max="6" width="11.3359375" style="40" customWidth="1"/>
    <col min="7" max="8" width="7.10546875" style="40" customWidth="1"/>
    <col min="9" max="9" width="10.77734375" style="40" bestFit="1" customWidth="1"/>
    <col min="10" max="16384" width="7.10546875" style="40" customWidth="1"/>
  </cols>
  <sheetData>
    <row r="1" ht="12.75">
      <c r="F1" s="40" t="s">
        <v>386</v>
      </c>
    </row>
    <row r="2" spans="1:6" ht="40.5" customHeight="1">
      <c r="A2" s="334" t="s">
        <v>375</v>
      </c>
      <c r="B2" s="335"/>
      <c r="C2" s="335"/>
      <c r="D2" s="335"/>
      <c r="E2" s="335"/>
      <c r="F2" s="335"/>
    </row>
    <row r="3" spans="1:3" ht="12.75">
      <c r="A3" s="87" t="s">
        <v>131</v>
      </c>
      <c r="B3" s="41"/>
      <c r="C3" s="41"/>
    </row>
    <row r="4" spans="1:3" ht="12.75">
      <c r="A4" s="88" t="s">
        <v>132</v>
      </c>
      <c r="B4" s="41"/>
      <c r="C4" s="41"/>
    </row>
    <row r="5" spans="1:6" ht="15.75">
      <c r="A5" s="41">
        <v>1</v>
      </c>
      <c r="B5" s="337" t="s">
        <v>348</v>
      </c>
      <c r="C5" s="337"/>
      <c r="D5" s="337"/>
      <c r="E5" s="337"/>
      <c r="F5" s="337"/>
    </row>
    <row r="6" spans="1:5" ht="15.75">
      <c r="A6" s="41">
        <v>2</v>
      </c>
      <c r="B6" s="215"/>
      <c r="C6" s="215"/>
      <c r="D6" s="215"/>
      <c r="E6" s="215"/>
    </row>
    <row r="7" spans="1:6" ht="12.75">
      <c r="A7" s="41">
        <v>3</v>
      </c>
      <c r="C7" s="216" t="s">
        <v>327</v>
      </c>
      <c r="D7" s="216" t="s">
        <v>332</v>
      </c>
      <c r="E7" s="216" t="s">
        <v>333</v>
      </c>
      <c r="F7" s="216" t="s">
        <v>334</v>
      </c>
    </row>
    <row r="8" spans="1:6" ht="38.25">
      <c r="A8" s="41">
        <v>4</v>
      </c>
      <c r="B8" s="42" t="s">
        <v>335</v>
      </c>
      <c r="E8" s="195" t="s">
        <v>336</v>
      </c>
      <c r="F8" s="217" t="s">
        <v>337</v>
      </c>
    </row>
    <row r="9" spans="1:6" ht="12.75">
      <c r="A9" s="41">
        <v>5</v>
      </c>
      <c r="C9" s="199">
        <v>42705</v>
      </c>
      <c r="D9" s="49">
        <v>0</v>
      </c>
      <c r="E9" s="218">
        <v>12</v>
      </c>
      <c r="F9" s="210">
        <f>(+D9*E9)/12</f>
        <v>0</v>
      </c>
    </row>
    <row r="10" spans="1:6" ht="12.75">
      <c r="A10" s="41">
        <v>6</v>
      </c>
      <c r="C10" s="199">
        <v>42736</v>
      </c>
      <c r="D10" s="49"/>
      <c r="E10" s="218">
        <v>11.5</v>
      </c>
      <c r="F10" s="210">
        <f aca="true" t="shared" si="0" ref="F10:F21">(+D10*E10)/12</f>
        <v>0</v>
      </c>
    </row>
    <row r="11" spans="1:6" ht="12.75">
      <c r="A11" s="41">
        <v>7</v>
      </c>
      <c r="C11" s="199">
        <v>42767</v>
      </c>
      <c r="D11" s="49"/>
      <c r="E11" s="218">
        <v>10.5</v>
      </c>
      <c r="F11" s="210">
        <f t="shared" si="0"/>
        <v>0</v>
      </c>
    </row>
    <row r="12" spans="1:6" ht="12.75">
      <c r="A12" s="41">
        <v>8</v>
      </c>
      <c r="C12" s="199">
        <v>42795</v>
      </c>
      <c r="D12" s="49"/>
      <c r="E12" s="218">
        <v>9.5</v>
      </c>
      <c r="F12" s="210">
        <f t="shared" si="0"/>
        <v>0</v>
      </c>
    </row>
    <row r="13" spans="1:6" ht="12.75">
      <c r="A13" s="41">
        <v>9</v>
      </c>
      <c r="C13" s="199">
        <v>42826</v>
      </c>
      <c r="D13" s="49"/>
      <c r="E13" s="218">
        <v>8.5</v>
      </c>
      <c r="F13" s="210">
        <f t="shared" si="0"/>
        <v>0</v>
      </c>
    </row>
    <row r="14" spans="1:6" ht="12.75">
      <c r="A14" s="41">
        <v>10</v>
      </c>
      <c r="C14" s="199">
        <v>42856</v>
      </c>
      <c r="D14" s="49">
        <v>22398681</v>
      </c>
      <c r="E14" s="218">
        <v>7.5</v>
      </c>
      <c r="F14" s="210">
        <f t="shared" si="0"/>
        <v>13999175.625</v>
      </c>
    </row>
    <row r="15" spans="1:6" ht="12.75">
      <c r="A15" s="41">
        <v>11</v>
      </c>
      <c r="C15" s="199">
        <v>42887</v>
      </c>
      <c r="D15" s="49"/>
      <c r="E15" s="218">
        <v>6.5</v>
      </c>
      <c r="F15" s="210">
        <f t="shared" si="0"/>
        <v>0</v>
      </c>
    </row>
    <row r="16" spans="1:6" ht="12.75">
      <c r="A16" s="41">
        <v>12</v>
      </c>
      <c r="C16" s="199">
        <v>42917</v>
      </c>
      <c r="D16" s="49"/>
      <c r="E16" s="218">
        <v>5.5</v>
      </c>
      <c r="F16" s="210">
        <f t="shared" si="0"/>
        <v>0</v>
      </c>
    </row>
    <row r="17" spans="1:6" ht="12.75">
      <c r="A17" s="41">
        <v>13</v>
      </c>
      <c r="C17" s="199">
        <v>42948</v>
      </c>
      <c r="D17" s="49"/>
      <c r="E17" s="218">
        <v>4.5</v>
      </c>
      <c r="F17" s="210">
        <f t="shared" si="0"/>
        <v>0</v>
      </c>
    </row>
    <row r="18" spans="1:6" ht="12.75">
      <c r="A18" s="41">
        <v>14</v>
      </c>
      <c r="C18" s="199">
        <v>42979</v>
      </c>
      <c r="D18" s="49"/>
      <c r="E18" s="218">
        <v>3.5</v>
      </c>
      <c r="F18" s="210">
        <f t="shared" si="0"/>
        <v>0</v>
      </c>
    </row>
    <row r="19" spans="1:6" ht="12.75">
      <c r="A19" s="41">
        <v>15</v>
      </c>
      <c r="C19" s="199">
        <v>43009</v>
      </c>
      <c r="D19" s="49">
        <v>9619320</v>
      </c>
      <c r="E19" s="218">
        <v>2.5</v>
      </c>
      <c r="F19" s="210">
        <f t="shared" si="0"/>
        <v>2004025</v>
      </c>
    </row>
    <row r="20" spans="1:6" ht="12.75">
      <c r="A20" s="41">
        <v>16</v>
      </c>
      <c r="C20" s="199">
        <v>43040</v>
      </c>
      <c r="D20" s="49">
        <v>0</v>
      </c>
      <c r="E20" s="218">
        <v>1.5</v>
      </c>
      <c r="F20" s="210">
        <f t="shared" si="0"/>
        <v>0</v>
      </c>
    </row>
    <row r="21" spans="1:9" ht="12.75">
      <c r="A21" s="41">
        <v>17</v>
      </c>
      <c r="C21" s="199">
        <v>43070</v>
      </c>
      <c r="D21" s="49"/>
      <c r="E21" s="218">
        <v>0.5</v>
      </c>
      <c r="F21" s="210">
        <f t="shared" si="0"/>
        <v>0</v>
      </c>
      <c r="I21" s="210"/>
    </row>
    <row r="22" spans="1:6" ht="12.75">
      <c r="A22" s="41">
        <v>18</v>
      </c>
      <c r="D22" s="219"/>
      <c r="F22" s="219"/>
    </row>
    <row r="23" spans="1:6" ht="12.75">
      <c r="A23" s="41">
        <v>19</v>
      </c>
      <c r="B23" s="42"/>
      <c r="D23" s="211">
        <f>SUM(D9:D22)</f>
        <v>32018001</v>
      </c>
      <c r="F23" s="211">
        <f>SUM(F9:F22)</f>
        <v>16003200.625</v>
      </c>
    </row>
    <row r="24" ht="12.75">
      <c r="A24" s="41">
        <v>20</v>
      </c>
    </row>
    <row r="25" spans="1:6" ht="12.75">
      <c r="A25" s="41">
        <v>21</v>
      </c>
      <c r="C25" s="44" t="s">
        <v>326</v>
      </c>
      <c r="D25" s="44"/>
      <c r="E25" s="44"/>
      <c r="F25" s="203">
        <f>'BHP WP2 Capital Additions'!F21</f>
        <v>0.0232</v>
      </c>
    </row>
    <row r="26" spans="1:6" ht="12.75">
      <c r="A26" s="41">
        <v>22</v>
      </c>
      <c r="C26" s="44"/>
      <c r="D26" s="44"/>
      <c r="E26" s="44"/>
      <c r="F26" s="205"/>
    </row>
    <row r="27" spans="1:6" ht="13.5" thickBot="1">
      <c r="A27" s="41">
        <v>23</v>
      </c>
      <c r="C27" s="44" t="s">
        <v>338</v>
      </c>
      <c r="D27" s="44"/>
      <c r="E27" s="44"/>
      <c r="F27" s="204">
        <f>+F23*F25</f>
        <v>371274.2545</v>
      </c>
    </row>
    <row r="28" ht="13.5" thickTop="1">
      <c r="A28" s="41">
        <v>24</v>
      </c>
    </row>
    <row r="29" spans="1:3" ht="12.75">
      <c r="A29" s="41">
        <v>25</v>
      </c>
      <c r="C29" s="220" t="s">
        <v>397</v>
      </c>
    </row>
    <row r="30" spans="1:3" ht="12.75">
      <c r="A30" s="41">
        <v>26</v>
      </c>
      <c r="C30" s="220" t="s">
        <v>398</v>
      </c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2.75">
      <c r="A36" s="41"/>
    </row>
    <row r="37" ht="12.75">
      <c r="A37" s="41"/>
    </row>
    <row r="38" ht="12.75">
      <c r="A38" s="41"/>
    </row>
    <row r="109" spans="6:7" ht="12.75">
      <c r="F109" s="40" t="s">
        <v>134</v>
      </c>
      <c r="G109" s="40">
        <f>+I178</f>
        <v>0</v>
      </c>
    </row>
    <row r="110" ht="12.75">
      <c r="G110" s="40">
        <f>+G109</f>
        <v>0</v>
      </c>
    </row>
  </sheetData>
  <sheetProtection/>
  <mergeCells count="2">
    <mergeCell ref="B5:F5"/>
    <mergeCell ref="A2:F2"/>
  </mergeCells>
  <printOptions horizontalCentered="1"/>
  <pageMargins left="0.75" right="0.75" top="1" bottom="1" header="0.5" footer="0.5"/>
  <pageSetup fitToHeight="1" fitToWidth="1" horizontalDpi="600" verticalDpi="600" orientation="portrait" scale="92" r:id="rId1"/>
  <headerFooter alignWithMargins="0">
    <oddHeader>&amp;C&amp;"Arial MT,Bold"ESTIMATED SERVICE YEAR ATRR
BLACK HILLS POWER, INC.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38"/>
  <sheetViews>
    <sheetView zoomScale="115" zoomScaleNormal="115" workbookViewId="0" topLeftCell="A7">
      <selection activeCell="F26" sqref="F26"/>
    </sheetView>
  </sheetViews>
  <sheetFormatPr defaultColWidth="7.10546875" defaultRowHeight="15"/>
  <cols>
    <col min="1" max="1" width="7.10546875" style="40" customWidth="1"/>
    <col min="2" max="2" width="3.5546875" style="40" customWidth="1"/>
    <col min="3" max="4" width="1.77734375" style="40" customWidth="1"/>
    <col min="5" max="5" width="3.99609375" style="40" customWidth="1"/>
    <col min="6" max="6" width="24.21484375" style="40" customWidth="1"/>
    <col min="7" max="7" width="1.88671875" style="40" customWidth="1"/>
    <col min="8" max="8" width="8.21484375" style="43" customWidth="1"/>
    <col min="9" max="9" width="8.21484375" style="40" customWidth="1"/>
    <col min="10" max="16384" width="7.10546875" style="40" customWidth="1"/>
  </cols>
  <sheetData>
    <row r="2" ht="12.75">
      <c r="I2" s="40" t="s">
        <v>387</v>
      </c>
    </row>
    <row r="3" spans="2:8" ht="39" customHeight="1">
      <c r="B3" s="334" t="s">
        <v>376</v>
      </c>
      <c r="C3" s="335"/>
      <c r="D3" s="335"/>
      <c r="E3" s="335"/>
      <c r="F3" s="335"/>
      <c r="G3" s="335"/>
      <c r="H3" s="335"/>
    </row>
    <row r="7" ht="12.75">
      <c r="F7" s="104"/>
    </row>
    <row r="8" spans="2:8" ht="12.75">
      <c r="B8" s="335"/>
      <c r="C8" s="335"/>
      <c r="D8" s="335"/>
      <c r="E8" s="335"/>
      <c r="F8" s="335"/>
      <c r="G8" s="335"/>
      <c r="H8" s="335"/>
    </row>
    <row r="9" spans="2:8" ht="12.75">
      <c r="B9" s="87" t="s">
        <v>131</v>
      </c>
      <c r="H9" s="189" t="s">
        <v>319</v>
      </c>
    </row>
    <row r="10" spans="2:8" ht="12.75">
      <c r="B10" s="88" t="s">
        <v>132</v>
      </c>
      <c r="D10" s="101" t="s">
        <v>251</v>
      </c>
      <c r="E10" s="101"/>
      <c r="F10" s="101"/>
      <c r="H10" s="102" t="s">
        <v>118</v>
      </c>
    </row>
    <row r="11" ht="12.75">
      <c r="B11" s="41">
        <v>1</v>
      </c>
    </row>
    <row r="12" spans="2:5" ht="12.75">
      <c r="B12" s="41">
        <v>2</v>
      </c>
      <c r="D12" s="42" t="s">
        <v>74</v>
      </c>
      <c r="E12" s="42"/>
    </row>
    <row r="13" ht="12.75">
      <c r="B13" s="41">
        <v>3</v>
      </c>
    </row>
    <row r="14" spans="2:8" ht="12.75">
      <c r="B14" s="41">
        <v>4</v>
      </c>
      <c r="E14" s="40">
        <v>350</v>
      </c>
      <c r="F14" s="44" t="s">
        <v>252</v>
      </c>
      <c r="H14" s="37">
        <v>0</v>
      </c>
    </row>
    <row r="15" spans="2:8" ht="12.75">
      <c r="B15" s="41">
        <v>5</v>
      </c>
      <c r="E15" s="40">
        <v>352</v>
      </c>
      <c r="F15" s="44" t="s">
        <v>253</v>
      </c>
      <c r="H15" s="37">
        <v>0.0239</v>
      </c>
    </row>
    <row r="16" spans="2:8" ht="12.75">
      <c r="B16" s="41">
        <v>6</v>
      </c>
      <c r="E16" s="40">
        <v>353</v>
      </c>
      <c r="F16" s="44" t="s">
        <v>254</v>
      </c>
      <c r="H16" s="37">
        <v>0.0266</v>
      </c>
    </row>
    <row r="17" spans="2:8" ht="12.75">
      <c r="B17" s="41">
        <v>7</v>
      </c>
      <c r="E17" s="40">
        <v>354</v>
      </c>
      <c r="F17" s="44" t="s">
        <v>255</v>
      </c>
      <c r="H17" s="37">
        <v>0.0204</v>
      </c>
    </row>
    <row r="18" spans="2:8" ht="12.75">
      <c r="B18" s="41">
        <v>8</v>
      </c>
      <c r="E18" s="40">
        <v>355</v>
      </c>
      <c r="F18" s="44" t="s">
        <v>256</v>
      </c>
      <c r="H18" s="37">
        <v>0.0222</v>
      </c>
    </row>
    <row r="19" spans="2:8" ht="12.75">
      <c r="B19" s="41">
        <v>9</v>
      </c>
      <c r="E19" s="40">
        <v>356</v>
      </c>
      <c r="F19" s="44" t="s">
        <v>257</v>
      </c>
      <c r="H19" s="37">
        <v>0.0204</v>
      </c>
    </row>
    <row r="20" spans="2:8" ht="12.75">
      <c r="B20" s="41">
        <v>10</v>
      </c>
      <c r="E20" s="40">
        <v>359</v>
      </c>
      <c r="F20" s="44" t="s">
        <v>258</v>
      </c>
      <c r="H20" s="37">
        <v>0.0195</v>
      </c>
    </row>
    <row r="21" spans="2:8" ht="12.75">
      <c r="B21" s="41">
        <v>11</v>
      </c>
      <c r="F21" s="44" t="s">
        <v>3</v>
      </c>
      <c r="H21" s="37">
        <v>0.0232</v>
      </c>
    </row>
    <row r="22" spans="2:8" ht="12.75">
      <c r="B22" s="41">
        <v>12</v>
      </c>
      <c r="H22" s="37"/>
    </row>
    <row r="23" spans="2:8" ht="12.75">
      <c r="B23" s="41">
        <v>13</v>
      </c>
      <c r="D23" s="42" t="s">
        <v>63</v>
      </c>
      <c r="H23" s="37"/>
    </row>
    <row r="24" spans="2:8" ht="12.75">
      <c r="B24" s="41">
        <v>14</v>
      </c>
      <c r="H24" s="37"/>
    </row>
    <row r="25" spans="2:8" ht="12.75">
      <c r="B25" s="41">
        <v>15</v>
      </c>
      <c r="E25" s="40">
        <v>389</v>
      </c>
      <c r="F25" s="173" t="s">
        <v>252</v>
      </c>
      <c r="H25" s="37">
        <v>0</v>
      </c>
    </row>
    <row r="26" spans="2:8" ht="12.75">
      <c r="B26" s="41">
        <v>16</v>
      </c>
      <c r="E26" s="40">
        <v>390</v>
      </c>
      <c r="F26" s="44" t="s">
        <v>253</v>
      </c>
      <c r="H26" s="37">
        <v>0.0473</v>
      </c>
    </row>
    <row r="27" spans="2:8" ht="12.75">
      <c r="B27" s="41">
        <v>17</v>
      </c>
      <c r="E27" s="40">
        <v>391</v>
      </c>
      <c r="F27" s="44" t="s">
        <v>259</v>
      </c>
      <c r="H27" s="37">
        <v>0.1056</v>
      </c>
    </row>
    <row r="28" spans="2:8" ht="12.75">
      <c r="B28" s="41">
        <v>18</v>
      </c>
      <c r="E28" s="40">
        <v>392</v>
      </c>
      <c r="F28" s="44" t="s">
        <v>260</v>
      </c>
      <c r="H28" s="37">
        <v>0.0906</v>
      </c>
    </row>
    <row r="29" spans="2:8" ht="12.75">
      <c r="B29" s="41">
        <v>19</v>
      </c>
      <c r="E29" s="40">
        <v>393</v>
      </c>
      <c r="F29" s="44" t="s">
        <v>261</v>
      </c>
      <c r="H29" s="37">
        <v>0.0423</v>
      </c>
    </row>
    <row r="30" spans="2:8" ht="12.75">
      <c r="B30" s="41">
        <v>20</v>
      </c>
      <c r="E30" s="40">
        <v>394</v>
      </c>
      <c r="F30" s="44" t="s">
        <v>11</v>
      </c>
      <c r="H30" s="37">
        <v>0.0423</v>
      </c>
    </row>
    <row r="31" spans="2:8" ht="12.75">
      <c r="B31" s="41">
        <v>21</v>
      </c>
      <c r="E31" s="40">
        <v>395</v>
      </c>
      <c r="F31" s="44" t="s">
        <v>262</v>
      </c>
      <c r="H31" s="37">
        <v>0.0306</v>
      </c>
    </row>
    <row r="32" spans="2:8" ht="12.75">
      <c r="B32" s="41">
        <v>22</v>
      </c>
      <c r="E32" s="40">
        <v>396</v>
      </c>
      <c r="F32" s="44" t="s">
        <v>263</v>
      </c>
      <c r="H32" s="37">
        <v>0.0423</v>
      </c>
    </row>
    <row r="33" spans="2:8" ht="12.75">
      <c r="B33" s="41">
        <v>23</v>
      </c>
      <c r="E33" s="40">
        <v>397</v>
      </c>
      <c r="F33" s="44" t="s">
        <v>264</v>
      </c>
      <c r="H33" s="37">
        <v>0.0439</v>
      </c>
    </row>
    <row r="34" spans="2:8" ht="12.75">
      <c r="B34" s="41">
        <v>24</v>
      </c>
      <c r="E34" s="40">
        <v>398</v>
      </c>
      <c r="F34" s="44" t="s">
        <v>265</v>
      </c>
      <c r="H34" s="37">
        <v>0.0581</v>
      </c>
    </row>
    <row r="35" spans="2:8" ht="12.75">
      <c r="B35" s="188">
        <v>25</v>
      </c>
      <c r="C35" s="48"/>
      <c r="D35" s="48"/>
      <c r="E35" s="48"/>
      <c r="F35" s="108" t="s">
        <v>10</v>
      </c>
      <c r="G35" s="48"/>
      <c r="H35" s="38">
        <v>0.0653</v>
      </c>
    </row>
    <row r="36" ht="12.75">
      <c r="B36" s="41">
        <v>26</v>
      </c>
    </row>
    <row r="37" spans="2:6" ht="12.75">
      <c r="B37" s="41">
        <v>27</v>
      </c>
      <c r="D37" s="44" t="s">
        <v>318</v>
      </c>
      <c r="E37" s="103"/>
      <c r="F37" s="44"/>
    </row>
    <row r="38" ht="12.75">
      <c r="F38" s="44"/>
    </row>
  </sheetData>
  <sheetProtection/>
  <mergeCells count="2">
    <mergeCell ref="B8:H8"/>
    <mergeCell ref="B3:H3"/>
  </mergeCells>
  <printOptions/>
  <pageMargins left="1" right="1" top="0.75" bottom="0.75" header="0.5" footer="0.5"/>
  <pageSetup horizontalDpi="600" verticalDpi="600" orientation="portrait" r:id="rId1"/>
  <headerFooter alignWithMargins="0">
    <oddHeader>&amp;C&amp;"Arial MT,Bold"ESTIMATED SERVICE YEAR ATRR
BLACK HILLS POWER, INC.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Q67"/>
  <sheetViews>
    <sheetView zoomScaleSheetLayoutView="85" workbookViewId="0" topLeftCell="A24">
      <selection activeCell="F55" sqref="F55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5.99609375" style="0" customWidth="1"/>
    <col min="4" max="4" width="23.3359375" style="0" customWidth="1"/>
    <col min="5" max="5" width="15.21484375" style="0" customWidth="1"/>
    <col min="6" max="12" width="15.88671875" style="0" customWidth="1"/>
    <col min="13" max="13" width="14.3359375" style="0" bestFit="1" customWidth="1"/>
    <col min="14" max="18" width="15.88671875" style="0" customWidth="1"/>
    <col min="20" max="20" width="10.3359375" style="0" bestFit="1" customWidth="1"/>
    <col min="21" max="21" width="12.88671875" style="0" bestFit="1" customWidth="1"/>
  </cols>
  <sheetData>
    <row r="1" ht="15" customHeight="1" hidden="1"/>
    <row r="2" spans="1:64" ht="15.75" customHeight="1" hidden="1">
      <c r="A2" s="6"/>
      <c r="B2" s="6"/>
      <c r="C2" s="6"/>
      <c r="D2" s="112"/>
      <c r="E2" s="20"/>
      <c r="F2" s="6"/>
      <c r="G2" s="6"/>
      <c r="H2" s="6"/>
      <c r="I2" s="185" t="str">
        <f>'CU AC Rate Design'!G1</f>
        <v>
BHP-11 Page 1 
Date: September 30, 2016</v>
      </c>
      <c r="J2" s="6"/>
      <c r="K2" s="6"/>
      <c r="L2" s="6"/>
      <c r="O2" s="1"/>
      <c r="R2" s="186" t="str">
        <f>I2</f>
        <v>
BHP-11 Page 1 
Date: September 30, 2016</v>
      </c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67" ht="1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</row>
    <row r="4" spans="1:67" ht="34.5" customHeight="1">
      <c r="A4" s="338" t="s">
        <v>378</v>
      </c>
      <c r="B4" s="338"/>
      <c r="C4" s="338"/>
      <c r="D4" s="338"/>
      <c r="E4" s="338"/>
      <c r="F4" s="338"/>
      <c r="G4" s="338"/>
      <c r="H4" s="338"/>
      <c r="I4" s="338"/>
      <c r="J4" s="338" t="s">
        <v>378</v>
      </c>
      <c r="K4" s="330"/>
      <c r="L4" s="330"/>
      <c r="M4" s="330"/>
      <c r="N4" s="330"/>
      <c r="O4" s="330"/>
      <c r="P4" s="330"/>
      <c r="Q4" s="330"/>
      <c r="R4" s="330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</row>
    <row r="5" spans="1:67" ht="15.75">
      <c r="A5" s="331" t="s">
        <v>130</v>
      </c>
      <c r="B5" s="331"/>
      <c r="C5" s="331"/>
      <c r="D5" s="331"/>
      <c r="E5" s="331"/>
      <c r="F5" s="331"/>
      <c r="G5" s="331"/>
      <c r="H5" s="331"/>
      <c r="I5" s="331"/>
      <c r="J5" s="331" t="s">
        <v>130</v>
      </c>
      <c r="K5" s="331"/>
      <c r="L5" s="331"/>
      <c r="M5" s="331"/>
      <c r="N5" s="331"/>
      <c r="O5" s="331"/>
      <c r="P5" s="331"/>
      <c r="Q5" s="331"/>
      <c r="R5" s="331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</row>
    <row r="6" spans="1:67" ht="15">
      <c r="A6" s="6"/>
      <c r="B6" s="6"/>
      <c r="C6" s="1"/>
      <c r="D6" s="1"/>
      <c r="F6" s="1"/>
      <c r="G6" s="1"/>
      <c r="H6" s="1"/>
      <c r="I6" s="40" t="s">
        <v>388</v>
      </c>
      <c r="J6" s="6"/>
      <c r="K6" s="6"/>
      <c r="L6" s="1"/>
      <c r="M6" s="1"/>
      <c r="O6" s="1"/>
      <c r="P6" s="1"/>
      <c r="Q6" s="1"/>
      <c r="R6" s="40" t="s">
        <v>389</v>
      </c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</row>
    <row r="7" spans="1:67" ht="15" customHeight="1">
      <c r="A7" s="332" t="s">
        <v>233</v>
      </c>
      <c r="B7" s="332"/>
      <c r="C7" s="332"/>
      <c r="D7" s="332"/>
      <c r="E7" s="332"/>
      <c r="F7" s="332"/>
      <c r="G7" s="332"/>
      <c r="H7" s="332"/>
      <c r="I7" s="332"/>
      <c r="J7" s="332" t="s">
        <v>233</v>
      </c>
      <c r="K7" s="332"/>
      <c r="L7" s="332"/>
      <c r="M7" s="332"/>
      <c r="N7" s="332"/>
      <c r="O7" s="332"/>
      <c r="P7" s="332"/>
      <c r="Q7" s="332"/>
      <c r="R7" s="332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</row>
    <row r="8" spans="1:67" ht="15">
      <c r="A8" s="13"/>
      <c r="B8" s="6"/>
      <c r="C8" s="1"/>
      <c r="D8" s="1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</row>
    <row r="9" spans="1:62" ht="15">
      <c r="A9" s="6"/>
      <c r="B9" s="6"/>
      <c r="C9" s="3"/>
      <c r="D9" s="3"/>
      <c r="E9" s="3"/>
      <c r="F9" s="4"/>
      <c r="G9" s="4"/>
      <c r="H9" s="4"/>
      <c r="I9" s="4"/>
      <c r="J9" s="4"/>
      <c r="K9" s="4"/>
      <c r="L9" s="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</row>
    <row r="10" spans="1:62" ht="15.75">
      <c r="A10" s="6"/>
      <c r="B10" s="6"/>
      <c r="C10" s="2"/>
      <c r="D10" s="10" t="s">
        <v>140</v>
      </c>
      <c r="E10" s="4"/>
      <c r="F10" s="4"/>
      <c r="G10" s="4"/>
      <c r="H10" s="4"/>
      <c r="I10" s="4"/>
      <c r="J10" s="4"/>
      <c r="K10" s="4"/>
      <c r="L10" s="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</row>
    <row r="11" spans="1:62" ht="15.75">
      <c r="A11" s="13" t="s">
        <v>131</v>
      </c>
      <c r="B11" s="6"/>
      <c r="C11" s="2"/>
      <c r="D11" s="17" t="s">
        <v>142</v>
      </c>
      <c r="E11" s="14" t="s">
        <v>143</v>
      </c>
      <c r="F11" s="18"/>
      <c r="G11" s="18"/>
      <c r="H11" s="18"/>
      <c r="I11" s="18"/>
      <c r="J11" s="18"/>
      <c r="K11" s="18"/>
      <c r="L11" s="3"/>
      <c r="O11" s="113"/>
      <c r="P11" s="113"/>
      <c r="Q11" s="125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</row>
    <row r="12" spans="1:62" ht="16.5" thickBot="1">
      <c r="A12" s="16" t="s">
        <v>132</v>
      </c>
      <c r="B12" s="6"/>
      <c r="C12" s="7" t="s">
        <v>145</v>
      </c>
      <c r="D12" s="4"/>
      <c r="E12" s="5" t="s">
        <v>14</v>
      </c>
      <c r="F12" s="5" t="s">
        <v>15</v>
      </c>
      <c r="G12" s="5" t="s">
        <v>16</v>
      </c>
      <c r="H12" s="5" t="s">
        <v>17</v>
      </c>
      <c r="I12" s="5" t="s">
        <v>18</v>
      </c>
      <c r="J12" s="5" t="s">
        <v>19</v>
      </c>
      <c r="K12" s="5" t="s">
        <v>20</v>
      </c>
      <c r="L12" s="5" t="s">
        <v>21</v>
      </c>
      <c r="M12" s="5" t="s">
        <v>105</v>
      </c>
      <c r="N12" s="5" t="s">
        <v>22</v>
      </c>
      <c r="O12" s="5" t="s">
        <v>23</v>
      </c>
      <c r="P12" s="5" t="s">
        <v>24</v>
      </c>
      <c r="Q12" s="5" t="s">
        <v>25</v>
      </c>
      <c r="R12" s="5" t="s">
        <v>26</v>
      </c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</row>
    <row r="13" spans="1:62" ht="15">
      <c r="A13" s="13"/>
      <c r="B13" s="6"/>
      <c r="C13" s="2"/>
      <c r="D13" s="4"/>
      <c r="E13" s="114">
        <v>41974</v>
      </c>
      <c r="F13" s="114">
        <v>42005</v>
      </c>
      <c r="G13" s="114">
        <v>42036</v>
      </c>
      <c r="H13" s="114">
        <v>42064</v>
      </c>
      <c r="I13" s="114">
        <v>42095</v>
      </c>
      <c r="J13" s="114">
        <v>42125</v>
      </c>
      <c r="K13" s="114">
        <v>42156</v>
      </c>
      <c r="L13" s="114">
        <v>42186</v>
      </c>
      <c r="M13" s="114">
        <v>42217</v>
      </c>
      <c r="N13" s="114">
        <v>42248</v>
      </c>
      <c r="O13" s="114">
        <v>42278</v>
      </c>
      <c r="P13" s="114">
        <v>42309</v>
      </c>
      <c r="Q13" s="114">
        <v>42339</v>
      </c>
      <c r="R13" s="74" t="s">
        <v>13</v>
      </c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</row>
    <row r="14" spans="1:69" ht="15">
      <c r="A14" s="13"/>
      <c r="B14" s="6"/>
      <c r="C14" s="2" t="s">
        <v>29</v>
      </c>
      <c r="D14" s="4" t="s">
        <v>315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S14" s="4"/>
      <c r="T14" s="4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</row>
    <row r="15" spans="1:69" ht="15">
      <c r="A15" s="13">
        <v>1</v>
      </c>
      <c r="B15" s="6"/>
      <c r="C15" s="2" t="s">
        <v>147</v>
      </c>
      <c r="D15" s="4" t="s">
        <v>37</v>
      </c>
      <c r="E15" s="86">
        <v>571406548</v>
      </c>
      <c r="F15" s="86">
        <f>397032110+174511790</f>
        <v>571543900</v>
      </c>
      <c r="G15" s="86">
        <f>397265596+174991775</f>
        <v>572257371</v>
      </c>
      <c r="H15" s="86">
        <f>397301006+174829722</f>
        <v>572130728</v>
      </c>
      <c r="I15" s="86">
        <f>397808462+175177860</f>
        <v>572986322</v>
      </c>
      <c r="J15" s="86">
        <f>396626904+175178416</f>
        <v>571805320</v>
      </c>
      <c r="K15" s="86">
        <f>394972965+175075810</f>
        <v>570048775</v>
      </c>
      <c r="L15" s="86">
        <f>395602519+174982383</f>
        <v>570584902</v>
      </c>
      <c r="M15" s="86">
        <f>395618659+175058124</f>
        <v>570676783</v>
      </c>
      <c r="N15" s="86">
        <f>395677549+175082120</f>
        <v>570759669</v>
      </c>
      <c r="O15" s="86">
        <f>395995548+175414145</f>
        <v>571409693</v>
      </c>
      <c r="P15" s="86">
        <f>395981857+174394856</f>
        <v>570376713</v>
      </c>
      <c r="Q15" s="86">
        <f>398160753+174505266</f>
        <v>572666019</v>
      </c>
      <c r="R15" s="86">
        <f aca="true" t="shared" si="0" ref="R15:R21">AVERAGE(E15:Q15)</f>
        <v>571434826.3846154</v>
      </c>
      <c r="S15" s="4"/>
      <c r="T15" s="6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</row>
    <row r="16" spans="1:69" ht="15">
      <c r="A16" s="13">
        <f aca="true" t="shared" si="1" ref="A16:A65">+A15+1</f>
        <v>2</v>
      </c>
      <c r="B16" s="6"/>
      <c r="C16" s="2" t="s">
        <v>149</v>
      </c>
      <c r="D16" s="4" t="s">
        <v>81</v>
      </c>
      <c r="E16" s="86">
        <v>115948536</v>
      </c>
      <c r="F16" s="86">
        <v>115953267</v>
      </c>
      <c r="G16" s="86">
        <v>115957070</v>
      </c>
      <c r="H16" s="86">
        <v>115999850</v>
      </c>
      <c r="I16" s="86">
        <v>115932284</v>
      </c>
      <c r="J16" s="86">
        <v>115932285</v>
      </c>
      <c r="K16" s="86">
        <v>115932286</v>
      </c>
      <c r="L16" s="86">
        <v>115932285</v>
      </c>
      <c r="M16" s="86">
        <v>115932285</v>
      </c>
      <c r="N16" s="86">
        <v>115932284</v>
      </c>
      <c r="O16" s="86">
        <v>115932285</v>
      </c>
      <c r="P16" s="86">
        <v>117454529</v>
      </c>
      <c r="Q16" s="86">
        <v>117708462</v>
      </c>
      <c r="R16" s="86">
        <f t="shared" si="0"/>
        <v>116195977.53846154</v>
      </c>
      <c r="S16" s="4"/>
      <c r="T16" s="6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</row>
    <row r="17" spans="1:69" ht="15">
      <c r="A17" s="13">
        <f t="shared" si="1"/>
        <v>3</v>
      </c>
      <c r="B17" s="6"/>
      <c r="C17" s="2" t="s">
        <v>150</v>
      </c>
      <c r="D17" s="4" t="s">
        <v>82</v>
      </c>
      <c r="E17" s="86">
        <v>336651742</v>
      </c>
      <c r="F17" s="86">
        <v>336931844</v>
      </c>
      <c r="G17" s="86">
        <v>338179300</v>
      </c>
      <c r="H17" s="86">
        <v>341949208</v>
      </c>
      <c r="I17" s="86">
        <v>342364016</v>
      </c>
      <c r="J17" s="86">
        <v>343222337</v>
      </c>
      <c r="K17" s="86">
        <v>343948996</v>
      </c>
      <c r="L17" s="86">
        <v>349204283</v>
      </c>
      <c r="M17" s="86">
        <v>349637486</v>
      </c>
      <c r="N17" s="86">
        <v>350011330</v>
      </c>
      <c r="O17" s="86">
        <v>350487371</v>
      </c>
      <c r="P17" s="86">
        <v>349963820</v>
      </c>
      <c r="Q17" s="86">
        <v>353240829</v>
      </c>
      <c r="R17" s="86">
        <f t="shared" si="0"/>
        <v>345060966.3076923</v>
      </c>
      <c r="S17" s="4"/>
      <c r="T17" s="6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</row>
    <row r="18" spans="1:69" ht="15">
      <c r="A18" s="13">
        <f t="shared" si="1"/>
        <v>4</v>
      </c>
      <c r="B18" s="6"/>
      <c r="C18" s="2" t="s">
        <v>151</v>
      </c>
      <c r="D18" s="4" t="s">
        <v>307</v>
      </c>
      <c r="E18" s="86">
        <f>49818554-E20</f>
        <v>42574957</v>
      </c>
      <c r="F18" s="86">
        <f>49935536-F20</f>
        <v>42691939</v>
      </c>
      <c r="G18" s="86">
        <f>50163046-G20</f>
        <v>42919449</v>
      </c>
      <c r="H18" s="86">
        <f>48006581-H20</f>
        <v>40792850</v>
      </c>
      <c r="I18" s="86">
        <f>47889022-I20</f>
        <v>40675291</v>
      </c>
      <c r="J18" s="86">
        <f>48190915-J20</f>
        <v>40969657</v>
      </c>
      <c r="K18" s="86">
        <f>47466732-K20</f>
        <v>40312446</v>
      </c>
      <c r="L18" s="86">
        <f>47086187-L20</f>
        <v>39931901</v>
      </c>
      <c r="M18" s="86">
        <f>47191286-M20</f>
        <v>40037000</v>
      </c>
      <c r="N18" s="86">
        <f>47028862-N20</f>
        <v>39874576</v>
      </c>
      <c r="O18" s="86">
        <f>47192641-O20</f>
        <v>40038355</v>
      </c>
      <c r="P18" s="86">
        <f>47829523-P20+5147675</f>
        <v>45816957</v>
      </c>
      <c r="Q18" s="86">
        <f>53471914-Q20</f>
        <v>46226063</v>
      </c>
      <c r="R18" s="86">
        <f t="shared" si="0"/>
        <v>41758572.384615384</v>
      </c>
      <c r="S18" s="4"/>
      <c r="T18" s="6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</row>
    <row r="19" spans="1:69" ht="15">
      <c r="A19" s="13">
        <f t="shared" si="1"/>
        <v>5</v>
      </c>
      <c r="B19" s="6"/>
      <c r="C19" s="2" t="s">
        <v>97</v>
      </c>
      <c r="D19" s="4" t="s">
        <v>368</v>
      </c>
      <c r="E19" s="86">
        <f>18405623+11514192</f>
        <v>29919815</v>
      </c>
      <c r="F19" s="86">
        <v>29237641</v>
      </c>
      <c r="G19" s="86">
        <v>29121257</v>
      </c>
      <c r="H19" s="86">
        <v>29474371</v>
      </c>
      <c r="I19" s="86">
        <v>30355715</v>
      </c>
      <c r="J19" s="86">
        <v>30727400</v>
      </c>
      <c r="K19" s="86">
        <v>31401435</v>
      </c>
      <c r="L19" s="86">
        <v>31395852</v>
      </c>
      <c r="M19" s="86">
        <v>31188243</v>
      </c>
      <c r="N19" s="86">
        <v>31347797</v>
      </c>
      <c r="O19" s="86">
        <v>34116748</v>
      </c>
      <c r="P19" s="86">
        <v>34736240</v>
      </c>
      <c r="Q19" s="86">
        <v>35466174</v>
      </c>
      <c r="R19" s="86">
        <f t="shared" si="0"/>
        <v>31422206.769230768</v>
      </c>
      <c r="S19" s="4"/>
      <c r="T19" s="6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</row>
    <row r="20" spans="1:69" ht="15">
      <c r="A20" s="13">
        <f t="shared" si="1"/>
        <v>6</v>
      </c>
      <c r="B20" s="6"/>
      <c r="C20" s="2" t="s">
        <v>65</v>
      </c>
      <c r="D20" s="4" t="s">
        <v>64</v>
      </c>
      <c r="E20" s="86">
        <v>7243597</v>
      </c>
      <c r="F20" s="86">
        <v>7243597</v>
      </c>
      <c r="G20" s="86">
        <v>7243597</v>
      </c>
      <c r="H20" s="86">
        <v>7213731</v>
      </c>
      <c r="I20" s="86">
        <v>7213731</v>
      </c>
      <c r="J20" s="86">
        <v>7221258</v>
      </c>
      <c r="K20" s="86">
        <v>7154286</v>
      </c>
      <c r="L20" s="86">
        <v>7154286</v>
      </c>
      <c r="M20" s="86">
        <v>7154286</v>
      </c>
      <c r="N20" s="86">
        <v>7154286</v>
      </c>
      <c r="O20" s="86">
        <v>7154286</v>
      </c>
      <c r="P20" s="86">
        <v>7160241</v>
      </c>
      <c r="Q20" s="86">
        <v>7245851</v>
      </c>
      <c r="R20" s="86">
        <f t="shared" si="0"/>
        <v>7196694.846153846</v>
      </c>
      <c r="S20" s="4"/>
      <c r="T20" s="6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</row>
    <row r="21" spans="1:69" ht="15">
      <c r="A21" s="13">
        <f>A20+1</f>
        <v>7</v>
      </c>
      <c r="B21" s="6"/>
      <c r="C21" s="2" t="s">
        <v>153</v>
      </c>
      <c r="D21" s="4" t="s">
        <v>154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>
        <v>0</v>
      </c>
      <c r="R21" s="86">
        <f t="shared" si="0"/>
        <v>0</v>
      </c>
      <c r="S21" s="4"/>
      <c r="T21" s="6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</row>
    <row r="22" spans="1:69" ht="15">
      <c r="A22" s="13">
        <f t="shared" si="1"/>
        <v>8</v>
      </c>
      <c r="B22" s="6"/>
      <c r="C22" s="12" t="s">
        <v>4</v>
      </c>
      <c r="D22" s="4" t="str">
        <f>"(sum lines "&amp;A15&amp;" - "&amp;A21&amp;")"</f>
        <v>(sum lines 1 - 7)</v>
      </c>
      <c r="E22" s="115">
        <f>SUM(E15:E21)</f>
        <v>1103745195</v>
      </c>
      <c r="F22" s="115">
        <f>SUM(F15:F21)</f>
        <v>1103602188</v>
      </c>
      <c r="G22" s="115">
        <f aca="true" t="shared" si="2" ref="G22:R22">SUM(G15:G21)</f>
        <v>1105678044</v>
      </c>
      <c r="H22" s="115">
        <f t="shared" si="2"/>
        <v>1107560738</v>
      </c>
      <c r="I22" s="115">
        <f t="shared" si="2"/>
        <v>1109527359</v>
      </c>
      <c r="J22" s="115">
        <f t="shared" si="2"/>
        <v>1109878257</v>
      </c>
      <c r="K22" s="115">
        <f t="shared" si="2"/>
        <v>1108798224</v>
      </c>
      <c r="L22" s="115">
        <f t="shared" si="2"/>
        <v>1114203509</v>
      </c>
      <c r="M22" s="115">
        <f t="shared" si="2"/>
        <v>1114626083</v>
      </c>
      <c r="N22" s="115">
        <f t="shared" si="2"/>
        <v>1115079942</v>
      </c>
      <c r="O22" s="115">
        <f t="shared" si="2"/>
        <v>1119138738</v>
      </c>
      <c r="P22" s="115">
        <f t="shared" si="2"/>
        <v>1125508500</v>
      </c>
      <c r="Q22" s="115">
        <f t="shared" si="2"/>
        <v>1132553398</v>
      </c>
      <c r="R22" s="115">
        <f t="shared" si="2"/>
        <v>1113069244.2307692</v>
      </c>
      <c r="S22" s="4"/>
      <c r="T22" s="11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</row>
    <row r="23" spans="1:69" ht="15">
      <c r="A23" s="13">
        <f t="shared" si="1"/>
        <v>9</v>
      </c>
      <c r="B23" s="6"/>
      <c r="C23" s="2"/>
      <c r="D23" s="4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4"/>
      <c r="T23" s="4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</row>
    <row r="24" spans="1:69" ht="15">
      <c r="A24" s="13">
        <f t="shared" si="1"/>
        <v>10</v>
      </c>
      <c r="B24" s="6"/>
      <c r="C24" s="2" t="s">
        <v>30</v>
      </c>
      <c r="D24" s="4" t="s">
        <v>315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4"/>
      <c r="T24" s="4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</row>
    <row r="25" spans="1:69" ht="15">
      <c r="A25" s="13">
        <f t="shared" si="1"/>
        <v>11</v>
      </c>
      <c r="B25" s="6"/>
      <c r="C25" s="2" t="str">
        <f>+C15</f>
        <v>  Production</v>
      </c>
      <c r="D25" s="4" t="s">
        <v>308</v>
      </c>
      <c r="E25" s="86">
        <v>161552920</v>
      </c>
      <c r="F25" s="86">
        <f>158548602+3982109</f>
        <v>162530711</v>
      </c>
      <c r="G25" s="86">
        <f>159786636+3982109</f>
        <v>163768745</v>
      </c>
      <c r="H25" s="86">
        <f>160807600+3982109</f>
        <v>164789709</v>
      </c>
      <c r="I25" s="86">
        <f>161364032+3979608</f>
        <v>165343640</v>
      </c>
      <c r="J25" s="86">
        <f>161563520+3977109</f>
        <v>165540629</v>
      </c>
      <c r="K25" s="86">
        <f>160666624+3982109</f>
        <v>164648733</v>
      </c>
      <c r="L25" s="86">
        <f>161764813+3982108</f>
        <v>165746921</v>
      </c>
      <c r="M25" s="86">
        <f>163073886+3982108</f>
        <v>167055994</v>
      </c>
      <c r="N25" s="86">
        <f>164492996+3506048+475980</f>
        <v>168475024</v>
      </c>
      <c r="O25" s="86">
        <f>165651318+3506048+475980</f>
        <v>169633346</v>
      </c>
      <c r="P25" s="86">
        <f>165805029+4051158</f>
        <v>169856187</v>
      </c>
      <c r="Q25" s="86">
        <f>166993274+3506048+475980</f>
        <v>170975302</v>
      </c>
      <c r="R25" s="86">
        <f aca="true" t="shared" si="3" ref="R25:R31">AVERAGE(E25:Q25)</f>
        <v>166147527.76923078</v>
      </c>
      <c r="S25" s="4"/>
      <c r="T25" s="4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</row>
    <row r="26" spans="1:69" ht="15">
      <c r="A26" s="13">
        <f t="shared" si="1"/>
        <v>12</v>
      </c>
      <c r="B26" s="6"/>
      <c r="C26" s="2" t="s">
        <v>149</v>
      </c>
      <c r="D26" s="4" t="s">
        <v>83</v>
      </c>
      <c r="E26" s="86">
        <v>35073403</v>
      </c>
      <c r="F26" s="86">
        <v>35281840</v>
      </c>
      <c r="G26" s="86">
        <v>35456602</v>
      </c>
      <c r="H26" s="86">
        <v>35661411</v>
      </c>
      <c r="I26" s="86">
        <v>35773968</v>
      </c>
      <c r="J26" s="86">
        <v>35984213</v>
      </c>
      <c r="K26" s="86">
        <v>36201883</v>
      </c>
      <c r="L26" s="86">
        <v>36409293</v>
      </c>
      <c r="M26" s="86">
        <v>36614869</v>
      </c>
      <c r="N26" s="86">
        <v>36844351</v>
      </c>
      <c r="O26" s="86">
        <v>37050686</v>
      </c>
      <c r="P26" s="86">
        <v>37263998</v>
      </c>
      <c r="Q26" s="86">
        <v>37460156</v>
      </c>
      <c r="R26" s="86">
        <f t="shared" si="3"/>
        <v>36236667.15384615</v>
      </c>
      <c r="S26" s="4"/>
      <c r="T26" s="4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</row>
    <row r="27" spans="1:69" ht="15">
      <c r="A27" s="13">
        <f t="shared" si="1"/>
        <v>13</v>
      </c>
      <c r="B27" s="6"/>
      <c r="C27" s="2" t="s">
        <v>150</v>
      </c>
      <c r="D27" s="4" t="s">
        <v>84</v>
      </c>
      <c r="E27" s="86">
        <v>112236258</v>
      </c>
      <c r="F27" s="86">
        <v>112896384</v>
      </c>
      <c r="G27" s="86">
        <v>113560667</v>
      </c>
      <c r="H27" s="86">
        <v>114264155</v>
      </c>
      <c r="I27" s="86">
        <v>114654259</v>
      </c>
      <c r="J27" s="86">
        <v>115281325</v>
      </c>
      <c r="K27" s="86">
        <v>116023257</v>
      </c>
      <c r="L27" s="86">
        <v>116605445</v>
      </c>
      <c r="M27" s="86">
        <v>117278046</v>
      </c>
      <c r="N27" s="86">
        <v>117392147</v>
      </c>
      <c r="O27" s="86">
        <v>118067081</v>
      </c>
      <c r="P27" s="86">
        <v>118792780</v>
      </c>
      <c r="Q27" s="86">
        <v>118816578</v>
      </c>
      <c r="R27" s="86">
        <f>AVERAGE(E27:Q27)</f>
        <v>115836029.38461539</v>
      </c>
      <c r="S27" s="4"/>
      <c r="T27" s="4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</row>
    <row r="28" spans="1:69" ht="15">
      <c r="A28" s="13">
        <f t="shared" si="1"/>
        <v>14</v>
      </c>
      <c r="B28" s="6"/>
      <c r="C28" s="2" t="str">
        <f>+C18</f>
        <v>  General &amp; Intangible</v>
      </c>
      <c r="D28" s="4" t="s">
        <v>391</v>
      </c>
      <c r="E28" s="86">
        <v>17633393</v>
      </c>
      <c r="F28" s="86">
        <f>19412629-F30</f>
        <v>17766768.19</v>
      </c>
      <c r="G28" s="86">
        <f>19402867-G30</f>
        <v>17723217.76</v>
      </c>
      <c r="H28" s="86">
        <f>18016331-H30</f>
        <v>16342588.25</v>
      </c>
      <c r="I28" s="86">
        <f>18021191-I30</f>
        <v>16313786.75</v>
      </c>
      <c r="J28" s="86">
        <f>18218768-J30</f>
        <v>16477682.61</v>
      </c>
      <c r="K28" s="86">
        <f>17927694-K30</f>
        <v>16223952.629999999</v>
      </c>
      <c r="L28" s="86">
        <f>17704332-L30</f>
        <v>15967239.23</v>
      </c>
      <c r="M28" s="86">
        <f>17811582-M30</f>
        <v>16041137.83</v>
      </c>
      <c r="N28" s="86">
        <f>17856482+123424-N30</f>
        <v>16176110.43</v>
      </c>
      <c r="O28" s="86">
        <f>18017665+123424-O30</f>
        <v>16303942.03</v>
      </c>
      <c r="P28" s="86">
        <f>18125320-P30</f>
        <v>16254809.22</v>
      </c>
      <c r="Q28" s="86">
        <f>18250513+123424-Q30</f>
        <v>16469869.120000001</v>
      </c>
      <c r="R28" s="86">
        <f t="shared" si="3"/>
        <v>16591884.38846154</v>
      </c>
      <c r="S28" s="4"/>
      <c r="T28" s="4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</row>
    <row r="29" spans="1:69" ht="15">
      <c r="A29" s="13">
        <f t="shared" si="1"/>
        <v>15</v>
      </c>
      <c r="B29" s="6"/>
      <c r="C29" s="2" t="s">
        <v>97</v>
      </c>
      <c r="D29" s="4" t="s">
        <v>369</v>
      </c>
      <c r="E29" s="86">
        <f>6992273+4651323+6748932</f>
        <v>18392528</v>
      </c>
      <c r="F29" s="86">
        <f>7193947+4335604+6534444</f>
        <v>18063995</v>
      </c>
      <c r="G29" s="86">
        <f>7258242+4330768+6634147</f>
        <v>18223157</v>
      </c>
      <c r="H29" s="86">
        <f>7478968+4336534+6302068</f>
        <v>18117570</v>
      </c>
      <c r="I29" s="86">
        <f>4335993+6381378+7561867</f>
        <v>18279238</v>
      </c>
      <c r="J29" s="86">
        <f>7636521+4335907+6459236</f>
        <v>18431664</v>
      </c>
      <c r="K29" s="86">
        <f>7888768+4337424+6543779</f>
        <v>18769971</v>
      </c>
      <c r="L29" s="86">
        <f>7947500+4336050+6635309</f>
        <v>18918859</v>
      </c>
      <c r="M29" s="86">
        <f>8028784+4335927+6714818</f>
        <v>19079529</v>
      </c>
      <c r="N29" s="86">
        <f>8107613+4336201+6807843</f>
        <v>19251657</v>
      </c>
      <c r="O29" s="86">
        <f>8190541+4336292+6891170</f>
        <v>19418003</v>
      </c>
      <c r="P29" s="86">
        <f>8278098+4335133+6984434</f>
        <v>19597665</v>
      </c>
      <c r="Q29" s="86">
        <f>8360501+4335988+7009263</f>
        <v>19705752</v>
      </c>
      <c r="R29" s="86">
        <f t="shared" si="3"/>
        <v>18788429.846153848</v>
      </c>
      <c r="S29" s="4"/>
      <c r="T29" s="4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</row>
    <row r="30" spans="1:69" ht="15">
      <c r="A30" s="13">
        <f t="shared" si="1"/>
        <v>16</v>
      </c>
      <c r="B30" s="6"/>
      <c r="C30" s="2" t="str">
        <f>+C20</f>
        <v>  Communication System</v>
      </c>
      <c r="D30" s="4" t="s">
        <v>392</v>
      </c>
      <c r="E30" s="86">
        <v>1612073</v>
      </c>
      <c r="F30" s="86">
        <v>1645860.81</v>
      </c>
      <c r="G30" s="86">
        <v>1679649.24</v>
      </c>
      <c r="H30" s="86">
        <v>1673742.75</v>
      </c>
      <c r="I30" s="86">
        <v>1707404.25</v>
      </c>
      <c r="J30" s="86">
        <v>1741085.39</v>
      </c>
      <c r="K30" s="86">
        <v>1703741.37</v>
      </c>
      <c r="L30" s="86">
        <v>1737092.77</v>
      </c>
      <c r="M30" s="86">
        <v>1770444.17</v>
      </c>
      <c r="N30" s="86">
        <v>1803795.57</v>
      </c>
      <c r="O30" s="86">
        <v>1837146.97</v>
      </c>
      <c r="P30" s="86">
        <v>1870510.78</v>
      </c>
      <c r="Q30" s="86">
        <v>1904067.88</v>
      </c>
      <c r="R30" s="86">
        <f t="shared" si="3"/>
        <v>1745124.2269230767</v>
      </c>
      <c r="S30" s="4"/>
      <c r="T30" s="4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</row>
    <row r="31" spans="1:69" ht="15">
      <c r="A31" s="13">
        <f t="shared" si="1"/>
        <v>17</v>
      </c>
      <c r="B31" s="6"/>
      <c r="C31" s="2" t="str">
        <f>+C21</f>
        <v>  Common</v>
      </c>
      <c r="D31" s="4" t="s">
        <v>154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>
        <v>0</v>
      </c>
      <c r="R31" s="86">
        <f t="shared" si="3"/>
        <v>0</v>
      </c>
      <c r="S31" s="4"/>
      <c r="T31" s="4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</row>
    <row r="32" spans="1:69" ht="15">
      <c r="A32" s="13">
        <f t="shared" si="1"/>
        <v>18</v>
      </c>
      <c r="B32" s="6"/>
      <c r="C32" s="2" t="s">
        <v>6</v>
      </c>
      <c r="D32" s="4" t="str">
        <f>"(sum lines "&amp;A25&amp;" - "&amp;A31&amp;")"</f>
        <v>(sum lines 11 - 17)</v>
      </c>
      <c r="E32" s="115">
        <f>SUM(E25:E31)</f>
        <v>346500575</v>
      </c>
      <c r="F32" s="115">
        <f aca="true" t="shared" si="4" ref="F32:R32">SUM(F25:F31)</f>
        <v>348185559</v>
      </c>
      <c r="G32" s="115">
        <f t="shared" si="4"/>
        <v>350412038</v>
      </c>
      <c r="H32" s="115">
        <f t="shared" si="4"/>
        <v>350849176</v>
      </c>
      <c r="I32" s="115">
        <f t="shared" si="4"/>
        <v>352072296</v>
      </c>
      <c r="J32" s="115">
        <f t="shared" si="4"/>
        <v>353456599</v>
      </c>
      <c r="K32" s="115">
        <f t="shared" si="4"/>
        <v>353571538</v>
      </c>
      <c r="L32" s="115">
        <f t="shared" si="4"/>
        <v>355384850</v>
      </c>
      <c r="M32" s="115">
        <f t="shared" si="4"/>
        <v>357840020</v>
      </c>
      <c r="N32" s="115">
        <f t="shared" si="4"/>
        <v>359943085</v>
      </c>
      <c r="O32" s="115">
        <f>SUM(O25:O31)</f>
        <v>362310205</v>
      </c>
      <c r="P32" s="115">
        <f>SUM(P25:P31)</f>
        <v>363635950</v>
      </c>
      <c r="Q32" s="115">
        <f>SUM(Q25:Q31)</f>
        <v>365331725</v>
      </c>
      <c r="R32" s="115">
        <f t="shared" si="4"/>
        <v>355345662.7692307</v>
      </c>
      <c r="S32" s="4"/>
      <c r="T32" s="138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</row>
    <row r="33" spans="1:69" ht="15">
      <c r="A33" s="13">
        <f t="shared" si="1"/>
        <v>19</v>
      </c>
      <c r="B33" s="6"/>
      <c r="C33" s="6"/>
      <c r="D33" s="4" t="s">
        <v>129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4"/>
      <c r="T33" s="4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</row>
    <row r="34" spans="1:69" ht="15">
      <c r="A34" s="13">
        <f t="shared" si="1"/>
        <v>20</v>
      </c>
      <c r="B34" s="6"/>
      <c r="C34" s="2" t="s">
        <v>157</v>
      </c>
      <c r="D34" s="4" t="s">
        <v>315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4"/>
      <c r="T34" s="4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</row>
    <row r="35" spans="1:69" ht="15">
      <c r="A35" s="13">
        <f t="shared" si="1"/>
        <v>21</v>
      </c>
      <c r="B35" s="6"/>
      <c r="C35" s="2" t="str">
        <f>+C25</f>
        <v>  Production</v>
      </c>
      <c r="D35" s="4" t="str">
        <f aca="true" t="shared" si="5" ref="D35:D41">"(line "&amp;A15&amp;" - line "&amp;A25&amp;")"</f>
        <v>(line 1 - line 11)</v>
      </c>
      <c r="E35" s="86">
        <f>+E15-E25</f>
        <v>409853628</v>
      </c>
      <c r="F35" s="86">
        <f aca="true" t="shared" si="6" ref="F35:Q35">+F15-F25</f>
        <v>409013189</v>
      </c>
      <c r="G35" s="86">
        <f t="shared" si="6"/>
        <v>408488626</v>
      </c>
      <c r="H35" s="86">
        <f t="shared" si="6"/>
        <v>407341019</v>
      </c>
      <c r="I35" s="86">
        <f t="shared" si="6"/>
        <v>407642682</v>
      </c>
      <c r="J35" s="86">
        <f t="shared" si="6"/>
        <v>406264691</v>
      </c>
      <c r="K35" s="86">
        <f t="shared" si="6"/>
        <v>405400042</v>
      </c>
      <c r="L35" s="86">
        <f t="shared" si="6"/>
        <v>404837981</v>
      </c>
      <c r="M35" s="86">
        <f t="shared" si="6"/>
        <v>403620789</v>
      </c>
      <c r="N35" s="86">
        <f t="shared" si="6"/>
        <v>402284645</v>
      </c>
      <c r="O35" s="86">
        <f t="shared" si="6"/>
        <v>401776347</v>
      </c>
      <c r="P35" s="86">
        <f t="shared" si="6"/>
        <v>400520526</v>
      </c>
      <c r="Q35" s="86">
        <f t="shared" si="6"/>
        <v>401690717</v>
      </c>
      <c r="R35" s="86">
        <f>R15-R25</f>
        <v>405287298.61538464</v>
      </c>
      <c r="S35" s="4"/>
      <c r="T35" s="4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</row>
    <row r="36" spans="1:69" ht="15">
      <c r="A36" s="13">
        <f t="shared" si="1"/>
        <v>22</v>
      </c>
      <c r="B36" s="6"/>
      <c r="C36" s="2" t="s">
        <v>149</v>
      </c>
      <c r="D36" s="4" t="str">
        <f t="shared" si="5"/>
        <v>(line 2 - line 12)</v>
      </c>
      <c r="E36" s="86">
        <f aca="true" t="shared" si="7" ref="E36:Q41">+E16-E26</f>
        <v>80875133</v>
      </c>
      <c r="F36" s="86">
        <f t="shared" si="7"/>
        <v>80671427</v>
      </c>
      <c r="G36" s="86">
        <f t="shared" si="7"/>
        <v>80500468</v>
      </c>
      <c r="H36" s="86">
        <f t="shared" si="7"/>
        <v>80338439</v>
      </c>
      <c r="I36" s="86">
        <f t="shared" si="7"/>
        <v>80158316</v>
      </c>
      <c r="J36" s="86">
        <f t="shared" si="7"/>
        <v>79948072</v>
      </c>
      <c r="K36" s="86">
        <f t="shared" si="7"/>
        <v>79730403</v>
      </c>
      <c r="L36" s="86">
        <f t="shared" si="7"/>
        <v>79522992</v>
      </c>
      <c r="M36" s="86">
        <f t="shared" si="7"/>
        <v>79317416</v>
      </c>
      <c r="N36" s="86">
        <f t="shared" si="7"/>
        <v>79087933</v>
      </c>
      <c r="O36" s="86">
        <f t="shared" si="7"/>
        <v>78881599</v>
      </c>
      <c r="P36" s="86">
        <f t="shared" si="7"/>
        <v>80190531</v>
      </c>
      <c r="Q36" s="86">
        <f t="shared" si="7"/>
        <v>80248306</v>
      </c>
      <c r="R36" s="86">
        <f aca="true" t="shared" si="8" ref="R36:R41">R16-R26</f>
        <v>79959310.38461539</v>
      </c>
      <c r="S36" s="4"/>
      <c r="T36" s="4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</row>
    <row r="37" spans="1:69" ht="15">
      <c r="A37" s="13">
        <f t="shared" si="1"/>
        <v>23</v>
      </c>
      <c r="B37" s="6"/>
      <c r="C37" s="2" t="s">
        <v>229</v>
      </c>
      <c r="D37" s="4" t="str">
        <f t="shared" si="5"/>
        <v>(line 3 - line 13)</v>
      </c>
      <c r="E37" s="86">
        <f t="shared" si="7"/>
        <v>224415484</v>
      </c>
      <c r="F37" s="86">
        <f t="shared" si="7"/>
        <v>224035460</v>
      </c>
      <c r="G37" s="86">
        <f t="shared" si="7"/>
        <v>224618633</v>
      </c>
      <c r="H37" s="86">
        <f t="shared" si="7"/>
        <v>227685053</v>
      </c>
      <c r="I37" s="86">
        <f t="shared" si="7"/>
        <v>227709757</v>
      </c>
      <c r="J37" s="86">
        <f t="shared" si="7"/>
        <v>227941012</v>
      </c>
      <c r="K37" s="86">
        <f t="shared" si="7"/>
        <v>227925739</v>
      </c>
      <c r="L37" s="86">
        <f t="shared" si="7"/>
        <v>232598838</v>
      </c>
      <c r="M37" s="86">
        <f t="shared" si="7"/>
        <v>232359440</v>
      </c>
      <c r="N37" s="86">
        <f t="shared" si="7"/>
        <v>232619183</v>
      </c>
      <c r="O37" s="86">
        <f t="shared" si="7"/>
        <v>232420290</v>
      </c>
      <c r="P37" s="86">
        <f t="shared" si="7"/>
        <v>231171040</v>
      </c>
      <c r="Q37" s="86">
        <f t="shared" si="7"/>
        <v>234424251</v>
      </c>
      <c r="R37" s="86">
        <f t="shared" si="8"/>
        <v>229224936.9230769</v>
      </c>
      <c r="S37" s="4"/>
      <c r="T37" s="4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</row>
    <row r="38" spans="1:69" ht="15">
      <c r="A38" s="13">
        <f t="shared" si="1"/>
        <v>24</v>
      </c>
      <c r="B38" s="6"/>
      <c r="C38" s="2" t="str">
        <f>+C28</f>
        <v>  General &amp; Intangible</v>
      </c>
      <c r="D38" s="4" t="str">
        <f t="shared" si="5"/>
        <v>(line 4 - line 14)</v>
      </c>
      <c r="E38" s="86">
        <f t="shared" si="7"/>
        <v>24941564</v>
      </c>
      <c r="F38" s="86">
        <f t="shared" si="7"/>
        <v>24925170.81</v>
      </c>
      <c r="G38" s="86">
        <f t="shared" si="7"/>
        <v>25196231.24</v>
      </c>
      <c r="H38" s="86">
        <f t="shared" si="7"/>
        <v>24450261.75</v>
      </c>
      <c r="I38" s="86">
        <f t="shared" si="7"/>
        <v>24361504.25</v>
      </c>
      <c r="J38" s="86">
        <f t="shared" si="7"/>
        <v>24491974.39</v>
      </c>
      <c r="K38" s="86">
        <f t="shared" si="7"/>
        <v>24088493.37</v>
      </c>
      <c r="L38" s="86">
        <f t="shared" si="7"/>
        <v>23964661.77</v>
      </c>
      <c r="M38" s="86">
        <f t="shared" si="7"/>
        <v>23995862.17</v>
      </c>
      <c r="N38" s="86">
        <f t="shared" si="7"/>
        <v>23698465.57</v>
      </c>
      <c r="O38" s="86">
        <f t="shared" si="7"/>
        <v>23734412.97</v>
      </c>
      <c r="P38" s="86">
        <f t="shared" si="7"/>
        <v>29562147.78</v>
      </c>
      <c r="Q38" s="86">
        <f t="shared" si="7"/>
        <v>29756193.88</v>
      </c>
      <c r="R38" s="86">
        <f t="shared" si="8"/>
        <v>25166687.996153846</v>
      </c>
      <c r="S38" s="4"/>
      <c r="T38" s="4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69" ht="15">
      <c r="A39" s="13">
        <f t="shared" si="1"/>
        <v>25</v>
      </c>
      <c r="B39" s="6"/>
      <c r="C39" s="2" t="s">
        <v>97</v>
      </c>
      <c r="D39" s="4" t="str">
        <f t="shared" si="5"/>
        <v>(line 5 - line 15)</v>
      </c>
      <c r="E39" s="86">
        <f>+E19-E29</f>
        <v>11527287</v>
      </c>
      <c r="F39" s="86">
        <f t="shared" si="7"/>
        <v>11173646</v>
      </c>
      <c r="G39" s="86">
        <f t="shared" si="7"/>
        <v>10898100</v>
      </c>
      <c r="H39" s="86">
        <f t="shared" si="7"/>
        <v>11356801</v>
      </c>
      <c r="I39" s="86">
        <f t="shared" si="7"/>
        <v>12076477</v>
      </c>
      <c r="J39" s="86">
        <f t="shared" si="7"/>
        <v>12295736</v>
      </c>
      <c r="K39" s="86">
        <f t="shared" si="7"/>
        <v>12631464</v>
      </c>
      <c r="L39" s="86">
        <f t="shared" si="7"/>
        <v>12476993</v>
      </c>
      <c r="M39" s="86">
        <f t="shared" si="7"/>
        <v>12108714</v>
      </c>
      <c r="N39" s="86">
        <f t="shared" si="7"/>
        <v>12096140</v>
      </c>
      <c r="O39" s="86">
        <f t="shared" si="7"/>
        <v>14698745</v>
      </c>
      <c r="P39" s="86">
        <f t="shared" si="7"/>
        <v>15138575</v>
      </c>
      <c r="Q39" s="86">
        <f t="shared" si="7"/>
        <v>15760422</v>
      </c>
      <c r="R39" s="86">
        <f t="shared" si="8"/>
        <v>12633776.92307692</v>
      </c>
      <c r="S39" s="4"/>
      <c r="T39" s="4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</row>
    <row r="40" spans="1:69" ht="15">
      <c r="A40" s="13">
        <f t="shared" si="1"/>
        <v>26</v>
      </c>
      <c r="B40" s="6"/>
      <c r="C40" s="2" t="str">
        <f>+C30</f>
        <v>  Communication System</v>
      </c>
      <c r="D40" s="4" t="str">
        <f t="shared" si="5"/>
        <v>(line 6 - line 16)</v>
      </c>
      <c r="E40" s="86">
        <f t="shared" si="7"/>
        <v>5631524</v>
      </c>
      <c r="F40" s="86">
        <f t="shared" si="7"/>
        <v>5597736.1899999995</v>
      </c>
      <c r="G40" s="86">
        <f t="shared" si="7"/>
        <v>5563947.76</v>
      </c>
      <c r="H40" s="86">
        <f t="shared" si="7"/>
        <v>5539988.25</v>
      </c>
      <c r="I40" s="86">
        <f t="shared" si="7"/>
        <v>5506326.75</v>
      </c>
      <c r="J40" s="86">
        <f t="shared" si="7"/>
        <v>5480172.61</v>
      </c>
      <c r="K40" s="86">
        <f t="shared" si="7"/>
        <v>5450544.63</v>
      </c>
      <c r="L40" s="86">
        <f t="shared" si="7"/>
        <v>5417193.23</v>
      </c>
      <c r="M40" s="86">
        <f t="shared" si="7"/>
        <v>5383841.83</v>
      </c>
      <c r="N40" s="86">
        <f t="shared" si="7"/>
        <v>5350490.43</v>
      </c>
      <c r="O40" s="86">
        <f t="shared" si="7"/>
        <v>5317139.03</v>
      </c>
      <c r="P40" s="86">
        <f t="shared" si="7"/>
        <v>5289730.22</v>
      </c>
      <c r="Q40" s="86">
        <f>+Q20-Q30</f>
        <v>5341783.12</v>
      </c>
      <c r="R40" s="86">
        <f t="shared" si="8"/>
        <v>5451570.61923077</v>
      </c>
      <c r="S40" s="4"/>
      <c r="T40" s="4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</row>
    <row r="41" spans="1:69" ht="15">
      <c r="A41" s="13">
        <f t="shared" si="1"/>
        <v>27</v>
      </c>
      <c r="B41" s="6"/>
      <c r="C41" s="2" t="str">
        <f>+C31</f>
        <v>  Common</v>
      </c>
      <c r="D41" s="4" t="str">
        <f t="shared" si="5"/>
        <v>(line 7 - line 17)</v>
      </c>
      <c r="E41" s="86">
        <f t="shared" si="7"/>
        <v>0</v>
      </c>
      <c r="F41" s="86">
        <f t="shared" si="7"/>
        <v>0</v>
      </c>
      <c r="G41" s="86">
        <f t="shared" si="7"/>
        <v>0</v>
      </c>
      <c r="H41" s="86">
        <f t="shared" si="7"/>
        <v>0</v>
      </c>
      <c r="I41" s="86">
        <f t="shared" si="7"/>
        <v>0</v>
      </c>
      <c r="J41" s="86">
        <f t="shared" si="7"/>
        <v>0</v>
      </c>
      <c r="K41" s="86">
        <f t="shared" si="7"/>
        <v>0</v>
      </c>
      <c r="L41" s="86">
        <f t="shared" si="7"/>
        <v>0</v>
      </c>
      <c r="M41" s="86">
        <f t="shared" si="7"/>
        <v>0</v>
      </c>
      <c r="N41" s="86">
        <f t="shared" si="7"/>
        <v>0</v>
      </c>
      <c r="O41" s="86">
        <f t="shared" si="7"/>
        <v>0</v>
      </c>
      <c r="P41" s="86">
        <f t="shared" si="7"/>
        <v>0</v>
      </c>
      <c r="Q41" s="86">
        <f t="shared" si="7"/>
        <v>0</v>
      </c>
      <c r="R41" s="111">
        <f t="shared" si="8"/>
        <v>0</v>
      </c>
      <c r="S41" s="4"/>
      <c r="T41" s="4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</row>
    <row r="42" spans="1:69" ht="15">
      <c r="A42" s="13">
        <f t="shared" si="1"/>
        <v>28</v>
      </c>
      <c r="B42" s="6"/>
      <c r="C42" s="2" t="s">
        <v>5</v>
      </c>
      <c r="D42" s="4" t="str">
        <f>"(sum lines "&amp;A35&amp;" - "&amp;A41&amp;")"</f>
        <v>(sum lines 21 - 27)</v>
      </c>
      <c r="E42" s="116">
        <f>SUM(E35:E41)</f>
        <v>757244620</v>
      </c>
      <c r="F42" s="116">
        <f aca="true" t="shared" si="9" ref="F42:Q42">SUM(F35:F41)</f>
        <v>755416629</v>
      </c>
      <c r="G42" s="116">
        <f t="shared" si="9"/>
        <v>755266006</v>
      </c>
      <c r="H42" s="116">
        <f t="shared" si="9"/>
        <v>756711562</v>
      </c>
      <c r="I42" s="116">
        <f t="shared" si="9"/>
        <v>757455063</v>
      </c>
      <c r="J42" s="116">
        <f t="shared" si="9"/>
        <v>756421658</v>
      </c>
      <c r="K42" s="116">
        <f t="shared" si="9"/>
        <v>755226686</v>
      </c>
      <c r="L42" s="116">
        <f t="shared" si="9"/>
        <v>758818659</v>
      </c>
      <c r="M42" s="116">
        <f t="shared" si="9"/>
        <v>756786063</v>
      </c>
      <c r="N42" s="116">
        <f t="shared" si="9"/>
        <v>755136857</v>
      </c>
      <c r="O42" s="116">
        <f t="shared" si="9"/>
        <v>756828533</v>
      </c>
      <c r="P42" s="116">
        <f t="shared" si="9"/>
        <v>761872550</v>
      </c>
      <c r="Q42" s="116">
        <f t="shared" si="9"/>
        <v>767221673</v>
      </c>
      <c r="R42" s="116">
        <f>SUM(R35:R41)</f>
        <v>757723581.4615383</v>
      </c>
      <c r="S42" s="4"/>
      <c r="T42" s="76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</row>
    <row r="43" spans="1:69" ht="15">
      <c r="A43" s="13"/>
      <c r="B43" s="6"/>
      <c r="C43" s="2"/>
      <c r="D43" s="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4"/>
      <c r="T43" s="76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</row>
    <row r="44" spans="1:69" ht="15">
      <c r="A44" s="13"/>
      <c r="B44" s="6"/>
      <c r="C44" s="2" t="s">
        <v>316</v>
      </c>
      <c r="D44" s="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4"/>
      <c r="T44" s="76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</row>
    <row r="45" spans="1:69" ht="15">
      <c r="A45" s="13"/>
      <c r="B45" s="6"/>
      <c r="C45" s="12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6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</row>
    <row r="46" spans="1:69" ht="15">
      <c r="A46" s="13"/>
      <c r="B46" s="6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6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</row>
    <row r="47" spans="1:69" ht="23.25">
      <c r="A47" s="13"/>
      <c r="B47" s="6"/>
      <c r="C47" s="2"/>
      <c r="D47" s="4"/>
      <c r="E47" s="178" t="s">
        <v>310</v>
      </c>
      <c r="F47" s="15"/>
      <c r="G47" s="15"/>
      <c r="H47" s="1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76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</row>
    <row r="48" spans="1:62" ht="15">
      <c r="A48" s="13">
        <f>+A42+1</f>
        <v>29</v>
      </c>
      <c r="B48" s="6"/>
      <c r="C48" s="6"/>
      <c r="D48" s="4"/>
      <c r="E48" s="179" t="s">
        <v>14</v>
      </c>
      <c r="F48" s="179" t="s">
        <v>15</v>
      </c>
      <c r="G48" s="179" t="s">
        <v>16</v>
      </c>
      <c r="H48" s="15"/>
      <c r="I48" s="4"/>
      <c r="J48" s="4"/>
      <c r="K48" s="4"/>
      <c r="L48" s="4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</row>
    <row r="49" spans="1:62" ht="15">
      <c r="A49" s="13">
        <f t="shared" si="1"/>
        <v>30</v>
      </c>
      <c r="B49" s="6"/>
      <c r="C49" s="12" t="s">
        <v>309</v>
      </c>
      <c r="D49" s="4"/>
      <c r="E49" s="180">
        <v>41974</v>
      </c>
      <c r="F49" s="180">
        <v>42339</v>
      </c>
      <c r="G49" s="15" t="s">
        <v>28</v>
      </c>
      <c r="H49" s="15"/>
      <c r="I49" s="4"/>
      <c r="J49" s="4"/>
      <c r="K49" s="4"/>
      <c r="L49" s="4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</row>
    <row r="50" spans="1:62" ht="15">
      <c r="A50" s="13">
        <f t="shared" si="1"/>
        <v>31</v>
      </c>
      <c r="B50" s="6"/>
      <c r="C50" s="2" t="s">
        <v>203</v>
      </c>
      <c r="D50" s="187" t="s">
        <v>302</v>
      </c>
      <c r="E50" s="86">
        <v>0</v>
      </c>
      <c r="F50" s="86">
        <v>0</v>
      </c>
      <c r="G50" s="86">
        <f aca="true" t="shared" si="10" ref="G50:G55">(+E50+F50)/2</f>
        <v>0</v>
      </c>
      <c r="H50" s="15"/>
      <c r="I50" s="15"/>
      <c r="J50" s="15"/>
      <c r="K50" s="15"/>
      <c r="L50" s="8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</row>
    <row r="51" spans="1:62" ht="15">
      <c r="A51" s="13">
        <f t="shared" si="1"/>
        <v>32</v>
      </c>
      <c r="B51" s="6"/>
      <c r="C51" s="2" t="s">
        <v>204</v>
      </c>
      <c r="D51" s="187" t="s">
        <v>303</v>
      </c>
      <c r="E51" s="86">
        <v>-185559862</v>
      </c>
      <c r="F51" s="86">
        <v>-189107994</v>
      </c>
      <c r="G51" s="86">
        <f t="shared" si="10"/>
        <v>-187333928</v>
      </c>
      <c r="H51" s="15"/>
      <c r="I51" s="4"/>
      <c r="J51" s="4"/>
      <c r="K51" s="4"/>
      <c r="L51" s="105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</row>
    <row r="52" spans="1:62" ht="15">
      <c r="A52" s="13">
        <f t="shared" si="1"/>
        <v>33</v>
      </c>
      <c r="B52" s="6"/>
      <c r="C52" s="2" t="s">
        <v>205</v>
      </c>
      <c r="D52" s="187" t="s">
        <v>304</v>
      </c>
      <c r="E52" s="111">
        <v>-28378776</v>
      </c>
      <c r="F52" s="111">
        <v>-31595886</v>
      </c>
      <c r="G52" s="86">
        <f t="shared" si="10"/>
        <v>-29987331</v>
      </c>
      <c r="H52" s="15"/>
      <c r="I52" s="4"/>
      <c r="J52" s="4"/>
      <c r="K52" s="4"/>
      <c r="L52" s="8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</row>
    <row r="53" spans="1:62" ht="15">
      <c r="A53" s="13">
        <f t="shared" si="1"/>
        <v>34</v>
      </c>
      <c r="B53" s="6"/>
      <c r="C53" s="2" t="s">
        <v>207</v>
      </c>
      <c r="D53" s="187" t="s">
        <v>305</v>
      </c>
      <c r="E53" s="111">
        <v>33629868</v>
      </c>
      <c r="F53" s="111">
        <v>30565748</v>
      </c>
      <c r="G53" s="86">
        <f t="shared" si="10"/>
        <v>32097808</v>
      </c>
      <c r="H53" s="15"/>
      <c r="I53" s="4"/>
      <c r="J53" s="4"/>
      <c r="K53" s="4"/>
      <c r="L53" s="8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</row>
    <row r="54" spans="1:62" ht="15">
      <c r="A54" s="13">
        <f t="shared" si="1"/>
        <v>35</v>
      </c>
      <c r="B54" s="6"/>
      <c r="C54" s="6" t="s">
        <v>206</v>
      </c>
      <c r="D54" s="187" t="s">
        <v>306</v>
      </c>
      <c r="E54" s="111">
        <v>0</v>
      </c>
      <c r="F54" s="111">
        <v>0</v>
      </c>
      <c r="G54" s="86">
        <f t="shared" si="10"/>
        <v>0</v>
      </c>
      <c r="H54" s="15"/>
      <c r="I54" s="4"/>
      <c r="J54" s="4"/>
      <c r="K54" s="4"/>
      <c r="L54" s="8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</row>
    <row r="55" spans="1:62" ht="15">
      <c r="A55" s="13">
        <f t="shared" si="1"/>
        <v>36</v>
      </c>
      <c r="B55" s="6"/>
      <c r="C55" s="2" t="s">
        <v>225</v>
      </c>
      <c r="D55" s="127" t="s">
        <v>367</v>
      </c>
      <c r="E55" s="181">
        <f>(8364870-91960)*0.35</f>
        <v>2895518.5</v>
      </c>
      <c r="F55" s="181">
        <f>(8571074-1518)*0.35</f>
        <v>2999344.5999999996</v>
      </c>
      <c r="G55" s="181">
        <f t="shared" si="10"/>
        <v>2947431.55</v>
      </c>
      <c r="H55" s="15"/>
      <c r="I55" s="4"/>
      <c r="J55" s="4"/>
      <c r="K55" s="4"/>
      <c r="L55" s="8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</row>
    <row r="56" spans="1:62" ht="15">
      <c r="A56" s="13">
        <f t="shared" si="1"/>
        <v>37</v>
      </c>
      <c r="B56" s="6"/>
      <c r="C56" s="2" t="s">
        <v>7</v>
      </c>
      <c r="D56" s="4" t="str">
        <f>"(sum lines "&amp;A50&amp;" - "&amp;A55&amp;")"</f>
        <v>(sum lines 31 - 36)</v>
      </c>
      <c r="E56" s="86">
        <f>SUM(E50:E55)</f>
        <v>-177413251.5</v>
      </c>
      <c r="F56" s="86">
        <f>SUM(F50:F55)</f>
        <v>-187138787.4</v>
      </c>
      <c r="G56" s="86">
        <f>SUM(G50:G55)</f>
        <v>-182276019.45</v>
      </c>
      <c r="H56" s="15"/>
      <c r="I56" s="4"/>
      <c r="J56" s="4"/>
      <c r="K56" s="4"/>
      <c r="L56" s="75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</row>
    <row r="57" spans="1:62" ht="15">
      <c r="A57" s="13">
        <f t="shared" si="1"/>
        <v>38</v>
      </c>
      <c r="B57" s="6"/>
      <c r="C57" s="6"/>
      <c r="D57" s="4"/>
      <c r="E57" s="86"/>
      <c r="F57" s="86"/>
      <c r="G57" s="86"/>
      <c r="H57" s="15"/>
      <c r="I57" s="4"/>
      <c r="J57" s="4"/>
      <c r="K57" s="4"/>
      <c r="L57" s="4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</row>
    <row r="58" spans="1:62" ht="15">
      <c r="A58" s="13">
        <f t="shared" si="1"/>
        <v>39</v>
      </c>
      <c r="B58" s="6"/>
      <c r="C58" s="12" t="s">
        <v>164</v>
      </c>
      <c r="D58" s="4" t="s">
        <v>231</v>
      </c>
      <c r="E58" s="86"/>
      <c r="F58" s="86"/>
      <c r="G58" s="86">
        <f>(+E58+F58)/2</f>
        <v>0</v>
      </c>
      <c r="H58" s="15"/>
      <c r="I58" s="4"/>
      <c r="J58" s="4"/>
      <c r="K58" s="4"/>
      <c r="L58" s="106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</row>
    <row r="59" spans="1:62" ht="15">
      <c r="A59" s="13">
        <f t="shared" si="1"/>
        <v>40</v>
      </c>
      <c r="B59" s="6"/>
      <c r="C59" s="2"/>
      <c r="D59" s="4"/>
      <c r="E59" s="86"/>
      <c r="F59" s="86"/>
      <c r="G59" s="86"/>
      <c r="H59" s="15"/>
      <c r="I59" s="4"/>
      <c r="J59" s="4"/>
      <c r="K59" s="4"/>
      <c r="L59" s="4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</row>
    <row r="60" spans="1:62" ht="15">
      <c r="A60" s="13">
        <f t="shared" si="1"/>
        <v>41</v>
      </c>
      <c r="B60" s="6"/>
      <c r="C60" s="2" t="s">
        <v>317</v>
      </c>
      <c r="D60" s="4"/>
      <c r="E60" s="86"/>
      <c r="F60" s="86"/>
      <c r="G60" s="86"/>
      <c r="H60" s="15"/>
      <c r="I60" s="4"/>
      <c r="J60" s="4"/>
      <c r="K60" s="4"/>
      <c r="L60" s="4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</row>
    <row r="61" spans="1:62" ht="15">
      <c r="A61" s="13">
        <f t="shared" si="1"/>
        <v>42</v>
      </c>
      <c r="B61" s="6"/>
      <c r="C61" s="2"/>
      <c r="D61" s="20"/>
      <c r="E61" s="86"/>
      <c r="F61" s="86"/>
      <c r="G61" s="86"/>
      <c r="H61" s="15"/>
      <c r="I61" s="4"/>
      <c r="J61" s="4"/>
      <c r="K61" s="4"/>
      <c r="L61" s="5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</row>
    <row r="62" spans="1:62" ht="15">
      <c r="A62" s="13">
        <f t="shared" si="1"/>
        <v>43</v>
      </c>
      <c r="B62" s="6"/>
      <c r="C62" s="2" t="s">
        <v>267</v>
      </c>
      <c r="D62" s="4" t="s">
        <v>95</v>
      </c>
      <c r="E62" s="111">
        <v>4111763</v>
      </c>
      <c r="F62" s="111">
        <v>4339123</v>
      </c>
      <c r="G62" s="86">
        <f>(+E62+F62)/2</f>
        <v>4225443</v>
      </c>
      <c r="H62" s="15"/>
      <c r="I62" s="4"/>
      <c r="J62" s="4"/>
      <c r="K62" s="4"/>
      <c r="L62" s="5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</row>
    <row r="63" spans="1:62" ht="15">
      <c r="A63" s="13">
        <f t="shared" si="1"/>
        <v>44</v>
      </c>
      <c r="B63" s="6"/>
      <c r="C63" s="2" t="s">
        <v>267</v>
      </c>
      <c r="D63" s="4" t="s">
        <v>94</v>
      </c>
      <c r="E63" s="111">
        <v>15853</v>
      </c>
      <c r="F63" s="111">
        <v>19709</v>
      </c>
      <c r="G63" s="86">
        <f>(+E63+F63)/2</f>
        <v>17781</v>
      </c>
      <c r="H63" s="15"/>
      <c r="I63" s="4"/>
      <c r="J63" s="4"/>
      <c r="K63" s="4"/>
      <c r="L63" s="5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</row>
    <row r="64" spans="1:62" ht="15">
      <c r="A64" s="13">
        <f t="shared" si="1"/>
        <v>45</v>
      </c>
      <c r="B64" s="6"/>
      <c r="C64" s="2" t="s">
        <v>208</v>
      </c>
      <c r="D64" s="15" t="s">
        <v>38</v>
      </c>
      <c r="E64" s="111">
        <v>4427880</v>
      </c>
      <c r="F64" s="111">
        <v>3481482</v>
      </c>
      <c r="G64" s="86">
        <f>(+E64+F64)/2</f>
        <v>3954681</v>
      </c>
      <c r="H64" s="15"/>
      <c r="I64" s="4"/>
      <c r="J64" s="4"/>
      <c r="K64" s="4"/>
      <c r="L64" s="5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</row>
    <row r="65" spans="1:62" ht="15">
      <c r="A65" s="13">
        <f t="shared" si="1"/>
        <v>46</v>
      </c>
      <c r="B65" s="6"/>
      <c r="C65" s="2" t="s">
        <v>374</v>
      </c>
      <c r="D65" s="4" t="str">
        <f>"(sum lines "&amp;A61&amp;" - "&amp;A64&amp;")"</f>
        <v>(sum lines 42 - 45)</v>
      </c>
      <c r="E65" s="115">
        <f>SUM(E62:E64)</f>
        <v>8555496</v>
      </c>
      <c r="F65" s="115">
        <f>SUM(F62:F64)</f>
        <v>7840314</v>
      </c>
      <c r="G65" s="115">
        <f>SUM(G62:G64)</f>
        <v>8197905</v>
      </c>
      <c r="H65" s="182"/>
      <c r="I65" s="1"/>
      <c r="J65" s="1"/>
      <c r="K65" s="1"/>
      <c r="L65" s="75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</row>
    <row r="66" spans="5:8" ht="15">
      <c r="E66" s="183"/>
      <c r="F66" s="183"/>
      <c r="G66" s="183"/>
      <c r="H66" s="183"/>
    </row>
    <row r="67" spans="5:8" ht="15">
      <c r="E67" s="183"/>
      <c r="F67" s="183"/>
      <c r="G67" s="183"/>
      <c r="H67" s="183"/>
    </row>
  </sheetData>
  <sheetProtection/>
  <mergeCells count="6">
    <mergeCell ref="A4:I4"/>
    <mergeCell ref="A5:I5"/>
    <mergeCell ref="A7:I7"/>
    <mergeCell ref="J4:R4"/>
    <mergeCell ref="J5:R5"/>
    <mergeCell ref="J7:R7"/>
  </mergeCells>
  <printOptions horizontalCentered="1"/>
  <pageMargins left="0.5" right="0.5" top="0.75" bottom="0.75" header="0.5" footer="0.5"/>
  <pageSetup fitToHeight="5" fitToWidth="2" horizontalDpi="600" verticalDpi="600" orientation="portrait" scale="52" r:id="rId3"/>
  <headerFooter alignWithMargins="0">
    <oddHeader>&amp;C&amp;"Arial MT,Bold"ESTIMATED SERVICE YEAR ATRR
BLACK HILLS POWER, INC.</oddHeader>
    <oddFooter>&amp;L&amp;9
</oddFooter>
  </headerFooter>
  <rowBreaks count="1" manualBreakCount="1">
    <brk id="43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6"/>
  <sheetViews>
    <sheetView workbookViewId="0" topLeftCell="A1">
      <selection activeCell="V14" sqref="V14"/>
    </sheetView>
  </sheetViews>
  <sheetFormatPr defaultColWidth="7.10546875" defaultRowHeight="15"/>
  <cols>
    <col min="1" max="1" width="4.77734375" style="52" customWidth="1"/>
    <col min="2" max="2" width="15.6640625" style="52" customWidth="1"/>
    <col min="3" max="3" width="7.10546875" style="52" customWidth="1"/>
    <col min="4" max="4" width="8.77734375" style="52" customWidth="1"/>
    <col min="5" max="5" width="7.88671875" style="52" customWidth="1"/>
    <col min="6" max="6" width="7.6640625" style="52" customWidth="1"/>
    <col min="7" max="7" width="10.3359375" style="52" customWidth="1"/>
    <col min="8" max="8" width="12.99609375" style="52" customWidth="1"/>
    <col min="9" max="9" width="11.77734375" style="52" customWidth="1"/>
    <col min="10" max="10" width="11.21484375" style="52" customWidth="1"/>
    <col min="11" max="11" width="7.99609375" style="52" customWidth="1"/>
    <col min="12" max="16384" width="7.10546875" style="52" customWidth="1"/>
  </cols>
  <sheetData>
    <row r="1" ht="12.75">
      <c r="K1" s="46"/>
    </row>
    <row r="2" spans="2:10" ht="12.75">
      <c r="B2" s="22"/>
      <c r="C2" s="23"/>
      <c r="D2" s="23"/>
      <c r="E2" s="23"/>
      <c r="F2" s="23"/>
      <c r="G2" s="23"/>
      <c r="H2" s="23"/>
      <c r="J2" s="40" t="s">
        <v>390</v>
      </c>
    </row>
    <row r="3" spans="1:10" ht="26.25" customHeight="1">
      <c r="A3" s="345" t="s">
        <v>377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10" ht="15" customHeight="1">
      <c r="A4" s="328" t="s">
        <v>40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2:10" ht="12.75">
      <c r="B5" s="22"/>
      <c r="C5" s="23"/>
      <c r="D5" s="47"/>
      <c r="E5" s="23"/>
      <c r="G5" s="23"/>
      <c r="H5" s="23"/>
      <c r="I5" s="23"/>
      <c r="J5" s="23"/>
    </row>
    <row r="6" spans="1:10" ht="18.75">
      <c r="A6" s="109" t="s">
        <v>131</v>
      </c>
      <c r="B6" s="22"/>
      <c r="C6" s="23"/>
      <c r="D6" s="339" t="s">
        <v>311</v>
      </c>
      <c r="E6" s="340"/>
      <c r="F6" s="340"/>
      <c r="G6" s="340"/>
      <c r="H6" s="341"/>
      <c r="I6" s="23"/>
      <c r="J6" s="23"/>
    </row>
    <row r="7" ht="13.5" thickBot="1">
      <c r="A7" s="110" t="s">
        <v>132</v>
      </c>
    </row>
    <row r="8" spans="1:11" ht="15">
      <c r="A8" s="107">
        <v>1</v>
      </c>
      <c r="B8" s="50"/>
      <c r="C8" s="51"/>
      <c r="D8" s="90" t="s">
        <v>35</v>
      </c>
      <c r="E8" s="77" t="s">
        <v>57</v>
      </c>
      <c r="F8" s="77" t="s">
        <v>58</v>
      </c>
      <c r="G8" s="78" t="s">
        <v>59</v>
      </c>
      <c r="H8" s="90" t="s">
        <v>99</v>
      </c>
      <c r="I8" s="90" t="s">
        <v>0</v>
      </c>
      <c r="J8" s="77" t="s">
        <v>235</v>
      </c>
      <c r="K8"/>
    </row>
    <row r="9" spans="1:11" ht="15">
      <c r="A9" s="107">
        <f>A8+1</f>
        <v>2</v>
      </c>
      <c r="B9" s="53"/>
      <c r="C9" s="54"/>
      <c r="D9" s="79" t="s">
        <v>235</v>
      </c>
      <c r="E9" s="79" t="s">
        <v>235</v>
      </c>
      <c r="F9" s="79" t="s">
        <v>60</v>
      </c>
      <c r="G9" s="80" t="s">
        <v>61</v>
      </c>
      <c r="H9" s="81" t="s">
        <v>100</v>
      </c>
      <c r="I9" s="81" t="s">
        <v>1</v>
      </c>
      <c r="J9" s="81" t="s">
        <v>72</v>
      </c>
      <c r="K9"/>
    </row>
    <row r="10" spans="1:11" ht="15.75" thickBot="1">
      <c r="A10" s="107">
        <f aca="true" t="shared" si="0" ref="A10:A47">A9+1</f>
        <v>3</v>
      </c>
      <c r="B10" s="55"/>
      <c r="C10" s="56"/>
      <c r="D10" s="82" t="s">
        <v>62</v>
      </c>
      <c r="E10" s="79" t="s">
        <v>62</v>
      </c>
      <c r="F10" s="82" t="s">
        <v>62</v>
      </c>
      <c r="G10" s="83" t="s">
        <v>62</v>
      </c>
      <c r="H10" s="91" t="s">
        <v>62</v>
      </c>
      <c r="I10" s="91" t="s">
        <v>62</v>
      </c>
      <c r="J10" s="81" t="s">
        <v>73</v>
      </c>
      <c r="K10"/>
    </row>
    <row r="11" spans="1:11" ht="15">
      <c r="A11" s="107">
        <f t="shared" si="0"/>
        <v>4</v>
      </c>
      <c r="B11" s="92" t="s">
        <v>109</v>
      </c>
      <c r="C11" s="93"/>
      <c r="D11" s="129">
        <v>305</v>
      </c>
      <c r="E11" s="130">
        <v>376</v>
      </c>
      <c r="F11" s="131">
        <v>2</v>
      </c>
      <c r="G11" s="130">
        <v>57</v>
      </c>
      <c r="H11" s="164">
        <v>140</v>
      </c>
      <c r="I11" s="161">
        <v>80</v>
      </c>
      <c r="J11" s="77">
        <f>SUM(D11:I11)</f>
        <v>960</v>
      </c>
      <c r="K11"/>
    </row>
    <row r="12" spans="1:11" ht="15">
      <c r="A12" s="107">
        <f t="shared" si="0"/>
        <v>5</v>
      </c>
      <c r="B12" s="92" t="s">
        <v>120</v>
      </c>
      <c r="C12" s="94"/>
      <c r="D12" s="132">
        <v>283</v>
      </c>
      <c r="E12" s="133">
        <v>372</v>
      </c>
      <c r="F12" s="134">
        <v>2</v>
      </c>
      <c r="G12" s="133">
        <v>55</v>
      </c>
      <c r="H12" s="165">
        <v>140</v>
      </c>
      <c r="I12" s="162">
        <v>80</v>
      </c>
      <c r="J12" s="79">
        <f aca="true" t="shared" si="1" ref="J12:J21">SUM(D12:I12)</f>
        <v>932</v>
      </c>
      <c r="K12"/>
    </row>
    <row r="13" spans="1:11" ht="15">
      <c r="A13" s="107">
        <f t="shared" si="0"/>
        <v>6</v>
      </c>
      <c r="B13" s="92" t="s">
        <v>121</v>
      </c>
      <c r="C13" s="94"/>
      <c r="D13" s="132">
        <v>273</v>
      </c>
      <c r="E13" s="133">
        <v>367</v>
      </c>
      <c r="F13" s="134">
        <v>3</v>
      </c>
      <c r="G13" s="133">
        <v>49</v>
      </c>
      <c r="H13" s="165">
        <v>140</v>
      </c>
      <c r="I13" s="162">
        <v>80</v>
      </c>
      <c r="J13" s="79">
        <f t="shared" si="1"/>
        <v>912</v>
      </c>
      <c r="K13"/>
    </row>
    <row r="14" spans="1:11" ht="15">
      <c r="A14" s="107">
        <f t="shared" si="0"/>
        <v>7</v>
      </c>
      <c r="B14" s="92" t="s">
        <v>125</v>
      </c>
      <c r="C14" s="94"/>
      <c r="D14" s="132">
        <v>227</v>
      </c>
      <c r="E14" s="133">
        <v>341</v>
      </c>
      <c r="F14" s="134">
        <v>2</v>
      </c>
      <c r="G14" s="133">
        <v>35</v>
      </c>
      <c r="H14" s="165">
        <v>140</v>
      </c>
      <c r="I14" s="162">
        <v>80</v>
      </c>
      <c r="J14" s="79">
        <f t="shared" si="1"/>
        <v>825</v>
      </c>
      <c r="K14"/>
    </row>
    <row r="15" spans="1:11" ht="15">
      <c r="A15" s="107">
        <f t="shared" si="0"/>
        <v>8</v>
      </c>
      <c r="B15" s="92" t="s">
        <v>126</v>
      </c>
      <c r="C15" s="94"/>
      <c r="D15" s="132">
        <v>223</v>
      </c>
      <c r="E15" s="133">
        <v>316</v>
      </c>
      <c r="F15" s="134">
        <v>2</v>
      </c>
      <c r="G15" s="133">
        <v>38</v>
      </c>
      <c r="H15" s="165">
        <v>140</v>
      </c>
      <c r="I15" s="162">
        <v>80</v>
      </c>
      <c r="J15" s="79">
        <f t="shared" si="1"/>
        <v>799</v>
      </c>
      <c r="K15"/>
    </row>
    <row r="16" spans="1:11" ht="15">
      <c r="A16" s="107">
        <f t="shared" si="0"/>
        <v>9</v>
      </c>
      <c r="B16" s="92" t="s">
        <v>127</v>
      </c>
      <c r="C16" s="94"/>
      <c r="D16" s="132">
        <v>270</v>
      </c>
      <c r="E16" s="133">
        <v>289</v>
      </c>
      <c r="F16" s="134">
        <v>3</v>
      </c>
      <c r="G16" s="133">
        <v>45</v>
      </c>
      <c r="H16" s="165">
        <v>130</v>
      </c>
      <c r="I16" s="162">
        <v>80</v>
      </c>
      <c r="J16" s="79">
        <f t="shared" si="1"/>
        <v>817</v>
      </c>
      <c r="K16"/>
    </row>
    <row r="17" spans="1:11" ht="15">
      <c r="A17" s="107">
        <f t="shared" si="0"/>
        <v>10</v>
      </c>
      <c r="B17" s="92" t="s">
        <v>122</v>
      </c>
      <c r="C17" s="94"/>
      <c r="D17" s="132">
        <v>328</v>
      </c>
      <c r="E17" s="133">
        <v>285</v>
      </c>
      <c r="F17" s="134">
        <v>3</v>
      </c>
      <c r="G17" s="133">
        <v>64</v>
      </c>
      <c r="H17" s="165">
        <v>130</v>
      </c>
      <c r="I17" s="162">
        <v>80</v>
      </c>
      <c r="J17" s="79">
        <f t="shared" si="1"/>
        <v>890</v>
      </c>
      <c r="K17"/>
    </row>
    <row r="18" spans="1:11" ht="15">
      <c r="A18" s="107">
        <f t="shared" si="0"/>
        <v>11</v>
      </c>
      <c r="B18" s="92" t="s">
        <v>106</v>
      </c>
      <c r="C18" s="94"/>
      <c r="D18" s="132">
        <v>342</v>
      </c>
      <c r="E18" s="133">
        <v>298</v>
      </c>
      <c r="F18" s="134">
        <v>4</v>
      </c>
      <c r="G18" s="133">
        <v>72</v>
      </c>
      <c r="H18" s="165">
        <v>130</v>
      </c>
      <c r="I18" s="162">
        <v>80</v>
      </c>
      <c r="J18" s="79">
        <f t="shared" si="1"/>
        <v>926</v>
      </c>
      <c r="K18"/>
    </row>
    <row r="19" spans="1:11" ht="15">
      <c r="A19" s="107">
        <f t="shared" si="0"/>
        <v>12</v>
      </c>
      <c r="B19" s="92" t="s">
        <v>123</v>
      </c>
      <c r="C19" s="94"/>
      <c r="D19" s="132">
        <v>316</v>
      </c>
      <c r="E19" s="133">
        <v>301</v>
      </c>
      <c r="F19" s="134">
        <v>4</v>
      </c>
      <c r="G19" s="133">
        <v>62</v>
      </c>
      <c r="H19" s="165">
        <v>130</v>
      </c>
      <c r="I19" s="162">
        <v>80</v>
      </c>
      <c r="J19" s="79">
        <f t="shared" si="1"/>
        <v>893</v>
      </c>
      <c r="K19"/>
    </row>
    <row r="20" spans="1:11" ht="15">
      <c r="A20" s="107">
        <f t="shared" si="0"/>
        <v>13</v>
      </c>
      <c r="B20" s="92" t="s">
        <v>107</v>
      </c>
      <c r="C20" s="94"/>
      <c r="D20" s="132">
        <v>254</v>
      </c>
      <c r="E20" s="133">
        <v>294</v>
      </c>
      <c r="F20" s="134">
        <v>2</v>
      </c>
      <c r="G20" s="133">
        <v>39</v>
      </c>
      <c r="H20" s="165">
        <v>130</v>
      </c>
      <c r="I20" s="162">
        <v>80</v>
      </c>
      <c r="J20" s="79">
        <f t="shared" si="1"/>
        <v>799</v>
      </c>
      <c r="K20"/>
    </row>
    <row r="21" spans="1:11" ht="15">
      <c r="A21" s="107">
        <f t="shared" si="0"/>
        <v>14</v>
      </c>
      <c r="B21" s="92" t="s">
        <v>108</v>
      </c>
      <c r="C21" s="94"/>
      <c r="D21" s="132">
        <v>265</v>
      </c>
      <c r="E21" s="133">
        <v>355</v>
      </c>
      <c r="F21" s="134">
        <v>2</v>
      </c>
      <c r="G21" s="133">
        <v>52</v>
      </c>
      <c r="H21" s="165">
        <v>130</v>
      </c>
      <c r="I21" s="162">
        <v>80</v>
      </c>
      <c r="J21" s="79">
        <f t="shared" si="1"/>
        <v>884</v>
      </c>
      <c r="K21"/>
    </row>
    <row r="22" spans="1:11" ht="15.75" thickBot="1">
      <c r="A22" s="107">
        <f t="shared" si="0"/>
        <v>15</v>
      </c>
      <c r="B22" s="95" t="s">
        <v>124</v>
      </c>
      <c r="C22" s="96"/>
      <c r="D22" s="135">
        <v>286</v>
      </c>
      <c r="E22" s="136">
        <v>313</v>
      </c>
      <c r="F22" s="137">
        <v>2</v>
      </c>
      <c r="G22" s="136">
        <v>56</v>
      </c>
      <c r="H22" s="137">
        <v>130</v>
      </c>
      <c r="I22" s="163">
        <v>80</v>
      </c>
      <c r="J22" s="82">
        <f>SUM(D22:I22)</f>
        <v>867</v>
      </c>
      <c r="K22"/>
    </row>
    <row r="23" spans="1:11" ht="15.75" thickBot="1">
      <c r="A23" s="107">
        <f t="shared" si="0"/>
        <v>16</v>
      </c>
      <c r="B23" s="58"/>
      <c r="C23" s="57"/>
      <c r="D23" s="166"/>
      <c r="E23" s="166"/>
      <c r="F23" s="166"/>
      <c r="G23" s="133"/>
      <c r="H23" s="165"/>
      <c r="I23" s="82"/>
      <c r="J23" s="84"/>
      <c r="K23"/>
    </row>
    <row r="24" spans="1:11" ht="15.75" thickBot="1">
      <c r="A24" s="107">
        <f t="shared" si="0"/>
        <v>17</v>
      </c>
      <c r="B24" s="62" t="s">
        <v>79</v>
      </c>
      <c r="C24" s="59"/>
      <c r="D24" s="167">
        <f aca="true" t="shared" si="2" ref="D24:J24">SUM(D11:D22)/12</f>
        <v>281</v>
      </c>
      <c r="E24" s="167">
        <f t="shared" si="2"/>
        <v>325.5833333333333</v>
      </c>
      <c r="F24" s="167">
        <f t="shared" si="2"/>
        <v>2.5833333333333335</v>
      </c>
      <c r="G24" s="167">
        <f t="shared" si="2"/>
        <v>52</v>
      </c>
      <c r="H24" s="167">
        <f>SUM(H11:H22)/12</f>
        <v>134.16666666666666</v>
      </c>
      <c r="I24" s="85">
        <f t="shared" si="2"/>
        <v>80</v>
      </c>
      <c r="J24" s="85">
        <f t="shared" si="2"/>
        <v>875.3333333333334</v>
      </c>
      <c r="K24"/>
    </row>
    <row r="25" spans="1:8" ht="12.75">
      <c r="A25" s="107">
        <f t="shared" si="0"/>
        <v>18</v>
      </c>
      <c r="D25" s="168"/>
      <c r="E25" s="168"/>
      <c r="F25" s="168"/>
      <c r="G25" s="168"/>
      <c r="H25" s="168"/>
    </row>
    <row r="26" spans="1:9" ht="18.75">
      <c r="A26" s="107">
        <f t="shared" si="0"/>
        <v>19</v>
      </c>
      <c r="B26" s="22"/>
      <c r="C26" s="23"/>
      <c r="D26" s="342" t="s">
        <v>342</v>
      </c>
      <c r="E26" s="343"/>
      <c r="F26" s="343"/>
      <c r="G26" s="343"/>
      <c r="H26" s="344"/>
      <c r="I26" s="23"/>
    </row>
    <row r="27" spans="1:8" ht="13.5" thickBot="1">
      <c r="A27" s="107">
        <f t="shared" si="0"/>
        <v>20</v>
      </c>
      <c r="D27" s="168"/>
      <c r="E27" s="168"/>
      <c r="F27" s="168"/>
      <c r="G27" s="168"/>
      <c r="H27" s="168"/>
    </row>
    <row r="28" spans="1:10" ht="12.75">
      <c r="A28" s="107">
        <f t="shared" si="0"/>
        <v>21</v>
      </c>
      <c r="B28" s="50"/>
      <c r="C28" s="51"/>
      <c r="D28" s="169" t="s">
        <v>35</v>
      </c>
      <c r="E28" s="130" t="s">
        <v>57</v>
      </c>
      <c r="F28" s="130" t="s">
        <v>58</v>
      </c>
      <c r="G28" s="164" t="s">
        <v>59</v>
      </c>
      <c r="H28" s="169" t="s">
        <v>99</v>
      </c>
      <c r="I28" s="90" t="s">
        <v>0</v>
      </c>
      <c r="J28" s="77" t="s">
        <v>235</v>
      </c>
    </row>
    <row r="29" spans="1:10" ht="12.75">
      <c r="A29" s="107">
        <f t="shared" si="0"/>
        <v>22</v>
      </c>
      <c r="B29" s="53"/>
      <c r="C29" s="54"/>
      <c r="D29" s="133" t="s">
        <v>235</v>
      </c>
      <c r="E29" s="133" t="s">
        <v>235</v>
      </c>
      <c r="F29" s="133" t="s">
        <v>60</v>
      </c>
      <c r="G29" s="165" t="s">
        <v>61</v>
      </c>
      <c r="H29" s="170" t="s">
        <v>100</v>
      </c>
      <c r="I29" s="81" t="s">
        <v>1</v>
      </c>
      <c r="J29" s="81" t="s">
        <v>72</v>
      </c>
    </row>
    <row r="30" spans="1:10" ht="13.5" thickBot="1">
      <c r="A30" s="107">
        <f t="shared" si="0"/>
        <v>23</v>
      </c>
      <c r="B30" s="55"/>
      <c r="C30" s="56"/>
      <c r="D30" s="136" t="s">
        <v>62</v>
      </c>
      <c r="E30" s="133" t="s">
        <v>62</v>
      </c>
      <c r="F30" s="136" t="s">
        <v>62</v>
      </c>
      <c r="G30" s="171" t="s">
        <v>62</v>
      </c>
      <c r="H30" s="172" t="s">
        <v>62</v>
      </c>
      <c r="I30" s="91" t="s">
        <v>62</v>
      </c>
      <c r="J30" s="91" t="s">
        <v>73</v>
      </c>
    </row>
    <row r="31" spans="1:12" ht="12.75">
      <c r="A31" s="107">
        <f t="shared" si="0"/>
        <v>24</v>
      </c>
      <c r="B31" s="92" t="s">
        <v>109</v>
      </c>
      <c r="C31" s="93"/>
      <c r="D31" s="77">
        <v>302</v>
      </c>
      <c r="E31" s="77">
        <v>329.8</v>
      </c>
      <c r="F31" s="222">
        <v>2</v>
      </c>
      <c r="G31" s="77">
        <v>58</v>
      </c>
      <c r="H31" s="78">
        <v>260</v>
      </c>
      <c r="I31" s="77">
        <v>80</v>
      </c>
      <c r="J31" s="223">
        <f aca="true" t="shared" si="3" ref="J31:J42">SUM(D31:I31)</f>
        <v>1031.8</v>
      </c>
      <c r="K31" s="57"/>
      <c r="L31" s="64"/>
    </row>
    <row r="32" spans="1:11" ht="12.75">
      <c r="A32" s="107">
        <f t="shared" si="0"/>
        <v>25</v>
      </c>
      <c r="B32" s="92" t="s">
        <v>120</v>
      </c>
      <c r="C32" s="94"/>
      <c r="D32" s="79">
        <v>290.8</v>
      </c>
      <c r="E32" s="79">
        <v>332.9</v>
      </c>
      <c r="F32" s="224">
        <v>2</v>
      </c>
      <c r="G32" s="79">
        <v>54.7</v>
      </c>
      <c r="H32" s="80">
        <v>260</v>
      </c>
      <c r="I32" s="79">
        <v>80</v>
      </c>
      <c r="J32" s="225">
        <f t="shared" si="3"/>
        <v>1020.4000000000001</v>
      </c>
      <c r="K32" s="57"/>
    </row>
    <row r="33" spans="1:11" ht="12.75">
      <c r="A33" s="107">
        <f t="shared" si="0"/>
        <v>26</v>
      </c>
      <c r="B33" s="92" t="s">
        <v>121</v>
      </c>
      <c r="C33" s="94"/>
      <c r="D33" s="79">
        <v>272.1</v>
      </c>
      <c r="E33" s="79">
        <v>329.4</v>
      </c>
      <c r="F33" s="224">
        <v>2</v>
      </c>
      <c r="G33" s="79">
        <v>48.3</v>
      </c>
      <c r="H33" s="80">
        <v>260</v>
      </c>
      <c r="I33" s="79">
        <v>80</v>
      </c>
      <c r="J33" s="225">
        <f t="shared" si="3"/>
        <v>991.8</v>
      </c>
      <c r="K33" s="57"/>
    </row>
    <row r="34" spans="1:11" ht="12.75">
      <c r="A34" s="107">
        <f t="shared" si="0"/>
        <v>27</v>
      </c>
      <c r="B34" s="92" t="s">
        <v>125</v>
      </c>
      <c r="C34" s="94"/>
      <c r="D34" s="79">
        <v>237.5</v>
      </c>
      <c r="E34" s="79">
        <v>286.9</v>
      </c>
      <c r="F34" s="224">
        <v>3</v>
      </c>
      <c r="G34" s="79">
        <v>39.3</v>
      </c>
      <c r="H34" s="80">
        <v>260</v>
      </c>
      <c r="I34" s="79">
        <v>80</v>
      </c>
      <c r="J34" s="225">
        <f t="shared" si="3"/>
        <v>906.6999999999999</v>
      </c>
      <c r="K34" s="57"/>
    </row>
    <row r="35" spans="1:11" ht="12.75">
      <c r="A35" s="107">
        <f t="shared" si="0"/>
        <v>28</v>
      </c>
      <c r="B35" s="92" t="s">
        <v>126</v>
      </c>
      <c r="C35" s="94"/>
      <c r="D35" s="79">
        <v>253.5</v>
      </c>
      <c r="E35" s="79">
        <v>267.6</v>
      </c>
      <c r="F35" s="224">
        <v>3</v>
      </c>
      <c r="G35" s="79">
        <v>40.7</v>
      </c>
      <c r="H35" s="80">
        <v>260</v>
      </c>
      <c r="I35" s="79">
        <v>80</v>
      </c>
      <c r="J35" s="225">
        <f t="shared" si="3"/>
        <v>904.8000000000001</v>
      </c>
      <c r="K35" s="57"/>
    </row>
    <row r="36" spans="1:11" ht="12.75">
      <c r="A36" s="107">
        <f t="shared" si="0"/>
        <v>29</v>
      </c>
      <c r="B36" s="92" t="s">
        <v>127</v>
      </c>
      <c r="C36" s="94"/>
      <c r="D36" s="79">
        <v>283.3</v>
      </c>
      <c r="E36" s="79">
        <v>267.4</v>
      </c>
      <c r="F36" s="224">
        <v>3</v>
      </c>
      <c r="G36" s="79">
        <v>51.7</v>
      </c>
      <c r="H36" s="80">
        <v>260</v>
      </c>
      <c r="I36" s="79">
        <v>80</v>
      </c>
      <c r="J36" s="225">
        <f t="shared" si="3"/>
        <v>945.4000000000001</v>
      </c>
      <c r="K36" s="57"/>
    </row>
    <row r="37" spans="1:11" ht="12.75">
      <c r="A37" s="107">
        <f t="shared" si="0"/>
        <v>30</v>
      </c>
      <c r="B37" s="92" t="s">
        <v>122</v>
      </c>
      <c r="C37" s="94"/>
      <c r="D37" s="79">
        <v>339</v>
      </c>
      <c r="E37" s="79">
        <v>290.3</v>
      </c>
      <c r="F37" s="224">
        <v>4</v>
      </c>
      <c r="G37" s="79">
        <v>64</v>
      </c>
      <c r="H37" s="80">
        <v>260</v>
      </c>
      <c r="I37" s="79">
        <v>80</v>
      </c>
      <c r="J37" s="225">
        <f t="shared" si="3"/>
        <v>1037.3</v>
      </c>
      <c r="K37" s="57"/>
    </row>
    <row r="38" spans="1:11" ht="12.75">
      <c r="A38" s="107">
        <f t="shared" si="0"/>
        <v>31</v>
      </c>
      <c r="B38" s="92" t="s">
        <v>106</v>
      </c>
      <c r="C38" s="94"/>
      <c r="D38" s="79">
        <v>328.3</v>
      </c>
      <c r="E38" s="79">
        <v>289.4</v>
      </c>
      <c r="F38" s="224">
        <v>4</v>
      </c>
      <c r="G38" s="79">
        <v>62.5</v>
      </c>
      <c r="H38" s="80">
        <v>260</v>
      </c>
      <c r="I38" s="79">
        <v>80</v>
      </c>
      <c r="J38" s="225">
        <f t="shared" si="3"/>
        <v>1024.2</v>
      </c>
      <c r="K38" s="57"/>
    </row>
    <row r="39" spans="1:11" ht="12.75">
      <c r="A39" s="107">
        <f t="shared" si="0"/>
        <v>32</v>
      </c>
      <c r="B39" s="92" t="s">
        <v>123</v>
      </c>
      <c r="C39" s="94"/>
      <c r="D39" s="79">
        <v>311.5</v>
      </c>
      <c r="E39" s="79">
        <v>282.9</v>
      </c>
      <c r="F39" s="224">
        <v>4</v>
      </c>
      <c r="G39" s="79">
        <v>61</v>
      </c>
      <c r="H39" s="80">
        <v>260</v>
      </c>
      <c r="I39" s="79">
        <v>80</v>
      </c>
      <c r="J39" s="225">
        <f t="shared" si="3"/>
        <v>999.4</v>
      </c>
      <c r="K39" s="57"/>
    </row>
    <row r="40" spans="1:11" ht="12.75">
      <c r="A40" s="107">
        <f t="shared" si="0"/>
        <v>33</v>
      </c>
      <c r="B40" s="92" t="s">
        <v>107</v>
      </c>
      <c r="C40" s="94"/>
      <c r="D40" s="79">
        <v>250.9</v>
      </c>
      <c r="E40" s="79">
        <v>293.3</v>
      </c>
      <c r="F40" s="224">
        <v>3</v>
      </c>
      <c r="G40" s="79">
        <v>39</v>
      </c>
      <c r="H40" s="80">
        <v>260</v>
      </c>
      <c r="I40" s="79">
        <v>80</v>
      </c>
      <c r="J40" s="225">
        <f t="shared" si="3"/>
        <v>926.2</v>
      </c>
      <c r="K40" s="57"/>
    </row>
    <row r="41" spans="1:11" ht="12.75">
      <c r="A41" s="107">
        <f t="shared" si="0"/>
        <v>34</v>
      </c>
      <c r="B41" s="92" t="s">
        <v>108</v>
      </c>
      <c r="C41" s="94"/>
      <c r="D41" s="79">
        <v>278.4</v>
      </c>
      <c r="E41" s="79">
        <v>318.2</v>
      </c>
      <c r="F41" s="224">
        <v>2</v>
      </c>
      <c r="G41" s="79">
        <v>52.5</v>
      </c>
      <c r="H41" s="80">
        <v>260</v>
      </c>
      <c r="I41" s="79">
        <v>80</v>
      </c>
      <c r="J41" s="225">
        <f t="shared" si="3"/>
        <v>991.0999999999999</v>
      </c>
      <c r="K41" s="57"/>
    </row>
    <row r="42" spans="1:11" ht="13.5" thickBot="1">
      <c r="A42" s="107">
        <f t="shared" si="0"/>
        <v>35</v>
      </c>
      <c r="B42" s="95" t="s">
        <v>124</v>
      </c>
      <c r="C42" s="96"/>
      <c r="D42" s="82">
        <v>302.9</v>
      </c>
      <c r="E42" s="82">
        <v>334.6</v>
      </c>
      <c r="F42" s="226">
        <v>2</v>
      </c>
      <c r="G42" s="82">
        <v>58.5</v>
      </c>
      <c r="H42" s="226">
        <v>260</v>
      </c>
      <c r="I42" s="82">
        <v>80</v>
      </c>
      <c r="J42" s="227">
        <f t="shared" si="3"/>
        <v>1038</v>
      </c>
      <c r="K42" s="57"/>
    </row>
    <row r="43" spans="1:11" ht="13.5" thickBot="1">
      <c r="A43" s="107">
        <f t="shared" si="0"/>
        <v>36</v>
      </c>
      <c r="B43" s="228"/>
      <c r="C43" s="94"/>
      <c r="D43" s="84"/>
      <c r="E43" s="84"/>
      <c r="F43" s="84"/>
      <c r="G43" s="79"/>
      <c r="H43" s="80"/>
      <c r="I43" s="82"/>
      <c r="J43" s="229"/>
      <c r="K43" s="57"/>
    </row>
    <row r="44" spans="1:11" ht="13.5" thickBot="1">
      <c r="A44" s="107">
        <f t="shared" si="0"/>
        <v>37</v>
      </c>
      <c r="B44" s="230" t="s">
        <v>79</v>
      </c>
      <c r="C44" s="231"/>
      <c r="D44" s="85">
        <f aca="true" t="shared" si="4" ref="D44:J44">SUM(D31:D42)/12</f>
        <v>287.5166666666667</v>
      </c>
      <c r="E44" s="85">
        <f t="shared" si="4"/>
        <v>301.8916666666667</v>
      </c>
      <c r="F44" s="85">
        <f t="shared" si="4"/>
        <v>2.8333333333333335</v>
      </c>
      <c r="G44" s="85">
        <f t="shared" si="4"/>
        <v>52.51666666666667</v>
      </c>
      <c r="H44" s="85">
        <f t="shared" si="4"/>
        <v>260</v>
      </c>
      <c r="I44" s="85">
        <f t="shared" si="4"/>
        <v>80</v>
      </c>
      <c r="J44" s="85">
        <f t="shared" si="4"/>
        <v>984.7583333333333</v>
      </c>
      <c r="K44" s="174"/>
    </row>
    <row r="45" ht="12.75">
      <c r="A45" s="107">
        <f t="shared" si="0"/>
        <v>38</v>
      </c>
    </row>
    <row r="46" spans="1:9" ht="12.75">
      <c r="A46" s="107">
        <f t="shared" si="0"/>
        <v>39</v>
      </c>
      <c r="B46" s="66" t="s">
        <v>312</v>
      </c>
      <c r="C46" s="64"/>
      <c r="D46" s="60"/>
      <c r="E46" s="60"/>
      <c r="F46" s="60"/>
      <c r="G46" s="126"/>
      <c r="H46" s="126"/>
      <c r="I46" s="61"/>
    </row>
    <row r="47" spans="1:7" ht="12.75">
      <c r="A47" s="107">
        <f t="shared" si="0"/>
        <v>40</v>
      </c>
      <c r="B47" s="66" t="s">
        <v>313</v>
      </c>
      <c r="C47" s="64"/>
      <c r="G47" s="126"/>
    </row>
    <row r="48" spans="1:5" ht="12.75">
      <c r="A48" s="107"/>
      <c r="B48" s="66"/>
      <c r="D48" s="63"/>
      <c r="E48" s="63"/>
    </row>
    <row r="49" spans="1:7" ht="12.75">
      <c r="A49" s="107"/>
      <c r="B49" s="97"/>
      <c r="C49" s="98"/>
      <c r="D49" s="99"/>
      <c r="E49" s="99"/>
      <c r="F49" s="98"/>
      <c r="G49" s="98"/>
    </row>
    <row r="50" spans="1:5" ht="12.75">
      <c r="A50" s="107"/>
      <c r="B50" s="63"/>
      <c r="C50" s="63"/>
      <c r="D50" s="63"/>
      <c r="E50" s="63"/>
    </row>
    <row r="51" spans="1:5" ht="12.75">
      <c r="A51" s="107"/>
      <c r="B51" s="63"/>
      <c r="C51" s="63"/>
      <c r="D51" s="63"/>
      <c r="E51" s="63"/>
    </row>
    <row r="52" spans="2:5" ht="12.75">
      <c r="B52" s="63"/>
      <c r="C52" s="63"/>
      <c r="D52" s="63"/>
      <c r="E52" s="63"/>
    </row>
    <row r="53" spans="2:5" ht="12.75">
      <c r="B53" s="63"/>
      <c r="C53" s="63"/>
      <c r="D53" s="63"/>
      <c r="E53" s="63"/>
    </row>
    <row r="54" spans="2:5" ht="12.75">
      <c r="B54" s="63"/>
      <c r="C54" s="63"/>
      <c r="D54" s="63"/>
      <c r="E54" s="63"/>
    </row>
    <row r="55" spans="2:5" ht="12.75">
      <c r="B55" s="63"/>
      <c r="C55" s="63"/>
      <c r="D55" s="63"/>
      <c r="E55" s="63"/>
    </row>
    <row r="56" spans="2:5" ht="12.75">
      <c r="B56" s="63"/>
      <c r="C56" s="63"/>
      <c r="D56" s="63"/>
      <c r="E56" s="63"/>
    </row>
    <row r="57" spans="2:5" ht="12.75">
      <c r="B57" s="63"/>
      <c r="C57" s="63"/>
      <c r="D57" s="63"/>
      <c r="E57" s="63"/>
    </row>
    <row r="58" spans="2:5" ht="12.75">
      <c r="B58" s="63"/>
      <c r="C58" s="63"/>
      <c r="D58" s="63"/>
      <c r="E58" s="63"/>
    </row>
    <row r="59" spans="2:5" ht="12.75">
      <c r="B59" s="65"/>
      <c r="C59" s="65"/>
      <c r="D59" s="65"/>
      <c r="E59" s="65"/>
    </row>
    <row r="114" spans="8:9" ht="12.75">
      <c r="H114" s="52" t="s">
        <v>134</v>
      </c>
      <c r="I114" s="52">
        <f>+K183</f>
        <v>0</v>
      </c>
    </row>
    <row r="115" ht="12.75">
      <c r="I115" s="52">
        <f>+I114</f>
        <v>0</v>
      </c>
    </row>
    <row r="128" spans="9:10" ht="12.75">
      <c r="I128" s="52">
        <f>+I6</f>
        <v>0</v>
      </c>
      <c r="J128" s="52">
        <f>+J6</f>
        <v>0</v>
      </c>
    </row>
    <row r="206" spans="9:10" ht="12.75">
      <c r="I206" s="52">
        <f>I6</f>
        <v>0</v>
      </c>
      <c r="J206" s="52">
        <f>+J6</f>
        <v>0</v>
      </c>
    </row>
  </sheetData>
  <sheetProtection/>
  <mergeCells count="4">
    <mergeCell ref="D6:H6"/>
    <mergeCell ref="D26:H26"/>
    <mergeCell ref="A3:J3"/>
    <mergeCell ref="A4:J4"/>
  </mergeCells>
  <printOptions horizontalCentered="1"/>
  <pageMargins left="0.5" right="0.5" top="1" bottom="1" header="0.5" footer="0.5"/>
  <pageSetup cellComments="asDisplayed" fitToHeight="1" fitToWidth="1" horizontalDpi="600" verticalDpi="600" orientation="portrait" scale="81" r:id="rId3"/>
  <headerFooter alignWithMargins="0">
    <oddHeader>&amp;C&amp;"Arial MT,Bold"ESTIMATED SERVICE YEAR ATRR
BLACK HILLS POWER, INC.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Bockelmann, Sarah</cp:lastModifiedBy>
  <cp:lastPrinted>2016-09-27T20:13:09Z</cp:lastPrinted>
  <dcterms:created xsi:type="dcterms:W3CDTF">1997-04-03T19:40:56Z</dcterms:created>
  <dcterms:modified xsi:type="dcterms:W3CDTF">2016-09-27T20:13:50Z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