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20520" windowHeight="3795" tabRatio="923" activeTab="0"/>
  </bookViews>
  <sheets>
    <sheet name="CU AC Rate Design" sheetId="1" r:id="rId1"/>
    <sheet name="Estimate" sheetId="2" r:id="rId2"/>
    <sheet name="BHP WP2 Capital Additions" sheetId="3" r:id="rId3"/>
    <sheet name="BHP WP3 Capital Additions" sheetId="4" r:id="rId4"/>
    <sheet name="BHP WP5 Depreciation Rates" sheetId="5" r:id="rId5"/>
    <sheet name="WP6 Rate Base" sheetId="6" r:id="rId6"/>
    <sheet name="WP7 CU AC LOADS" sheetId="7" r:id="rId7"/>
  </sheets>
  <definedNames>
    <definedName name="_xlnm.Print_Area" localSheetId="2">'BHP WP2 Capital Additions'!$A$1:$G$56</definedName>
    <definedName name="_xlnm.Print_Area" localSheetId="3">'BHP WP3 Capital Additions'!$A$1:$G$30</definedName>
    <definedName name="_xlnm.Print_Area" localSheetId="4">'BHP WP5 Depreciation Rates'!$A$7:$K$45</definedName>
    <definedName name="_xlnm.Print_Area" localSheetId="0">'CU AC Rate Design'!$A$1:$H$36</definedName>
    <definedName name="_xlnm.Print_Area" localSheetId="1">'Estimate'!$A$1:$K$246</definedName>
    <definedName name="_xlnm.Print_Area" localSheetId="5">'WP6 Rate Base'!$A$4:$R$65</definedName>
    <definedName name="_xlnm.Print_Area" localSheetId="6">'WP7 CU AC LOADS'!$A$1:$J$47</definedName>
    <definedName name="_xlnm.Print_Titles" localSheetId="5">'WP6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Updated with Basin's RR dated May 20, 2011.  </t>
        </r>
      </text>
    </comment>
  </commentList>
</comments>
</file>

<file path=xl/comments2.xml><?xml version="1.0" encoding="utf-8"?>
<comments xmlns="http://schemas.openxmlformats.org/spreadsheetml/2006/main">
  <authors>
    <author>Reiter, Jill</author>
  </authors>
  <commentList>
    <comment ref="E87" authorId="0">
      <text>
        <r>
          <rPr>
            <b/>
            <sz val="9"/>
            <rFont val="Tahoma"/>
            <family val="2"/>
          </rPr>
          <t>Reiter, Jill:</t>
        </r>
        <r>
          <rPr>
            <sz val="9"/>
            <rFont val="Tahoma"/>
            <family val="2"/>
          </rPr>
          <t xml:space="preserve">
Account 930.1 less safety advertising</t>
        </r>
      </text>
    </comment>
  </commentList>
</comments>
</file>

<file path=xl/comments6.xml><?xml version="1.0" encoding="utf-8"?>
<comments xmlns="http://schemas.openxmlformats.org/spreadsheetml/2006/main">
  <authors>
    <author>Chris Kilpatrick</author>
  </authors>
  <commentList>
    <comment ref="F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E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</commentList>
</comments>
</file>

<file path=xl/comments7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 - did not use actual usage amount</t>
        </r>
      </text>
    </comment>
  </commentList>
</comments>
</file>

<file path=xl/sharedStrings.xml><?xml version="1.0" encoding="utf-8"?>
<sst xmlns="http://schemas.openxmlformats.org/spreadsheetml/2006/main" count="607" uniqueCount="378">
  <si>
    <t>112.24.c</t>
  </si>
  <si>
    <t>CHEYENNE</t>
  </si>
  <si>
    <t>LIGHT CUS</t>
  </si>
  <si>
    <t>Depreciation</t>
  </si>
  <si>
    <t>Expense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</si>
  <si>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</si>
  <si>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</si>
  <si>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</si>
  <si>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</si>
  <si>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</si>
  <si>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</si>
  <si>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</si>
  <si>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</si>
  <si>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Total General Plant</t>
  </si>
  <si>
    <t>Tools, Shop and Garage Equipment</t>
  </si>
  <si>
    <t>Proprietary Capital</t>
  </si>
  <si>
    <t>13 month average</t>
  </si>
  <si>
    <t>Monthly Additions to the CUS System (over $1,000,000)</t>
  </si>
  <si>
    <t>(Allocation / $)</t>
  </si>
  <si>
    <t>FERC Acct 118/121-1800</t>
  </si>
  <si>
    <t>FERC Acct 119/122-1100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</si>
  <si>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</si>
  <si>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</si>
  <si>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</si>
  <si>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</si>
  <si>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</si>
  <si>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</si>
  <si>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</si>
  <si>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</si>
  <si>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</si>
  <si>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</si>
  <si>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</si>
  <si>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</si>
  <si>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</si>
  <si>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</si>
  <si>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</si>
  <si>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>Transmission Plant Depreciation Rate (WP 5 line 11)</t>
  </si>
  <si>
    <t>Average Balance</t>
  </si>
  <si>
    <t>GROSS PLANT IN SERVICE (101 &amp; 106)</t>
  </si>
  <si>
    <t>ACCUMULATED DEPRECIATION (108)</t>
  </si>
  <si>
    <t>Amount Placed</t>
  </si>
  <si>
    <t>Depreciation rates, PBOP, ROE, and Capital Structure are fixed amounts that can be changed only through a Section 205 filing.</t>
  </si>
  <si>
    <t xml:space="preserve">    Less FERC Annual Fees  (Note D)</t>
  </si>
  <si>
    <t xml:space="preserve">    Plus Trans Related Reg. Comm.  Exp. (Note E)   (Workpaper 1 line 11)</t>
  </si>
  <si>
    <t xml:space="preserve">    Less: EPRI &amp; Reg. Comm. Exp. &amp; Non-safety  Ad. (Note E)</t>
  </si>
  <si>
    <t xml:space="preserve">    Less: Account 565 and 561</t>
  </si>
  <si>
    <t>BHP</t>
  </si>
  <si>
    <t>Allocation of the Revenue Credits to the Common Use AC Facilities:</t>
  </si>
  <si>
    <t>ADJUSTMENTS TO RATE BASE       (Note A)</t>
  </si>
  <si>
    <t>214.x.d  (Note B)</t>
  </si>
  <si>
    <t>See Note H for the True-Up calculation.</t>
  </si>
  <si>
    <t>205.46.g</t>
  </si>
  <si>
    <t>111.57.c</t>
  </si>
  <si>
    <t>263.i</t>
  </si>
  <si>
    <t>263.23i</t>
  </si>
  <si>
    <t>Cash Working Capital assigned to transmission is one-eighth of O&amp;M allocated to transmission at line 47,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</si>
  <si>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</si>
  <si>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</si>
  <si>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</si>
  <si>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</si>
  <si>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</si>
  <si>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</si>
  <si>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</si>
  <si>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</si>
  <si>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</si>
  <si>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</si>
  <si>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</si>
  <si>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</si>
  <si>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</si>
  <si>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</si>
  <si>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</si>
  <si>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</si>
  <si>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</si>
  <si>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</si>
  <si>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</si>
  <si>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</si>
  <si>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</si>
  <si>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</si>
  <si>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</si>
  <si>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</si>
  <si>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</si>
  <si>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</si>
  <si>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</si>
  <si>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</si>
  <si>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</si>
  <si>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</si>
  <si>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>Asset Placed</t>
  </si>
  <si>
    <t>in Service</t>
  </si>
  <si>
    <t>(Col A * Depr Rate/12)</t>
  </si>
  <si>
    <t>Annual Transmission Depreciation Expense (line 19 x line 21)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</si>
  <si>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</si>
  <si>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</si>
  <si>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</si>
  <si>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</si>
  <si>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</si>
  <si>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</si>
  <si>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</si>
  <si>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</si>
  <si>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</si>
  <si>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TRANSMISSION PLANT INCLUDED IN JOINT TARIFF RATES</t>
  </si>
  <si>
    <t>ANNUAL AVERAGE MW</t>
  </si>
  <si>
    <t>Circular Reference</t>
  </si>
  <si>
    <t>207.58.g</t>
  </si>
  <si>
    <t>207.75.g</t>
  </si>
  <si>
    <t>219.20-24.c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</si>
  <si>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</si>
  <si>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</si>
  <si>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</si>
  <si>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</si>
  <si>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</si>
  <si>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</si>
  <si>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</si>
  <si>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</si>
  <si>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</si>
  <si>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</si>
  <si>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</si>
  <si>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</si>
  <si>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</si>
  <si>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</si>
  <si>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</si>
  <si>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</si>
  <si>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</si>
  <si>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</si>
  <si>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</si>
  <si>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</si>
  <si>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</si>
  <si>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</si>
  <si>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Monthly Incremental Addition to the CUS System</t>
  </si>
  <si>
    <t>Weighted Amount in Service</t>
  </si>
  <si>
    <t>(D) = (B) * (C)/12</t>
  </si>
  <si>
    <t>(i)</t>
  </si>
  <si>
    <t>August</t>
  </si>
  <si>
    <t>October</t>
  </si>
  <si>
    <t>November</t>
  </si>
  <si>
    <t>January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</si>
  <si>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</si>
  <si>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</si>
  <si>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</si>
  <si>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</si>
  <si>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</si>
  <si>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</si>
  <si>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</si>
  <si>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 (Company Records)</t>
  </si>
  <si>
    <t>(Note I)</t>
  </si>
  <si>
    <t>DEPRECIATION EXPENSE  (Note I)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</si>
  <si>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</si>
  <si>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</si>
  <si>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</si>
  <si>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</si>
  <si>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</si>
  <si>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</si>
  <si>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</si>
  <si>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</si>
  <si>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Weighting</t>
  </si>
  <si>
    <t>(A)</t>
  </si>
  <si>
    <t>(B)</t>
  </si>
  <si>
    <t>(C)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</si>
  <si>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</si>
  <si>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</si>
  <si>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</si>
  <si>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</si>
  <si>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</si>
  <si>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</si>
  <si>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</si>
  <si>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</si>
  <si>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</si>
  <si>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</si>
  <si>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</si>
  <si>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</si>
  <si>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</si>
  <si>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</si>
  <si>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</si>
  <si>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</si>
  <si>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</si>
  <si>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</si>
  <si>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</si>
  <si>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</si>
  <si>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</si>
  <si>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</si>
  <si>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</si>
  <si>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</si>
  <si>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</si>
  <si>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</si>
  <si>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</si>
  <si>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</si>
  <si>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</si>
  <si>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</si>
  <si>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</si>
  <si>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</si>
  <si>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</si>
  <si>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</si>
  <si>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</si>
  <si>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</si>
  <si>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</si>
  <si>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</si>
  <si>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</si>
  <si>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</si>
  <si>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</si>
  <si>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</si>
  <si>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</si>
  <si>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</si>
  <si>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</si>
  <si>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</si>
  <si>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</si>
  <si>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</si>
  <si>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</si>
  <si>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</si>
  <si>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</si>
  <si>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</si>
  <si>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</si>
  <si>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</si>
  <si>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</si>
  <si>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</si>
  <si>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</si>
  <si>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</si>
  <si>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</si>
  <si>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</si>
  <si>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</si>
  <si>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</si>
  <si>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</si>
  <si>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</si>
  <si>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</si>
  <si>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</si>
  <si>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</si>
  <si>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</si>
  <si>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</si>
  <si>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</si>
  <si>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</si>
  <si>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</si>
  <si>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</si>
  <si>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</si>
  <si>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</si>
  <si>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</si>
  <si>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</si>
  <si>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</si>
  <si>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</si>
  <si>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</si>
  <si>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</si>
  <si>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</si>
  <si>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</si>
  <si>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</si>
  <si>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</si>
  <si>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</si>
  <si>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</si>
  <si>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</si>
  <si>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</si>
  <si>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</si>
  <si>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</si>
  <si>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</si>
  <si>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</si>
  <si>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</si>
  <si>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</si>
  <si>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</si>
  <si>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</si>
  <si>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</si>
  <si>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</si>
  <si>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</si>
  <si>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</si>
  <si>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 xml:space="preserve">  Additional Transmission Depr</t>
  </si>
  <si>
    <t xml:space="preserve">  New Construction CUS Assets</t>
  </si>
  <si>
    <t xml:space="preserve">  Distribution </t>
  </si>
  <si>
    <t>WORKING CAPITAL  (Notes C &amp; H)</t>
  </si>
  <si>
    <t>214.x.d  (Notes B &amp; H)</t>
  </si>
  <si>
    <t>ADJUSTMENTS TO RATE BASE       (Notes A &amp; H)</t>
  </si>
  <si>
    <t>Annual Rate</t>
  </si>
  <si>
    <t>Black Hills Power, Inc.</t>
  </si>
  <si>
    <t>Cost of Service</t>
  </si>
  <si>
    <t>TOTAL</t>
  </si>
  <si>
    <t xml:space="preserve">  Long Term Debt</t>
  </si>
  <si>
    <t xml:space="preserve">  Preferred Stock </t>
  </si>
  <si>
    <t>(232.1.f - 278.1.f - 278.3.f)*.35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</si>
  <si>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</si>
  <si>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</si>
  <si>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</si>
  <si>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</si>
  <si>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</si>
  <si>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</si>
  <si>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</si>
  <si>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</si>
  <si>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</si>
  <si>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</si>
  <si>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</si>
  <si>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</si>
  <si>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</si>
  <si>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</si>
  <si>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</si>
  <si>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</si>
  <si>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</si>
  <si>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</si>
  <si>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</si>
  <si>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</si>
  <si>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</si>
  <si>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</si>
  <si>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</si>
  <si>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</si>
  <si>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</si>
  <si>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</si>
  <si>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</si>
  <si>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</si>
  <si>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</si>
  <si>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</si>
  <si>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</si>
  <si>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</si>
  <si>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</si>
  <si>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</si>
  <si>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</si>
  <si>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</si>
  <si>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</si>
  <si>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</si>
  <si>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</si>
  <si>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</si>
  <si>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</si>
  <si>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</si>
  <si>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</si>
  <si>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</si>
  <si>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</si>
  <si>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</si>
  <si>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</si>
  <si>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</si>
  <si>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</si>
  <si>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</si>
  <si>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</si>
  <si>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</si>
  <si>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</si>
  <si>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</si>
  <si>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</si>
  <si>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</si>
  <si>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</si>
  <si>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</si>
  <si>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</si>
  <si>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</si>
  <si>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113.62 b</t>
  </si>
  <si>
    <t>113.64 b</t>
  </si>
  <si>
    <t>113.57 b</t>
  </si>
  <si>
    <t>111.82 b</t>
  </si>
  <si>
    <t>113.63 b</t>
  </si>
  <si>
    <t>Note:  to address the circular reference</t>
  </si>
  <si>
    <t>copy and paste values from cells H22:H24</t>
  </si>
  <si>
    <t>to L22:L24 until the rates in H22:H24 no</t>
  </si>
  <si>
    <t>longer change.</t>
  </si>
  <si>
    <t>(232.1.f - 278.5.f)*.35</t>
  </si>
  <si>
    <t>Amount based on actual calendar year 2014</t>
  </si>
  <si>
    <t>Date</t>
  </si>
  <si>
    <t>12/31/13 &amp; 12/31/14 average balance</t>
  </si>
  <si>
    <t>* The above rates were developed in June 2006. See Note I.</t>
  </si>
  <si>
    <t>Rates*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</si>
  <si>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</si>
  <si>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</si>
  <si>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</si>
  <si>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r>
      <t>Company Records</t>
    </r>
    <r>
      <rPr>
        <vertAlign val="superscript"/>
        <sz val="12"/>
        <rFont val="Arial"/>
        <family val="2"/>
      </rPr>
      <t>1</t>
    </r>
  </si>
  <si>
    <t>WORKING CAPITAL EXCLUDING CASH WORKING CAPITAL  (Notes C &amp; H)</t>
  </si>
  <si>
    <t>WORKING CAPITAL EXCLUDING CWC</t>
  </si>
  <si>
    <r>
      <t>2014 Actual Load Data</t>
    </r>
    <r>
      <rPr>
        <b/>
        <vertAlign val="superscript"/>
        <sz val="12"/>
        <rFont val="Arial"/>
        <family val="2"/>
      </rPr>
      <t>1</t>
    </r>
  </si>
  <si>
    <t>1 - Transmission actual load from OATI</t>
  </si>
  <si>
    <t>2 - Transmission projected load from Transmission Planning</t>
  </si>
  <si>
    <r>
      <t>2016 Projected Load Data</t>
    </r>
    <r>
      <rPr>
        <b/>
        <vertAlign val="superscript"/>
        <sz val="12"/>
        <rFont val="Arial"/>
        <family val="2"/>
      </rPr>
      <t>2</t>
    </r>
  </si>
  <si>
    <t>Total 2015 CUS Transmission Assets Place in Service</t>
  </si>
  <si>
    <t xml:space="preserve">Jan-15 - See line 2 col 5 of Estimate </t>
  </si>
  <si>
    <t>Subtotal of 2015 Increase for Accumulated Depreciation</t>
  </si>
  <si>
    <t>2016 Weighted Average Plant in Service Additions for projects over $1,000,000</t>
  </si>
  <si>
    <t>FOR RATES EFFECTIVE JANUARY 1, 2016</t>
  </si>
  <si>
    <t>See Workpaper 4 (line 5 col 1)</t>
  </si>
  <si>
    <t>See Workpaper 5 (line 5)</t>
  </si>
  <si>
    <t>See Workpaper 4 (line 24 col 1)</t>
  </si>
  <si>
    <t>See Workpaper 5 (line 11)</t>
  </si>
  <si>
    <t>See Workpaper 4 (line 22 col 2)</t>
  </si>
  <si>
    <t>September 30, 2015</t>
  </si>
  <si>
    <t>Projected 2016 Load</t>
  </si>
  <si>
    <t>336.7.b</t>
  </si>
  <si>
    <t>336.10.b &amp; 336.1.d&amp;e</t>
  </si>
  <si>
    <t>263.3i, 263.4i, 263.12i</t>
  </si>
  <si>
    <t>Line 1 - EPRI Annual Membership Dues listed in Form 1 at 335.1.b, all Regulatory Commission Expenses itemized at 351.1.h, and non-safety</t>
  </si>
  <si>
    <t xml:space="preserve">   related advertising included in Account 930.1.</t>
  </si>
  <si>
    <t>See WP3 for additional information on 2016 Transmission Additions</t>
  </si>
  <si>
    <t>Date: September 30, 2015</t>
  </si>
  <si>
    <t>Transmission Accumulated Depreciation for 2015 &amp; 2016</t>
  </si>
  <si>
    <t>Osage-Lange 230kV line.</t>
  </si>
  <si>
    <t>Note:  The capital additions in June 2016 are for the Teckla-Osage 230kV line and in September 2016 are for the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</si>
</sst>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0.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&quot;$&quot;#,##0.00000"/>
    <numFmt numFmtId="177" formatCode="0.00000%"/>
    <numFmt numFmtId="178" formatCode="_(* #,##0.0000_);_(* \(#,##0.0000\);_(* &quot;-&quot;??_);_(@_)"/>
    <numFmt numFmtId="179" formatCode="_(* #,##0.00_);_(* \(#,##0.00\);_(* &quot;-&quot;_);_(@_)"/>
    <numFmt numFmtId="180" formatCode="0.0000000"/>
    <numFmt numFmtId="181" formatCode="_(&quot;$&quot;* #,##0.000_);_(&quot;$&quot;* \(#,##0.000\);_(&quot;$&quot;* &quot;-&quot;??_);_(@_)"/>
    <numFmt numFmtId="182" formatCode="_(* #,##0.0_);_(* \(#,##0.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&quot;$&quot;* #,##0.0000_);_(&quot;$&quot;* \(#,##0.0000\);_(&quot;$&quot;* &quot;-&quot;??_);_(@_)"/>
    <numFmt numFmtId="186" formatCode="_(&quot;$&quot;* #,##0.00000_);_(&quot;$&quot;* \(#,##0.00000\);_(&quot;$&quot;* &quot;-&quot;??_);_(@_)"/>
    <numFmt numFmtId="187" formatCode="[$-409]mmmm\-yy;@"/>
    <numFmt numFmtId="188" formatCode="mmm\-yyyy"/>
    <numFmt numFmtId="189" formatCode="0.0000%"/>
    <numFmt numFmtId="190" formatCode="#,##0.000000"/>
    <numFmt numFmtId="191" formatCode="[$-409]mmm\-yy;@"/>
    <numFmt numFmtId="192" formatCode="[$-409]mmmm\ d\,\ yyyy;@"/>
    <numFmt numFmtId="193" formatCode="&quot;$&quot;#,##0.0;[Red]\-&quot;$&quot;#,##0.0"/>
    <numFmt numFmtId="194" formatCode="00000"/>
    <numFmt numFmtId="195" formatCode="#,##0\ ;\(#,##0\);\-\ \ \ \ \ "/>
    <numFmt numFmtId="196" formatCode="#,##0\ ;\(#,##0\);\–\ \ \ \ \ "/>
    <numFmt numFmtId="197" formatCode="#,##0;\(#,##0\)"/>
    <numFmt numFmtId="198" formatCode="yyyymmdd"/>
    <numFmt numFmtId="199" formatCode="_([$€-2]* #,##0.00_);_([$€-2]* \(#,##0.00\);_([$€-2]* &quot;-&quot;??_)"/>
    <numFmt numFmtId="200" formatCode="_-* #,##0.0_-;\-* #,##0.0_-;_-* &quot;-&quot;??_-;_-@_-"/>
    <numFmt numFmtId="201" formatCode="#,##0.00&quot; $&quot;;\-#,##0.00&quot; $&quot;"/>
    <numFmt numFmtId="202" formatCode="000000000"/>
    <numFmt numFmtId="203" formatCode="#,##0.0_);\(#,##0.0\)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0.00_)"/>
    <numFmt numFmtId="207" formatCode="00"/>
    <numFmt numFmtId="208" formatCode="0_);\(0\)"/>
    <numFmt numFmtId="209" formatCode="000\-00\-0000"/>
    <numFmt numFmtId="210" formatCode="0.000000"/>
    <numFmt numFmtId="211" formatCode="0.000"/>
    <numFmt numFmtId="212" formatCode="#,##0.000"/>
    <numFmt numFmtId="213" formatCode="&quot;$&quot;#,##0.000"/>
    <numFmt numFmtId="214" formatCode="_(* #,##0.0000_);_(* \(#,##0.0000\);_(* &quot;-&quot;_);_(@_)"/>
    <numFmt numFmtId="215" formatCode="_(* #,##0.00000_);_(* \(#,##0.00000\);_(* &quot;-&quot;_);_(@_)"/>
  </numFmts>
  <fonts count="8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2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0"/>
      <color rgb="FF008000"/>
      <name val="Arial"/>
      <family val="2"/>
    </font>
    <font>
      <b/>
      <sz val="8"/>
      <name val="Arial M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173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7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38" fontId="44" fillId="0" borderId="0" applyBorder="0" applyAlignment="0">
      <protection/>
    </xf>
    <xf numFmtId="193" fontId="38" fillId="8" borderId="1">
      <alignment horizontal="center" vertical="center"/>
      <protection/>
    </xf>
    <xf numFmtId="194" fontId="7" fillId="0" borderId="2">
      <alignment horizontal="left"/>
      <protection/>
    </xf>
    <xf numFmtId="0" fontId="45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0" borderId="0" applyNumberFormat="0" applyFill="0" applyBorder="0" applyAlignment="0" applyProtection="0"/>
    <xf numFmtId="195" fontId="47" fillId="0" borderId="3" applyNumberFormat="0" applyFill="0" applyAlignment="0" applyProtection="0"/>
    <xf numFmtId="196" fontId="47" fillId="0" borderId="4" applyFill="0" applyAlignment="0" applyProtection="0"/>
    <xf numFmtId="38" fontId="7" fillId="0" borderId="0">
      <alignment horizontal="right"/>
      <protection/>
    </xf>
    <xf numFmtId="37" fontId="10" fillId="0" borderId="0" applyFill="0">
      <alignment horizontal="right"/>
      <protection/>
    </xf>
    <xf numFmtId="37" fontId="10" fillId="0" borderId="0">
      <alignment horizontal="right"/>
      <protection/>
    </xf>
    <xf numFmtId="0" fontId="10" fillId="0" borderId="0" applyFill="0">
      <alignment horizontal="center"/>
      <protection/>
    </xf>
    <xf numFmtId="37" fontId="10" fillId="0" borderId="5" applyFill="0">
      <alignment horizontal="right"/>
      <protection/>
    </xf>
    <xf numFmtId="37" fontId="10" fillId="0" borderId="0">
      <alignment horizontal="right"/>
      <protection/>
    </xf>
    <xf numFmtId="0" fontId="48" fillId="0" borderId="0" applyFill="0">
      <alignment vertical="top"/>
      <protection/>
    </xf>
    <xf numFmtId="0" fontId="49" fillId="0" borderId="0" applyFill="0">
      <alignment horizontal="left" vertical="top"/>
      <protection/>
    </xf>
    <xf numFmtId="37" fontId="10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48" fillId="0" borderId="0" applyFill="0">
      <alignment wrapText="1"/>
      <protection/>
    </xf>
    <xf numFmtId="0" fontId="49" fillId="0" borderId="0" applyFill="0">
      <alignment horizontal="left" vertical="top" wrapText="1"/>
      <protection/>
    </xf>
    <xf numFmtId="37" fontId="10" fillId="0" borderId="0" applyFill="0">
      <alignment horizontal="right"/>
      <protection/>
    </xf>
    <xf numFmtId="0" fontId="50" fillId="0" borderId="0" applyNumberFormat="0" applyFont="0" applyAlignment="0">
      <protection/>
    </xf>
    <xf numFmtId="0" fontId="51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0" fillId="0" borderId="0" applyFill="0">
      <alignment horizontal="right"/>
      <protection/>
    </xf>
    <xf numFmtId="0" fontId="50" fillId="0" borderId="0" applyNumberFormat="0" applyFont="0" applyAlignment="0">
      <protection/>
    </xf>
    <xf numFmtId="0" fontId="52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0" fillId="0" borderId="0" applyFill="0">
      <alignment horizontal="right"/>
      <protection/>
    </xf>
    <xf numFmtId="0" fontId="50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3" fillId="0" borderId="0" applyFill="0">
      <alignment horizontal="right"/>
      <protection/>
    </xf>
    <xf numFmtId="0" fontId="50" fillId="0" borderId="0" applyNumberFormat="0" applyFont="0" applyAlignment="0">
      <protection/>
    </xf>
    <xf numFmtId="0" fontId="54" fillId="0" borderId="0" applyFill="0">
      <alignment horizontal="center" vertical="center" wrapText="1"/>
      <protection/>
    </xf>
    <xf numFmtId="0" fontId="55" fillId="0" borderId="0" applyFill="0">
      <alignment horizontal="center" vertical="center" wrapText="1"/>
      <protection/>
    </xf>
    <xf numFmtId="37" fontId="53" fillId="0" borderId="0" applyFill="0">
      <alignment horizontal="right"/>
      <protection/>
    </xf>
    <xf numFmtId="0" fontId="50" fillId="0" borderId="0" applyNumberFormat="0" applyFont="0" applyAlignment="0">
      <protection/>
    </xf>
    <xf numFmtId="0" fontId="56" fillId="0" borderId="0">
      <alignment horizontal="center" wrapText="1"/>
      <protection/>
    </xf>
    <xf numFmtId="0" fontId="57" fillId="0" borderId="0" applyFill="0">
      <alignment horizontal="center" wrapText="1"/>
      <protection/>
    </xf>
    <xf numFmtId="0" fontId="22" fillId="20" borderId="7" applyNumberFormat="0" applyAlignment="0" applyProtection="0"/>
    <xf numFmtId="0" fontId="22" fillId="20" borderId="7" applyNumberFormat="0" applyAlignment="0" applyProtection="0"/>
    <xf numFmtId="0" fontId="22" fillId="20" borderId="7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7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9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8" fontId="7" fillId="0" borderId="2">
      <alignment horizontal="center"/>
      <protection/>
    </xf>
    <xf numFmtId="199" fontId="5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0" fontId="7" fillId="0" borderId="0">
      <alignment/>
      <protection locked="0"/>
    </xf>
    <xf numFmtId="0" fontId="60" fillId="0" borderId="0">
      <alignment/>
      <protection/>
    </xf>
    <xf numFmtId="0" fontId="8" fillId="0" borderId="0" applyNumberForma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38" fontId="10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4" fillId="0" borderId="0">
      <alignment horizontal="center"/>
      <protection/>
    </xf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1" fontId="7" fillId="0" borderId="0">
      <alignment/>
      <protection locked="0"/>
    </xf>
    <xf numFmtId="201" fontId="7" fillId="0" borderId="0">
      <alignment/>
      <protection locked="0"/>
    </xf>
    <xf numFmtId="0" fontId="6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29" fillId="7" borderId="7" applyNumberFormat="0" applyAlignment="0" applyProtection="0"/>
    <xf numFmtId="10" fontId="10" fillId="22" borderId="2" applyNumberFormat="0" applyBorder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0" fillId="20" borderId="0">
      <alignment/>
      <protection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202" fontId="7" fillId="0" borderId="2">
      <alignment horizontal="center"/>
      <protection/>
    </xf>
    <xf numFmtId="203" fontId="66" fillId="0" borderId="0">
      <alignment/>
      <protection/>
    </xf>
    <xf numFmtId="17" fontId="67" fillId="0" borderId="0">
      <alignment horizontal="center"/>
      <protection/>
    </xf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43" fontId="68" fillId="0" borderId="0" applyNumberFormat="0" applyFill="0" applyBorder="0" applyAlignment="0" applyProtection="0"/>
    <xf numFmtId="0" fontId="47" fillId="0" borderId="0" applyNumberFormat="0" applyFill="0" applyAlignment="0" applyProtection="0"/>
    <xf numFmtId="37" fontId="69" fillId="0" borderId="0">
      <alignment/>
      <protection/>
    </xf>
    <xf numFmtId="206" fontId="70" fillId="0" borderId="0">
      <alignment/>
      <protection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0" fontId="85" fillId="0" borderId="0">
      <alignment/>
      <protection/>
    </xf>
    <xf numFmtId="0" fontId="85" fillId="0" borderId="0">
      <alignment/>
      <protection/>
    </xf>
    <xf numFmtId="173" fontId="0" fillId="0" borderId="0" applyProtection="0">
      <alignment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4" fillId="0" borderId="0">
      <alignment/>
      <protection/>
    </xf>
    <xf numFmtId="173" fontId="0" fillId="0" borderId="0" applyProtection="0">
      <alignment/>
    </xf>
    <xf numFmtId="0" fontId="7" fillId="0" borderId="0">
      <alignment/>
      <protection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173" fontId="0" fillId="0" borderId="0" applyProtection="0">
      <alignment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207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2" fillId="20" borderId="17" applyNumberFormat="0" applyAlignment="0" applyProtection="0"/>
    <xf numFmtId="0" fontId="32" fillId="20" borderId="17" applyNumberFormat="0" applyAlignment="0" applyProtection="0"/>
    <xf numFmtId="0" fontId="32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3">
      <alignment horizontal="center"/>
      <protection/>
    </xf>
    <xf numFmtId="3" fontId="33" fillId="0" borderId="0" applyFont="0" applyFill="0" applyBorder="0" applyAlignment="0" applyProtection="0"/>
    <xf numFmtId="0" fontId="33" fillId="24" borderId="0" applyNumberFormat="0" applyFont="0" applyBorder="0" applyAlignment="0" applyProtection="0"/>
    <xf numFmtId="37" fontId="10" fillId="20" borderId="0" applyFill="0">
      <alignment horizontal="right"/>
      <protection/>
    </xf>
    <xf numFmtId="0" fontId="53" fillId="0" borderId="0">
      <alignment horizontal="left"/>
      <protection/>
    </xf>
    <xf numFmtId="0" fontId="10" fillId="0" borderId="0" applyFill="0">
      <alignment horizontal="left"/>
      <protection/>
    </xf>
    <xf numFmtId="37" fontId="10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71" fillId="0" borderId="0" applyFill="0">
      <alignment/>
      <protection/>
    </xf>
    <xf numFmtId="0" fontId="10" fillId="0" borderId="0" applyFill="0">
      <alignment horizontal="left"/>
      <protection/>
    </xf>
    <xf numFmtId="208" fontId="10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51" fillId="0" borderId="0" applyFill="0">
      <alignment horizontal="left" indent="1"/>
      <protection/>
    </xf>
    <xf numFmtId="0" fontId="53" fillId="0" borderId="0" applyFill="0">
      <alignment horizontal="left"/>
      <protection/>
    </xf>
    <xf numFmtId="37" fontId="10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1" fillId="0" borderId="0" applyFill="0">
      <alignment horizontal="left" indent="2"/>
      <protection/>
    </xf>
    <xf numFmtId="0" fontId="10" fillId="0" borderId="0" applyFill="0">
      <alignment horizontal="left"/>
      <protection/>
    </xf>
    <xf numFmtId="37" fontId="10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2" fillId="0" borderId="0">
      <alignment horizontal="left" indent="3"/>
      <protection/>
    </xf>
    <xf numFmtId="0" fontId="10" fillId="0" borderId="0" applyFill="0">
      <alignment horizontal="left"/>
      <protection/>
    </xf>
    <xf numFmtId="37" fontId="10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0" fillId="0" borderId="0" applyFill="0">
      <alignment horizontal="left"/>
      <protection/>
    </xf>
    <xf numFmtId="37" fontId="53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4" fillId="0" borderId="0">
      <alignment horizontal="left" indent="5"/>
      <protection/>
    </xf>
    <xf numFmtId="0" fontId="53" fillId="0" borderId="0" applyFill="0">
      <alignment horizontal="left"/>
      <protection/>
    </xf>
    <xf numFmtId="37" fontId="53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6" fillId="0" borderId="0" applyFill="0">
      <alignment horizontal="left" indent="6"/>
      <protection/>
    </xf>
    <xf numFmtId="0" fontId="53" fillId="0" borderId="0" applyFill="0">
      <alignment horizontal="left"/>
      <protection/>
    </xf>
    <xf numFmtId="38" fontId="11" fillId="23" borderId="4">
      <alignment horizontal="right"/>
      <protection/>
    </xf>
    <xf numFmtId="38" fontId="7" fillId="25" borderId="0" applyNumberFormat="0" applyFont="0" applyBorder="0" applyAlignment="0" applyProtection="0"/>
    <xf numFmtId="0" fontId="73" fillId="0" borderId="0" applyNumberFormat="0" applyAlignment="0">
      <protection/>
    </xf>
    <xf numFmtId="0" fontId="47" fillId="0" borderId="4" applyNumberFormat="0" applyFill="0" applyAlignment="0" applyProtection="0"/>
    <xf numFmtId="37" fontId="74" fillId="0" borderId="0" applyNumberFormat="0">
      <alignment horizontal="left"/>
      <protection/>
    </xf>
    <xf numFmtId="209" fontId="7" fillId="0" borderId="2">
      <alignment horizontal="center" wrapText="1"/>
      <protection/>
    </xf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8" fontId="7" fillId="0" borderId="0" applyFill="0" applyBorder="0" applyAlignment="0" applyProtection="0"/>
    <xf numFmtId="37" fontId="75" fillId="0" borderId="0" applyNumberFormat="0">
      <alignment horizontal="left"/>
      <protection/>
    </xf>
    <xf numFmtId="37" fontId="76" fillId="0" borderId="0" applyNumberFormat="0">
      <alignment horizontal="left"/>
      <protection/>
    </xf>
    <xf numFmtId="37" fontId="77" fillId="0" borderId="0" applyNumberFormat="0">
      <alignment horizontal="left"/>
      <protection/>
    </xf>
    <xf numFmtId="203" fontId="78" fillId="0" borderId="0">
      <alignment/>
      <protection/>
    </xf>
    <xf numFmtId="40" fontId="79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37" fontId="10" fillId="23" borderId="0" applyNumberFormat="0" applyBorder="0" applyAlignment="0" applyProtection="0"/>
    <xf numFmtId="37" fontId="10" fillId="0" borderId="0">
      <alignment/>
      <protection/>
    </xf>
    <xf numFmtId="3" fontId="80" fillId="0" borderId="14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18">
    <xf numFmtId="173" fontId="0" fillId="0" borderId="0" xfId="0" applyAlignment="1">
      <alignment/>
    </xf>
    <xf numFmtId="173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73" fontId="4" fillId="0" borderId="0" xfId="0" applyFont="1" applyAlignment="1">
      <alignment/>
    </xf>
    <xf numFmtId="0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3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19" xfId="0" applyNumberFormat="1" applyFont="1" applyBorder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173" fontId="4" fillId="0" borderId="0" xfId="0" applyFont="1" applyFill="1" applyAlignment="1">
      <alignment/>
    </xf>
    <xf numFmtId="0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0" fontId="4" fillId="0" borderId="0" xfId="264" applyNumberFormat="1" applyFont="1" applyAlignment="1">
      <alignment/>
    </xf>
    <xf numFmtId="10" fontId="4" fillId="0" borderId="0" xfId="264" applyNumberFormat="1" applyFont="1" applyFill="1" applyAlignment="1">
      <alignment/>
    </xf>
    <xf numFmtId="10" fontId="4" fillId="0" borderId="3" xfId="264" applyNumberFormat="1" applyFont="1" applyBorder="1" applyAlignment="1">
      <alignment/>
    </xf>
    <xf numFmtId="174" fontId="7" fillId="0" borderId="0" xfId="146" applyNumberFormat="1" applyFill="1" applyAlignment="1">
      <alignment/>
    </xf>
    <xf numFmtId="0" fontId="7" fillId="0" borderId="0" xfId="254" applyAlignment="1">
      <alignment horizontal="center"/>
      <protection/>
    </xf>
    <xf numFmtId="0" fontId="7" fillId="0" borderId="0" xfId="254">
      <alignment/>
      <protection/>
    </xf>
    <xf numFmtId="0" fontId="1" fillId="0" borderId="0" xfId="254" applyFont="1">
      <alignment/>
      <protection/>
    </xf>
    <xf numFmtId="0" fontId="7" fillId="0" borderId="3" xfId="254" applyBorder="1" applyAlignment="1">
      <alignment horizontal="center"/>
      <protection/>
    </xf>
    <xf numFmtId="0" fontId="7" fillId="0" borderId="3" xfId="254" applyBorder="1">
      <alignment/>
      <protection/>
    </xf>
    <xf numFmtId="0" fontId="7" fillId="0" borderId="3" xfId="254" applyBorder="1" applyAlignment="1">
      <alignment horizontal="center" wrapText="1"/>
      <protection/>
    </xf>
    <xf numFmtId="0" fontId="7" fillId="0" borderId="0" xfId="254" applyAlignment="1">
      <alignment horizontal="center" wrapText="1"/>
      <protection/>
    </xf>
    <xf numFmtId="175" fontId="7" fillId="0" borderId="0" xfId="155" applyNumberFormat="1" applyAlignment="1">
      <alignment/>
    </xf>
    <xf numFmtId="170" fontId="7" fillId="0" borderId="0" xfId="264" applyNumberFormat="1" applyAlignment="1">
      <alignment horizontal="right"/>
    </xf>
    <xf numFmtId="3" fontId="7" fillId="0" borderId="0" xfId="254" applyNumberFormat="1">
      <alignment/>
      <protection/>
    </xf>
    <xf numFmtId="9" fontId="7" fillId="0" borderId="0" xfId="264" applyAlignment="1">
      <alignment/>
    </xf>
    <xf numFmtId="41" fontId="7" fillId="0" borderId="0" xfId="254" applyNumberFormat="1">
      <alignment/>
      <protection/>
    </xf>
    <xf numFmtId="0" fontId="7" fillId="0" borderId="3" xfId="254" applyFont="1" applyBorder="1">
      <alignment/>
      <protection/>
    </xf>
    <xf numFmtId="170" fontId="7" fillId="0" borderId="3" xfId="264" applyNumberFormat="1" applyFont="1" applyBorder="1" applyAlignment="1">
      <alignment horizontal="right"/>
    </xf>
    <xf numFmtId="175" fontId="7" fillId="0" borderId="3" xfId="155" applyNumberFormat="1" applyFont="1" applyBorder="1" applyAlignment="1">
      <alignment/>
    </xf>
    <xf numFmtId="175" fontId="7" fillId="0" borderId="0" xfId="254" applyNumberFormat="1">
      <alignment/>
      <protection/>
    </xf>
    <xf numFmtId="9" fontId="7" fillId="0" borderId="0" xfId="264" applyAlignment="1">
      <alignment horizontal="right"/>
    </xf>
    <xf numFmtId="174" fontId="7" fillId="0" borderId="0" xfId="146" applyNumberFormat="1" applyAlignment="1">
      <alignment/>
    </xf>
    <xf numFmtId="43" fontId="7" fillId="0" borderId="0" xfId="254" applyNumberFormat="1">
      <alignment/>
      <protection/>
    </xf>
    <xf numFmtId="174" fontId="7" fillId="0" borderId="0" xfId="254" applyNumberFormat="1">
      <alignment/>
      <protection/>
    </xf>
    <xf numFmtId="175" fontId="7" fillId="0" borderId="3" xfId="254" applyNumberFormat="1" applyBorder="1">
      <alignment/>
      <protection/>
    </xf>
    <xf numFmtId="0" fontId="7" fillId="0" borderId="0" xfId="254" quotePrefix="1">
      <alignment/>
      <protection/>
    </xf>
    <xf numFmtId="10" fontId="7" fillId="0" borderId="0" xfId="264" applyNumberFormat="1" applyAlignment="1">
      <alignment/>
    </xf>
    <xf numFmtId="10" fontId="7" fillId="0" borderId="0" xfId="264" applyNumberFormat="1" applyFill="1" applyAlignment="1">
      <alignment/>
    </xf>
    <xf numFmtId="44" fontId="7" fillId="0" borderId="0" xfId="155" applyAlignment="1">
      <alignment/>
    </xf>
    <xf numFmtId="49" fontId="1" fillId="0" borderId="0" xfId="255" applyNumberFormat="1" applyFont="1" applyAlignment="1">
      <alignment horizontal="right"/>
      <protection/>
    </xf>
    <xf numFmtId="0" fontId="7" fillId="0" borderId="0" xfId="255">
      <alignment/>
      <protection/>
    </xf>
    <xf numFmtId="0" fontId="7" fillId="0" borderId="0" xfId="255" applyAlignment="1">
      <alignment horizontal="center"/>
      <protection/>
    </xf>
    <xf numFmtId="0" fontId="1" fillId="0" borderId="0" xfId="255" applyFont="1">
      <alignment/>
      <protection/>
    </xf>
    <xf numFmtId="44" fontId="7" fillId="0" borderId="0" xfId="255" applyNumberFormat="1">
      <alignment/>
      <protection/>
    </xf>
    <xf numFmtId="0" fontId="7" fillId="0" borderId="0" xfId="255" applyFont="1">
      <alignment/>
      <protection/>
    </xf>
    <xf numFmtId="0" fontId="7" fillId="0" borderId="0" xfId="255" applyFont="1">
      <alignment/>
      <protection/>
    </xf>
    <xf numFmtId="0" fontId="7" fillId="0" borderId="0" xfId="254" applyFont="1">
      <alignment/>
      <protection/>
    </xf>
    <xf numFmtId="0" fontId="1" fillId="0" borderId="0" xfId="254" applyFont="1" applyAlignment="1">
      <alignment horizontal="right"/>
      <protection/>
    </xf>
    <xf numFmtId="0" fontId="1" fillId="0" borderId="0" xfId="254" applyFont="1" applyAlignment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>
      <alignment horizontal="left"/>
    </xf>
    <xf numFmtId="0" fontId="7" fillId="0" borderId="0" xfId="255" applyFill="1">
      <alignment/>
      <protection/>
    </xf>
    <xf numFmtId="174" fontId="7" fillId="0" borderId="0" xfId="146" applyNumberFormat="1" applyFont="1" applyAlignment="1">
      <alignment/>
    </xf>
    <xf numFmtId="0" fontId="7" fillId="0" borderId="0" xfId="255" applyFont="1" applyFill="1">
      <alignment/>
      <protection/>
    </xf>
    <xf numFmtId="0" fontId="7" fillId="0" borderId="20" xfId="252" applyBorder="1" applyAlignment="1">
      <alignment horizontal="center"/>
      <protection/>
    </xf>
    <xf numFmtId="0" fontId="7" fillId="0" borderId="21" xfId="252" applyBorder="1" applyAlignment="1">
      <alignment horizontal="center"/>
      <protection/>
    </xf>
    <xf numFmtId="0" fontId="7" fillId="0" borderId="0" xfId="252">
      <alignment/>
      <protection/>
    </xf>
    <xf numFmtId="0" fontId="7" fillId="0" borderId="22" xfId="252" applyBorder="1" applyAlignment="1">
      <alignment horizontal="center"/>
      <protection/>
    </xf>
    <xf numFmtId="0" fontId="7" fillId="0" borderId="0" xfId="252" applyBorder="1" applyAlignment="1">
      <alignment horizontal="center"/>
      <protection/>
    </xf>
    <xf numFmtId="0" fontId="7" fillId="0" borderId="23" xfId="252" applyBorder="1" applyAlignment="1">
      <alignment horizontal="center"/>
      <protection/>
    </xf>
    <xf numFmtId="0" fontId="7" fillId="0" borderId="3" xfId="252" applyBorder="1" applyAlignment="1">
      <alignment horizontal="center"/>
      <protection/>
    </xf>
    <xf numFmtId="0" fontId="7" fillId="0" borderId="0" xfId="252" applyBorder="1">
      <alignment/>
      <protection/>
    </xf>
    <xf numFmtId="0" fontId="7" fillId="0" borderId="22" xfId="252" applyBorder="1">
      <alignment/>
      <protection/>
    </xf>
    <xf numFmtId="0" fontId="7" fillId="0" borderId="9" xfId="252" applyBorder="1">
      <alignment/>
      <protection/>
    </xf>
    <xf numFmtId="0" fontId="7" fillId="0" borderId="24" xfId="252" applyFont="1" applyBorder="1">
      <alignment/>
      <protection/>
    </xf>
    <xf numFmtId="0" fontId="1" fillId="0" borderId="0" xfId="255" applyFont="1" applyFill="1">
      <alignment/>
      <protection/>
    </xf>
    <xf numFmtId="0" fontId="7" fillId="0" borderId="0" xfId="252" applyFont="1">
      <alignment/>
      <protection/>
    </xf>
    <xf numFmtId="0" fontId="7" fillId="0" borderId="0" xfId="252" applyAlignment="1">
      <alignment/>
      <protection/>
    </xf>
    <xf numFmtId="0" fontId="7" fillId="0" borderId="3" xfId="254" applyFont="1" applyBorder="1" applyAlignment="1">
      <alignment horizontal="center" wrapText="1"/>
      <protection/>
    </xf>
    <xf numFmtId="44" fontId="7" fillId="0" borderId="0" xfId="155" applyNumberFormat="1" applyAlignment="1">
      <alignment/>
    </xf>
    <xf numFmtId="44" fontId="7" fillId="0" borderId="0" xfId="254" applyNumberFormat="1">
      <alignment/>
      <protection/>
    </xf>
    <xf numFmtId="44" fontId="7" fillId="0" borderId="3" xfId="254" applyNumberFormat="1" applyFont="1" applyBorder="1">
      <alignment/>
      <protection/>
    </xf>
    <xf numFmtId="171" fontId="4" fillId="0" borderId="0" xfId="0" applyNumberFormat="1" applyFont="1" applyFill="1" applyAlignment="1">
      <alignment horizontal="left"/>
    </xf>
    <xf numFmtId="185" fontId="7" fillId="0" borderId="0" xfId="155" applyNumberFormat="1" applyAlignment="1">
      <alignment/>
    </xf>
    <xf numFmtId="186" fontId="7" fillId="0" borderId="0" xfId="155" applyNumberFormat="1" applyAlignment="1">
      <alignment/>
    </xf>
    <xf numFmtId="0" fontId="6" fillId="0" borderId="0" xfId="0" applyNumberFormat="1" applyFont="1" applyFill="1" applyAlignment="1" applyProtection="1">
      <alignment horizontal="left"/>
      <protection locked="0"/>
    </xf>
    <xf numFmtId="173" fontId="4" fillId="0" borderId="0" xfId="0" applyFont="1" applyFill="1" applyAlignment="1">
      <alignment horizontal="left"/>
    </xf>
    <xf numFmtId="0" fontId="7" fillId="0" borderId="0" xfId="254" applyFont="1" applyFill="1">
      <alignment/>
      <protection/>
    </xf>
    <xf numFmtId="0" fontId="7" fillId="0" borderId="0" xfId="254" applyFill="1">
      <alignment/>
      <protection/>
    </xf>
    <xf numFmtId="10" fontId="4" fillId="0" borderId="0" xfId="0" applyNumberFormat="1" applyFont="1" applyAlignment="1">
      <alignment/>
    </xf>
    <xf numFmtId="174" fontId="4" fillId="0" borderId="0" xfId="146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173" fontId="4" fillId="0" borderId="3" xfId="0" applyFont="1" applyBorder="1" applyAlignment="1">
      <alignment/>
    </xf>
    <xf numFmtId="6" fontId="4" fillId="0" borderId="0" xfId="256" applyNumberFormat="1" applyFont="1" applyBorder="1">
      <alignment/>
      <protection/>
    </xf>
    <xf numFmtId="0" fontId="7" fillId="0" borderId="25" xfId="252" applyFill="1" applyBorder="1" applyAlignment="1">
      <alignment horizontal="center"/>
      <protection/>
    </xf>
    <xf numFmtId="0" fontId="7" fillId="0" borderId="21" xfId="252" applyFill="1" applyBorder="1" applyAlignment="1">
      <alignment horizontal="center"/>
      <protection/>
    </xf>
    <xf numFmtId="0" fontId="7" fillId="0" borderId="26" xfId="252" applyFill="1" applyBorder="1" applyAlignment="1">
      <alignment horizontal="center"/>
      <protection/>
    </xf>
    <xf numFmtId="0" fontId="7" fillId="0" borderId="0" xfId="252" applyFill="1" applyBorder="1" applyAlignment="1">
      <alignment horizontal="center"/>
      <protection/>
    </xf>
    <xf numFmtId="0" fontId="7" fillId="0" borderId="26" xfId="252" applyFont="1" applyFill="1" applyBorder="1" applyAlignment="1">
      <alignment horizontal="center"/>
      <protection/>
    </xf>
    <xf numFmtId="0" fontId="7" fillId="0" borderId="27" xfId="252" applyFill="1" applyBorder="1" applyAlignment="1">
      <alignment horizontal="center"/>
      <protection/>
    </xf>
    <xf numFmtId="0" fontId="7" fillId="0" borderId="3" xfId="252" applyFill="1" applyBorder="1" applyAlignment="1">
      <alignment horizontal="center"/>
      <protection/>
    </xf>
    <xf numFmtId="0" fontId="7" fillId="0" borderId="26" xfId="252" applyFill="1" applyBorder="1">
      <alignment/>
      <protection/>
    </xf>
    <xf numFmtId="1" fontId="7" fillId="0" borderId="28" xfId="252" applyNumberFormat="1" applyFill="1" applyBorder="1" applyAlignment="1">
      <alignment horizontal="center"/>
      <protection/>
    </xf>
    <xf numFmtId="178" fontId="12" fillId="0" borderId="0" xfId="254" applyNumberFormat="1" applyFont="1">
      <alignment/>
      <protection/>
    </xf>
    <xf numFmtId="174" fontId="4" fillId="0" borderId="0" xfId="146" applyNumberFormat="1" applyFont="1" applyFill="1" applyAlignment="1">
      <alignment/>
    </xf>
    <xf numFmtId="174" fontId="4" fillId="0" borderId="0" xfId="146" applyNumberFormat="1" applyFont="1" applyBorder="1" applyAlignment="1">
      <alignment/>
    </xf>
    <xf numFmtId="174" fontId="4" fillId="0" borderId="3" xfId="146" applyNumberFormat="1" applyFont="1" applyBorder="1" applyAlignment="1">
      <alignment/>
    </xf>
    <xf numFmtId="0" fontId="7" fillId="0" borderId="0" xfId="255" applyFont="1" applyAlignment="1">
      <alignment horizontal="center"/>
      <protection/>
    </xf>
    <xf numFmtId="174" fontId="7" fillId="0" borderId="0" xfId="146" applyNumberFormat="1" applyFont="1" applyAlignment="1">
      <alignment/>
    </xf>
    <xf numFmtId="174" fontId="7" fillId="0" borderId="0" xfId="146" applyNumberFormat="1" applyFont="1" applyFill="1" applyAlignment="1">
      <alignment/>
    </xf>
    <xf numFmtId="44" fontId="7" fillId="0" borderId="0" xfId="255" applyNumberFormat="1" applyFont="1">
      <alignment/>
      <protection/>
    </xf>
    <xf numFmtId="175" fontId="7" fillId="0" borderId="29" xfId="155" applyNumberFormat="1" applyFont="1" applyFill="1" applyBorder="1" applyAlignment="1">
      <alignment/>
    </xf>
    <xf numFmtId="10" fontId="7" fillId="0" borderId="0" xfId="264" applyNumberFormat="1" applyFont="1" applyAlignment="1">
      <alignment/>
    </xf>
    <xf numFmtId="0" fontId="7" fillId="0" borderId="4" xfId="255" applyFont="1" applyBorder="1" applyAlignment="1">
      <alignment horizontal="center"/>
      <protection/>
    </xf>
    <xf numFmtId="0" fontId="4" fillId="0" borderId="0" xfId="255" applyFont="1" applyFill="1" applyAlignment="1">
      <alignment horizontal="left"/>
      <protection/>
    </xf>
    <xf numFmtId="9" fontId="4" fillId="0" borderId="6" xfId="264" applyFont="1" applyBorder="1" applyAlignment="1">
      <alignment/>
    </xf>
    <xf numFmtId="174" fontId="1" fillId="0" borderId="0" xfId="146" applyNumberFormat="1" applyFont="1" applyAlignment="1">
      <alignment horizontal="center"/>
    </xf>
    <xf numFmtId="0" fontId="7" fillId="0" borderId="25" xfId="252" applyFont="1" applyFill="1" applyBorder="1" applyAlignment="1">
      <alignment horizontal="center"/>
      <protection/>
    </xf>
    <xf numFmtId="0" fontId="7" fillId="0" borderId="27" xfId="252" applyFont="1" applyFill="1" applyBorder="1" applyAlignment="1">
      <alignment horizontal="center"/>
      <protection/>
    </xf>
    <xf numFmtId="0" fontId="7" fillId="0" borderId="26" xfId="252" applyFont="1" applyFill="1" applyBorder="1" applyAlignment="1" quotePrefix="1">
      <alignment horizontal="left"/>
      <protection/>
    </xf>
    <xf numFmtId="0" fontId="7" fillId="0" borderId="21" xfId="252" applyFill="1" applyBorder="1">
      <alignment/>
      <protection/>
    </xf>
    <xf numFmtId="0" fontId="7" fillId="0" borderId="0" xfId="252" applyFill="1" applyBorder="1">
      <alignment/>
      <protection/>
    </xf>
    <xf numFmtId="0" fontId="7" fillId="0" borderId="27" xfId="252" applyFont="1" applyFill="1" applyBorder="1" applyAlignment="1" quotePrefix="1">
      <alignment horizontal="left"/>
      <protection/>
    </xf>
    <xf numFmtId="0" fontId="7" fillId="0" borderId="3" xfId="252" applyFill="1" applyBorder="1">
      <alignment/>
      <protection/>
    </xf>
    <xf numFmtId="173" fontId="4" fillId="0" borderId="0" xfId="0" applyFont="1" applyFill="1" applyAlignment="1" quotePrefix="1">
      <alignment/>
    </xf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6" fillId="0" borderId="0" xfId="255" applyFont="1" applyAlignment="1">
      <alignment horizontal="center"/>
      <protection/>
    </xf>
    <xf numFmtId="187" fontId="7" fillId="0" borderId="0" xfId="255" applyNumberFormat="1" applyAlignment="1">
      <alignment horizontal="left"/>
      <protection/>
    </xf>
    <xf numFmtId="0" fontId="7" fillId="0" borderId="6" xfId="255" applyBorder="1">
      <alignment/>
      <protection/>
    </xf>
    <xf numFmtId="174" fontId="7" fillId="0" borderId="0" xfId="255" applyNumberFormat="1">
      <alignment/>
      <protection/>
    </xf>
    <xf numFmtId="182" fontId="7" fillId="0" borderId="0" xfId="146" applyNumberFormat="1" applyFont="1" applyFill="1" applyAlignment="1">
      <alignment horizontal="center"/>
    </xf>
    <xf numFmtId="0" fontId="7" fillId="0" borderId="0" xfId="255" applyFont="1" applyAlignment="1">
      <alignment horizontal="center" wrapText="1"/>
      <protection/>
    </xf>
    <xf numFmtId="0" fontId="7" fillId="0" borderId="0" xfId="253" applyFont="1" applyAlignment="1">
      <alignment horizontal="center"/>
      <protection/>
    </xf>
    <xf numFmtId="174" fontId="7" fillId="0" borderId="6" xfId="146" applyNumberFormat="1" applyFont="1" applyFill="1" applyBorder="1" applyAlignment="1">
      <alignment/>
    </xf>
    <xf numFmtId="190" fontId="4" fillId="0" borderId="0" xfId="0" applyNumberFormat="1" applyFont="1" applyFill="1" applyAlignment="1">
      <alignment horizontal="right"/>
    </xf>
    <xf numFmtId="190" fontId="4" fillId="0" borderId="0" xfId="0" applyNumberFormat="1" applyFont="1" applyAlignment="1">
      <alignment/>
    </xf>
    <xf numFmtId="17" fontId="7" fillId="0" borderId="0" xfId="255" applyNumberFormat="1" applyFont="1">
      <alignment/>
      <protection/>
    </xf>
    <xf numFmtId="44" fontId="7" fillId="0" borderId="0" xfId="255" applyNumberFormat="1" applyFont="1" applyAlignment="1">
      <alignment horizontal="center"/>
      <protection/>
    </xf>
    <xf numFmtId="174" fontId="7" fillId="0" borderId="0" xfId="146" applyNumberFormat="1" applyFont="1" applyAlignment="1">
      <alignment horizontal="center"/>
    </xf>
    <xf numFmtId="174" fontId="7" fillId="0" borderId="6" xfId="255" applyNumberFormat="1" applyBorder="1">
      <alignment/>
      <protection/>
    </xf>
    <xf numFmtId="3" fontId="4" fillId="0" borderId="6" xfId="0" applyNumberFormat="1" applyFont="1" applyFill="1" applyBorder="1" applyAlignment="1">
      <alignment/>
    </xf>
    <xf numFmtId="173" fontId="4" fillId="0" borderId="6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" fontId="7" fillId="0" borderId="0" xfId="255" applyNumberFormat="1" applyFont="1" applyAlignment="1">
      <alignment horizontal="right"/>
      <protection/>
    </xf>
    <xf numFmtId="9" fontId="4" fillId="0" borderId="0" xfId="264" applyFont="1" applyAlignment="1">
      <alignment/>
    </xf>
    <xf numFmtId="10" fontId="4" fillId="0" borderId="0" xfId="264" applyNumberFormat="1" applyFont="1" applyAlignment="1" applyProtection="1">
      <alignment horizontal="left"/>
      <protection locked="0"/>
    </xf>
    <xf numFmtId="10" fontId="4" fillId="0" borderId="0" xfId="264" applyNumberFormat="1" applyFont="1" applyFill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173" fontId="38" fillId="0" borderId="0" xfId="0" applyFont="1" applyAlignment="1">
      <alignment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/>
    </xf>
    <xf numFmtId="0" fontId="4" fillId="0" borderId="6" xfId="0" applyNumberFormat="1" applyFont="1" applyFill="1" applyBorder="1" applyAlignment="1" applyProtection="1">
      <alignment/>
      <protection locked="0"/>
    </xf>
    <xf numFmtId="0" fontId="4" fillId="0" borderId="6" xfId="0" applyNumberFormat="1" applyFont="1" applyFill="1" applyBorder="1" applyAlignment="1">
      <alignment/>
    </xf>
    <xf numFmtId="0" fontId="38" fillId="0" borderId="0" xfId="0" applyNumberFormat="1" applyFont="1" applyFill="1" applyAlignment="1">
      <alignment/>
    </xf>
    <xf numFmtId="3" fontId="4" fillId="0" borderId="3" xfId="0" applyNumberFormat="1" applyFont="1" applyFill="1" applyBorder="1" applyAlignment="1">
      <alignment horizontal="center"/>
    </xf>
    <xf numFmtId="173" fontId="38" fillId="0" borderId="0" xfId="0" applyFont="1" applyFill="1" applyAlignment="1">
      <alignment/>
    </xf>
    <xf numFmtId="49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/>
    </xf>
    <xf numFmtId="0" fontId="4" fillId="0" borderId="0" xfId="0" applyNumberFormat="1" applyFont="1" applyFill="1" applyAlignment="1" quotePrefix="1">
      <alignment/>
    </xf>
    <xf numFmtId="4" fontId="4" fillId="0" borderId="0" xfId="0" applyNumberFormat="1" applyFont="1" applyFill="1" applyAlignment="1">
      <alignment/>
    </xf>
    <xf numFmtId="44" fontId="7" fillId="0" borderId="0" xfId="255" applyNumberFormat="1" applyFont="1" applyAlignment="1">
      <alignment horizontal="right"/>
      <protection/>
    </xf>
    <xf numFmtId="174" fontId="7" fillId="0" borderId="19" xfId="255" applyNumberFormat="1" applyBorder="1">
      <alignment/>
      <protection/>
    </xf>
    <xf numFmtId="0" fontId="7" fillId="0" borderId="4" xfId="255" applyFont="1" applyBorder="1">
      <alignment/>
      <protection/>
    </xf>
    <xf numFmtId="44" fontId="7" fillId="0" borderId="4" xfId="255" applyNumberFormat="1" applyFont="1" applyBorder="1" applyAlignment="1">
      <alignment horizontal="center"/>
      <protection/>
    </xf>
    <xf numFmtId="0" fontId="7" fillId="0" borderId="0" xfId="255" applyFont="1" applyAlignment="1">
      <alignment horizontal="right"/>
      <protection/>
    </xf>
    <xf numFmtId="173" fontId="7" fillId="0" borderId="0" xfId="0" applyFont="1" applyFill="1" applyAlignment="1">
      <alignment/>
    </xf>
    <xf numFmtId="174" fontId="4" fillId="0" borderId="0" xfId="146" applyNumberFormat="1" applyFont="1" applyAlignment="1">
      <alignment horizontal="center"/>
    </xf>
    <xf numFmtId="173" fontId="4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43" fontId="7" fillId="0" borderId="3" xfId="254" applyNumberFormat="1" applyBorder="1">
      <alignment/>
      <protection/>
    </xf>
    <xf numFmtId="173" fontId="0" fillId="0" borderId="0" xfId="0" applyAlignment="1">
      <alignment horizontal="center"/>
    </xf>
    <xf numFmtId="3" fontId="39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7" fillId="0" borderId="0" xfId="255" applyFont="1" applyFill="1">
      <alignment/>
      <protection/>
    </xf>
    <xf numFmtId="173" fontId="7" fillId="0" borderId="0" xfId="0" applyFont="1" applyAlignment="1">
      <alignment horizontal="center"/>
    </xf>
    <xf numFmtId="173" fontId="7" fillId="0" borderId="4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174" fontId="4" fillId="0" borderId="0" xfId="146" applyNumberFormat="1" applyFont="1" applyFill="1" applyBorder="1" applyAlignment="1">
      <alignment/>
    </xf>
    <xf numFmtId="173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/>
      <protection locked="0"/>
    </xf>
    <xf numFmtId="173" fontId="4" fillId="0" borderId="0" xfId="0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10" fontId="4" fillId="0" borderId="0" xfId="0" applyNumberFormat="1" applyFont="1" applyFill="1" applyAlignment="1" applyProtection="1">
      <alignment/>
      <protection locked="0"/>
    </xf>
    <xf numFmtId="173" fontId="6" fillId="0" borderId="0" xfId="0" applyFont="1" applyFill="1" applyAlignment="1">
      <alignment/>
    </xf>
    <xf numFmtId="173" fontId="0" fillId="0" borderId="0" xfId="0" applyFont="1" applyAlignment="1">
      <alignment/>
    </xf>
    <xf numFmtId="0" fontId="4" fillId="0" borderId="0" xfId="0" applyNumberFormat="1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174" fontId="4" fillId="0" borderId="4" xfId="146" applyNumberFormat="1" applyFont="1" applyFill="1" applyBorder="1" applyAlignment="1">
      <alignment/>
    </xf>
    <xf numFmtId="174" fontId="4" fillId="0" borderId="6" xfId="146" applyNumberFormat="1" applyFont="1" applyFill="1" applyBorder="1" applyAlignment="1">
      <alignment/>
    </xf>
    <xf numFmtId="174" fontId="4" fillId="0" borderId="6" xfId="146" applyNumberFormat="1" applyFont="1" applyBorder="1" applyAlignment="1">
      <alignment/>
    </xf>
    <xf numFmtId="187" fontId="7" fillId="0" borderId="0" xfId="255" applyNumberFormat="1" applyFont="1" applyAlignment="1">
      <alignment horizontal="left"/>
      <protection/>
    </xf>
    <xf numFmtId="174" fontId="1" fillId="0" borderId="4" xfId="146" applyNumberFormat="1" applyFont="1" applyBorder="1" applyAlignment="1">
      <alignment horizontal="center"/>
    </xf>
    <xf numFmtId="42" fontId="7" fillId="0" borderId="0" xfId="254" applyNumberFormat="1" applyFill="1">
      <alignment/>
      <protection/>
    </xf>
    <xf numFmtId="42" fontId="7" fillId="0" borderId="3" xfId="254" applyNumberFormat="1" applyFill="1" applyBorder="1">
      <alignment/>
      <protection/>
    </xf>
    <xf numFmtId="174" fontId="7" fillId="0" borderId="0" xfId="254" applyNumberFormat="1" applyFill="1">
      <alignment/>
      <protection/>
    </xf>
    <xf numFmtId="174" fontId="7" fillId="0" borderId="3" xfId="254" applyNumberFormat="1" applyFill="1" applyBorder="1">
      <alignment/>
      <protection/>
    </xf>
    <xf numFmtId="3" fontId="39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0" fontId="41" fillId="0" borderId="0" xfId="254" applyFont="1">
      <alignment/>
      <protection/>
    </xf>
    <xf numFmtId="175" fontId="7" fillId="0" borderId="0" xfId="155" applyNumberFormat="1" applyFill="1" applyAlignment="1">
      <alignment/>
    </xf>
    <xf numFmtId="173" fontId="16" fillId="0" borderId="0" xfId="0" applyFont="1" applyAlignment="1">
      <alignment/>
    </xf>
    <xf numFmtId="3" fontId="4" fillId="26" borderId="0" xfId="0" applyNumberFormat="1" applyFont="1" applyFill="1" applyAlignment="1">
      <alignment/>
    </xf>
    <xf numFmtId="173" fontId="4" fillId="26" borderId="0" xfId="0" applyFont="1" applyFill="1" applyAlignment="1">
      <alignment/>
    </xf>
    <xf numFmtId="174" fontId="4" fillId="0" borderId="0" xfId="0" applyNumberFormat="1" applyFont="1" applyAlignment="1">
      <alignment horizontal="fill"/>
    </xf>
    <xf numFmtId="0" fontId="7" fillId="0" borderId="30" xfId="252" applyFill="1" applyBorder="1" applyAlignment="1">
      <alignment horizontal="center"/>
      <protection/>
    </xf>
    <xf numFmtId="0" fontId="7" fillId="0" borderId="31" xfId="252" applyFill="1" applyBorder="1" applyAlignment="1">
      <alignment horizontal="center"/>
      <protection/>
    </xf>
    <xf numFmtId="0" fontId="7" fillId="0" borderId="32" xfId="254" applyBorder="1">
      <alignment/>
      <protection/>
    </xf>
    <xf numFmtId="0" fontId="7" fillId="0" borderId="6" xfId="254" applyBorder="1">
      <alignment/>
      <protection/>
    </xf>
    <xf numFmtId="0" fontId="7" fillId="0" borderId="33" xfId="254" applyBorder="1">
      <alignment/>
      <protection/>
    </xf>
    <xf numFmtId="0" fontId="7" fillId="0" borderId="34" xfId="254" applyBorder="1">
      <alignment/>
      <protection/>
    </xf>
    <xf numFmtId="0" fontId="7" fillId="0" borderId="0" xfId="254" applyBorder="1">
      <alignment/>
      <protection/>
    </xf>
    <xf numFmtId="0" fontId="7" fillId="0" borderId="35" xfId="254" applyBorder="1">
      <alignment/>
      <protection/>
    </xf>
    <xf numFmtId="0" fontId="7" fillId="0" borderId="36" xfId="254" applyBorder="1">
      <alignment/>
      <protection/>
    </xf>
    <xf numFmtId="0" fontId="7" fillId="0" borderId="4" xfId="254" applyBorder="1">
      <alignment/>
      <protection/>
    </xf>
    <xf numFmtId="0" fontId="7" fillId="0" borderId="37" xfId="254" applyBorder="1">
      <alignment/>
      <protection/>
    </xf>
    <xf numFmtId="0" fontId="7" fillId="0" borderId="20" xfId="252" applyFill="1" applyBorder="1" applyAlignment="1">
      <alignment horizontal="center"/>
      <protection/>
    </xf>
    <xf numFmtId="0" fontId="7" fillId="0" borderId="38" xfId="252" applyFill="1" applyBorder="1" applyAlignment="1">
      <alignment horizontal="center"/>
      <protection/>
    </xf>
    <xf numFmtId="0" fontId="7" fillId="0" borderId="22" xfId="252" applyFill="1" applyBorder="1" applyAlignment="1">
      <alignment horizontal="center"/>
      <protection/>
    </xf>
    <xf numFmtId="0" fontId="7" fillId="0" borderId="23" xfId="252" applyFill="1" applyBorder="1" applyAlignment="1">
      <alignment horizontal="center"/>
      <protection/>
    </xf>
    <xf numFmtId="169" fontId="0" fillId="0" borderId="0" xfId="0" applyNumberFormat="1" applyFont="1" applyAlignment="1">
      <alignment/>
    </xf>
    <xf numFmtId="174" fontId="4" fillId="27" borderId="3" xfId="146" applyNumberFormat="1" applyFont="1" applyFill="1" applyBorder="1" applyAlignment="1">
      <alignment/>
    </xf>
    <xf numFmtId="174" fontId="4" fillId="27" borderId="0" xfId="146" applyNumberFormat="1" applyFont="1" applyFill="1" applyAlignment="1">
      <alignment/>
    </xf>
    <xf numFmtId="3" fontId="4" fillId="27" borderId="0" xfId="0" applyNumberFormat="1" applyFont="1" applyFill="1" applyAlignment="1">
      <alignment/>
    </xf>
    <xf numFmtId="3" fontId="4" fillId="27" borderId="3" xfId="0" applyNumberFormat="1" applyFont="1" applyFill="1" applyBorder="1" applyAlignment="1">
      <alignment/>
    </xf>
    <xf numFmtId="3" fontId="4" fillId="26" borderId="0" xfId="0" applyNumberFormat="1" applyFont="1" applyFill="1" applyAlignment="1">
      <alignment/>
    </xf>
    <xf numFmtId="44" fontId="7" fillId="0" borderId="0" xfId="255" applyNumberFormat="1" applyFont="1" applyFill="1">
      <alignment/>
      <protection/>
    </xf>
    <xf numFmtId="174" fontId="7" fillId="0" borderId="0" xfId="252" applyNumberFormat="1">
      <alignment/>
      <protection/>
    </xf>
    <xf numFmtId="0" fontId="1" fillId="28" borderId="0" xfId="254" applyFont="1" applyFill="1">
      <alignment/>
      <protection/>
    </xf>
    <xf numFmtId="0" fontId="7" fillId="28" borderId="0" xfId="254" applyFill="1">
      <alignment/>
      <protection/>
    </xf>
    <xf numFmtId="191" fontId="4" fillId="0" borderId="0" xfId="0" applyNumberFormat="1" applyFont="1" applyFill="1" applyAlignment="1">
      <alignment horizontal="center"/>
    </xf>
    <xf numFmtId="174" fontId="4" fillId="0" borderId="0" xfId="146" applyNumberFormat="1" applyFont="1" applyFill="1" applyAlignment="1">
      <alignment horizontal="center"/>
    </xf>
    <xf numFmtId="10" fontId="4" fillId="27" borderId="0" xfId="264" applyNumberFormat="1" applyFont="1" applyFill="1" applyAlignment="1">
      <alignment/>
    </xf>
    <xf numFmtId="0" fontId="7" fillId="0" borderId="0" xfId="255" applyFill="1" applyAlignment="1">
      <alignment horizontal="center"/>
      <protection/>
    </xf>
    <xf numFmtId="44" fontId="7" fillId="0" borderId="0" xfId="255" applyNumberFormat="1" applyAlignment="1">
      <alignment horizontal="center"/>
      <protection/>
    </xf>
    <xf numFmtId="0" fontId="4" fillId="26" borderId="0" xfId="0" applyNumberFormat="1" applyFont="1" applyFill="1" applyAlignment="1" applyProtection="1">
      <alignment/>
      <protection locked="0"/>
    </xf>
    <xf numFmtId="0" fontId="7" fillId="0" borderId="0" xfId="252" applyFont="1" applyAlignment="1">
      <alignment horizontal="left"/>
      <protection/>
    </xf>
    <xf numFmtId="0" fontId="7" fillId="0" borderId="0" xfId="254" applyFont="1" applyBorder="1">
      <alignment/>
      <protection/>
    </xf>
    <xf numFmtId="2" fontId="7" fillId="28" borderId="0" xfId="254" applyNumberFormat="1" applyFill="1">
      <alignment/>
      <protection/>
    </xf>
    <xf numFmtId="173" fontId="4" fillId="0" borderId="0" xfId="0" applyFont="1" applyBorder="1" applyAlignment="1">
      <alignment horizontal="right"/>
    </xf>
    <xf numFmtId="173" fontId="0" fillId="0" borderId="0" xfId="0" applyFill="1" applyBorder="1" applyAlignment="1">
      <alignment horizontal="right"/>
    </xf>
    <xf numFmtId="192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173" fontId="4" fillId="0" borderId="0" xfId="0" applyFont="1" applyAlignment="1" quotePrefix="1">
      <alignment horizontal="right"/>
    </xf>
    <xf numFmtId="173" fontId="0" fillId="0" borderId="0" xfId="0" applyAlignment="1" quotePrefix="1">
      <alignment horizontal="right"/>
    </xf>
    <xf numFmtId="49" fontId="7" fillId="0" borderId="0" xfId="254" applyNumberFormat="1" applyAlignment="1">
      <alignment horizontal="right"/>
      <protection/>
    </xf>
    <xf numFmtId="0" fontId="4" fillId="0" borderId="0" xfId="0" applyNumberFormat="1" applyFont="1" applyFill="1" applyBorder="1" applyAlignment="1">
      <alignment horizontal="right"/>
    </xf>
    <xf numFmtId="3" fontId="4" fillId="27" borderId="4" xfId="0" applyNumberFormat="1" applyFont="1" applyFill="1" applyBorder="1" applyAlignment="1">
      <alignment/>
    </xf>
    <xf numFmtId="174" fontId="4" fillId="27" borderId="0" xfId="146" applyNumberFormat="1" applyFont="1" applyFill="1" applyBorder="1" applyAlignment="1">
      <alignment/>
    </xf>
    <xf numFmtId="173" fontId="0" fillId="0" borderId="0" xfId="0" applyAlignment="1">
      <alignment horizontal="right"/>
    </xf>
    <xf numFmtId="173" fontId="4" fillId="0" borderId="0" xfId="0" applyFont="1" applyAlignment="1">
      <alignment horizontal="right"/>
    </xf>
    <xf numFmtId="49" fontId="7" fillId="0" borderId="0" xfId="252" applyNumberFormat="1" applyAlignment="1">
      <alignment horizontal="right"/>
      <protection/>
    </xf>
    <xf numFmtId="175" fontId="86" fillId="0" borderId="0" xfId="254" applyNumberFormat="1" applyFont="1" applyFill="1">
      <alignment/>
      <protection/>
    </xf>
    <xf numFmtId="1" fontId="7" fillId="0" borderId="25" xfId="252" applyNumberFormat="1" applyFill="1" applyBorder="1" applyAlignment="1">
      <alignment horizontal="center"/>
      <protection/>
    </xf>
    <xf numFmtId="1" fontId="7" fillId="0" borderId="26" xfId="252" applyNumberFormat="1" applyFill="1" applyBorder="1" applyAlignment="1">
      <alignment horizontal="center"/>
      <protection/>
    </xf>
    <xf numFmtId="1" fontId="7" fillId="0" borderId="27" xfId="252" applyNumberFormat="1" applyFill="1" applyBorder="1" applyAlignment="1">
      <alignment horizontal="center"/>
      <protection/>
    </xf>
    <xf numFmtId="1" fontId="7" fillId="0" borderId="24" xfId="252" applyNumberFormat="1" applyFill="1" applyBorder="1" applyAlignment="1">
      <alignment horizontal="center"/>
      <protection/>
    </xf>
    <xf numFmtId="1" fontId="7" fillId="0" borderId="39" xfId="252" applyNumberFormat="1" applyFill="1" applyBorder="1" applyAlignment="1">
      <alignment horizontal="center"/>
      <protection/>
    </xf>
    <xf numFmtId="0" fontId="7" fillId="0" borderId="0" xfId="0" applyNumberFormat="1" applyFont="1" applyFill="1" applyAlignment="1">
      <alignment horizontal="center"/>
    </xf>
    <xf numFmtId="0" fontId="7" fillId="0" borderId="0" xfId="252" applyFill="1">
      <alignment/>
      <protection/>
    </xf>
    <xf numFmtId="0" fontId="1" fillId="0" borderId="0" xfId="254" applyFont="1" applyAlignment="1">
      <alignment horizontal="center"/>
      <protection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/>
    </xf>
    <xf numFmtId="0" fontId="7" fillId="0" borderId="0" xfId="255" applyFont="1" applyAlignment="1">
      <alignment horizontal="center"/>
      <protection/>
    </xf>
    <xf numFmtId="0" fontId="7" fillId="0" borderId="0" xfId="255" applyAlignment="1">
      <alignment horizontal="center"/>
      <protection/>
    </xf>
    <xf numFmtId="0" fontId="6" fillId="0" borderId="0" xfId="255" applyFont="1" applyAlignment="1">
      <alignment horizontal="center"/>
      <protection/>
    </xf>
    <xf numFmtId="3" fontId="82" fillId="0" borderId="0" xfId="0" applyNumberFormat="1" applyFont="1" applyAlignment="1">
      <alignment horizontal="center"/>
    </xf>
    <xf numFmtId="0" fontId="6" fillId="0" borderId="40" xfId="254" applyFont="1" applyBorder="1" applyAlignment="1">
      <alignment horizontal="center"/>
      <protection/>
    </xf>
    <xf numFmtId="0" fontId="6" fillId="0" borderId="10" xfId="254" applyFont="1" applyBorder="1" applyAlignment="1">
      <alignment horizontal="center"/>
      <protection/>
    </xf>
    <xf numFmtId="0" fontId="6" fillId="0" borderId="41" xfId="254" applyFont="1" applyBorder="1" applyAlignment="1">
      <alignment horizontal="center"/>
      <protection/>
    </xf>
  </cellXfs>
  <cellStyles count="331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5 3" xfId="40"/>
    <cellStyle name="20% - Accent6" xfId="41"/>
    <cellStyle name="20% - Accent6 2" xfId="42"/>
    <cellStyle name="20% - Accent6 3" xfId="43"/>
    <cellStyle name="40% - Accent1" xfId="44"/>
    <cellStyle name="40% - Accent1 2" xfId="45"/>
    <cellStyle name="40% - Accent1 3" xfId="46"/>
    <cellStyle name="40% - Accent2" xfId="47"/>
    <cellStyle name="40% - Accent2 2" xfId="48"/>
    <cellStyle name="40% - Accent2 3" xfId="49"/>
    <cellStyle name="40% - Accent3" xfId="50"/>
    <cellStyle name="40% - Accent3 2" xfId="51"/>
    <cellStyle name="40% - Accent3 3" xfId="52"/>
    <cellStyle name="40% - Accent4" xfId="53"/>
    <cellStyle name="40% - Accent4 2" xfId="54"/>
    <cellStyle name="40% - Accent4 3" xfId="55"/>
    <cellStyle name="40% - Accent5" xfId="56"/>
    <cellStyle name="40% - Accent5 2" xfId="57"/>
    <cellStyle name="40% - Accent5 3" xfId="58"/>
    <cellStyle name="40% - Accent6" xfId="59"/>
    <cellStyle name="40% - Accent6 2" xfId="60"/>
    <cellStyle name="40% - Accent6 3" xfId="61"/>
    <cellStyle name="60% - Accent1" xfId="62"/>
    <cellStyle name="60% - Accent1 2" xfId="63"/>
    <cellStyle name="60% - Accent1 3" xfId="64"/>
    <cellStyle name="60% - Accent2" xfId="65"/>
    <cellStyle name="60% - Accent2 2" xfId="66"/>
    <cellStyle name="60% - Accent2 3" xfId="67"/>
    <cellStyle name="60% - Accent3" xfId="68"/>
    <cellStyle name="60% - Accent3 2" xfId="69"/>
    <cellStyle name="60% - Accent3 3" xfId="70"/>
    <cellStyle name="60% - Accent4" xfId="71"/>
    <cellStyle name="60% - Accent4 2" xfId="72"/>
    <cellStyle name="60% - Accent4 3" xfId="73"/>
    <cellStyle name="60% - Accent5" xfId="74"/>
    <cellStyle name="60% - Accent5 2" xfId="75"/>
    <cellStyle name="60% - Accent5 3" xfId="76"/>
    <cellStyle name="60% - Accent6" xfId="77"/>
    <cellStyle name="60% - Accent6 2" xfId="78"/>
    <cellStyle name="60% - Accent6 3" xfId="79"/>
    <cellStyle name="Accent1" xfId="80"/>
    <cellStyle name="Accent1 2" xfId="81"/>
    <cellStyle name="Accent1 3" xfId="82"/>
    <cellStyle name="Accent2" xfId="83"/>
    <cellStyle name="Accent2 2" xfId="84"/>
    <cellStyle name="Accent2 3" xfId="85"/>
    <cellStyle name="Accent3" xfId="86"/>
    <cellStyle name="Accent3 2" xfId="87"/>
    <cellStyle name="Accent3 3" xfId="88"/>
    <cellStyle name="Accent4" xfId="89"/>
    <cellStyle name="Accent4 2" xfId="90"/>
    <cellStyle name="Accent4 3" xfId="91"/>
    <cellStyle name="Accent5" xfId="92"/>
    <cellStyle name="Accent5 2" xfId="93"/>
    <cellStyle name="Accent5 3" xfId="94"/>
    <cellStyle name="Accent6" xfId="95"/>
    <cellStyle name="Accent6 2" xfId="96"/>
    <cellStyle name="Accent6 3" xfId="97"/>
    <cellStyle name="Accounting" xfId="98"/>
    <cellStyle name="Actual Date" xfId="99"/>
    <cellStyle name="ADDR" xfId="100"/>
    <cellStyle name="Agara" xfId="101"/>
    <cellStyle name="Bad" xfId="102"/>
    <cellStyle name="Bad 2" xfId="103"/>
    <cellStyle name="Bad 3" xfId="104"/>
    <cellStyle name="Body" xfId="105"/>
    <cellStyle name="Bottom bold border" xfId="106"/>
    <cellStyle name="Bottom single border" xfId="107"/>
    <cellStyle name="Business Unit" xfId="108"/>
    <cellStyle name="C00A" xfId="109"/>
    <cellStyle name="C00B" xfId="110"/>
    <cellStyle name="C00L" xfId="111"/>
    <cellStyle name="C01A" xfId="112"/>
    <cellStyle name="C01B" xfId="113"/>
    <cellStyle name="C01H" xfId="114"/>
    <cellStyle name="C01L" xfId="115"/>
    <cellStyle name="C02A" xfId="116"/>
    <cellStyle name="C02B" xfId="117"/>
    <cellStyle name="C02H" xfId="118"/>
    <cellStyle name="C02L" xfId="119"/>
    <cellStyle name="C03A" xfId="120"/>
    <cellStyle name="C03B" xfId="121"/>
    <cellStyle name="C03H" xfId="122"/>
    <cellStyle name="C03L" xfId="123"/>
    <cellStyle name="C04A" xfId="124"/>
    <cellStyle name="C04B" xfId="125"/>
    <cellStyle name="C04H" xfId="126"/>
    <cellStyle name="C04L" xfId="127"/>
    <cellStyle name="C05A" xfId="128"/>
    <cellStyle name="C05B" xfId="129"/>
    <cellStyle name="C05H" xfId="130"/>
    <cellStyle name="C05L" xfId="131"/>
    <cellStyle name="C06A" xfId="132"/>
    <cellStyle name="C06B" xfId="133"/>
    <cellStyle name="C06H" xfId="134"/>
    <cellStyle name="C06L" xfId="135"/>
    <cellStyle name="C07A" xfId="136"/>
    <cellStyle name="C07B" xfId="137"/>
    <cellStyle name="C07H" xfId="138"/>
    <cellStyle name="C07L" xfId="139"/>
    <cellStyle name="Calculation" xfId="140"/>
    <cellStyle name="Calculation 2" xfId="141"/>
    <cellStyle name="Calculation 3" xfId="142"/>
    <cellStyle name="Check Cell" xfId="143"/>
    <cellStyle name="Check Cell 2" xfId="144"/>
    <cellStyle name="Check Cell 3" xfId="145"/>
    <cellStyle name="Comma" xfId="146"/>
    <cellStyle name="Comma [0]" xfId="147"/>
    <cellStyle name="Comma 0" xfId="148"/>
    <cellStyle name="Comma 2" xfId="149"/>
    <cellStyle name="Comma 3" xfId="150"/>
    <cellStyle name="Comma 4" xfId="151"/>
    <cellStyle name="Comma 4 2" xfId="152"/>
    <cellStyle name="Comma 5" xfId="153"/>
    <cellStyle name="Comma0 - Style1" xfId="154"/>
    <cellStyle name="Currency" xfId="155"/>
    <cellStyle name="Currency [0]" xfId="156"/>
    <cellStyle name="Currency 2" xfId="157"/>
    <cellStyle name="Currency 3" xfId="158"/>
    <cellStyle name="Date" xfId="159"/>
    <cellStyle name="Euro" xfId="160"/>
    <cellStyle name="Explanatory Text" xfId="161"/>
    <cellStyle name="Explanatory Text 2" xfId="162"/>
    <cellStyle name="Explanatory Text 3" xfId="163"/>
    <cellStyle name="Fixed" xfId="164"/>
    <cellStyle name="Fixed1 - Style1" xfId="165"/>
    <cellStyle name="Followed Hyperlink" xfId="166"/>
    <cellStyle name="Gilsans" xfId="167"/>
    <cellStyle name="Gilsansl" xfId="168"/>
    <cellStyle name="Good" xfId="169"/>
    <cellStyle name="Good 2" xfId="170"/>
    <cellStyle name="Good 3" xfId="171"/>
    <cellStyle name="Grey" xfId="172"/>
    <cellStyle name="HEADER" xfId="173"/>
    <cellStyle name="Header1" xfId="174"/>
    <cellStyle name="Header2" xfId="175"/>
    <cellStyle name="Heading" xfId="176"/>
    <cellStyle name="Heading 1" xfId="177"/>
    <cellStyle name="Heading 1 2" xfId="178"/>
    <cellStyle name="Heading 1 3" xfId="179"/>
    <cellStyle name="Heading 2" xfId="180"/>
    <cellStyle name="Heading 2 2" xfId="181"/>
    <cellStyle name="Heading 2 3" xfId="182"/>
    <cellStyle name="Heading 3" xfId="183"/>
    <cellStyle name="Heading 3 2" xfId="184"/>
    <cellStyle name="Heading 3 3" xfId="185"/>
    <cellStyle name="Heading 4" xfId="186"/>
    <cellStyle name="Heading 4 2" xfId="187"/>
    <cellStyle name="Heading 4 3" xfId="188"/>
    <cellStyle name="Heading1" xfId="189"/>
    <cellStyle name="Heading2" xfId="190"/>
    <cellStyle name="HIGHLIGHT" xfId="191"/>
    <cellStyle name="Hyperlink" xfId="192"/>
    <cellStyle name="Input" xfId="193"/>
    <cellStyle name="Input [yellow]" xfId="194"/>
    <cellStyle name="Input 10" xfId="195"/>
    <cellStyle name="Input 11" xfId="196"/>
    <cellStyle name="Input 12" xfId="197"/>
    <cellStyle name="Input 13" xfId="198"/>
    <cellStyle name="Input 14" xfId="199"/>
    <cellStyle name="Input 15" xfId="200"/>
    <cellStyle name="Input 16" xfId="201"/>
    <cellStyle name="Input 2" xfId="202"/>
    <cellStyle name="Input 3" xfId="203"/>
    <cellStyle name="Input 4" xfId="204"/>
    <cellStyle name="Input 5" xfId="205"/>
    <cellStyle name="Input 6" xfId="206"/>
    <cellStyle name="Input 7" xfId="207"/>
    <cellStyle name="Input 8" xfId="208"/>
    <cellStyle name="Input 9" xfId="209"/>
    <cellStyle name="Lines" xfId="210"/>
    <cellStyle name="Linked Cell" xfId="211"/>
    <cellStyle name="Linked Cell 2" xfId="212"/>
    <cellStyle name="Linked Cell 3" xfId="213"/>
    <cellStyle name="MEM SSN" xfId="214"/>
    <cellStyle name="Mine" xfId="215"/>
    <cellStyle name="mmm-yy" xfId="216"/>
    <cellStyle name="Monétaire [0]_pldt" xfId="217"/>
    <cellStyle name="Monétaire_pldt" xfId="218"/>
    <cellStyle name="Neutral" xfId="219"/>
    <cellStyle name="Neutral 2" xfId="220"/>
    <cellStyle name="Neutral 3" xfId="221"/>
    <cellStyle name="New" xfId="222"/>
    <cellStyle name="No Border" xfId="223"/>
    <cellStyle name="no dec" xfId="224"/>
    <cellStyle name="Normal - Style1" xfId="225"/>
    <cellStyle name="Normal 10" xfId="226"/>
    <cellStyle name="Normal 11" xfId="227"/>
    <cellStyle name="Normal 12" xfId="228"/>
    <cellStyle name="Normal 13" xfId="229"/>
    <cellStyle name="Normal 14" xfId="230"/>
    <cellStyle name="Normal 15" xfId="231"/>
    <cellStyle name="Normal 16" xfId="232"/>
    <cellStyle name="Normal 17" xfId="233"/>
    <cellStyle name="Normal 18" xfId="234"/>
    <cellStyle name="Normal 19" xfId="235"/>
    <cellStyle name="Normal 2" xfId="236"/>
    <cellStyle name="Normal 2 2" xfId="237"/>
    <cellStyle name="Normal 20" xfId="238"/>
    <cellStyle name="Normal 21" xfId="239"/>
    <cellStyle name="Normal 3" xfId="240"/>
    <cellStyle name="Normal 3 2" xfId="241"/>
    <cellStyle name="Normal 4" xfId="242"/>
    <cellStyle name="Normal 4 2" xfId="243"/>
    <cellStyle name="Normal 5" xfId="244"/>
    <cellStyle name="Normal 6" xfId="245"/>
    <cellStyle name="Normal 7" xfId="246"/>
    <cellStyle name="Normal 8" xfId="247"/>
    <cellStyle name="Normal 9" xfId="248"/>
    <cellStyle name="Normal CEN" xfId="249"/>
    <cellStyle name="Normal Centered" xfId="250"/>
    <cellStyle name="NORMAL CTR" xfId="251"/>
    <cellStyle name="Normal_2002 AREA LOADS FOR JNT TARIFF" xfId="252"/>
    <cellStyle name="Normal_BHP WP2" xfId="253"/>
    <cellStyle name="Normal_CU AC Rate Design" xfId="254"/>
    <cellStyle name="Normal_PRECorp2002HeintzResponse 8-21-03" xfId="255"/>
    <cellStyle name="Normal_TopSheet Type Ancillaries Worksheet-Updated 81903" xfId="256"/>
    <cellStyle name="Note" xfId="257"/>
    <cellStyle name="Note 2" xfId="258"/>
    <cellStyle name="Note 3" xfId="259"/>
    <cellStyle name="nUMBER" xfId="260"/>
    <cellStyle name="Output" xfId="261"/>
    <cellStyle name="Output 2" xfId="262"/>
    <cellStyle name="Output 3" xfId="263"/>
    <cellStyle name="Percent" xfId="264"/>
    <cellStyle name="Percent [2]" xfId="265"/>
    <cellStyle name="Percent 10" xfId="266"/>
    <cellStyle name="Percent 11" xfId="267"/>
    <cellStyle name="Percent 12" xfId="268"/>
    <cellStyle name="Percent 13" xfId="269"/>
    <cellStyle name="Percent 14" xfId="270"/>
    <cellStyle name="Percent 15" xfId="271"/>
    <cellStyle name="Percent 16" xfId="272"/>
    <cellStyle name="Percent 2" xfId="273"/>
    <cellStyle name="Percent 3" xfId="274"/>
    <cellStyle name="Percent 4" xfId="275"/>
    <cellStyle name="Percent 5" xfId="276"/>
    <cellStyle name="Percent 6" xfId="277"/>
    <cellStyle name="Percent 7" xfId="278"/>
    <cellStyle name="Percent 8" xfId="279"/>
    <cellStyle name="Percent 9" xfId="280"/>
    <cellStyle name="PSChar" xfId="281"/>
    <cellStyle name="PSDate" xfId="282"/>
    <cellStyle name="PSDec" xfId="283"/>
    <cellStyle name="PSHeading" xfId="284"/>
    <cellStyle name="PSInt" xfId="285"/>
    <cellStyle name="PSSpacer" xfId="286"/>
    <cellStyle name="R00A" xfId="287"/>
    <cellStyle name="R00B" xfId="288"/>
    <cellStyle name="R00L" xfId="289"/>
    <cellStyle name="R01A" xfId="290"/>
    <cellStyle name="R01B" xfId="291"/>
    <cellStyle name="R01H" xfId="292"/>
    <cellStyle name="R01L" xfId="293"/>
    <cellStyle name="R02A" xfId="294"/>
    <cellStyle name="R02B" xfId="295"/>
    <cellStyle name="R02H" xfId="296"/>
    <cellStyle name="R02L" xfId="297"/>
    <cellStyle name="R03A" xfId="298"/>
    <cellStyle name="R03B" xfId="299"/>
    <cellStyle name="R03H" xfId="300"/>
    <cellStyle name="R03L" xfId="301"/>
    <cellStyle name="R04A" xfId="302"/>
    <cellStyle name="R04B" xfId="303"/>
    <cellStyle name="R04H" xfId="304"/>
    <cellStyle name="R04L" xfId="305"/>
    <cellStyle name="R05A" xfId="306"/>
    <cellStyle name="R05B" xfId="307"/>
    <cellStyle name="R05H" xfId="308"/>
    <cellStyle name="R05L" xfId="309"/>
    <cellStyle name="R06A" xfId="310"/>
    <cellStyle name="R06B" xfId="311"/>
    <cellStyle name="R06H" xfId="312"/>
    <cellStyle name="R06L" xfId="313"/>
    <cellStyle name="R07A" xfId="314"/>
    <cellStyle name="R07B" xfId="315"/>
    <cellStyle name="R07H" xfId="316"/>
    <cellStyle name="R07L" xfId="317"/>
    <cellStyle name="Resource Detail" xfId="318"/>
    <cellStyle name="Shade" xfId="319"/>
    <cellStyle name="single acct" xfId="320"/>
    <cellStyle name="Single Border" xfId="321"/>
    <cellStyle name="Small Page Heading" xfId="322"/>
    <cellStyle name="ssn" xfId="323"/>
    <cellStyle name="Style 1" xfId="324"/>
    <cellStyle name="Style 2" xfId="325"/>
    <cellStyle name="Style 27" xfId="326"/>
    <cellStyle name="Style 28" xfId="327"/>
    <cellStyle name="Table Sub Heading" xfId="328"/>
    <cellStyle name="Table Title" xfId="329"/>
    <cellStyle name="Table Units" xfId="330"/>
    <cellStyle name="Theirs" xfId="331"/>
    <cellStyle name="Times New Roman" xfId="332"/>
    <cellStyle name="Title" xfId="333"/>
    <cellStyle name="Title 2" xfId="334"/>
    <cellStyle name="Title 3" xfId="335"/>
    <cellStyle name="Total" xfId="336"/>
    <cellStyle name="Total 2" xfId="337"/>
    <cellStyle name="Total 3" xfId="338"/>
    <cellStyle name="Unprot" xfId="339"/>
    <cellStyle name="Unprot$" xfId="340"/>
    <cellStyle name="Unprotect" xfId="341"/>
    <cellStyle name="Warning Text" xfId="342"/>
    <cellStyle name="Warning Text 2" xfId="343"/>
    <cellStyle name="Warning Text 3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P46"/>
  <sheetViews>
    <sheetView tabSelected="1" workbookViewId="0" topLeftCell="A1">
      <selection activeCell="F28" sqref="F28"/>
    </sheetView>
  </sheetViews>
  <sheetFormatPr defaultColWidth="7.10546875" defaultRowHeight="15"/>
  <cols>
    <col min="1" max="1" width="3.77734375" style="61" customWidth="1"/>
    <col min="2" max="2" width="7.10546875" style="62" customWidth="1"/>
    <col min="3" max="3" width="6.88671875" style="62" customWidth="1"/>
    <col min="4" max="4" width="11.5546875" style="62" customWidth="1"/>
    <col min="5" max="5" width="11.5546875" style="62" bestFit="1" customWidth="1"/>
    <col min="6" max="6" width="12.10546875" style="62" customWidth="1"/>
    <col min="7" max="7" width="8.77734375" style="62" bestFit="1" customWidth="1"/>
    <col min="8" max="8" width="9.5546875" style="62" bestFit="1" customWidth="1"/>
    <col min="9" max="9" width="7.10546875" style="62" customWidth="1"/>
    <col min="10" max="10" width="8.77734375" style="62" bestFit="1" customWidth="1"/>
    <col min="11" max="11" width="7.10546875" style="62" customWidth="1"/>
    <col min="12" max="12" width="8.4453125" style="62" customWidth="1"/>
    <col min="13" max="16384" width="7.10546875" style="62" customWidth="1"/>
  </cols>
  <sheetData>
    <row r="1" ht="12.75">
      <c r="H1" s="291" t="s">
        <v>374</v>
      </c>
    </row>
    <row r="2" ht="12.75">
      <c r="H2" s="94"/>
    </row>
    <row r="3" spans="1:8" ht="15" customHeight="1">
      <c r="A3" s="306" t="s">
        <v>303</v>
      </c>
      <c r="B3" s="306"/>
      <c r="C3" s="306"/>
      <c r="D3" s="306"/>
      <c r="E3" s="306"/>
      <c r="F3" s="306"/>
      <c r="G3" s="306"/>
      <c r="H3" s="306"/>
    </row>
    <row r="4" spans="1:8" ht="15" customHeight="1">
      <c r="A4" s="306" t="s">
        <v>56</v>
      </c>
      <c r="B4" s="306"/>
      <c r="C4" s="306"/>
      <c r="D4" s="306"/>
      <c r="E4" s="306"/>
      <c r="F4" s="306"/>
      <c r="G4" s="306"/>
      <c r="H4" s="306"/>
    </row>
    <row r="5" ht="12.75"/>
    <row r="6" ht="12.75">
      <c r="A6" s="63" t="s">
        <v>47</v>
      </c>
    </row>
    <row r="7" ht="12.75"/>
    <row r="8" spans="1:11" ht="12.75">
      <c r="A8" s="61">
        <v>1</v>
      </c>
      <c r="B8" s="93" t="s">
        <v>98</v>
      </c>
      <c r="D8" s="125"/>
      <c r="E8" s="126"/>
      <c r="H8" s="246">
        <v>902716</v>
      </c>
      <c r="I8" s="125"/>
      <c r="J8" s="125" t="s">
        <v>341</v>
      </c>
      <c r="K8" s="126"/>
    </row>
    <row r="9" ht="12.75"/>
    <row r="10" spans="4:8" ht="39" thickBot="1">
      <c r="D10" s="64" t="str">
        <f>+B20</f>
        <v>Entity</v>
      </c>
      <c r="E10" s="65"/>
      <c r="F10" s="116" t="s">
        <v>135</v>
      </c>
      <c r="G10" s="64" t="s">
        <v>216</v>
      </c>
      <c r="H10" s="66" t="s">
        <v>305</v>
      </c>
    </row>
    <row r="11" spans="4:8" ht="12.75">
      <c r="D11" s="61"/>
      <c r="F11" s="67"/>
      <c r="G11" s="61"/>
      <c r="H11" s="67"/>
    </row>
    <row r="12" spans="1:11" ht="12.75">
      <c r="A12" s="61">
        <v>2</v>
      </c>
      <c r="D12" s="62" t="s">
        <v>306</v>
      </c>
      <c r="F12" s="117">
        <f>+L22</f>
        <v>15.911514767474474</v>
      </c>
      <c r="G12" s="69">
        <f>+F12/F$15</f>
        <v>0.4738187778042474</v>
      </c>
      <c r="H12" s="68">
        <f>+H$8*G12</f>
        <v>427723.791824339</v>
      </c>
      <c r="J12" s="70"/>
      <c r="K12" s="71"/>
    </row>
    <row r="13" spans="1:11" ht="12.75">
      <c r="A13" s="61">
        <v>3</v>
      </c>
      <c r="D13" s="62" t="s">
        <v>307</v>
      </c>
      <c r="F13" s="118">
        <f>+L23</f>
        <v>16.380333053354274</v>
      </c>
      <c r="G13" s="69">
        <f>+F13/F$15</f>
        <v>0.48777941640302663</v>
      </c>
      <c r="H13" s="68">
        <f>+H$8*G13</f>
        <v>440326.28365767456</v>
      </c>
      <c r="J13" s="72"/>
      <c r="K13" s="71"/>
    </row>
    <row r="14" spans="1:11" ht="13.5" thickBot="1">
      <c r="A14" s="61">
        <v>4</v>
      </c>
      <c r="D14" s="73" t="s">
        <v>308</v>
      </c>
      <c r="E14" s="73"/>
      <c r="F14" s="119">
        <f>+L24</f>
        <v>1.2895877677120802</v>
      </c>
      <c r="G14" s="74">
        <f>+F14/F$15</f>
        <v>0.03840180579272594</v>
      </c>
      <c r="H14" s="75">
        <f>+H$8*G14</f>
        <v>34665.92451798639</v>
      </c>
      <c r="J14" s="72"/>
      <c r="K14" s="71"/>
    </row>
    <row r="15" spans="1:10" ht="12.75">
      <c r="A15" s="61">
        <v>5</v>
      </c>
      <c r="D15" s="62" t="s">
        <v>162</v>
      </c>
      <c r="F15" s="118">
        <f>SUM(F12:F14)</f>
        <v>33.58143558854083</v>
      </c>
      <c r="G15" s="77">
        <f>+F15/F$15</f>
        <v>1</v>
      </c>
      <c r="H15" s="76">
        <f>SUM(H12:H14)</f>
        <v>902716</v>
      </c>
      <c r="J15" s="70"/>
    </row>
    <row r="16" ht="12.75"/>
    <row r="17" ht="12.75"/>
    <row r="18" spans="1:7" ht="12.75">
      <c r="A18" s="63" t="s">
        <v>309</v>
      </c>
      <c r="E18" s="274" t="s">
        <v>360</v>
      </c>
      <c r="F18" s="275"/>
      <c r="G18" s="275"/>
    </row>
    <row r="19" ht="12.75"/>
    <row r="20" spans="2:8" ht="51.75" thickBot="1">
      <c r="B20" s="65" t="s">
        <v>310</v>
      </c>
      <c r="C20" s="65"/>
      <c r="D20" s="66" t="s">
        <v>136</v>
      </c>
      <c r="E20" s="66" t="s">
        <v>138</v>
      </c>
      <c r="F20" s="66" t="s">
        <v>311</v>
      </c>
      <c r="G20" s="116" t="s">
        <v>367</v>
      </c>
      <c r="H20" s="66" t="s">
        <v>264</v>
      </c>
    </row>
    <row r="21" spans="13:16" ht="12.75">
      <c r="M21" s="253" t="s">
        <v>336</v>
      </c>
      <c r="N21" s="254"/>
      <c r="O21" s="254"/>
      <c r="P21" s="255"/>
    </row>
    <row r="22" spans="1:16" ht="12.75">
      <c r="A22" s="61">
        <v>6</v>
      </c>
      <c r="B22" s="62" t="str">
        <f>+D12</f>
        <v>Black Hills</v>
      </c>
      <c r="D22" s="298">
        <f>+Estimate!J122</f>
        <v>16010403.234537875</v>
      </c>
      <c r="E22" s="76">
        <f>-H12</f>
        <v>-427723.791824339</v>
      </c>
      <c r="F22" s="76">
        <f>+E22+D22</f>
        <v>15582679.442713536</v>
      </c>
      <c r="G22" s="60">
        <f>+'WP7 CU AC LOADS'!J44*1000</f>
        <v>979333.3333333334</v>
      </c>
      <c r="H22" s="79">
        <f>+F22/G22</f>
        <v>15.911517470435877</v>
      </c>
      <c r="J22" s="142" t="s">
        <v>101</v>
      </c>
      <c r="L22" s="284">
        <v>15.911514767474474</v>
      </c>
      <c r="M22" s="256" t="s">
        <v>337</v>
      </c>
      <c r="N22" s="283"/>
      <c r="O22" s="257"/>
      <c r="P22" s="258"/>
    </row>
    <row r="23" spans="1:16" ht="12.75">
      <c r="A23" s="61">
        <v>7</v>
      </c>
      <c r="B23" s="62" t="str">
        <f>+D13</f>
        <v>Basin Electric</v>
      </c>
      <c r="D23" s="239">
        <v>16482130</v>
      </c>
      <c r="E23" s="76">
        <f>-H13</f>
        <v>-440326.28365767456</v>
      </c>
      <c r="F23" s="76">
        <f>+E23+D23</f>
        <v>16041803.716342326</v>
      </c>
      <c r="G23" s="241">
        <f>+G22</f>
        <v>979333.3333333334</v>
      </c>
      <c r="H23" s="79">
        <f>+F23/G23</f>
        <v>16.380330547660645</v>
      </c>
      <c r="J23" s="142" t="s">
        <v>101</v>
      </c>
      <c r="L23" s="284">
        <v>16.380333053354274</v>
      </c>
      <c r="M23" s="256" t="s">
        <v>338</v>
      </c>
      <c r="N23" s="283"/>
      <c r="O23" s="257"/>
      <c r="P23" s="258"/>
    </row>
    <row r="24" spans="1:16" ht="13.5" thickBot="1">
      <c r="A24" s="61">
        <v>8</v>
      </c>
      <c r="B24" s="65" t="str">
        <f>+D14</f>
        <v>PRECorp</v>
      </c>
      <c r="C24" s="65"/>
      <c r="D24" s="240">
        <v>1297602.0185064427</v>
      </c>
      <c r="E24" s="81">
        <f>-H14</f>
        <v>-34665.92451798639</v>
      </c>
      <c r="F24" s="81">
        <f>+E24+D24</f>
        <v>1262936.0939884563</v>
      </c>
      <c r="G24" s="242">
        <f>+G23</f>
        <v>979333.3333333334</v>
      </c>
      <c r="H24" s="212">
        <f>+F24/G24</f>
        <v>1.2895875704443052</v>
      </c>
      <c r="J24" s="142" t="s">
        <v>101</v>
      </c>
      <c r="L24" s="284">
        <v>1.2895877677120802</v>
      </c>
      <c r="M24" s="259" t="s">
        <v>339</v>
      </c>
      <c r="N24" s="260"/>
      <c r="O24" s="260"/>
      <c r="P24" s="261"/>
    </row>
    <row r="25" spans="1:8" ht="12.75">
      <c r="A25" s="61">
        <v>9</v>
      </c>
      <c r="B25" s="62" t="s">
        <v>162</v>
      </c>
      <c r="D25" s="76">
        <f>SUM(D22:D24)</f>
        <v>33790135.25304432</v>
      </c>
      <c r="E25" s="76">
        <f>SUM(E22:E24)</f>
        <v>-902716</v>
      </c>
      <c r="F25" s="76">
        <f>SUM(F22:F24)</f>
        <v>32887419.25304432</v>
      </c>
      <c r="H25" s="79">
        <f>SUM(H22:H24)</f>
        <v>33.58143558854083</v>
      </c>
    </row>
    <row r="26" spans="6:8" ht="12.75">
      <c r="F26" s="76"/>
      <c r="G26" s="80"/>
      <c r="H26" s="79"/>
    </row>
    <row r="27" ht="12.75">
      <c r="A27" s="63" t="s">
        <v>312</v>
      </c>
    </row>
    <row r="28" spans="1:7" ht="12.75">
      <c r="A28" s="61">
        <v>10</v>
      </c>
      <c r="D28" s="62" t="s">
        <v>313</v>
      </c>
      <c r="F28" s="85">
        <f>+H25</f>
        <v>33.58143558854083</v>
      </c>
      <c r="G28" s="82" t="s">
        <v>314</v>
      </c>
    </row>
    <row r="29" spans="1:8" ht="12.75">
      <c r="A29" s="61">
        <f aca="true" t="shared" si="0" ref="A29:A34">+A28+1</f>
        <v>11</v>
      </c>
      <c r="D29" s="62" t="s">
        <v>315</v>
      </c>
      <c r="F29" s="117">
        <f>ROUND(F28/12,2)</f>
        <v>2.8</v>
      </c>
      <c r="G29" s="82" t="s">
        <v>316</v>
      </c>
      <c r="H29" s="245"/>
    </row>
    <row r="30" spans="1:7" ht="12.75">
      <c r="A30" s="61">
        <f t="shared" si="0"/>
        <v>12</v>
      </c>
      <c r="D30" s="62" t="s">
        <v>317</v>
      </c>
      <c r="F30" s="117">
        <f>ROUND(F28/52,2)</f>
        <v>0.65</v>
      </c>
      <c r="G30" s="82" t="s">
        <v>318</v>
      </c>
    </row>
    <row r="31" spans="1:7" ht="12.75">
      <c r="A31" s="61">
        <f t="shared" si="0"/>
        <v>13</v>
      </c>
      <c r="D31" s="62" t="s">
        <v>319</v>
      </c>
      <c r="E31" s="62" t="s">
        <v>320</v>
      </c>
      <c r="F31" s="121">
        <f>+F30/6</f>
        <v>0.10833333333333334</v>
      </c>
      <c r="G31" s="82" t="s">
        <v>321</v>
      </c>
    </row>
    <row r="32" spans="1:7" ht="12.75">
      <c r="A32" s="61">
        <f t="shared" si="0"/>
        <v>14</v>
      </c>
      <c r="D32" s="62" t="s">
        <v>322</v>
      </c>
      <c r="E32" s="62" t="s">
        <v>323</v>
      </c>
      <c r="F32" s="121">
        <f>+F30/7</f>
        <v>0.09285714285714286</v>
      </c>
      <c r="G32" s="82" t="s">
        <v>321</v>
      </c>
    </row>
    <row r="33" spans="1:7" ht="12.75">
      <c r="A33" s="61">
        <f t="shared" si="0"/>
        <v>15</v>
      </c>
      <c r="D33" s="62" t="s">
        <v>324</v>
      </c>
      <c r="E33" s="62" t="s">
        <v>325</v>
      </c>
      <c r="F33" s="122">
        <f>+F31/16</f>
        <v>0.0067708333333333336</v>
      </c>
      <c r="G33" s="82" t="s">
        <v>326</v>
      </c>
    </row>
    <row r="34" spans="1:7" ht="12.75">
      <c r="A34" s="61">
        <f t="shared" si="0"/>
        <v>16</v>
      </c>
      <c r="D34" s="62" t="s">
        <v>327</v>
      </c>
      <c r="E34" s="62" t="s">
        <v>328</v>
      </c>
      <c r="F34" s="122">
        <f>+F32/24</f>
        <v>0.003869047619047619</v>
      </c>
      <c r="G34" s="82" t="s">
        <v>326</v>
      </c>
    </row>
    <row r="40" ht="12.75">
      <c r="A40" s="63" t="s">
        <v>329</v>
      </c>
    </row>
    <row r="42" spans="2:5" ht="12.75">
      <c r="B42" s="62" t="str">
        <f>+D20</f>
        <v>Component Annual Revenue Requirements</v>
      </c>
      <c r="E42" s="76">
        <f>+D25</f>
        <v>33790135.25304432</v>
      </c>
    </row>
    <row r="43" spans="2:5" ht="12.75">
      <c r="B43" s="93" t="s">
        <v>304</v>
      </c>
      <c r="E43" s="76">
        <f>+E25</f>
        <v>-902716</v>
      </c>
    </row>
    <row r="44" spans="2:5" ht="12.75">
      <c r="B44" s="62" t="str">
        <f>+F20</f>
        <v>Net Revenue Requirements</v>
      </c>
      <c r="E44" s="76">
        <f>+F25</f>
        <v>32887419.25304432</v>
      </c>
    </row>
    <row r="45" spans="2:5" ht="12.75">
      <c r="B45" s="62" t="str">
        <f>+G20</f>
        <v>Projected 2016 Load</v>
      </c>
      <c r="E45" s="80">
        <f>+G22</f>
        <v>979333.3333333334</v>
      </c>
    </row>
    <row r="46" spans="2:5" ht="12.75">
      <c r="B46" s="62" t="str">
        <f>+H20</f>
        <v>Annual Rate</v>
      </c>
      <c r="E46" s="85">
        <f>+E44/E45</f>
        <v>33.58143558854083</v>
      </c>
    </row>
  </sheetData>
  <sheetProtection/>
  <mergeCells count="2"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Header>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U234"/>
  <sheetViews>
    <sheetView zoomScale="90" zoomScaleNormal="90" zoomScalePageLayoutView="90" workbookViewId="0" topLeftCell="A1">
      <selection activeCell="J14" sqref="J14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2.21484375" style="0" customWidth="1"/>
    <col min="4" max="4" width="27.77734375" style="0" customWidth="1"/>
    <col min="5" max="5" width="15.21484375" style="224" customWidth="1"/>
    <col min="6" max="6" width="7.77734375" style="0" customWidth="1"/>
    <col min="7" max="7" width="6.5546875" style="0" customWidth="1"/>
    <col min="8" max="8" width="11.21484375" style="0" customWidth="1"/>
    <col min="9" max="9" width="7.10546875" style="0" customWidth="1"/>
    <col min="10" max="10" width="20.5546875" style="0" customWidth="1"/>
    <col min="11" max="11" width="1.2265625" style="0" customWidth="1"/>
  </cols>
  <sheetData>
    <row r="1" spans="9:10" ht="15">
      <c r="I1" s="286" t="s">
        <v>342</v>
      </c>
      <c r="J1" s="287">
        <v>42277</v>
      </c>
    </row>
    <row r="2" spans="1:47" ht="15.75">
      <c r="A2" s="12"/>
      <c r="B2" s="12"/>
      <c r="C2" s="12"/>
      <c r="D2" s="230"/>
      <c r="E2" s="48"/>
      <c r="F2" s="12"/>
      <c r="G2" s="12"/>
      <c r="I2" s="285" t="s">
        <v>137</v>
      </c>
      <c r="J2" s="292">
        <v>2016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5">
      <c r="A3" s="12"/>
      <c r="B3" s="12"/>
      <c r="C3" s="12"/>
      <c r="D3" s="12"/>
      <c r="E3" s="48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5" customHeight="1">
      <c r="A4" s="309" t="s">
        <v>266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>
      <c r="A5" s="308" t="s">
        <v>159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">
      <c r="A6" s="12"/>
      <c r="B6" s="12"/>
      <c r="C6" s="2"/>
      <c r="D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" customHeight="1">
      <c r="A7" s="307" t="s">
        <v>265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5">
      <c r="A8" s="26"/>
      <c r="B8" s="12"/>
      <c r="C8" s="2"/>
      <c r="D8" s="2"/>
      <c r="E8" s="5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5">
      <c r="A9" s="12"/>
      <c r="B9" s="12"/>
      <c r="C9" s="4" t="s">
        <v>164</v>
      </c>
      <c r="D9" s="4" t="s">
        <v>165</v>
      </c>
      <c r="E9" s="232" t="s">
        <v>166</v>
      </c>
      <c r="F9" s="5" t="s">
        <v>158</v>
      </c>
      <c r="G9" s="5"/>
      <c r="H9" s="7" t="s">
        <v>167</v>
      </c>
      <c r="I9" s="5"/>
      <c r="J9" s="8" t="s">
        <v>168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.75">
      <c r="A10" s="12"/>
      <c r="B10" s="12"/>
      <c r="C10" s="3"/>
      <c r="D10" s="22" t="s">
        <v>169</v>
      </c>
      <c r="E10" s="30"/>
      <c r="F10" s="5"/>
      <c r="G10" s="98" t="s">
        <v>72</v>
      </c>
      <c r="H10" s="26"/>
      <c r="I10" s="5"/>
      <c r="J10" s="27" t="s">
        <v>170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5.75">
      <c r="A11" s="26" t="s">
        <v>160</v>
      </c>
      <c r="B11" s="12"/>
      <c r="C11" s="3"/>
      <c r="D11" s="35" t="s">
        <v>171</v>
      </c>
      <c r="E11" s="225" t="s">
        <v>172</v>
      </c>
      <c r="F11" s="36"/>
      <c r="G11" s="123" t="s">
        <v>62</v>
      </c>
      <c r="H11" s="124"/>
      <c r="I11" s="36"/>
      <c r="J11" s="26" t="s">
        <v>173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6.5" thickBot="1">
      <c r="A12" s="31" t="s">
        <v>161</v>
      </c>
      <c r="B12" s="12"/>
      <c r="C12" s="13" t="s">
        <v>174</v>
      </c>
      <c r="D12" s="5"/>
      <c r="E12" s="30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5">
      <c r="A13" s="26"/>
      <c r="B13" s="12"/>
      <c r="C13" s="3"/>
      <c r="D13" s="5"/>
      <c r="E13" s="5"/>
      <c r="F13" s="5"/>
      <c r="G13" s="5"/>
      <c r="H13" s="5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">
      <c r="A14" s="26"/>
      <c r="B14" s="12"/>
      <c r="C14" s="3" t="s">
        <v>175</v>
      </c>
      <c r="D14" s="5"/>
      <c r="E14" s="30"/>
      <c r="F14" s="5"/>
      <c r="G14" s="5"/>
      <c r="H14" s="5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5">
      <c r="A15" s="26">
        <v>1</v>
      </c>
      <c r="B15" s="12"/>
      <c r="C15" s="3" t="s">
        <v>176</v>
      </c>
      <c r="D15" s="5" t="s">
        <v>51</v>
      </c>
      <c r="E15" s="269">
        <f>'WP6 Rate Base'!Q15</f>
        <v>571406548</v>
      </c>
      <c r="F15" s="5"/>
      <c r="G15" s="5" t="s">
        <v>177</v>
      </c>
      <c r="H15" s="14" t="s">
        <v>158</v>
      </c>
      <c r="I15" s="5"/>
      <c r="J15" s="5" t="s">
        <v>158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5">
      <c r="A16" s="26">
        <f>+A15+1</f>
        <v>2</v>
      </c>
      <c r="B16" s="12"/>
      <c r="C16" s="3" t="s">
        <v>178</v>
      </c>
      <c r="D16" s="5" t="s">
        <v>102</v>
      </c>
      <c r="E16" s="269">
        <f>'WP6 Rate Base'!Q16</f>
        <v>115948536</v>
      </c>
      <c r="F16" s="5"/>
      <c r="G16" s="5" t="s">
        <v>163</v>
      </c>
      <c r="H16" s="14">
        <f>+J144</f>
        <v>0.842684</v>
      </c>
      <c r="I16" s="5"/>
      <c r="J16" s="5">
        <f>+H16*E16</f>
        <v>97707976.110624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5">
      <c r="A17" s="26">
        <f aca="true" t="shared" si="0" ref="A17:A67">+A16+1</f>
        <v>3</v>
      </c>
      <c r="B17" s="12"/>
      <c r="C17" s="3" t="s">
        <v>259</v>
      </c>
      <c r="D17" s="5" t="str">
        <f>"See Workpaper 2 (line 9)"</f>
        <v>See Workpaper 2 (line 9)</v>
      </c>
      <c r="E17" s="30">
        <f>+'BHP WP2 Capital Additions'!F19</f>
        <v>2784979</v>
      </c>
      <c r="F17" s="5"/>
      <c r="G17" s="5" t="s">
        <v>163</v>
      </c>
      <c r="H17" s="14">
        <f>+H16</f>
        <v>0.842684</v>
      </c>
      <c r="I17" s="5"/>
      <c r="J17" s="5">
        <f>+H17*E17</f>
        <v>2346857.243636</v>
      </c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5">
      <c r="A18" s="26">
        <f t="shared" si="0"/>
        <v>4</v>
      </c>
      <c r="B18" s="12"/>
      <c r="C18" s="3" t="s">
        <v>259</v>
      </c>
      <c r="D18" s="30" t="str">
        <f>"See Workpaper 3 (line "&amp;'BHP WP3 Capital Additions'!B22&amp;" col D)"</f>
        <v>See Workpaper 3 (line 19 col D)</v>
      </c>
      <c r="E18" s="30">
        <f>+'BHP WP3 Capital Additions'!G22</f>
        <v>23417297.583333332</v>
      </c>
      <c r="F18" s="5"/>
      <c r="G18" s="5" t="str">
        <f>+G17</f>
        <v>TP</v>
      </c>
      <c r="H18" s="14">
        <f>+H17</f>
        <v>0.842684</v>
      </c>
      <c r="I18" s="5"/>
      <c r="J18" s="5">
        <f>+H18*E18</f>
        <v>19733381.996713664</v>
      </c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5">
      <c r="A19" s="26">
        <f t="shared" si="0"/>
        <v>5</v>
      </c>
      <c r="B19" s="12"/>
      <c r="C19" s="3" t="s">
        <v>179</v>
      </c>
      <c r="D19" s="5" t="s">
        <v>103</v>
      </c>
      <c r="E19" s="269">
        <f>'WP6 Rate Base'!Q17</f>
        <v>336651742</v>
      </c>
      <c r="F19" s="5"/>
      <c r="G19" s="5" t="s">
        <v>177</v>
      </c>
      <c r="H19" s="17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5">
      <c r="A20" s="26">
        <f t="shared" si="0"/>
        <v>6</v>
      </c>
      <c r="B20" s="12"/>
      <c r="C20" s="3" t="s">
        <v>180</v>
      </c>
      <c r="D20" s="5" t="s">
        <v>361</v>
      </c>
      <c r="E20" s="269">
        <f>'WP6 Rate Base'!Q18</f>
        <v>42574957</v>
      </c>
      <c r="F20" s="5"/>
      <c r="G20" s="5" t="s">
        <v>181</v>
      </c>
      <c r="H20" s="14">
        <f>J176</f>
        <v>0.09043142009657061</v>
      </c>
      <c r="I20" s="5"/>
      <c r="J20" s="5">
        <f>+H20*E20</f>
        <v>3850113.8220604295</v>
      </c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">
      <c r="A21" s="26">
        <f t="shared" si="0"/>
        <v>7</v>
      </c>
      <c r="B21" s="12"/>
      <c r="C21" s="3" t="s">
        <v>119</v>
      </c>
      <c r="D21" s="5" t="s">
        <v>362</v>
      </c>
      <c r="E21" s="269">
        <f>'WP6 Rate Base'!Q19</f>
        <v>29919815</v>
      </c>
      <c r="F21" s="5"/>
      <c r="G21" s="5" t="s">
        <v>181</v>
      </c>
      <c r="H21" s="14">
        <f>+H20</f>
        <v>0.09043142009657061</v>
      </c>
      <c r="I21" s="5"/>
      <c r="J21" s="5">
        <f>+H21*E21</f>
        <v>2705691.359476675</v>
      </c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">
      <c r="A22" s="26">
        <f t="shared" si="0"/>
        <v>8</v>
      </c>
      <c r="B22" s="12"/>
      <c r="C22" s="3" t="s">
        <v>81</v>
      </c>
      <c r="D22" s="5" t="s">
        <v>80</v>
      </c>
      <c r="E22" s="269">
        <f>'WP6 Rate Base'!Q20</f>
        <v>7243597</v>
      </c>
      <c r="F22" s="5"/>
      <c r="G22" s="5" t="s">
        <v>114</v>
      </c>
      <c r="H22" s="14">
        <f>+J181</f>
        <v>0.2656990860706641</v>
      </c>
      <c r="I22" s="5"/>
      <c r="J22" s="5">
        <f>+H22*E22</f>
        <v>1924617.1027642044</v>
      </c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5.75" thickBot="1">
      <c r="A23" s="26">
        <f t="shared" si="0"/>
        <v>9</v>
      </c>
      <c r="B23" s="12"/>
      <c r="C23" s="3" t="s">
        <v>182</v>
      </c>
      <c r="D23" s="5" t="s">
        <v>183</v>
      </c>
      <c r="E23" s="270">
        <v>0</v>
      </c>
      <c r="F23" s="5"/>
      <c r="G23" s="5" t="s">
        <v>213</v>
      </c>
      <c r="H23" s="14">
        <v>0</v>
      </c>
      <c r="I23" s="5"/>
      <c r="J23" s="32">
        <f>+H23*E23</f>
        <v>0</v>
      </c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5">
      <c r="A24" s="26">
        <f t="shared" si="0"/>
        <v>10</v>
      </c>
      <c r="B24" s="12"/>
      <c r="C24" s="24" t="s">
        <v>7</v>
      </c>
      <c r="D24" s="5" t="str">
        <f>"(sum lines "&amp;A15&amp;" - "&amp;A23&amp;")"</f>
        <v>(sum lines 1 - 9)</v>
      </c>
      <c r="E24" s="30">
        <f>SUM(E15:E23)</f>
        <v>1129947471.5833335</v>
      </c>
      <c r="F24" s="5"/>
      <c r="G24" s="5" t="s">
        <v>184</v>
      </c>
      <c r="H24" s="215">
        <f>+J24/E24</f>
        <v>0.11351734559442764</v>
      </c>
      <c r="I24" s="5"/>
      <c r="J24" s="5">
        <f>SUM(J15:J23)</f>
        <v>128268637.63527498</v>
      </c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5">
      <c r="A25" s="26">
        <f t="shared" si="0"/>
        <v>11</v>
      </c>
      <c r="B25" s="12"/>
      <c r="C25" s="3"/>
      <c r="D25" s="5"/>
      <c r="E25" s="30"/>
      <c r="F25" s="5"/>
      <c r="G25" s="5"/>
      <c r="H25" s="16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5">
      <c r="A26" s="26">
        <f t="shared" si="0"/>
        <v>12</v>
      </c>
      <c r="B26" s="12"/>
      <c r="C26" s="3" t="s">
        <v>185</v>
      </c>
      <c r="D26" s="5"/>
      <c r="E26" s="30"/>
      <c r="F26" s="5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5">
      <c r="A27" s="26">
        <f t="shared" si="0"/>
        <v>13</v>
      </c>
      <c r="B27" s="12"/>
      <c r="C27" s="3" t="str">
        <f>+C15</f>
        <v>  Production</v>
      </c>
      <c r="D27" s="5" t="s">
        <v>104</v>
      </c>
      <c r="E27" s="269">
        <f>'WP6 Rate Base'!Q25</f>
        <v>161552920</v>
      </c>
      <c r="F27" s="5"/>
      <c r="G27" s="5" t="str">
        <f>+G15</f>
        <v>NA</v>
      </c>
      <c r="H27" s="14" t="str">
        <f>+H15</f>
        <v> </v>
      </c>
      <c r="I27" s="5"/>
      <c r="J27" s="5" t="s">
        <v>158</v>
      </c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">
      <c r="A28" s="26">
        <f t="shared" si="0"/>
        <v>14</v>
      </c>
      <c r="B28" s="12"/>
      <c r="C28" s="3" t="s">
        <v>178</v>
      </c>
      <c r="D28" s="5" t="s">
        <v>105</v>
      </c>
      <c r="E28" s="269">
        <f>'WP6 Rate Base'!Q26</f>
        <v>35073403</v>
      </c>
      <c r="F28" s="5"/>
      <c r="G28" s="5" t="s">
        <v>59</v>
      </c>
      <c r="H28" s="14">
        <f>+J162</f>
        <v>0.83594</v>
      </c>
      <c r="I28" s="5"/>
      <c r="J28" s="30">
        <f>+H28*E28</f>
        <v>29319260.503820002</v>
      </c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5">
      <c r="A29" s="26">
        <f t="shared" si="0"/>
        <v>15</v>
      </c>
      <c r="B29" s="12"/>
      <c r="C29" s="44" t="s">
        <v>258</v>
      </c>
      <c r="D29" s="5" t="str">
        <f>"See Workpaper 2 (line 48)"</f>
        <v>See Workpaper 2 (line 48)</v>
      </c>
      <c r="E29" s="30">
        <f>+'BHP WP2 Capital Additions'!F56</f>
        <v>3735038.6488163816</v>
      </c>
      <c r="F29" s="5"/>
      <c r="G29" s="5" t="str">
        <f>+G28</f>
        <v>TPA</v>
      </c>
      <c r="H29" s="14">
        <f>+H28</f>
        <v>0.83594</v>
      </c>
      <c r="I29" s="5"/>
      <c r="J29" s="5">
        <f>+H29*E29</f>
        <v>3122268.208091566</v>
      </c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">
      <c r="A30" s="26">
        <f t="shared" si="0"/>
        <v>16</v>
      </c>
      <c r="B30" s="12"/>
      <c r="C30" s="3" t="s">
        <v>179</v>
      </c>
      <c r="D30" s="5" t="s">
        <v>106</v>
      </c>
      <c r="E30" s="269">
        <f>'WP6 Rate Base'!Q27</f>
        <v>112236258</v>
      </c>
      <c r="F30" s="5"/>
      <c r="G30" s="5" t="s">
        <v>177</v>
      </c>
      <c r="H30" s="14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5">
      <c r="A31" s="26">
        <f t="shared" si="0"/>
        <v>17</v>
      </c>
      <c r="B31" s="12"/>
      <c r="C31" s="3" t="str">
        <f>+C20</f>
        <v>  General &amp; Intangible</v>
      </c>
      <c r="D31" s="5" t="s">
        <v>363</v>
      </c>
      <c r="E31" s="269">
        <f>'WP6 Rate Base'!Q28</f>
        <v>17633393</v>
      </c>
      <c r="F31" s="5"/>
      <c r="G31" s="5" t="str">
        <f>+G20</f>
        <v>W/S</v>
      </c>
      <c r="H31" s="14">
        <f>+H20</f>
        <v>0.09043142009657061</v>
      </c>
      <c r="I31" s="5"/>
      <c r="J31" s="5">
        <f>+H31*E31</f>
        <v>1594612.7701109275</v>
      </c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5">
      <c r="A32" s="26">
        <f t="shared" si="0"/>
        <v>18</v>
      </c>
      <c r="B32" s="12"/>
      <c r="C32" s="3" t="s">
        <v>119</v>
      </c>
      <c r="D32" s="5" t="s">
        <v>364</v>
      </c>
      <c r="E32" s="269">
        <f>'WP6 Rate Base'!Q29</f>
        <v>18392528</v>
      </c>
      <c r="F32" s="5"/>
      <c r="G32" s="5" t="str">
        <f>+G21</f>
        <v>W/S</v>
      </c>
      <c r="H32" s="14">
        <f>+H31</f>
        <v>0.09043142009657061</v>
      </c>
      <c r="I32" s="5"/>
      <c r="J32" s="5">
        <f>+H32*E32</f>
        <v>1663262.4262059378</v>
      </c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5">
      <c r="A33" s="26">
        <f t="shared" si="0"/>
        <v>19</v>
      </c>
      <c r="B33" s="12"/>
      <c r="C33" s="3" t="str">
        <f>+C22</f>
        <v>  Communication System</v>
      </c>
      <c r="D33" s="5" t="s">
        <v>365</v>
      </c>
      <c r="E33" s="269">
        <f>'WP6 Rate Base'!Q30</f>
        <v>1612073</v>
      </c>
      <c r="F33" s="5"/>
      <c r="G33" s="5" t="str">
        <f>+G22</f>
        <v>T&amp;D</v>
      </c>
      <c r="H33" s="14">
        <f>+H22</f>
        <v>0.2656990860706641</v>
      </c>
      <c r="I33" s="5"/>
      <c r="J33" s="5">
        <f>+H33*E33</f>
        <v>428326.3227791937</v>
      </c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5.75" thickBot="1">
      <c r="A34" s="26">
        <f t="shared" si="0"/>
        <v>20</v>
      </c>
      <c r="B34" s="12"/>
      <c r="C34" s="3" t="str">
        <f>+C23</f>
        <v>  Common</v>
      </c>
      <c r="D34" s="5" t="s">
        <v>183</v>
      </c>
      <c r="E34" s="270">
        <v>0</v>
      </c>
      <c r="F34" s="5"/>
      <c r="G34" s="5" t="str">
        <f>+G23</f>
        <v>CE</v>
      </c>
      <c r="H34" s="14">
        <f>+H23</f>
        <v>0</v>
      </c>
      <c r="I34" s="5"/>
      <c r="J34" s="32">
        <f>+H34*E34</f>
        <v>0</v>
      </c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5">
      <c r="A35" s="26">
        <f t="shared" si="0"/>
        <v>21</v>
      </c>
      <c r="B35" s="12"/>
      <c r="C35" s="3" t="s">
        <v>9</v>
      </c>
      <c r="D35" s="5" t="str">
        <f>"(sum lines "&amp;A27&amp;" - "&amp;A34&amp;")"</f>
        <v>(sum lines 13 - 20)</v>
      </c>
      <c r="E35" s="30">
        <f>SUM(E27:E34)</f>
        <v>350235613.64881635</v>
      </c>
      <c r="F35" s="5"/>
      <c r="G35" s="5"/>
      <c r="H35" s="5"/>
      <c r="I35" s="5"/>
      <c r="J35" s="5">
        <f>SUM(J27:J34)</f>
        <v>36127730.23100763</v>
      </c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5">
      <c r="A36" s="26">
        <f t="shared" si="0"/>
        <v>22</v>
      </c>
      <c r="B36" s="12"/>
      <c r="C36" s="12"/>
      <c r="D36" s="5" t="s">
        <v>158</v>
      </c>
      <c r="E36" s="48"/>
      <c r="F36" s="5"/>
      <c r="G36" s="5"/>
      <c r="H36" s="16"/>
      <c r="I36" s="5"/>
      <c r="J36" s="12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5">
      <c r="A37" s="26">
        <f t="shared" si="0"/>
        <v>23</v>
      </c>
      <c r="B37" s="12"/>
      <c r="C37" s="3" t="s">
        <v>186</v>
      </c>
      <c r="D37" s="5"/>
      <c r="E37" s="30"/>
      <c r="F37" s="5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5">
      <c r="A38" s="26">
        <f t="shared" si="0"/>
        <v>24</v>
      </c>
      <c r="B38" s="12"/>
      <c r="C38" s="3" t="str">
        <f>+C27</f>
        <v>  Production</v>
      </c>
      <c r="D38" s="5" t="str">
        <f>"(line "&amp;A15&amp;" - line "&amp;A27&amp;")"</f>
        <v>(line 1 - line 13)</v>
      </c>
      <c r="E38" s="30">
        <f>E15-E27</f>
        <v>409853628</v>
      </c>
      <c r="F38" s="5"/>
      <c r="G38" s="5" t="s">
        <v>70</v>
      </c>
      <c r="H38" s="16"/>
      <c r="I38" s="5"/>
      <c r="J38" s="5" t="s">
        <v>158</v>
      </c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>
      <c r="A39" s="26">
        <f t="shared" si="0"/>
        <v>25</v>
      </c>
      <c r="B39" s="12"/>
      <c r="C39" s="3" t="s">
        <v>178</v>
      </c>
      <c r="D39" s="5" t="str">
        <f>"(line "&amp;A16&amp;" - line "&amp;A28&amp;")"</f>
        <v>(line 2 - line 14)</v>
      </c>
      <c r="E39" s="30">
        <f>E16-E28</f>
        <v>80875133</v>
      </c>
      <c r="F39" s="5"/>
      <c r="G39" s="5" t="s">
        <v>70</v>
      </c>
      <c r="H39" s="14"/>
      <c r="I39" s="5"/>
      <c r="J39" s="5">
        <f>J16-J28</f>
        <v>68388715.606804</v>
      </c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5">
      <c r="A40" s="26">
        <f t="shared" si="0"/>
        <v>26</v>
      </c>
      <c r="B40" s="12"/>
      <c r="C40" s="3" t="str">
        <f>+C17</f>
        <v>  New Construction CUS Assets</v>
      </c>
      <c r="D40" s="5" t="str">
        <f>"(line "&amp;A17&amp;" - line "&amp;A29&amp;")"</f>
        <v>(line 3 - line 15)</v>
      </c>
      <c r="E40" s="30">
        <f>E17-E29</f>
        <v>-950059.6488163816</v>
      </c>
      <c r="F40" s="5"/>
      <c r="G40" s="5" t="s">
        <v>70</v>
      </c>
      <c r="H40" s="14"/>
      <c r="I40" s="5"/>
      <c r="J40" s="5">
        <f>J17-J29</f>
        <v>-775410.9644555659</v>
      </c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5">
      <c r="A41" s="26">
        <f t="shared" si="0"/>
        <v>27</v>
      </c>
      <c r="B41" s="12"/>
      <c r="C41" s="3" t="s">
        <v>259</v>
      </c>
      <c r="D41" s="5" t="str">
        <f>"(line "&amp;A18&amp;")"</f>
        <v>(line 4)</v>
      </c>
      <c r="E41" s="30">
        <f>E18</f>
        <v>23417297.583333332</v>
      </c>
      <c r="F41" s="5"/>
      <c r="G41" s="5" t="s">
        <v>70</v>
      </c>
      <c r="H41" s="14"/>
      <c r="I41" s="5"/>
      <c r="J41" s="5">
        <f>J18</f>
        <v>19733381.996713664</v>
      </c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5">
      <c r="A42" s="26">
        <f t="shared" si="0"/>
        <v>28</v>
      </c>
      <c r="B42" s="12"/>
      <c r="C42" s="3" t="s">
        <v>260</v>
      </c>
      <c r="D42" s="5" t="str">
        <f>"(line "&amp;A19&amp;" - line "&amp;A30&amp;")"</f>
        <v>(line 5 - line 16)</v>
      </c>
      <c r="E42" s="30">
        <f aca="true" t="shared" si="1" ref="E42:E47">E19-E30</f>
        <v>224415484</v>
      </c>
      <c r="F42" s="5"/>
      <c r="G42" s="5" t="s">
        <v>70</v>
      </c>
      <c r="H42" s="16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5">
      <c r="A43" s="26">
        <f t="shared" si="0"/>
        <v>29</v>
      </c>
      <c r="B43" s="12"/>
      <c r="C43" s="3" t="str">
        <f>+C31</f>
        <v>  General &amp; Intangible</v>
      </c>
      <c r="D43" s="5" t="str">
        <f>"(line "&amp;A20&amp;" - line "&amp;A31&amp;")"</f>
        <v>(line 6 - line 17)</v>
      </c>
      <c r="E43" s="30">
        <f t="shared" si="1"/>
        <v>24941564</v>
      </c>
      <c r="F43" s="5"/>
      <c r="G43" s="5" t="s">
        <v>70</v>
      </c>
      <c r="H43" s="16"/>
      <c r="I43" s="5"/>
      <c r="J43" s="5">
        <f>J20-J31</f>
        <v>2255501.051949502</v>
      </c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5">
      <c r="A44" s="26">
        <f t="shared" si="0"/>
        <v>30</v>
      </c>
      <c r="B44" s="12"/>
      <c r="C44" s="3" t="s">
        <v>119</v>
      </c>
      <c r="D44" s="5" t="str">
        <f>"(line "&amp;A21&amp;" - line "&amp;A32&amp;")"</f>
        <v>(line 7 - line 18)</v>
      </c>
      <c r="E44" s="30">
        <f t="shared" si="1"/>
        <v>11527287</v>
      </c>
      <c r="F44" s="5"/>
      <c r="G44" s="5" t="s">
        <v>70</v>
      </c>
      <c r="H44" s="16"/>
      <c r="I44" s="5"/>
      <c r="J44" s="5">
        <f>J21-J32</f>
        <v>1042428.9332707371</v>
      </c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5">
      <c r="A45" s="26">
        <f t="shared" si="0"/>
        <v>31</v>
      </c>
      <c r="B45" s="12"/>
      <c r="C45" s="3" t="str">
        <f>+C33</f>
        <v>  Communication System</v>
      </c>
      <c r="D45" s="5" t="str">
        <f>"(line "&amp;A22&amp;" - line "&amp;A33&amp;")"</f>
        <v>(line 8 - line 19)</v>
      </c>
      <c r="E45" s="30">
        <f t="shared" si="1"/>
        <v>5631524</v>
      </c>
      <c r="F45" s="5"/>
      <c r="G45" s="5" t="s">
        <v>70</v>
      </c>
      <c r="H45" s="16"/>
      <c r="I45" s="5"/>
      <c r="J45" s="5">
        <f>J22-J33</f>
        <v>1496290.7799850106</v>
      </c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 thickBot="1">
      <c r="A46" s="26">
        <f t="shared" si="0"/>
        <v>32</v>
      </c>
      <c r="B46" s="12"/>
      <c r="C46" s="3" t="str">
        <f>+C34</f>
        <v>  Common</v>
      </c>
      <c r="D46" s="5" t="str">
        <f>"(line "&amp;A23&amp;" - line "&amp;A34&amp;")"</f>
        <v>(line 9 - line 20)</v>
      </c>
      <c r="E46" s="50">
        <f t="shared" si="1"/>
        <v>0</v>
      </c>
      <c r="F46" s="5"/>
      <c r="G46" s="5" t="s">
        <v>70</v>
      </c>
      <c r="H46" s="16"/>
      <c r="I46" s="5"/>
      <c r="J46" s="32">
        <f>J23-J34</f>
        <v>0</v>
      </c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">
      <c r="A47" s="26">
        <f t="shared" si="0"/>
        <v>33</v>
      </c>
      <c r="B47" s="12"/>
      <c r="C47" s="3" t="s">
        <v>8</v>
      </c>
      <c r="D47" s="5" t="str">
        <f>"(sum lines "&amp;A38&amp;" - "&amp;A46&amp;")"</f>
        <v>(sum lines 24 - 32)</v>
      </c>
      <c r="E47" s="30">
        <f t="shared" si="1"/>
        <v>779711857.9345171</v>
      </c>
      <c r="F47" s="5"/>
      <c r="G47" s="5" t="s">
        <v>187</v>
      </c>
      <c r="H47" s="215">
        <f>+J47/E47</f>
        <v>0.11817302310670472</v>
      </c>
      <c r="I47" s="5"/>
      <c r="J47" s="5">
        <f>SUM(J38:J46)</f>
        <v>92140907.40426736</v>
      </c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5">
      <c r="A48" s="26">
        <f t="shared" si="0"/>
        <v>34</v>
      </c>
      <c r="B48" s="12"/>
      <c r="C48" s="12"/>
      <c r="D48" s="5"/>
      <c r="E48" s="143"/>
      <c r="F48" s="5"/>
      <c r="G48" s="12"/>
      <c r="H48" s="12"/>
      <c r="I48" s="5"/>
      <c r="J48" s="12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5">
      <c r="A49" s="26">
        <f t="shared" si="0"/>
        <v>35</v>
      </c>
      <c r="B49" s="12"/>
      <c r="C49" s="24" t="s">
        <v>48</v>
      </c>
      <c r="D49" s="5"/>
      <c r="E49" s="30"/>
      <c r="F49" s="5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">
      <c r="A50" s="26">
        <f t="shared" si="0"/>
        <v>36</v>
      </c>
      <c r="B50" s="12"/>
      <c r="C50" s="3" t="s">
        <v>231</v>
      </c>
      <c r="D50" s="5" t="s">
        <v>188</v>
      </c>
      <c r="E50" s="268">
        <f>'WP6 Rate Base'!F50</f>
        <v>0</v>
      </c>
      <c r="F50" s="30"/>
      <c r="G50" s="30" t="str">
        <f>+G27</f>
        <v>NA</v>
      </c>
      <c r="H50" s="42" t="s">
        <v>252</v>
      </c>
      <c r="I50" s="5"/>
      <c r="J50" s="128">
        <v>0</v>
      </c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>
      <c r="A51" s="26">
        <f t="shared" si="0"/>
        <v>37</v>
      </c>
      <c r="B51" s="12"/>
      <c r="C51" s="3" t="s">
        <v>232</v>
      </c>
      <c r="D51" s="5" t="s">
        <v>190</v>
      </c>
      <c r="E51" s="268">
        <f>'WP6 Rate Base'!F51</f>
        <v>-185559862</v>
      </c>
      <c r="F51" s="5"/>
      <c r="G51" s="5" t="s">
        <v>189</v>
      </c>
      <c r="H51" s="14">
        <f>+H47</f>
        <v>0.11817302310670472</v>
      </c>
      <c r="I51" s="5"/>
      <c r="J51" s="143">
        <v>-22012741</v>
      </c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>
      <c r="A52" s="26">
        <f t="shared" si="0"/>
        <v>38</v>
      </c>
      <c r="B52" s="12"/>
      <c r="C52" s="3" t="s">
        <v>233</v>
      </c>
      <c r="D52" s="5" t="s">
        <v>191</v>
      </c>
      <c r="E52" s="268">
        <f>'WP6 Rate Base'!F52</f>
        <v>-28378776</v>
      </c>
      <c r="F52" s="5"/>
      <c r="G52" s="5" t="str">
        <f>+G51</f>
        <v>NP</v>
      </c>
      <c r="H52" s="14">
        <f>+H51</f>
        <v>0.11817302310670472</v>
      </c>
      <c r="I52" s="5"/>
      <c r="J52" s="128">
        <f>E52*H52</f>
        <v>-3353605.7519879974</v>
      </c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>
      <c r="A53" s="26">
        <f t="shared" si="0"/>
        <v>39</v>
      </c>
      <c r="B53" s="12"/>
      <c r="C53" s="3" t="s">
        <v>235</v>
      </c>
      <c r="D53" s="5" t="s">
        <v>192</v>
      </c>
      <c r="E53" s="268">
        <f>'WP6 Rate Base'!F53</f>
        <v>33629868</v>
      </c>
      <c r="F53" s="5"/>
      <c r="G53" s="5" t="str">
        <f>+G52</f>
        <v>NP</v>
      </c>
      <c r="H53" s="14">
        <f>+H52</f>
        <v>0.11817302310670472</v>
      </c>
      <c r="I53" s="5"/>
      <c r="J53" s="128">
        <v>2173968</v>
      </c>
      <c r="K53" s="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>
      <c r="A54" s="26">
        <f t="shared" si="0"/>
        <v>40</v>
      </c>
      <c r="B54" s="12"/>
      <c r="C54" s="12" t="s">
        <v>234</v>
      </c>
      <c r="D54" s="12" t="s">
        <v>107</v>
      </c>
      <c r="E54" s="268">
        <f>'WP6 Rate Base'!F54</f>
        <v>0</v>
      </c>
      <c r="F54" s="5"/>
      <c r="G54" s="5" t="str">
        <f>+G53</f>
        <v>NP</v>
      </c>
      <c r="H54" s="14">
        <f>+H52</f>
        <v>0.11817302310670472</v>
      </c>
      <c r="I54" s="5"/>
      <c r="J54" s="144">
        <f>E54*H54</f>
        <v>0</v>
      </c>
      <c r="K54" s="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.75" thickBot="1">
      <c r="A55" s="26">
        <f t="shared" si="0"/>
        <v>41</v>
      </c>
      <c r="B55" s="12"/>
      <c r="C55" s="3" t="s">
        <v>254</v>
      </c>
      <c r="D55" s="48" t="s">
        <v>270</v>
      </c>
      <c r="E55" s="267">
        <f>'WP6 Rate Base'!F55</f>
        <v>2895518.5</v>
      </c>
      <c r="F55" s="5"/>
      <c r="G55" s="5" t="str">
        <f>+G54</f>
        <v>NP</v>
      </c>
      <c r="H55" s="14">
        <f>+H54</f>
        <v>0.11817302310670472</v>
      </c>
      <c r="I55" s="5"/>
      <c r="J55" s="145">
        <f>+H55*E55</f>
        <v>342172.174606391</v>
      </c>
      <c r="K55" s="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>
      <c r="A56" s="26">
        <f t="shared" si="0"/>
        <v>42</v>
      </c>
      <c r="B56" s="12"/>
      <c r="C56" s="3" t="s">
        <v>10</v>
      </c>
      <c r="D56" s="5" t="str">
        <f>"(sum lines "&amp;A50&amp;" - "&amp;A55&amp;")"</f>
        <v>(sum lines 36 - 41)</v>
      </c>
      <c r="E56" s="30"/>
      <c r="F56" s="5"/>
      <c r="G56" s="5"/>
      <c r="H56" s="5"/>
      <c r="I56" s="5"/>
      <c r="J56" s="128">
        <f>SUM(J50:J55)</f>
        <v>-22850206.577381607</v>
      </c>
      <c r="K56" s="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>
      <c r="A57" s="26">
        <f t="shared" si="0"/>
        <v>43</v>
      </c>
      <c r="B57" s="12"/>
      <c r="C57" s="12"/>
      <c r="D57" s="5"/>
      <c r="E57" s="48"/>
      <c r="F57" s="5"/>
      <c r="G57" s="5"/>
      <c r="H57" s="16"/>
      <c r="I57" s="5"/>
      <c r="J57" s="12"/>
      <c r="K57" s="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>
      <c r="A58" s="26">
        <f t="shared" si="0"/>
        <v>44</v>
      </c>
      <c r="B58" s="12"/>
      <c r="C58" s="24" t="s">
        <v>193</v>
      </c>
      <c r="D58" s="5" t="s">
        <v>49</v>
      </c>
      <c r="E58" s="30">
        <v>0</v>
      </c>
      <c r="F58" s="5"/>
      <c r="G58" s="30" t="s">
        <v>330</v>
      </c>
      <c r="H58" s="43">
        <v>0</v>
      </c>
      <c r="I58" s="5"/>
      <c r="J58" s="5">
        <f>+H58*E58</f>
        <v>0</v>
      </c>
      <c r="K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>
      <c r="A59" s="26">
        <f t="shared" si="0"/>
        <v>45</v>
      </c>
      <c r="B59" s="12"/>
      <c r="C59" s="3"/>
      <c r="D59" s="5"/>
      <c r="E59" s="30"/>
      <c r="F59" s="5"/>
      <c r="G59" s="5"/>
      <c r="H59" s="5"/>
      <c r="I59" s="5"/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>
      <c r="A60" s="26">
        <f t="shared" si="0"/>
        <v>46</v>
      </c>
      <c r="B60" s="12"/>
      <c r="C60" s="3" t="s">
        <v>261</v>
      </c>
      <c r="D60" s="5" t="s">
        <v>158</v>
      </c>
      <c r="E60" s="30"/>
      <c r="F60" s="5"/>
      <c r="G60" s="5"/>
      <c r="H60" s="5"/>
      <c r="I60" s="5"/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>
      <c r="A61" s="26">
        <f t="shared" si="0"/>
        <v>47</v>
      </c>
      <c r="B61" s="12"/>
      <c r="C61" s="3" t="s">
        <v>251</v>
      </c>
      <c r="D61" s="48" t="str">
        <f>"(1/8 * line "&amp;A90&amp;")"</f>
        <v>(1/8 * line 63)</v>
      </c>
      <c r="E61" s="30">
        <f>+E90/8</f>
        <v>3634569.375</v>
      </c>
      <c r="F61" s="5"/>
      <c r="G61" s="5" t="s">
        <v>70</v>
      </c>
      <c r="H61" s="16"/>
      <c r="I61" s="5"/>
      <c r="J61" s="5">
        <f>+J90/8</f>
        <v>434609.76009086205</v>
      </c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>
      <c r="A62" s="26">
        <f t="shared" si="0"/>
        <v>48</v>
      </c>
      <c r="B62" s="12"/>
      <c r="C62" s="3" t="s">
        <v>301</v>
      </c>
      <c r="D62" s="5" t="s">
        <v>117</v>
      </c>
      <c r="E62" s="269">
        <f>'WP6 Rate Base'!F62</f>
        <v>4111763</v>
      </c>
      <c r="F62" s="5"/>
      <c r="G62" s="5" t="s">
        <v>114</v>
      </c>
      <c r="H62" s="14">
        <f>+J181</f>
        <v>0.2656990860706641</v>
      </c>
      <c r="I62" s="5"/>
      <c r="J62" s="5">
        <f>+H62*E62</f>
        <v>1092491.671239172</v>
      </c>
      <c r="K62" s="5" t="s">
        <v>158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>
      <c r="A63" s="26">
        <f t="shared" si="0"/>
        <v>49</v>
      </c>
      <c r="B63" s="12"/>
      <c r="C63" s="3" t="s">
        <v>301</v>
      </c>
      <c r="D63" s="5" t="s">
        <v>116</v>
      </c>
      <c r="E63" s="269">
        <f>'WP6 Rate Base'!F63</f>
        <v>15853</v>
      </c>
      <c r="F63" s="5"/>
      <c r="G63" s="5" t="s">
        <v>163</v>
      </c>
      <c r="H63" s="14">
        <f>+J144</f>
        <v>0.842684</v>
      </c>
      <c r="I63" s="5"/>
      <c r="J63" s="5">
        <f>+H63*E63</f>
        <v>13359.069452</v>
      </c>
      <c r="K63" s="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.75" thickBot="1">
      <c r="A64" s="26">
        <f t="shared" si="0"/>
        <v>50</v>
      </c>
      <c r="B64" s="12"/>
      <c r="C64" s="3" t="s">
        <v>236</v>
      </c>
      <c r="D64" s="5" t="s">
        <v>52</v>
      </c>
      <c r="E64" s="269">
        <f>'WP6 Rate Base'!F64</f>
        <v>4427880</v>
      </c>
      <c r="F64" s="5"/>
      <c r="G64" s="5" t="s">
        <v>194</v>
      </c>
      <c r="H64" s="14">
        <f>+H24</f>
        <v>0.11351734559442764</v>
      </c>
      <c r="I64" s="5"/>
      <c r="J64" s="32">
        <f>+H64*E64</f>
        <v>502641.18421065423</v>
      </c>
      <c r="K64" s="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>
      <c r="A65" s="26">
        <f t="shared" si="0"/>
        <v>51</v>
      </c>
      <c r="B65" s="12"/>
      <c r="C65" s="3" t="s">
        <v>11</v>
      </c>
      <c r="D65" s="5" t="str">
        <f>"(sum lines "&amp;A61&amp;" - "&amp;A64&amp;")"</f>
        <v>(sum lines 47 - 50)</v>
      </c>
      <c r="E65" s="30"/>
      <c r="F65" s="2"/>
      <c r="G65" s="2"/>
      <c r="H65" s="2"/>
      <c r="I65" s="2"/>
      <c r="J65" s="5">
        <f>SUM(J61:J64)</f>
        <v>2043101.6849926882</v>
      </c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.75" thickBot="1">
      <c r="A66" s="26">
        <f t="shared" si="0"/>
        <v>52</v>
      </c>
      <c r="B66" s="12"/>
      <c r="C66" s="12"/>
      <c r="D66" s="5"/>
      <c r="E66" s="226"/>
      <c r="F66" s="5"/>
      <c r="G66" s="5"/>
      <c r="H66" s="5"/>
      <c r="I66" s="5"/>
      <c r="J66" s="131"/>
      <c r="K66" s="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5.75" thickBot="1">
      <c r="A67" s="26">
        <f t="shared" si="0"/>
        <v>53</v>
      </c>
      <c r="B67" s="12"/>
      <c r="C67" s="3" t="s">
        <v>12</v>
      </c>
      <c r="D67" s="5" t="str">
        <f>"(sum lines "&amp;A47&amp;", "&amp;A56&amp;", "&amp;A58&amp;", &amp; "&amp;A65&amp;")"</f>
        <v>(sum lines 33, 42, 44, &amp; 51)</v>
      </c>
      <c r="E67" s="56"/>
      <c r="F67" s="5"/>
      <c r="G67" s="5"/>
      <c r="H67" s="16"/>
      <c r="I67" s="5"/>
      <c r="J67" s="37">
        <f>+J65+J58+J56+J47</f>
        <v>71333802.51187843</v>
      </c>
      <c r="K67" s="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5.75" thickTop="1">
      <c r="A68" s="26"/>
      <c r="B68" s="12"/>
      <c r="C68" s="3"/>
      <c r="D68" s="5"/>
      <c r="E68" s="56"/>
      <c r="F68" s="5"/>
      <c r="G68" s="5"/>
      <c r="H68" s="16"/>
      <c r="I68" s="295" t="s">
        <v>342</v>
      </c>
      <c r="J68" s="288" t="s">
        <v>366</v>
      </c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5">
      <c r="A69" s="26"/>
      <c r="B69" s="12"/>
      <c r="C69" s="3"/>
      <c r="D69" s="5"/>
      <c r="E69" s="30"/>
      <c r="F69" s="5"/>
      <c r="G69" s="5"/>
      <c r="I69" s="222" t="s">
        <v>137</v>
      </c>
      <c r="J69" s="2">
        <f>J2:K2</f>
        <v>2016</v>
      </c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5">
      <c r="A70" s="26"/>
      <c r="B70" s="12"/>
      <c r="C70" s="3"/>
      <c r="D70" s="5"/>
      <c r="E70" s="30"/>
      <c r="F70" s="5"/>
      <c r="G70" s="5"/>
      <c r="H70" s="5"/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5.75">
      <c r="A71" s="309" t="s">
        <v>266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5.75">
      <c r="A72" s="308" t="s">
        <v>159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5">
      <c r="A73" s="12"/>
      <c r="B73" s="12"/>
      <c r="C73" s="2"/>
      <c r="D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5.75">
      <c r="A74" s="307" t="s">
        <v>265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5">
      <c r="A75" s="26"/>
      <c r="B75" s="12"/>
      <c r="C75" s="4" t="s">
        <v>164</v>
      </c>
      <c r="D75" s="4" t="s">
        <v>165</v>
      </c>
      <c r="E75" s="232" t="s">
        <v>166</v>
      </c>
      <c r="F75" s="5" t="s">
        <v>158</v>
      </c>
      <c r="G75" s="5"/>
      <c r="H75" s="7" t="s">
        <v>167</v>
      </c>
      <c r="I75" s="5"/>
      <c r="J75" s="8" t="s">
        <v>168</v>
      </c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5">
      <c r="A76" s="26"/>
      <c r="B76" s="12"/>
      <c r="C76" s="4"/>
      <c r="D76" s="25"/>
      <c r="E76" s="38"/>
      <c r="F76" s="25"/>
      <c r="G76" s="25"/>
      <c r="H76" s="25"/>
      <c r="I76" s="25"/>
      <c r="J76" s="25"/>
      <c r="K76" s="2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5.75">
      <c r="A77" s="26" t="s">
        <v>160</v>
      </c>
      <c r="B77" s="12"/>
      <c r="C77" s="3"/>
      <c r="D77" s="22" t="s">
        <v>169</v>
      </c>
      <c r="E77" s="30"/>
      <c r="F77" s="5"/>
      <c r="G77" s="36" t="str">
        <f>+G10</f>
        <v>      Allocator</v>
      </c>
      <c r="H77" s="26"/>
      <c r="I77" s="5"/>
      <c r="J77" s="27" t="s">
        <v>170</v>
      </c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6.5" thickBot="1">
      <c r="A78" s="31" t="s">
        <v>161</v>
      </c>
      <c r="B78" s="12"/>
      <c r="C78" s="3"/>
      <c r="D78" s="35" t="s">
        <v>171</v>
      </c>
      <c r="E78" s="225" t="s">
        <v>172</v>
      </c>
      <c r="F78" s="36"/>
      <c r="G78" s="97" t="str">
        <f>+G11</f>
        <v>        (page 4)</v>
      </c>
      <c r="H78" s="12"/>
      <c r="I78" s="36"/>
      <c r="J78" s="26" t="s">
        <v>173</v>
      </c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5.75">
      <c r="A79" s="12"/>
      <c r="B79" s="12"/>
      <c r="C79" s="3"/>
      <c r="D79" s="5"/>
      <c r="E79" s="227"/>
      <c r="F79" s="10"/>
      <c r="G79" s="11"/>
      <c r="H79" s="12"/>
      <c r="I79" s="10"/>
      <c r="J79" s="9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5">
      <c r="A80" s="26"/>
      <c r="B80" s="12"/>
      <c r="C80" s="3" t="s">
        <v>195</v>
      </c>
      <c r="D80" s="5"/>
      <c r="E80" s="30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5">
      <c r="A81" s="26">
        <f>+A67+1</f>
        <v>54</v>
      </c>
      <c r="B81" s="12"/>
      <c r="C81" s="3" t="s">
        <v>196</v>
      </c>
      <c r="D81" s="5" t="s">
        <v>120</v>
      </c>
      <c r="E81" s="269">
        <v>24294195</v>
      </c>
      <c r="F81" s="5"/>
      <c r="G81" s="30" t="s">
        <v>163</v>
      </c>
      <c r="H81" s="43">
        <f>+J144</f>
        <v>0.842684</v>
      </c>
      <c r="I81" s="5"/>
      <c r="J81" s="5">
        <f>+H81*E81</f>
        <v>20472329.419379998</v>
      </c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5">
      <c r="A82" s="26">
        <f>+A81+1</f>
        <v>55</v>
      </c>
      <c r="B82" s="12"/>
      <c r="C82" s="3" t="s">
        <v>45</v>
      </c>
      <c r="D82" s="5" t="s">
        <v>92</v>
      </c>
      <c r="E82" s="269">
        <v>22634050</v>
      </c>
      <c r="F82" s="5"/>
      <c r="G82" s="30" t="str">
        <f>+G81</f>
        <v>TP</v>
      </c>
      <c r="H82" s="43">
        <f>+H81</f>
        <v>0.842684</v>
      </c>
      <c r="I82" s="5"/>
      <c r="J82" s="5">
        <f aca="true" t="shared" si="2" ref="J82:J89">+H82*E82</f>
        <v>19073351.7902</v>
      </c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5">
      <c r="A83" s="26">
        <f aca="true" t="shared" si="3" ref="A83:A122">+A82+1</f>
        <v>56</v>
      </c>
      <c r="B83" s="12"/>
      <c r="C83" s="3" t="s">
        <v>197</v>
      </c>
      <c r="D83" s="5" t="s">
        <v>108</v>
      </c>
      <c r="E83" s="269">
        <v>28628315</v>
      </c>
      <c r="F83" s="5"/>
      <c r="G83" s="5" t="s">
        <v>181</v>
      </c>
      <c r="H83" s="14">
        <f>+H31</f>
        <v>0.09043142009657061</v>
      </c>
      <c r="I83" s="5"/>
      <c r="J83" s="5">
        <f t="shared" si="2"/>
        <v>2588899.180421954</v>
      </c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5">
      <c r="A84" s="26">
        <f t="shared" si="3"/>
        <v>57</v>
      </c>
      <c r="B84" s="12"/>
      <c r="C84" s="3" t="s">
        <v>42</v>
      </c>
      <c r="D84" s="5" t="s">
        <v>118</v>
      </c>
      <c r="E84" s="269">
        <v>441313</v>
      </c>
      <c r="F84" s="5"/>
      <c r="G84" s="5" t="s">
        <v>181</v>
      </c>
      <c r="H84" s="14">
        <v>1</v>
      </c>
      <c r="I84" s="5"/>
      <c r="J84" s="5">
        <f>E84*H84</f>
        <v>441313</v>
      </c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5">
      <c r="A85" s="26">
        <f t="shared" si="3"/>
        <v>58</v>
      </c>
      <c r="B85" s="12"/>
      <c r="C85" s="44" t="s">
        <v>255</v>
      </c>
      <c r="D85" s="30" t="s">
        <v>139</v>
      </c>
      <c r="E85" s="30">
        <v>227200</v>
      </c>
      <c r="F85" s="30"/>
      <c r="G85" s="5" t="str">
        <f>G83</f>
        <v>W/S</v>
      </c>
      <c r="H85" s="43">
        <f>+$J$176</f>
        <v>0.09043142009657061</v>
      </c>
      <c r="I85" s="30"/>
      <c r="J85" s="5">
        <f t="shared" si="2"/>
        <v>20546.018645940843</v>
      </c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5">
      <c r="A86" s="26">
        <f t="shared" si="3"/>
        <v>59</v>
      </c>
      <c r="B86" s="12"/>
      <c r="C86" s="44" t="s">
        <v>256</v>
      </c>
      <c r="D86" s="30" t="s">
        <v>140</v>
      </c>
      <c r="E86" s="30">
        <v>196299</v>
      </c>
      <c r="F86" s="30"/>
      <c r="G86" s="5" t="str">
        <f>+G85</f>
        <v>W/S</v>
      </c>
      <c r="H86" s="43">
        <f>+$J$176</f>
        <v>0.09043142009657061</v>
      </c>
      <c r="I86" s="30"/>
      <c r="J86" s="5">
        <f t="shared" si="2"/>
        <v>17751.597333536716</v>
      </c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5">
      <c r="A87" s="26">
        <f t="shared" si="3"/>
        <v>60</v>
      </c>
      <c r="B87" s="12"/>
      <c r="C87" s="44" t="s">
        <v>44</v>
      </c>
      <c r="D87" s="243"/>
      <c r="E87" s="30">
        <v>801493</v>
      </c>
      <c r="F87" s="5"/>
      <c r="G87" s="5" t="s">
        <v>181</v>
      </c>
      <c r="H87" s="43">
        <f>+$J$176</f>
        <v>0.09043142009657061</v>
      </c>
      <c r="I87" s="5"/>
      <c r="J87" s="5">
        <f t="shared" si="2"/>
        <v>72480.15018746066</v>
      </c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5">
      <c r="A88" s="26">
        <f t="shared" si="3"/>
        <v>61</v>
      </c>
      <c r="B88" s="12"/>
      <c r="C88" s="44" t="s">
        <v>43</v>
      </c>
      <c r="D88" s="30"/>
      <c r="E88" s="30">
        <v>0</v>
      </c>
      <c r="F88" s="30"/>
      <c r="G88" s="120" t="str">
        <f>+G81</f>
        <v>TP</v>
      </c>
      <c r="H88" s="43">
        <f>+H81</f>
        <v>0.842684</v>
      </c>
      <c r="I88" s="30"/>
      <c r="J88" s="30">
        <f>+H88*E88</f>
        <v>0</v>
      </c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5.75" thickBot="1">
      <c r="A89" s="26">
        <f t="shared" si="3"/>
        <v>62</v>
      </c>
      <c r="B89" s="12"/>
      <c r="C89" s="3" t="s">
        <v>182</v>
      </c>
      <c r="D89" s="5" t="str">
        <f>+D34</f>
        <v>356.1</v>
      </c>
      <c r="E89" s="270">
        <v>0</v>
      </c>
      <c r="F89" s="5"/>
      <c r="G89" s="5" t="s">
        <v>213</v>
      </c>
      <c r="H89" s="14">
        <f>+H34</f>
        <v>0</v>
      </c>
      <c r="I89" s="5"/>
      <c r="J89" s="32">
        <f t="shared" si="2"/>
        <v>0</v>
      </c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5">
      <c r="A90" s="26">
        <f t="shared" si="3"/>
        <v>63</v>
      </c>
      <c r="B90" s="12"/>
      <c r="C90" s="3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5"/>
      <c r="E90" s="56">
        <f>+E81-E82+E83-E84-E87+E89+E88+E85-E86</f>
        <v>29076555</v>
      </c>
      <c r="F90" s="5"/>
      <c r="G90" s="5"/>
      <c r="H90" s="5"/>
      <c r="I90" s="5"/>
      <c r="J90" s="55">
        <f>+J81-J82+J83-J84-J87+J89+J88+J85-J86</f>
        <v>3476878.0807268964</v>
      </c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5">
      <c r="A91" s="26">
        <f t="shared" si="3"/>
        <v>64</v>
      </c>
      <c r="B91" s="12"/>
      <c r="C91" s="12"/>
      <c r="D91" s="5"/>
      <c r="E91" s="48"/>
      <c r="F91" s="5"/>
      <c r="G91" s="5"/>
      <c r="H91" s="5"/>
      <c r="I91" s="5"/>
      <c r="J91" s="12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5">
      <c r="A92" s="26">
        <f t="shared" si="3"/>
        <v>65</v>
      </c>
      <c r="B92" s="12"/>
      <c r="C92" s="3" t="s">
        <v>144</v>
      </c>
      <c r="D92" s="5"/>
      <c r="E92" s="30"/>
      <c r="F92" s="5"/>
      <c r="G92" s="5"/>
      <c r="H92" s="5"/>
      <c r="I92" s="5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5">
      <c r="A93" s="26">
        <f t="shared" si="3"/>
        <v>66</v>
      </c>
      <c r="B93" s="12"/>
      <c r="C93" s="3" t="str">
        <f>+C16</f>
        <v>  Transmission</v>
      </c>
      <c r="D93" s="271" t="s">
        <v>368</v>
      </c>
      <c r="E93" s="269">
        <f>E16*'BHP WP5 Depreciation Rates'!H24</f>
        <v>2690006.0352</v>
      </c>
      <c r="F93" s="5"/>
      <c r="G93" s="5" t="s">
        <v>163</v>
      </c>
      <c r="H93" s="14">
        <f>+J144</f>
        <v>0.842684</v>
      </c>
      <c r="I93" s="5"/>
      <c r="J93" s="30">
        <f>+H93*E93</f>
        <v>2266825.0457664765</v>
      </c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5">
      <c r="A94" s="26">
        <f t="shared" si="3"/>
        <v>67</v>
      </c>
      <c r="B94" s="12"/>
      <c r="C94" s="3" t="str">
        <f>+C17</f>
        <v>  New Construction CUS Assets</v>
      </c>
      <c r="D94" s="3" t="str">
        <f>"See Workpaper 2 (line 13)"</f>
        <v>See Workpaper 2 (line 13)</v>
      </c>
      <c r="E94" s="30">
        <f>+'BHP WP2 Capital Additions'!F21</f>
        <v>64611.5128</v>
      </c>
      <c r="F94" s="5"/>
      <c r="G94" s="5" t="s">
        <v>163</v>
      </c>
      <c r="H94" s="14">
        <f>+H93</f>
        <v>0.842684</v>
      </c>
      <c r="I94" s="5"/>
      <c r="J94" s="5">
        <f>+H94*E94</f>
        <v>54447.0880523552</v>
      </c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5">
      <c r="A95" s="26">
        <f t="shared" si="3"/>
        <v>68</v>
      </c>
      <c r="B95" s="12"/>
      <c r="C95" s="3" t="str">
        <f>+C18</f>
        <v>  New Construction CUS Assets</v>
      </c>
      <c r="D95" s="3" t="str">
        <f>"See Workpaper 3 (line "&amp;'BHP WP3 Capital Additions'!B26&amp;")"</f>
        <v>See Workpaper 3 (line 23)</v>
      </c>
      <c r="E95" s="30">
        <f>+'BHP WP3 Capital Additions'!G26</f>
        <v>543281.3039333333</v>
      </c>
      <c r="F95" s="5"/>
      <c r="G95" s="5" t="str">
        <f>+G94</f>
        <v>TP</v>
      </c>
      <c r="H95" s="14">
        <f>+H94</f>
        <v>0.842684</v>
      </c>
      <c r="I95" s="5"/>
      <c r="J95" s="5">
        <f>+H95*E95</f>
        <v>457814.462323757</v>
      </c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5">
      <c r="A96" s="26">
        <f t="shared" si="3"/>
        <v>69</v>
      </c>
      <c r="B96" s="12"/>
      <c r="C96" s="44" t="s">
        <v>257</v>
      </c>
      <c r="D96" s="30" t="s">
        <v>369</v>
      </c>
      <c r="E96" s="269">
        <f>+(E20+E22)*'BHP WP5 Depreciation Rates'!H38</f>
        <v>3253151.5762</v>
      </c>
      <c r="F96" s="5"/>
      <c r="G96" s="5" t="s">
        <v>181</v>
      </c>
      <c r="H96" s="14">
        <f>H85</f>
        <v>0.09043142009657061</v>
      </c>
      <c r="I96" s="5"/>
      <c r="J96" s="5">
        <f>+H96*E96</f>
        <v>294187.116825163</v>
      </c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5.75" thickBot="1">
      <c r="A97" s="26">
        <f t="shared" si="3"/>
        <v>70</v>
      </c>
      <c r="B97" s="12"/>
      <c r="C97" s="3" t="str">
        <f>+C89</f>
        <v>  Common</v>
      </c>
      <c r="D97" s="5" t="s">
        <v>109</v>
      </c>
      <c r="E97" s="270">
        <v>0</v>
      </c>
      <c r="F97" s="5"/>
      <c r="G97" s="5" t="s">
        <v>213</v>
      </c>
      <c r="H97" s="14">
        <f>+H89</f>
        <v>0</v>
      </c>
      <c r="I97" s="5"/>
      <c r="J97" s="32">
        <f>+H97*E97</f>
        <v>0</v>
      </c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5">
      <c r="A98" s="26">
        <f t="shared" si="3"/>
        <v>71</v>
      </c>
      <c r="B98" s="12"/>
      <c r="C98" s="44" t="str">
        <f>"TOTAL DEPRECIATION (Sum lines "&amp;A93&amp;" - "&amp;A97&amp;")"</f>
        <v>TOTAL DEPRECIATION (Sum lines 66 - 70)</v>
      </c>
      <c r="D98" s="5"/>
      <c r="E98" s="30">
        <f>SUM(E93:E97)</f>
        <v>6551050.428133333</v>
      </c>
      <c r="F98" s="5"/>
      <c r="G98" s="5"/>
      <c r="H98" s="5"/>
      <c r="I98" s="5"/>
      <c r="J98" s="5">
        <f>SUM(J93:J97)</f>
        <v>3073273.7129677515</v>
      </c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5">
      <c r="A99" s="26">
        <f t="shared" si="3"/>
        <v>72</v>
      </c>
      <c r="B99" s="12"/>
      <c r="C99" s="3"/>
      <c r="D99" s="5"/>
      <c r="E99" s="30"/>
      <c r="F99" s="5"/>
      <c r="G99" s="5"/>
      <c r="H99" s="5"/>
      <c r="I99" s="5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5">
      <c r="A100" s="26">
        <f t="shared" si="3"/>
        <v>73</v>
      </c>
      <c r="B100" s="12"/>
      <c r="C100" s="3" t="s">
        <v>68</v>
      </c>
      <c r="D100" s="12"/>
      <c r="E100" s="30"/>
      <c r="F100" s="5"/>
      <c r="G100" s="5"/>
      <c r="H100" s="5"/>
      <c r="I100" s="5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5">
      <c r="A101" s="26">
        <f t="shared" si="3"/>
        <v>74</v>
      </c>
      <c r="B101" s="12"/>
      <c r="C101" s="3" t="s">
        <v>198</v>
      </c>
      <c r="D101" s="12"/>
      <c r="E101" s="48"/>
      <c r="F101" s="5"/>
      <c r="G101" s="5"/>
      <c r="H101" s="12"/>
      <c r="I101" s="5"/>
      <c r="J101" s="12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5">
      <c r="A102" s="26">
        <f t="shared" si="3"/>
        <v>75</v>
      </c>
      <c r="B102" s="12"/>
      <c r="C102" s="3" t="s">
        <v>199</v>
      </c>
      <c r="D102" s="5" t="s">
        <v>370</v>
      </c>
      <c r="E102" s="269">
        <v>1925080</v>
      </c>
      <c r="F102" s="5"/>
      <c r="G102" s="5" t="s">
        <v>181</v>
      </c>
      <c r="H102" s="17">
        <f>+J176</f>
        <v>0.09043142009657061</v>
      </c>
      <c r="I102" s="5"/>
      <c r="J102" s="5">
        <f>+H102*E102</f>
        <v>174087.71819950614</v>
      </c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5">
      <c r="A103" s="26">
        <f t="shared" si="3"/>
        <v>76</v>
      </c>
      <c r="B103" s="12"/>
      <c r="C103" s="3" t="s">
        <v>200</v>
      </c>
      <c r="D103" s="5" t="s">
        <v>53</v>
      </c>
      <c r="E103" s="269">
        <v>0</v>
      </c>
      <c r="F103" s="5"/>
      <c r="G103" s="5" t="str">
        <f>+G102</f>
        <v>W/S</v>
      </c>
      <c r="H103" s="17">
        <f>+H102</f>
        <v>0.09043142009657061</v>
      </c>
      <c r="I103" s="5"/>
      <c r="J103" s="5">
        <f>+H103*E103</f>
        <v>0</v>
      </c>
      <c r="K103" s="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5">
      <c r="A104" s="26">
        <f t="shared" si="3"/>
        <v>77</v>
      </c>
      <c r="B104" s="12"/>
      <c r="C104" s="3" t="s">
        <v>201</v>
      </c>
      <c r="D104" s="5" t="s">
        <v>158</v>
      </c>
      <c r="E104" s="48"/>
      <c r="F104" s="5"/>
      <c r="G104" s="5"/>
      <c r="H104" s="12"/>
      <c r="I104" s="5"/>
      <c r="J104" s="12"/>
      <c r="K104" s="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5">
      <c r="A105" s="26">
        <f t="shared" si="3"/>
        <v>78</v>
      </c>
      <c r="B105" s="12"/>
      <c r="C105" s="3" t="s">
        <v>202</v>
      </c>
      <c r="D105" s="5" t="s">
        <v>54</v>
      </c>
      <c r="E105" s="269">
        <v>5942308</v>
      </c>
      <c r="F105" s="5"/>
      <c r="G105" s="5" t="s">
        <v>194</v>
      </c>
      <c r="H105" s="17">
        <f>+H24</f>
        <v>0.11351734559442764</v>
      </c>
      <c r="I105" s="5"/>
      <c r="J105" s="5">
        <f>+H105*E105</f>
        <v>674555.0308645321</v>
      </c>
      <c r="K105" s="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5">
      <c r="A106" s="26">
        <f t="shared" si="3"/>
        <v>79</v>
      </c>
      <c r="B106" s="12"/>
      <c r="C106" s="3" t="s">
        <v>203</v>
      </c>
      <c r="D106" s="5" t="s">
        <v>53</v>
      </c>
      <c r="E106" s="269">
        <v>0</v>
      </c>
      <c r="F106" s="5"/>
      <c r="G106" s="30" t="str">
        <f>+G50</f>
        <v>NA</v>
      </c>
      <c r="H106" s="45" t="s">
        <v>252</v>
      </c>
      <c r="I106" s="5"/>
      <c r="J106" s="5">
        <v>0</v>
      </c>
      <c r="K106" s="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5.75" thickBot="1">
      <c r="A107" s="26">
        <f t="shared" si="3"/>
        <v>80</v>
      </c>
      <c r="B107" s="12"/>
      <c r="C107" s="3" t="s">
        <v>204</v>
      </c>
      <c r="D107" s="5" t="str">
        <f>+D106</f>
        <v>263.i</v>
      </c>
      <c r="E107" s="270">
        <v>0</v>
      </c>
      <c r="F107" s="5"/>
      <c r="G107" s="5" t="str">
        <f>+G105</f>
        <v>GP</v>
      </c>
      <c r="H107" s="17">
        <f>+H105</f>
        <v>0.11351734559442764</v>
      </c>
      <c r="I107" s="5"/>
      <c r="J107" s="32">
        <f>+H107*E107</f>
        <v>0</v>
      </c>
      <c r="K107" s="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5">
      <c r="A108" s="26">
        <f t="shared" si="3"/>
        <v>81</v>
      </c>
      <c r="B108" s="12"/>
      <c r="C108" s="44" t="str">
        <f>"TOTAL OTHER TAXES  (sum lines "&amp;A102&amp;" - "&amp;A107&amp;")"</f>
        <v>TOTAL OTHER TAXES  (sum lines 75 - 80)</v>
      </c>
      <c r="D108" s="5"/>
      <c r="E108" s="56">
        <f>SUM(E102:E107)</f>
        <v>7867388</v>
      </c>
      <c r="F108" s="5"/>
      <c r="G108" s="5"/>
      <c r="H108" s="17"/>
      <c r="I108" s="5"/>
      <c r="J108" s="55">
        <f>SUM(J102:J107)</f>
        <v>848642.7490640383</v>
      </c>
      <c r="K108" s="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5">
      <c r="A109" s="26">
        <f t="shared" si="3"/>
        <v>82</v>
      </c>
      <c r="B109" s="12"/>
      <c r="C109" s="3"/>
      <c r="D109" s="5"/>
      <c r="E109" s="30"/>
      <c r="F109" s="5"/>
      <c r="G109" s="5"/>
      <c r="H109" s="17"/>
      <c r="I109" s="5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5">
      <c r="A110" s="26">
        <f t="shared" si="3"/>
        <v>83</v>
      </c>
      <c r="B110" s="12"/>
      <c r="C110" s="3"/>
      <c r="D110" s="5"/>
      <c r="E110" s="30"/>
      <c r="F110" s="5"/>
      <c r="G110" s="5"/>
      <c r="H110" s="17"/>
      <c r="I110" s="5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5">
      <c r="A111" s="26">
        <f t="shared" si="3"/>
        <v>84</v>
      </c>
      <c r="B111" s="12"/>
      <c r="C111" s="3" t="s">
        <v>205</v>
      </c>
      <c r="D111" s="5" t="s">
        <v>67</v>
      </c>
      <c r="E111" s="30"/>
      <c r="F111" s="5"/>
      <c r="G111" s="12"/>
      <c r="H111" s="218"/>
      <c r="I111" s="30"/>
      <c r="J111" s="48"/>
      <c r="K111" s="3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5">
      <c r="A112" s="26">
        <f t="shared" si="3"/>
        <v>85</v>
      </c>
      <c r="B112" s="12"/>
      <c r="C112" s="23" t="s">
        <v>248</v>
      </c>
      <c r="D112" s="5"/>
      <c r="E112" s="40">
        <f>IF(E230&gt;0,1-(((1-E231)*(1-E230))/(1-E231*E230*E232)),0)</f>
        <v>0.35</v>
      </c>
      <c r="F112" s="5"/>
      <c r="G112" s="12"/>
      <c r="H112" s="30"/>
      <c r="I112" s="30"/>
      <c r="J112" s="48"/>
      <c r="K112" s="3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5">
      <c r="A113" s="26">
        <f t="shared" si="3"/>
        <v>86</v>
      </c>
      <c r="B113" s="12"/>
      <c r="C113" s="12" t="s">
        <v>249</v>
      </c>
      <c r="D113" s="5"/>
      <c r="E113" s="40">
        <f>IF(J199&gt;0,(E112/(1-E112))*(1-J196/J199),0)</f>
        <v>0.37850633522914423</v>
      </c>
      <c r="F113" s="5"/>
      <c r="G113" s="12"/>
      <c r="H113" s="30"/>
      <c r="I113" s="30"/>
      <c r="J113" s="48"/>
      <c r="K113" s="3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5">
      <c r="A114" s="26">
        <f t="shared" si="3"/>
        <v>87</v>
      </c>
      <c r="B114" s="12"/>
      <c r="C114" s="44" t="str">
        <f>"       where WCLTD=(line "&amp;A196&amp;") and R= (line "&amp;A199&amp;")"</f>
        <v>       where WCLTD=(line 156) and R= (line 159)</v>
      </c>
      <c r="D114" s="30"/>
      <c r="E114" s="30"/>
      <c r="F114" s="5"/>
      <c r="G114" s="12"/>
      <c r="H114" s="218"/>
      <c r="I114" s="30"/>
      <c r="J114" s="48"/>
      <c r="K114" s="3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5">
      <c r="A115" s="26">
        <f t="shared" si="3"/>
        <v>88</v>
      </c>
      <c r="B115" s="12"/>
      <c r="C115" s="3" t="s">
        <v>69</v>
      </c>
      <c r="D115" s="5"/>
      <c r="E115" s="30"/>
      <c r="F115" s="5"/>
      <c r="G115" s="12"/>
      <c r="H115" s="218"/>
      <c r="I115" s="30"/>
      <c r="J115" s="48"/>
      <c r="K115" s="3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5">
      <c r="A116" s="26">
        <f t="shared" si="3"/>
        <v>89</v>
      </c>
      <c r="B116" s="12"/>
      <c r="C116" s="191"/>
      <c r="D116" s="5"/>
      <c r="E116" s="41"/>
      <c r="F116" s="5"/>
      <c r="G116" s="12"/>
      <c r="H116" s="15"/>
      <c r="I116" s="5"/>
      <c r="J116" s="12"/>
      <c r="K116" s="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5">
      <c r="A117" s="26">
        <f t="shared" si="3"/>
        <v>90</v>
      </c>
      <c r="B117" s="12"/>
      <c r="C117" s="29" t="s">
        <v>238</v>
      </c>
      <c r="D117" s="12" t="str">
        <f>"(line "&amp;A113&amp;" * line "&amp;A120&amp;")"</f>
        <v>(line 86 * line 93)</v>
      </c>
      <c r="E117" s="39"/>
      <c r="F117" s="5"/>
      <c r="G117" s="5" t="s">
        <v>158</v>
      </c>
      <c r="H117" s="17" t="s">
        <v>158</v>
      </c>
      <c r="I117" s="5"/>
      <c r="J117" s="5">
        <f>E113*J120</f>
        <v>2364550.9368014345</v>
      </c>
      <c r="K117" s="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5">
      <c r="A118" s="26">
        <f t="shared" si="3"/>
        <v>91</v>
      </c>
      <c r="B118" s="12"/>
      <c r="C118" s="163"/>
      <c r="D118" s="164"/>
      <c r="E118" s="30"/>
      <c r="F118" s="30"/>
      <c r="G118" s="30"/>
      <c r="H118" s="165"/>
      <c r="I118" s="30"/>
      <c r="J118" s="30"/>
      <c r="K118" s="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5">
      <c r="A119" s="26">
        <f t="shared" si="3"/>
        <v>92</v>
      </c>
      <c r="B119" s="12"/>
      <c r="C119" s="3" t="s">
        <v>206</v>
      </c>
      <c r="D119" s="16"/>
      <c r="E119" s="30"/>
      <c r="F119" s="5"/>
      <c r="K119" s="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7.25" customHeight="1">
      <c r="A120" s="26">
        <f t="shared" si="3"/>
        <v>93</v>
      </c>
      <c r="B120" s="12"/>
      <c r="C120" s="192" t="str">
        <f>"  [ Rate Base (line "&amp;A67&amp;") * R (line "&amp;A199&amp;")]"</f>
        <v>  [ Rate Base (line 53) * R (line 159)]</v>
      </c>
      <c r="D120" s="48"/>
      <c r="E120" s="30"/>
      <c r="F120" s="5"/>
      <c r="G120" s="5" t="s">
        <v>70</v>
      </c>
      <c r="H120" s="15"/>
      <c r="I120" s="5"/>
      <c r="J120" s="5">
        <f>+$J199*J67</f>
        <v>6247057.754977753</v>
      </c>
      <c r="K120" s="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5">
      <c r="A121" s="26">
        <f t="shared" si="3"/>
        <v>94</v>
      </c>
      <c r="B121" s="12"/>
      <c r="C121" s="3"/>
      <c r="D121" s="12"/>
      <c r="E121" s="56"/>
      <c r="F121" s="5"/>
      <c r="G121" s="5"/>
      <c r="H121" s="15"/>
      <c r="I121" s="5"/>
      <c r="J121" s="55"/>
      <c r="K121" s="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5">
      <c r="A122" s="26">
        <f t="shared" si="3"/>
        <v>95</v>
      </c>
      <c r="B122" s="12"/>
      <c r="C122" s="44" t="str">
        <f>"ESTIMATED REVENUE REQUIREMENT  (sum lines "&amp;A90&amp;", "&amp;A98&amp;", "&amp;A108&amp;", "&amp;A117&amp;", "&amp;A120&amp;")"</f>
        <v>ESTIMATED REVENUE REQUIREMENT  (sum lines 63, 71, 81, 90, 93)</v>
      </c>
      <c r="D122" s="5"/>
      <c r="E122" s="228">
        <f>E117+E108+E98+E90</f>
        <v>43494993.42813333</v>
      </c>
      <c r="F122" s="5"/>
      <c r="G122" s="5"/>
      <c r="H122" s="5"/>
      <c r="I122" s="5"/>
      <c r="J122" s="216">
        <f>J117+J108+J98+J90+J120</f>
        <v>16010403.234537875</v>
      </c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5">
      <c r="A123" s="26"/>
      <c r="B123" s="12"/>
      <c r="C123" s="12"/>
      <c r="D123" s="12"/>
      <c r="E123" s="48"/>
      <c r="F123" s="12"/>
      <c r="G123" s="12"/>
      <c r="H123" s="12"/>
      <c r="I123" s="12"/>
      <c r="J123" s="12"/>
      <c r="K123" s="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5">
      <c r="A124" s="26"/>
      <c r="B124" s="12"/>
      <c r="C124" s="12"/>
      <c r="D124" s="12"/>
      <c r="E124" s="48"/>
      <c r="F124" s="12"/>
      <c r="G124" s="12"/>
      <c r="H124" s="12"/>
      <c r="I124" s="296" t="s">
        <v>342</v>
      </c>
      <c r="J124" s="289" t="s">
        <v>366</v>
      </c>
      <c r="K124" s="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5">
      <c r="A125" s="26"/>
      <c r="B125" s="12"/>
      <c r="C125" s="12"/>
      <c r="D125" s="12"/>
      <c r="E125" s="48"/>
      <c r="F125" s="12"/>
      <c r="G125" s="12"/>
      <c r="H125" s="12"/>
      <c r="I125" s="222" t="s">
        <v>137</v>
      </c>
      <c r="J125" s="2">
        <f>J2</f>
        <v>2016</v>
      </c>
      <c r="K125" s="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5.75">
      <c r="A126" s="309" t="s">
        <v>266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5.75">
      <c r="A127" s="308" t="s">
        <v>159</v>
      </c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5">
      <c r="A128" s="12"/>
      <c r="B128" s="12"/>
      <c r="C128" s="2"/>
      <c r="D128" s="2"/>
      <c r="F128" s="2"/>
      <c r="G128" s="2"/>
      <c r="H128" s="2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5.75">
      <c r="A129" s="307" t="s">
        <v>265</v>
      </c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5">
      <c r="A130" s="26"/>
      <c r="B130" s="12"/>
      <c r="C130" s="12"/>
      <c r="D130" s="3"/>
      <c r="E130" s="44"/>
      <c r="F130" s="3"/>
      <c r="G130" s="3"/>
      <c r="H130" s="211"/>
      <c r="I130" s="3"/>
      <c r="J130" s="3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5" customHeight="1">
      <c r="A131" s="310" t="s">
        <v>5</v>
      </c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5.75">
      <c r="A132" s="26"/>
      <c r="B132" s="12"/>
      <c r="C132" s="13"/>
      <c r="D132" s="2"/>
      <c r="E132" s="47"/>
      <c r="F132" s="2"/>
      <c r="G132" s="2"/>
      <c r="H132" s="2"/>
      <c r="I132" s="2"/>
      <c r="J132" s="2"/>
      <c r="K132" s="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5.75">
      <c r="A133" s="26" t="s">
        <v>160</v>
      </c>
      <c r="B133" s="12"/>
      <c r="C133" s="13"/>
      <c r="D133" s="2"/>
      <c r="E133" s="47"/>
      <c r="F133" s="2"/>
      <c r="G133" s="2"/>
      <c r="H133" s="2"/>
      <c r="I133" s="2"/>
      <c r="J133" s="2"/>
      <c r="K133" s="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5.75" thickBot="1">
      <c r="A134" s="31" t="s">
        <v>161</v>
      </c>
      <c r="B134" s="12"/>
      <c r="C134" s="46" t="s">
        <v>99</v>
      </c>
      <c r="D134" s="47"/>
      <c r="E134" s="47"/>
      <c r="F134" s="47"/>
      <c r="G134" s="47"/>
      <c r="H134" s="47"/>
      <c r="I134" s="48"/>
      <c r="J134" s="48"/>
      <c r="K134" s="3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5.75" thickBot="1">
      <c r="A135" s="26"/>
      <c r="B135" s="12"/>
      <c r="C135" s="46"/>
      <c r="D135" s="47"/>
      <c r="E135" s="50" t="s">
        <v>209</v>
      </c>
      <c r="F135" s="47"/>
      <c r="G135" s="47"/>
      <c r="H135" s="47"/>
      <c r="I135" s="47"/>
      <c r="J135" s="47"/>
      <c r="K135" s="3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6.5" customHeight="1">
      <c r="A136" s="26">
        <f>+A122+1</f>
        <v>96</v>
      </c>
      <c r="B136" s="12"/>
      <c r="C136" s="38" t="s">
        <v>84</v>
      </c>
      <c r="D136" s="47"/>
      <c r="E136" s="30" t="str">
        <f>"Column (3) sum lines "&amp;A16&amp;" - "&amp;A18&amp;""</f>
        <v>Column (3) sum lines 2 - 4</v>
      </c>
      <c r="F136" s="30"/>
      <c r="G136" s="30"/>
      <c r="H136" s="30"/>
      <c r="I136" s="30"/>
      <c r="J136" s="30">
        <f>+E16+E17+E18</f>
        <v>142150812.58333334</v>
      </c>
      <c r="K136" s="3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5">
      <c r="A137" s="26">
        <f>+A136+1</f>
        <v>97</v>
      </c>
      <c r="B137" s="12"/>
      <c r="C137" s="38" t="s">
        <v>65</v>
      </c>
      <c r="D137" s="48"/>
      <c r="E137" s="48" t="s">
        <v>141</v>
      </c>
      <c r="F137" s="48"/>
      <c r="G137" s="48"/>
      <c r="H137" s="48"/>
      <c r="I137" s="48"/>
      <c r="J137" s="244">
        <v>23869727</v>
      </c>
      <c r="K137" s="3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5.75" thickBot="1">
      <c r="A138" s="26">
        <f aca="true" t="shared" si="4" ref="A138:A199">+A137+1</f>
        <v>98</v>
      </c>
      <c r="B138" s="12"/>
      <c r="C138" s="96" t="s">
        <v>66</v>
      </c>
      <c r="D138" s="49"/>
      <c r="E138" s="50"/>
      <c r="F138" s="30"/>
      <c r="G138" s="30"/>
      <c r="H138" s="51"/>
      <c r="I138" s="30"/>
      <c r="J138" s="50">
        <v>0</v>
      </c>
      <c r="K138" s="3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5">
      <c r="A139" s="26">
        <f t="shared" si="4"/>
        <v>99</v>
      </c>
      <c r="B139" s="12"/>
      <c r="C139" s="38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47"/>
      <c r="E139" s="30"/>
      <c r="F139" s="30"/>
      <c r="G139" s="30"/>
      <c r="H139" s="51"/>
      <c r="I139" s="30"/>
      <c r="J139" s="30">
        <f>J136-J137-J138</f>
        <v>118281085.58333334</v>
      </c>
      <c r="K139" s="3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5">
      <c r="A140" s="26">
        <f t="shared" si="4"/>
        <v>100</v>
      </c>
      <c r="B140" s="12"/>
      <c r="C140" s="38" t="str">
        <f>"Plus Common Use AC Facilities (line "&amp;A150&amp;")"</f>
        <v>Plus Common Use AC Facilities (line 110)</v>
      </c>
      <c r="D140" s="47"/>
      <c r="E140" s="30"/>
      <c r="F140" s="30"/>
      <c r="G140" s="30"/>
      <c r="H140" s="51"/>
      <c r="I140" s="30"/>
      <c r="J140" s="30">
        <f>+J150</f>
        <v>9580349</v>
      </c>
      <c r="K140" s="3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5">
      <c r="A141" s="26">
        <f t="shared" si="4"/>
        <v>101</v>
      </c>
      <c r="B141" s="12"/>
      <c r="C141" s="38" t="str">
        <f>"Total Gross Plant for the CUS System (line "&amp;A139&amp;" plus line "&amp;A140&amp;")"</f>
        <v>Total Gross Plant for the CUS System (line 99 plus line 100)</v>
      </c>
      <c r="D141" s="47"/>
      <c r="E141" s="30"/>
      <c r="F141" s="30"/>
      <c r="G141" s="30"/>
      <c r="H141" s="51"/>
      <c r="I141" s="30"/>
      <c r="J141" s="180">
        <f>SUM(J139:J140)</f>
        <v>127861434.58333334</v>
      </c>
      <c r="K141" s="3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5">
      <c r="A142" s="26">
        <f t="shared" si="4"/>
        <v>102</v>
      </c>
      <c r="B142" s="12"/>
      <c r="C142" s="38" t="str">
        <f>"Total CUS Plant (line "&amp;A136&amp;" plus line "&amp;A150&amp;")"</f>
        <v>Total CUS Plant (line 96 plus line 110)</v>
      </c>
      <c r="D142" s="47"/>
      <c r="E142" s="30"/>
      <c r="F142" s="30"/>
      <c r="G142" s="30"/>
      <c r="H142" s="51"/>
      <c r="I142" s="30"/>
      <c r="J142" s="56">
        <f>+J136+J150</f>
        <v>151731161.58333334</v>
      </c>
      <c r="K142" s="3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5">
      <c r="A143" s="26">
        <f t="shared" si="4"/>
        <v>103</v>
      </c>
      <c r="B143" s="12"/>
      <c r="C143" s="48"/>
      <c r="D143" s="47"/>
      <c r="E143" s="30"/>
      <c r="F143" s="30"/>
      <c r="G143" s="30"/>
      <c r="H143" s="51"/>
      <c r="I143" s="30"/>
      <c r="J143" s="48"/>
      <c r="K143" s="3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5">
      <c r="A144" s="26">
        <f t="shared" si="4"/>
        <v>104</v>
      </c>
      <c r="B144" s="12"/>
      <c r="C144" s="38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52"/>
      <c r="E144" s="53"/>
      <c r="F144" s="53"/>
      <c r="G144" s="53"/>
      <c r="H144" s="54"/>
      <c r="I144" s="30" t="s">
        <v>207</v>
      </c>
      <c r="J144" s="174">
        <f>ROUND(IF(J142&gt;0,J141/J142,0),6)</f>
        <v>0.842684</v>
      </c>
      <c r="K144" s="3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5">
      <c r="A145" s="26">
        <f t="shared" si="4"/>
        <v>105</v>
      </c>
      <c r="B145" s="12"/>
      <c r="C145" s="48"/>
      <c r="D145" s="48"/>
      <c r="E145" s="48"/>
      <c r="F145" s="48"/>
      <c r="G145" s="48"/>
      <c r="H145" s="48"/>
      <c r="I145" s="48"/>
      <c r="J145" s="48"/>
      <c r="K145" s="3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5.75" thickBot="1">
      <c r="A146" s="26">
        <f t="shared" si="4"/>
        <v>106</v>
      </c>
      <c r="B146" s="12"/>
      <c r="C146" s="46" t="s">
        <v>82</v>
      </c>
      <c r="D146" s="47"/>
      <c r="E146" s="50" t="s">
        <v>209</v>
      </c>
      <c r="F146" s="47"/>
      <c r="G146" s="47"/>
      <c r="H146" s="47"/>
      <c r="I146" s="47"/>
      <c r="J146" s="47"/>
      <c r="K146" s="1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5">
      <c r="A147" s="26">
        <f t="shared" si="4"/>
        <v>107</v>
      </c>
      <c r="B147" s="12"/>
      <c r="C147" s="38" t="s">
        <v>83</v>
      </c>
      <c r="D147" s="47"/>
      <c r="E147" s="30" t="str">
        <f>"Column (3) line "&amp;A19&amp;""</f>
        <v>Column (3) line 5</v>
      </c>
      <c r="F147" s="30"/>
      <c r="G147" s="30"/>
      <c r="H147" s="30"/>
      <c r="I147" s="30"/>
      <c r="J147" s="30">
        <f>E19</f>
        <v>336651742</v>
      </c>
      <c r="K147" s="1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5">
      <c r="A148" s="26">
        <f t="shared" si="4"/>
        <v>108</v>
      </c>
      <c r="B148" s="12"/>
      <c r="C148" s="38" t="s">
        <v>90</v>
      </c>
      <c r="D148" s="48"/>
      <c r="E148" s="48" t="s">
        <v>141</v>
      </c>
      <c r="F148" s="48"/>
      <c r="G148" s="48"/>
      <c r="H148" s="48"/>
      <c r="I148" s="48"/>
      <c r="J148" s="244">
        <v>327071393</v>
      </c>
      <c r="K148" s="1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5.75" thickBot="1">
      <c r="A149" s="26">
        <f t="shared" si="4"/>
        <v>109</v>
      </c>
      <c r="B149" s="12"/>
      <c r="C149" s="96" t="s">
        <v>91</v>
      </c>
      <c r="D149" s="49"/>
      <c r="E149" s="50"/>
      <c r="F149" s="30"/>
      <c r="G149" s="30"/>
      <c r="H149" s="51"/>
      <c r="I149" s="30"/>
      <c r="J149" s="50">
        <v>0</v>
      </c>
      <c r="K149" s="1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5">
      <c r="A150" s="26">
        <f t="shared" si="4"/>
        <v>110</v>
      </c>
      <c r="B150" s="12"/>
      <c r="C150" s="38" t="str">
        <f>"Common Use AC Facilities (line "&amp;A147&amp;" less lines "&amp;A148&amp;" &amp; "&amp;A149&amp;")"</f>
        <v>Common Use AC Facilities (line 107 less lines 108 &amp; 109)</v>
      </c>
      <c r="D150" s="47"/>
      <c r="E150" s="30"/>
      <c r="F150" s="30"/>
      <c r="G150" s="30"/>
      <c r="H150" s="51"/>
      <c r="I150" s="30"/>
      <c r="J150" s="30">
        <f>J147-J148-J149</f>
        <v>9580349</v>
      </c>
      <c r="K150" s="1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5">
      <c r="A151" s="26">
        <f t="shared" si="4"/>
        <v>111</v>
      </c>
      <c r="B151" s="12"/>
      <c r="C151" s="48"/>
      <c r="D151" s="47"/>
      <c r="E151" s="30"/>
      <c r="F151" s="30"/>
      <c r="G151" s="30"/>
      <c r="H151" s="51"/>
      <c r="I151" s="30"/>
      <c r="J151" s="48"/>
      <c r="K151" s="1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5">
      <c r="A152" s="26">
        <f t="shared" si="4"/>
        <v>112</v>
      </c>
      <c r="B152" s="12"/>
      <c r="C152" s="38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52"/>
      <c r="E152" s="53"/>
      <c r="F152" s="53"/>
      <c r="G152" s="53"/>
      <c r="H152" s="54"/>
      <c r="I152" s="30" t="s">
        <v>85</v>
      </c>
      <c r="J152" s="174">
        <f>ROUND(IF(J147&gt;0,J150/J147,0),6)</f>
        <v>0.028458</v>
      </c>
      <c r="K152" s="1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5">
      <c r="A153" s="26">
        <f t="shared" si="4"/>
        <v>113</v>
      </c>
      <c r="B153" s="12"/>
      <c r="C153" s="12"/>
      <c r="D153" s="2"/>
      <c r="E153" s="30"/>
      <c r="F153" s="5"/>
      <c r="G153" s="5"/>
      <c r="H153" s="6"/>
      <c r="I153" s="5"/>
      <c r="J153" s="48"/>
      <c r="K153" s="1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5.75" thickBot="1">
      <c r="A154" s="26">
        <f t="shared" si="4"/>
        <v>114</v>
      </c>
      <c r="B154" s="12"/>
      <c r="C154" s="46" t="s">
        <v>185</v>
      </c>
      <c r="D154" s="2"/>
      <c r="E154" s="50" t="s">
        <v>209</v>
      </c>
      <c r="F154" s="5"/>
      <c r="G154" s="5"/>
      <c r="H154" s="6"/>
      <c r="I154" s="5"/>
      <c r="J154" s="30"/>
      <c r="K154" s="1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5">
      <c r="A155" s="26">
        <f t="shared" si="4"/>
        <v>115</v>
      </c>
      <c r="B155" s="12"/>
      <c r="C155" s="12" t="s">
        <v>57</v>
      </c>
      <c r="D155" s="2"/>
      <c r="E155" s="30" t="str">
        <f>"Column (3), sum lines "&amp;A28&amp;" - "&amp;A29&amp;""</f>
        <v>Column (3), sum lines 14 - 15</v>
      </c>
      <c r="F155" s="5"/>
      <c r="G155" s="5"/>
      <c r="H155" s="6"/>
      <c r="I155" s="5"/>
      <c r="J155" s="30">
        <f>SUM(E28:E29)</f>
        <v>38808441.648816384</v>
      </c>
      <c r="K155" s="1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5">
      <c r="A156" s="26">
        <f t="shared" si="4"/>
        <v>116</v>
      </c>
      <c r="B156" s="12"/>
      <c r="C156" s="38" t="s">
        <v>65</v>
      </c>
      <c r="D156" s="2"/>
      <c r="E156" s="30" t="s">
        <v>141</v>
      </c>
      <c r="F156" s="5"/>
      <c r="G156" s="5"/>
      <c r="H156" s="6"/>
      <c r="I156" s="5"/>
      <c r="J156" s="244">
        <v>6860094</v>
      </c>
      <c r="K156" s="1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5">
      <c r="A157" s="26">
        <f t="shared" si="4"/>
        <v>117</v>
      </c>
      <c r="B157" s="12"/>
      <c r="C157" s="181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182"/>
      <c r="E157" s="180"/>
      <c r="F157" s="5"/>
      <c r="G157" s="5"/>
      <c r="H157" s="6"/>
      <c r="I157" s="5"/>
      <c r="J157" s="180">
        <f>J155-J156</f>
        <v>31948347.648816384</v>
      </c>
      <c r="K157" s="1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5">
      <c r="A158" s="26">
        <f t="shared" si="4"/>
        <v>118</v>
      </c>
      <c r="B158" s="12"/>
      <c r="C158" s="38" t="str">
        <f>"Plus Common Use AC Facilities Accumulated Depreciation (line "&amp;A167&amp;")"</f>
        <v>Plus Common Use AC Facilities Accumulated Depreciation (line 127)</v>
      </c>
      <c r="D158" s="193"/>
      <c r="E158" s="56"/>
      <c r="F158" s="5"/>
      <c r="G158" s="5"/>
      <c r="H158" s="6"/>
      <c r="I158" s="5"/>
      <c r="J158" s="56">
        <f>+J167</f>
        <v>3006201</v>
      </c>
      <c r="K158" s="1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5">
      <c r="A159" s="26">
        <f t="shared" si="4"/>
        <v>119</v>
      </c>
      <c r="B159" s="12"/>
      <c r="C159" s="38" t="str">
        <f>"Total Accumulated Depreciation for the CUS System (line "&amp;A157&amp;" plus line "&amp;A158&amp;")"</f>
        <v>Total Accumulated Depreciation for the CUS System (line 117 plus line 118)</v>
      </c>
      <c r="D159" s="183"/>
      <c r="E159" s="56"/>
      <c r="F159" s="5"/>
      <c r="G159" s="5"/>
      <c r="H159" s="6"/>
      <c r="I159" s="5"/>
      <c r="J159" s="180">
        <f>SUM(J157:J158)</f>
        <v>34954548.648816384</v>
      </c>
      <c r="K159" s="1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5">
      <c r="A160" s="26">
        <f t="shared" si="4"/>
        <v>120</v>
      </c>
      <c r="B160" s="12"/>
      <c r="C160" s="38" t="str">
        <f>"Total CUS Accumulated Depreciation (line "&amp;A155&amp;" plus line "&amp;A158&amp;")"</f>
        <v>Total CUS Accumulated Depreciation (line 115 plus line 118)</v>
      </c>
      <c r="D160" s="183"/>
      <c r="E160" s="56"/>
      <c r="F160" s="5"/>
      <c r="G160" s="5"/>
      <c r="H160" s="6"/>
      <c r="I160" s="5"/>
      <c r="J160" s="56">
        <f>+J155+J158</f>
        <v>41814642.648816384</v>
      </c>
      <c r="K160" s="1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5">
      <c r="A161" s="26">
        <f t="shared" si="4"/>
        <v>121</v>
      </c>
      <c r="B161" s="12"/>
      <c r="C161" s="12"/>
      <c r="D161" s="2"/>
      <c r="E161" s="30"/>
      <c r="F161" s="5"/>
      <c r="G161" s="5"/>
      <c r="H161" s="6"/>
      <c r="I161" s="5"/>
      <c r="J161" s="30"/>
      <c r="K161" s="1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5">
      <c r="A162" s="26">
        <f t="shared" si="4"/>
        <v>122</v>
      </c>
      <c r="B162" s="12"/>
      <c r="C162" s="38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2"/>
      <c r="E162" s="30"/>
      <c r="F162" s="30"/>
      <c r="G162" s="30"/>
      <c r="H162" s="51"/>
      <c r="I162" s="5" t="s">
        <v>58</v>
      </c>
      <c r="J162" s="174">
        <f>ROUND(IF(J160&gt;0,J159/J160,0),6)</f>
        <v>0.83594</v>
      </c>
      <c r="K162" s="1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5">
      <c r="A163" s="26">
        <f t="shared" si="4"/>
        <v>123</v>
      </c>
      <c r="B163" s="12"/>
      <c r="C163" s="38"/>
      <c r="D163" s="2"/>
      <c r="E163" s="30"/>
      <c r="F163" s="30"/>
      <c r="G163" s="30"/>
      <c r="H163" s="51"/>
      <c r="I163" s="5"/>
      <c r="J163" s="174"/>
      <c r="K163" s="1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5.75" thickBot="1">
      <c r="A164" s="26">
        <f t="shared" si="4"/>
        <v>124</v>
      </c>
      <c r="B164" s="12"/>
      <c r="C164" s="12"/>
      <c r="D164" s="2"/>
      <c r="E164" s="50" t="s">
        <v>209</v>
      </c>
      <c r="F164" s="5"/>
      <c r="G164" s="5"/>
      <c r="H164" s="6"/>
      <c r="I164" s="5"/>
      <c r="J164" s="30"/>
      <c r="K164" s="1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5">
      <c r="A165" s="26">
        <f t="shared" si="4"/>
        <v>125</v>
      </c>
      <c r="B165" s="12"/>
      <c r="C165" s="12" t="s">
        <v>60</v>
      </c>
      <c r="D165" s="2"/>
      <c r="E165" s="30" t="s">
        <v>106</v>
      </c>
      <c r="F165" s="5"/>
      <c r="G165" s="5"/>
      <c r="H165" s="6"/>
      <c r="I165" s="5"/>
      <c r="J165" s="30">
        <f>+E30</f>
        <v>112236258</v>
      </c>
      <c r="K165" s="1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5">
      <c r="A166" s="26">
        <f t="shared" si="4"/>
        <v>126</v>
      </c>
      <c r="B166" s="12"/>
      <c r="C166" s="12" t="s">
        <v>142</v>
      </c>
      <c r="D166" s="2"/>
      <c r="E166" s="30"/>
      <c r="F166" s="5"/>
      <c r="G166" s="5"/>
      <c r="H166" s="6"/>
      <c r="I166" s="5"/>
      <c r="J166" s="244">
        <v>109230057</v>
      </c>
      <c r="K166" s="1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5">
      <c r="A167" s="26">
        <f t="shared" si="4"/>
        <v>127</v>
      </c>
      <c r="B167" s="12"/>
      <c r="C167" s="194" t="str">
        <f>"Common Use AC Facilities (line "&amp;A165&amp;" less line "&amp;A166&amp;")"</f>
        <v>Common Use AC Facilities (line 125 less line 126)</v>
      </c>
      <c r="D167" s="195"/>
      <c r="E167" s="180"/>
      <c r="F167" s="5"/>
      <c r="G167" s="5"/>
      <c r="H167" s="6"/>
      <c r="I167" s="5"/>
      <c r="J167" s="180">
        <f>J165-J166</f>
        <v>3006201</v>
      </c>
      <c r="K167" s="1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5">
      <c r="A168" s="26">
        <f t="shared" si="4"/>
        <v>128</v>
      </c>
      <c r="B168" s="12"/>
      <c r="C168" s="12"/>
      <c r="D168" s="2"/>
      <c r="E168" s="30"/>
      <c r="F168" s="5"/>
      <c r="G168" s="5"/>
      <c r="H168" s="6"/>
      <c r="I168" s="5"/>
      <c r="J168" s="30"/>
      <c r="K168" s="1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5">
      <c r="A169" s="26">
        <f t="shared" si="4"/>
        <v>129</v>
      </c>
      <c r="B169" s="12"/>
      <c r="C169" s="38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2"/>
      <c r="E169" s="30"/>
      <c r="F169" s="5"/>
      <c r="G169" s="5"/>
      <c r="H169" s="6"/>
      <c r="I169" s="5" t="s">
        <v>61</v>
      </c>
      <c r="J169" s="174">
        <f>ROUND(IF(J165&gt;0,J167/J165,0),6)</f>
        <v>0.026785</v>
      </c>
      <c r="K169" s="1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5">
      <c r="A170" s="26">
        <f t="shared" si="4"/>
        <v>130</v>
      </c>
      <c r="B170" s="12"/>
      <c r="C170" s="12"/>
      <c r="D170" s="2"/>
      <c r="E170" s="30"/>
      <c r="F170" s="5"/>
      <c r="G170" s="5"/>
      <c r="H170" s="6"/>
      <c r="I170" s="5"/>
      <c r="J170" s="30"/>
      <c r="K170" s="1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5">
      <c r="A171" s="26">
        <f t="shared" si="4"/>
        <v>131</v>
      </c>
      <c r="B171" s="12"/>
      <c r="C171" s="3" t="s">
        <v>208</v>
      </c>
      <c r="D171" s="5"/>
      <c r="E171" s="30"/>
      <c r="F171" s="5"/>
      <c r="G171" s="5"/>
      <c r="H171" s="5"/>
      <c r="I171" s="5"/>
      <c r="J171" s="30"/>
      <c r="K171" s="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5.75" thickBot="1">
      <c r="A172" s="26">
        <f t="shared" si="4"/>
        <v>132</v>
      </c>
      <c r="B172" s="12"/>
      <c r="C172" s="3"/>
      <c r="D172" s="32" t="s">
        <v>209</v>
      </c>
      <c r="E172" s="197" t="s">
        <v>210</v>
      </c>
      <c r="F172" s="197" t="s">
        <v>163</v>
      </c>
      <c r="G172" s="5"/>
      <c r="H172" s="33" t="s">
        <v>211</v>
      </c>
      <c r="I172" s="55"/>
      <c r="J172" s="34"/>
      <c r="K172" s="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5">
      <c r="A173" s="26">
        <f t="shared" si="4"/>
        <v>133</v>
      </c>
      <c r="B173" s="12"/>
      <c r="C173" s="3" t="s">
        <v>178</v>
      </c>
      <c r="D173" s="5" t="s">
        <v>110</v>
      </c>
      <c r="E173" s="269">
        <v>1326937</v>
      </c>
      <c r="F173" s="202">
        <f>+J144</f>
        <v>0.842684</v>
      </c>
      <c r="G173" s="12"/>
      <c r="H173" s="5">
        <f>E173*F173</f>
        <v>1118188.578908</v>
      </c>
      <c r="I173" s="55"/>
      <c r="J173" s="132"/>
      <c r="K173" s="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5">
      <c r="A174" s="26">
        <f t="shared" si="4"/>
        <v>134</v>
      </c>
      <c r="B174" s="12"/>
      <c r="C174" s="3" t="s">
        <v>123</v>
      </c>
      <c r="D174" s="5" t="s">
        <v>124</v>
      </c>
      <c r="E174" s="269">
        <v>21008457</v>
      </c>
      <c r="F174" s="202">
        <v>0</v>
      </c>
      <c r="G174" s="19"/>
      <c r="H174" s="5">
        <f>E174*F174</f>
        <v>0</v>
      </c>
      <c r="I174" s="55"/>
      <c r="J174" s="34" t="s">
        <v>212</v>
      </c>
      <c r="K174" s="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5.75" thickBot="1">
      <c r="A175" s="26">
        <f t="shared" si="4"/>
        <v>135</v>
      </c>
      <c r="B175" s="12"/>
      <c r="C175" s="3" t="s">
        <v>125</v>
      </c>
      <c r="D175" s="5" t="s">
        <v>126</v>
      </c>
      <c r="E175" s="293">
        <v>-8643412</v>
      </c>
      <c r="F175" s="202">
        <v>0</v>
      </c>
      <c r="G175" s="19"/>
      <c r="H175" s="32">
        <f>E175*F175</f>
        <v>0</v>
      </c>
      <c r="I175" s="55"/>
      <c r="J175" s="31" t="s">
        <v>18</v>
      </c>
      <c r="K175" s="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5">
      <c r="A176" s="26">
        <f t="shared" si="4"/>
        <v>136</v>
      </c>
      <c r="B176" s="12"/>
      <c r="C176" s="3" t="str">
        <f>"  Adjusted Total  (sum lines "&amp;A174&amp;"-"&amp;A175&amp;")"</f>
        <v>  Adjusted Total  (sum lines 134-135)</v>
      </c>
      <c r="D176" s="5"/>
      <c r="E176" s="30">
        <f>SUM(E174:E175)</f>
        <v>12365045</v>
      </c>
      <c r="F176" s="5"/>
      <c r="G176" s="12"/>
      <c r="H176" s="5">
        <f>SUM(H173:H175)</f>
        <v>1118188.578908</v>
      </c>
      <c r="I176" s="5" t="s">
        <v>71</v>
      </c>
      <c r="J176" s="14">
        <f>+H176/E176</f>
        <v>0.09043142009657061</v>
      </c>
      <c r="K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5">
      <c r="A177" s="26">
        <f t="shared" si="4"/>
        <v>137</v>
      </c>
      <c r="B177" s="12"/>
      <c r="D177" s="5"/>
      <c r="E177" s="30"/>
      <c r="F177" s="5"/>
      <c r="G177" s="5"/>
      <c r="H177" s="5"/>
      <c r="I177" s="5"/>
      <c r="J177" s="5"/>
      <c r="K177" s="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5.75" thickBot="1">
      <c r="A178" s="26">
        <f t="shared" si="4"/>
        <v>138</v>
      </c>
      <c r="B178" s="12"/>
      <c r="C178" s="3" t="s">
        <v>111</v>
      </c>
      <c r="D178" s="5"/>
      <c r="E178" s="197" t="s">
        <v>210</v>
      </c>
      <c r="F178" s="33" t="s">
        <v>216</v>
      </c>
      <c r="G178" s="188" t="s">
        <v>163</v>
      </c>
      <c r="H178" s="189" t="s">
        <v>114</v>
      </c>
      <c r="I178" s="15"/>
      <c r="J178" s="16"/>
      <c r="K178" s="1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5">
      <c r="A179" s="26">
        <f t="shared" si="4"/>
        <v>139</v>
      </c>
      <c r="B179" s="12"/>
      <c r="C179" s="3" t="s">
        <v>112</v>
      </c>
      <c r="D179" s="30" t="str">
        <f>"lines "&amp;A39&amp;", "&amp;A40&amp;" &amp; "&amp;A41&amp;""</f>
        <v>lines 25, 26 &amp; 27</v>
      </c>
      <c r="E179" s="30">
        <f>+E39+E40+E41</f>
        <v>103342370.93451695</v>
      </c>
      <c r="F179" s="57">
        <f>+E179/E181</f>
        <v>0.3153009741144535</v>
      </c>
      <c r="G179" s="185">
        <f>+J144</f>
        <v>0.842684</v>
      </c>
      <c r="H179" s="186">
        <f>+G179*F179</f>
        <v>0.2656990860706641</v>
      </c>
      <c r="I179" s="28"/>
      <c r="J179" s="26"/>
      <c r="K179" s="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5">
      <c r="A180" s="26">
        <f t="shared" si="4"/>
        <v>140</v>
      </c>
      <c r="B180" s="12"/>
      <c r="C180" s="3" t="s">
        <v>113</v>
      </c>
      <c r="D180" s="30" t="str">
        <f>"line "&amp;A42&amp;""</f>
        <v>line 28</v>
      </c>
      <c r="E180" s="30">
        <f>+E42</f>
        <v>224415484</v>
      </c>
      <c r="F180" s="57">
        <f>+E180/E181</f>
        <v>0.6846990258855464</v>
      </c>
      <c r="G180" s="12"/>
      <c r="H180" s="17"/>
      <c r="I180" s="6"/>
      <c r="J180" s="17"/>
      <c r="K180" s="1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5">
      <c r="A181" s="26">
        <f t="shared" si="4"/>
        <v>141</v>
      </c>
      <c r="B181" s="12"/>
      <c r="C181" s="3" t="str">
        <f>"  Total  (sum lines "&amp;A179&amp;" - "&amp;A180&amp;")"</f>
        <v>  Total  (sum lines 139 - 140)</v>
      </c>
      <c r="D181" s="5"/>
      <c r="E181" s="180">
        <f>SUM(E179:E180)</f>
        <v>327757854.93451697</v>
      </c>
      <c r="F181" s="154">
        <f>SUM(F179:F180)</f>
        <v>1</v>
      </c>
      <c r="G181" s="5"/>
      <c r="H181" s="5"/>
      <c r="I181" s="5" t="s">
        <v>115</v>
      </c>
      <c r="J181" s="187">
        <f>+H179</f>
        <v>0.2656990860706641</v>
      </c>
      <c r="K181" s="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5">
      <c r="A182" s="26">
        <f t="shared" si="4"/>
        <v>142</v>
      </c>
      <c r="B182" s="12"/>
      <c r="C182" s="3"/>
      <c r="D182" s="5"/>
      <c r="E182" s="48"/>
      <c r="F182" s="5"/>
      <c r="G182" s="5"/>
      <c r="H182" s="5"/>
      <c r="I182" s="5"/>
      <c r="J182" s="187"/>
      <c r="K182" s="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11" s="190" customFormat="1" ht="15.75" thickBot="1">
      <c r="A183" s="26">
        <f t="shared" si="4"/>
        <v>143</v>
      </c>
      <c r="B183" s="196"/>
      <c r="C183" s="200" t="s">
        <v>214</v>
      </c>
      <c r="D183" s="188" t="s">
        <v>209</v>
      </c>
      <c r="E183" s="30"/>
      <c r="F183" s="30"/>
      <c r="G183" s="30"/>
      <c r="H183" s="30"/>
      <c r="I183" s="30"/>
      <c r="J183" s="197" t="s">
        <v>210</v>
      </c>
      <c r="K183" s="30"/>
    </row>
    <row r="184" spans="1:47" ht="15">
      <c r="A184" s="26">
        <f t="shared" si="4"/>
        <v>144</v>
      </c>
      <c r="B184" s="196"/>
      <c r="C184" s="47" t="s">
        <v>271</v>
      </c>
      <c r="D184" s="30" t="s">
        <v>274</v>
      </c>
      <c r="E184" s="30"/>
      <c r="F184" s="30"/>
      <c r="G184" s="30"/>
      <c r="H184" s="30"/>
      <c r="I184" s="30"/>
      <c r="J184" s="268">
        <v>18348135</v>
      </c>
      <c r="K184" s="3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5">
      <c r="A185" s="26">
        <f t="shared" si="4"/>
        <v>145</v>
      </c>
      <c r="B185" s="198"/>
      <c r="C185" s="44"/>
      <c r="D185" s="30"/>
      <c r="E185" s="30"/>
      <c r="F185" s="30"/>
      <c r="G185" s="30"/>
      <c r="H185" s="30"/>
      <c r="I185" s="30"/>
      <c r="J185" s="30"/>
      <c r="K185" s="3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5">
      <c r="A186" s="26">
        <f t="shared" si="4"/>
        <v>146</v>
      </c>
      <c r="B186" s="196"/>
      <c r="C186" s="44" t="s">
        <v>272</v>
      </c>
      <c r="D186" s="30" t="s">
        <v>273</v>
      </c>
      <c r="E186" s="30"/>
      <c r="F186" s="30"/>
      <c r="G186" s="30"/>
      <c r="H186" s="30"/>
      <c r="I186" s="30"/>
      <c r="J186" s="268">
        <v>0</v>
      </c>
      <c r="K186" s="3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5">
      <c r="A187" s="26">
        <f t="shared" si="4"/>
        <v>147</v>
      </c>
      <c r="B187" s="196"/>
      <c r="C187" s="44"/>
      <c r="D187" s="30"/>
      <c r="E187" s="30"/>
      <c r="F187" s="30"/>
      <c r="G187" s="30"/>
      <c r="H187" s="30"/>
      <c r="I187" s="30"/>
      <c r="J187" s="30"/>
      <c r="K187" s="3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5">
      <c r="A188" s="26">
        <f t="shared" si="4"/>
        <v>148</v>
      </c>
      <c r="B188" s="196"/>
      <c r="C188" s="200" t="s">
        <v>275</v>
      </c>
      <c r="D188" s="188" t="s">
        <v>209</v>
      </c>
      <c r="E188" s="30"/>
      <c r="F188" s="30"/>
      <c r="G188" s="30"/>
      <c r="H188" s="30"/>
      <c r="I188" s="30"/>
      <c r="J188" s="30"/>
      <c r="K188" s="3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5">
      <c r="A189" s="26">
        <f t="shared" si="4"/>
        <v>149</v>
      </c>
      <c r="B189" s="196"/>
      <c r="C189" s="44" t="s">
        <v>15</v>
      </c>
      <c r="D189" s="30" t="s">
        <v>276</v>
      </c>
      <c r="E189" s="47"/>
      <c r="F189" s="30"/>
      <c r="G189" s="30"/>
      <c r="H189" s="30"/>
      <c r="I189" s="30"/>
      <c r="J189" s="268">
        <v>374794281</v>
      </c>
      <c r="K189" s="3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5">
      <c r="A190" s="26">
        <f t="shared" si="4"/>
        <v>150</v>
      </c>
      <c r="B190" s="196"/>
      <c r="C190" s="44" t="s">
        <v>277</v>
      </c>
      <c r="D190" s="30" t="s">
        <v>278</v>
      </c>
      <c r="E190" s="30"/>
      <c r="F190" s="30"/>
      <c r="G190" s="30"/>
      <c r="H190" s="30"/>
      <c r="I190" s="30"/>
      <c r="J190" s="268">
        <v>0</v>
      </c>
      <c r="K190" s="3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5">
      <c r="A191" s="26">
        <f t="shared" si="4"/>
        <v>151</v>
      </c>
      <c r="B191" s="196"/>
      <c r="C191" s="44" t="s">
        <v>279</v>
      </c>
      <c r="D191" s="30" t="s">
        <v>280</v>
      </c>
      <c r="E191" s="30"/>
      <c r="F191" s="30"/>
      <c r="G191" s="30"/>
      <c r="H191" s="30"/>
      <c r="I191" s="30"/>
      <c r="J191" s="294">
        <v>0</v>
      </c>
      <c r="K191" s="3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5.75" thickBot="1">
      <c r="A192" s="26">
        <f t="shared" si="4"/>
        <v>152</v>
      </c>
      <c r="B192" s="196"/>
      <c r="C192" s="44" t="s">
        <v>281</v>
      </c>
      <c r="D192" s="30" t="s">
        <v>282</v>
      </c>
      <c r="E192" s="30"/>
      <c r="F192" s="30"/>
      <c r="G192" s="30"/>
      <c r="H192" s="30"/>
      <c r="I192" s="30"/>
      <c r="J192" s="267">
        <v>1818661</v>
      </c>
      <c r="K192" s="3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5">
      <c r="A193" s="26">
        <f t="shared" si="4"/>
        <v>153</v>
      </c>
      <c r="B193" s="196"/>
      <c r="C193" s="201" t="s">
        <v>283</v>
      </c>
      <c r="D193" s="30"/>
      <c r="E193" s="47" t="str">
        <f>"(sum lines "&amp;A189&amp;"-"&amp;A192&amp;")"</f>
        <v>(sum lines 149-152)</v>
      </c>
      <c r="F193" s="47"/>
      <c r="G193" s="47"/>
      <c r="H193" s="47"/>
      <c r="I193" s="47"/>
      <c r="J193" s="143">
        <f>SUM(J189:J192)</f>
        <v>376612942</v>
      </c>
      <c r="K193" s="3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5">
      <c r="A194" s="26">
        <f t="shared" si="4"/>
        <v>154</v>
      </c>
      <c r="B194" s="12"/>
      <c r="C194" s="3"/>
      <c r="D194" s="5"/>
      <c r="E194" s="30"/>
      <c r="F194" s="5"/>
      <c r="G194" s="5"/>
      <c r="H194" s="6"/>
      <c r="I194" s="5"/>
      <c r="J194" s="5"/>
      <c r="K194" s="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5.75" thickBot="1">
      <c r="A195" s="26">
        <f t="shared" si="4"/>
        <v>155</v>
      </c>
      <c r="B195" s="12"/>
      <c r="C195" s="3"/>
      <c r="D195" s="32" t="s">
        <v>209</v>
      </c>
      <c r="E195" s="199" t="s">
        <v>210</v>
      </c>
      <c r="F195" s="31" t="s">
        <v>216</v>
      </c>
      <c r="G195" s="5"/>
      <c r="H195" s="31" t="s">
        <v>215</v>
      </c>
      <c r="I195" s="5"/>
      <c r="J195" s="31" t="s">
        <v>217</v>
      </c>
      <c r="K195" s="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5">
      <c r="A196" s="26">
        <f t="shared" si="4"/>
        <v>156</v>
      </c>
      <c r="B196" s="12"/>
      <c r="C196" s="24" t="s">
        <v>268</v>
      </c>
      <c r="D196" s="153" t="s">
        <v>0</v>
      </c>
      <c r="E196" s="269">
        <v>342752190</v>
      </c>
      <c r="F196" s="127">
        <v>0.43</v>
      </c>
      <c r="G196" s="20"/>
      <c r="H196" s="278">
        <v>0.0605</v>
      </c>
      <c r="I196" s="12"/>
      <c r="J196" s="57">
        <f>H196*F196</f>
        <v>0.026015</v>
      </c>
      <c r="K196" s="2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5">
      <c r="A197" s="26">
        <f t="shared" si="4"/>
        <v>157</v>
      </c>
      <c r="B197" s="12"/>
      <c r="C197" s="24" t="s">
        <v>269</v>
      </c>
      <c r="D197" s="124" t="s">
        <v>278</v>
      </c>
      <c r="E197" s="269">
        <v>0</v>
      </c>
      <c r="F197" s="127">
        <f>IF($E$199&gt;0,E197/$E$199,0)</f>
        <v>0</v>
      </c>
      <c r="G197" s="20"/>
      <c r="H197" s="57">
        <f>IF(E197&gt;0,J186/E197,0)</f>
        <v>0</v>
      </c>
      <c r="I197" s="12"/>
      <c r="J197" s="57">
        <f>H197*F197</f>
        <v>0</v>
      </c>
      <c r="K197" s="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5.75" thickBot="1">
      <c r="A198" s="26">
        <f t="shared" si="4"/>
        <v>158</v>
      </c>
      <c r="B198" s="12"/>
      <c r="C198" s="201" t="s">
        <v>284</v>
      </c>
      <c r="D198" s="124" t="str">
        <f>"(see above line "&amp;A193&amp;")"</f>
        <v>(see above line 153)</v>
      </c>
      <c r="E198" s="50">
        <f>+J193</f>
        <v>376612942</v>
      </c>
      <c r="F198" s="127">
        <v>0.57</v>
      </c>
      <c r="G198" s="12" t="s">
        <v>143</v>
      </c>
      <c r="H198" s="58">
        <v>0.108</v>
      </c>
      <c r="I198" s="12" t="s">
        <v>143</v>
      </c>
      <c r="J198" s="59">
        <f>H198*F198</f>
        <v>0.06156</v>
      </c>
      <c r="K198" s="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5">
      <c r="A199" s="26">
        <f t="shared" si="4"/>
        <v>159</v>
      </c>
      <c r="B199" s="12"/>
      <c r="C199" s="3" t="str">
        <f>"Total  (sum lines "&amp;A196&amp;"-"&amp;A198&amp;")"</f>
        <v>Total  (sum lines 156-158)</v>
      </c>
      <c r="D199" s="48"/>
      <c r="E199" s="30">
        <f>E198+E197+E196</f>
        <v>719365132</v>
      </c>
      <c r="F199" s="5" t="s">
        <v>158</v>
      </c>
      <c r="G199" s="5"/>
      <c r="H199" s="5"/>
      <c r="I199" s="5" t="s">
        <v>300</v>
      </c>
      <c r="J199" s="57">
        <f>SUM(J196:J198)</f>
        <v>0.087575</v>
      </c>
      <c r="K199" s="2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5">
      <c r="A200" s="12"/>
      <c r="B200" s="12"/>
      <c r="C200" s="12"/>
      <c r="D200" s="12"/>
      <c r="E200" s="48"/>
      <c r="F200" s="5"/>
      <c r="G200" s="5"/>
      <c r="H200" s="5"/>
      <c r="I200" s="5"/>
      <c r="J200" s="12"/>
      <c r="K200" s="1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5">
      <c r="A201" s="26"/>
      <c r="B201" s="12"/>
      <c r="C201" s="3"/>
      <c r="D201" s="2"/>
      <c r="E201" s="30"/>
      <c r="F201" s="5"/>
      <c r="G201" s="5"/>
      <c r="I201" s="295" t="s">
        <v>342</v>
      </c>
      <c r="J201" s="290" t="s">
        <v>366</v>
      </c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5">
      <c r="A202" s="26"/>
      <c r="B202" s="12"/>
      <c r="C202" s="3"/>
      <c r="D202" s="2"/>
      <c r="E202" s="30"/>
      <c r="F202" s="5"/>
      <c r="G202" s="5"/>
      <c r="H202" s="5"/>
      <c r="I202" s="222" t="str">
        <f>I2</f>
        <v>Service Year</v>
      </c>
      <c r="J202" s="2">
        <f>J2</f>
        <v>2016</v>
      </c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5">
      <c r="A203" s="12"/>
      <c r="B203" s="12"/>
      <c r="C203" s="2"/>
      <c r="D203" s="2"/>
      <c r="F203" s="2"/>
      <c r="G203" s="2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5.75">
      <c r="A204" s="309" t="s">
        <v>266</v>
      </c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5.75">
      <c r="A205" s="308" t="s">
        <v>159</v>
      </c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5">
      <c r="A206" s="12"/>
      <c r="B206" s="25"/>
      <c r="C206" s="24"/>
      <c r="D206" s="26"/>
      <c r="E206" s="30"/>
      <c r="F206" s="5"/>
      <c r="G206" s="5"/>
      <c r="H206" s="5"/>
      <c r="I206" s="25"/>
      <c r="J206" s="5"/>
      <c r="K206" s="2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5.75">
      <c r="A207" s="307" t="s">
        <v>265</v>
      </c>
      <c r="B207" s="307"/>
      <c r="C207" s="307"/>
      <c r="D207" s="307"/>
      <c r="E207" s="307"/>
      <c r="F207" s="307"/>
      <c r="G207" s="307"/>
      <c r="H207" s="307"/>
      <c r="I207" s="307"/>
      <c r="J207" s="307"/>
      <c r="K207" s="30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5">
      <c r="A208" s="26"/>
      <c r="B208" s="25"/>
      <c r="C208" s="24"/>
      <c r="D208" s="26"/>
      <c r="E208" s="30"/>
      <c r="F208" s="5"/>
      <c r="G208" s="5"/>
      <c r="H208" s="5"/>
      <c r="I208" s="25"/>
      <c r="J208" s="5"/>
      <c r="K208" s="2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5">
      <c r="A209" s="26" t="s">
        <v>218</v>
      </c>
      <c r="B209" s="25"/>
      <c r="C209" s="24"/>
      <c r="D209" s="25"/>
      <c r="E209" s="30"/>
      <c r="F209" s="5"/>
      <c r="G209" s="5"/>
      <c r="H209" s="5"/>
      <c r="I209" s="25"/>
      <c r="J209" s="5"/>
      <c r="K209" s="2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5.75" thickBot="1">
      <c r="A210" s="31" t="s">
        <v>219</v>
      </c>
      <c r="B210" s="25"/>
      <c r="C210" s="24"/>
      <c r="D210" s="25"/>
      <c r="E210" s="30"/>
      <c r="F210" s="5"/>
      <c r="G210" s="5"/>
      <c r="H210" s="5"/>
      <c r="I210" s="25"/>
      <c r="J210" s="5"/>
      <c r="K210" s="2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5">
      <c r="A211" s="26"/>
      <c r="B211" s="25"/>
      <c r="C211" s="46"/>
      <c r="D211" s="38"/>
      <c r="E211" s="30"/>
      <c r="F211" s="30"/>
      <c r="G211" s="30"/>
      <c r="H211" s="30"/>
      <c r="I211" s="38"/>
      <c r="J211" s="30"/>
      <c r="K211" s="3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5">
      <c r="A212" s="12"/>
      <c r="B212" s="12"/>
      <c r="C212" s="12"/>
      <c r="D212" s="12"/>
      <c r="E212" s="48"/>
      <c r="F212" s="12"/>
      <c r="G212" s="12"/>
      <c r="H212" s="12"/>
      <c r="I212" s="12"/>
      <c r="J212" s="38"/>
      <c r="K212" s="3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5">
      <c r="A213" s="26" t="s">
        <v>220</v>
      </c>
      <c r="B213" s="25"/>
      <c r="C213" s="38" t="s">
        <v>302</v>
      </c>
      <c r="D213" s="38"/>
      <c r="E213" s="38"/>
      <c r="F213" s="38"/>
      <c r="G213" s="38"/>
      <c r="H213" s="38"/>
      <c r="I213" s="38"/>
      <c r="J213" s="38"/>
      <c r="K213" s="3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5">
      <c r="A214" s="26"/>
      <c r="B214" s="25"/>
      <c r="C214" s="38" t="s">
        <v>63</v>
      </c>
      <c r="D214" s="38"/>
      <c r="E214" s="38"/>
      <c r="F214" s="38"/>
      <c r="G214" s="38"/>
      <c r="H214" s="38"/>
      <c r="I214" s="38"/>
      <c r="J214" s="38"/>
      <c r="K214" s="3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5">
      <c r="A215" s="26"/>
      <c r="B215" s="25"/>
      <c r="C215" s="38" t="s">
        <v>96</v>
      </c>
      <c r="D215" s="38"/>
      <c r="E215" s="38"/>
      <c r="F215" s="38"/>
      <c r="G215" s="38"/>
      <c r="H215" s="38"/>
      <c r="I215" s="38"/>
      <c r="J215" s="38"/>
      <c r="K215" s="3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5">
      <c r="A216" s="26" t="s">
        <v>221</v>
      </c>
      <c r="B216" s="25"/>
      <c r="C216" s="38" t="s">
        <v>227</v>
      </c>
      <c r="D216" s="38"/>
      <c r="E216" s="38"/>
      <c r="F216" s="38"/>
      <c r="G216" s="38"/>
      <c r="H216" s="38"/>
      <c r="I216" s="38"/>
      <c r="J216" s="38"/>
      <c r="K216" s="3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5">
      <c r="A217" s="26" t="s">
        <v>222</v>
      </c>
      <c r="B217" s="25"/>
      <c r="C217" s="38" t="s">
        <v>55</v>
      </c>
      <c r="D217" s="38"/>
      <c r="E217" s="38"/>
      <c r="F217" s="38"/>
      <c r="G217" s="38"/>
      <c r="H217" s="38"/>
      <c r="I217" s="38"/>
      <c r="J217" s="38"/>
      <c r="K217" s="3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5">
      <c r="A218" s="26" t="s">
        <v>223</v>
      </c>
      <c r="B218" s="25"/>
      <c r="C218" s="38" t="s">
        <v>64</v>
      </c>
      <c r="D218" s="38"/>
      <c r="E218" s="38"/>
      <c r="F218" s="38"/>
      <c r="G218" s="38"/>
      <c r="H218" s="38"/>
      <c r="I218" s="38"/>
      <c r="J218" s="38"/>
      <c r="K218" s="3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5">
      <c r="A219" s="26" t="s">
        <v>224</v>
      </c>
      <c r="B219" s="25"/>
      <c r="C219" s="38" t="s">
        <v>371</v>
      </c>
      <c r="D219" s="38"/>
      <c r="E219" s="38"/>
      <c r="F219" s="38"/>
      <c r="G219" s="38"/>
      <c r="H219" s="38"/>
      <c r="I219" s="38"/>
      <c r="J219" s="38"/>
      <c r="K219" s="3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5">
      <c r="A220" s="26"/>
      <c r="B220" s="25"/>
      <c r="C220" s="48" t="s">
        <v>372</v>
      </c>
      <c r="D220" s="38"/>
      <c r="E220" s="38"/>
      <c r="F220" s="38"/>
      <c r="G220" s="38"/>
      <c r="H220" s="38"/>
      <c r="I220" s="38"/>
      <c r="J220" s="38"/>
      <c r="K220" s="3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5">
      <c r="A221" s="26" t="s">
        <v>225</v>
      </c>
      <c r="B221" s="25"/>
      <c r="C221" s="38" t="s">
        <v>230</v>
      </c>
      <c r="D221" s="38"/>
      <c r="E221" s="38"/>
      <c r="F221" s="38"/>
      <c r="G221" s="38"/>
      <c r="H221" s="38"/>
      <c r="I221" s="38"/>
      <c r="J221" s="38"/>
      <c r="K221" s="3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5">
      <c r="A222" s="26"/>
      <c r="B222" s="25"/>
      <c r="C222" s="38" t="s">
        <v>157</v>
      </c>
      <c r="D222" s="38"/>
      <c r="E222" s="38"/>
      <c r="F222" s="38"/>
      <c r="G222" s="38"/>
      <c r="H222" s="38"/>
      <c r="I222" s="38"/>
      <c r="J222" s="38"/>
      <c r="K222" s="3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5">
      <c r="A223" s="26"/>
      <c r="B223" s="25"/>
      <c r="C223" s="38" t="s">
        <v>253</v>
      </c>
      <c r="D223" s="38"/>
      <c r="E223" s="38"/>
      <c r="F223" s="38"/>
      <c r="G223" s="38"/>
      <c r="H223" s="38"/>
      <c r="I223" s="38"/>
      <c r="J223" s="38"/>
      <c r="K223" s="3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5">
      <c r="A224" s="26" t="s">
        <v>226</v>
      </c>
      <c r="B224" s="25"/>
      <c r="C224" s="38" t="s">
        <v>237</v>
      </c>
      <c r="D224" s="38"/>
      <c r="E224" s="38"/>
      <c r="F224" s="38"/>
      <c r="G224" s="38"/>
      <c r="H224" s="38"/>
      <c r="I224" s="38"/>
      <c r="J224" s="38"/>
      <c r="K224" s="3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5">
      <c r="A225" s="26"/>
      <c r="B225" s="25"/>
      <c r="C225" s="38" t="s">
        <v>239</v>
      </c>
      <c r="D225" s="38"/>
      <c r="E225" s="38"/>
      <c r="F225" s="38"/>
      <c r="G225" s="38"/>
      <c r="H225" s="38"/>
      <c r="I225" s="38"/>
      <c r="J225" s="38"/>
      <c r="K225" s="3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5">
      <c r="A226" s="26"/>
      <c r="B226" s="25"/>
      <c r="C226" s="38" t="s">
        <v>240</v>
      </c>
      <c r="D226" s="38"/>
      <c r="E226" s="38"/>
      <c r="F226" s="38"/>
      <c r="G226" s="38"/>
      <c r="H226" s="38"/>
      <c r="I226" s="38"/>
      <c r="J226" s="38"/>
      <c r="K226" s="3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5">
      <c r="A227" s="26"/>
      <c r="B227" s="25"/>
      <c r="C227" s="38" t="s">
        <v>241</v>
      </c>
      <c r="D227" s="38"/>
      <c r="E227" s="38"/>
      <c r="F227" s="38"/>
      <c r="G227" s="38"/>
      <c r="H227" s="38"/>
      <c r="I227" s="38"/>
      <c r="J227" s="38"/>
      <c r="K227" s="3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5">
      <c r="A228" s="26"/>
      <c r="B228" s="25"/>
      <c r="C228" s="38" t="s">
        <v>242</v>
      </c>
      <c r="D228" s="38"/>
      <c r="E228" s="38"/>
      <c r="F228" s="38"/>
      <c r="G228" s="38"/>
      <c r="H228" s="38"/>
      <c r="I228" s="38"/>
      <c r="J228" s="38"/>
      <c r="K228" s="3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5">
      <c r="A229" s="26"/>
      <c r="B229" s="25"/>
      <c r="C229" s="38" t="s">
        <v>97</v>
      </c>
      <c r="D229" s="38"/>
      <c r="E229" s="38"/>
      <c r="F229" s="38"/>
      <c r="G229" s="38"/>
      <c r="H229" s="38"/>
      <c r="I229" s="38"/>
      <c r="J229" s="38"/>
      <c r="K229" s="3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5">
      <c r="A230" s="26" t="s">
        <v>158</v>
      </c>
      <c r="B230" s="25"/>
      <c r="C230" s="38" t="s">
        <v>250</v>
      </c>
      <c r="D230" s="38" t="s">
        <v>243</v>
      </c>
      <c r="E230" s="229">
        <v>0.35</v>
      </c>
      <c r="F230" s="38"/>
      <c r="G230" s="38"/>
      <c r="H230" s="38"/>
      <c r="I230" s="38"/>
      <c r="J230" s="38"/>
      <c r="K230" s="3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5">
      <c r="A231" s="26"/>
      <c r="B231" s="25"/>
      <c r="C231" s="38"/>
      <c r="D231" s="38" t="s">
        <v>244</v>
      </c>
      <c r="E231" s="229">
        <v>0</v>
      </c>
      <c r="F231" s="38" t="s">
        <v>245</v>
      </c>
      <c r="G231" s="38"/>
      <c r="H231" s="38"/>
      <c r="I231" s="38"/>
      <c r="J231" s="38"/>
      <c r="K231" s="3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5">
      <c r="A232" s="26"/>
      <c r="B232" s="25"/>
      <c r="C232" s="38"/>
      <c r="D232" s="38" t="s">
        <v>246</v>
      </c>
      <c r="E232" s="229">
        <v>0</v>
      </c>
      <c r="F232" s="38" t="s">
        <v>247</v>
      </c>
      <c r="G232" s="38"/>
      <c r="H232" s="38"/>
      <c r="I232" s="38"/>
      <c r="J232" s="38"/>
      <c r="K232" s="3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11" ht="15">
      <c r="A233" s="210" t="s">
        <v>228</v>
      </c>
      <c r="B233" s="12"/>
      <c r="C233" s="48" t="s">
        <v>50</v>
      </c>
      <c r="D233" s="48"/>
      <c r="E233" s="48"/>
      <c r="F233" s="48"/>
      <c r="G233" s="48"/>
      <c r="H233" s="48"/>
      <c r="I233" s="48"/>
      <c r="J233" s="48"/>
      <c r="K233" s="12"/>
    </row>
    <row r="234" spans="1:3" ht="15" customHeight="1">
      <c r="A234" s="213" t="s">
        <v>229</v>
      </c>
      <c r="C234" s="46" t="s">
        <v>41</v>
      </c>
    </row>
  </sheetData>
  <sheetProtection/>
  <mergeCells count="13">
    <mergeCell ref="A4:K4"/>
    <mergeCell ref="A5:K5"/>
    <mergeCell ref="A7:K7"/>
    <mergeCell ref="A71:K71"/>
    <mergeCell ref="A127:K127"/>
    <mergeCell ref="A131:K131"/>
    <mergeCell ref="A207:K207"/>
    <mergeCell ref="A205:K205"/>
    <mergeCell ref="A72:K72"/>
    <mergeCell ref="A74:K74"/>
    <mergeCell ref="A204:K204"/>
    <mergeCell ref="A129:K129"/>
    <mergeCell ref="A126:K126"/>
  </mergeCells>
  <printOptions horizontalCentered="1"/>
  <pageMargins left="0.5" right="0.5" top="0.75" bottom="0.75" header="0.5" footer="0.5"/>
  <pageSetup fitToHeight="5" horizontalDpi="600" verticalDpi="600" orientation="portrait" scale="55" r:id="rId3"/>
  <headerFooter alignWithMargins="0">
    <oddHeader>&amp;L
&amp;C&amp;"Arial MT,Bold"ESTIMATED SERVICE YEAR ATRR
BLACK HILLS POWER, INC.&amp;RPage &amp;P of &amp;N</oddHeader>
  </headerFooter>
  <rowBreaks count="3" manualBreakCount="3">
    <brk id="67" max="12" man="1"/>
    <brk id="123" max="12" man="1"/>
    <brk id="200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2:H115"/>
  <sheetViews>
    <sheetView workbookViewId="0" topLeftCell="A1">
      <selection activeCell="F10" sqref="F10"/>
    </sheetView>
  </sheetViews>
  <sheetFormatPr defaultColWidth="7.10546875" defaultRowHeight="15"/>
  <cols>
    <col min="1" max="1" width="3.4453125" style="87" customWidth="1"/>
    <col min="2" max="2" width="4.10546875" style="87" customWidth="1"/>
    <col min="3" max="3" width="1.77734375" style="87" customWidth="1"/>
    <col min="4" max="4" width="44.88671875" style="90" customWidth="1"/>
    <col min="5" max="5" width="11.21484375" style="90" customWidth="1"/>
    <col min="6" max="6" width="10.88671875" style="87" customWidth="1"/>
    <col min="7" max="7" width="9.4453125" style="87" customWidth="1"/>
    <col min="8" max="8" width="11.3359375" style="87" customWidth="1"/>
    <col min="9" max="16384" width="7.10546875" style="87" customWidth="1"/>
  </cols>
  <sheetData>
    <row r="2" spans="4:6" ht="12.75">
      <c r="D2" s="149"/>
      <c r="F2" s="86"/>
    </row>
    <row r="3" ht="12.75">
      <c r="B3" s="146" t="s">
        <v>160</v>
      </c>
    </row>
    <row r="4" spans="2:6" ht="12.75">
      <c r="B4" s="152" t="s">
        <v>161</v>
      </c>
      <c r="F4" s="155" t="s">
        <v>40</v>
      </c>
    </row>
    <row r="5" spans="2:6" ht="12.75">
      <c r="B5" s="88">
        <v>1</v>
      </c>
      <c r="C5" s="89" t="s">
        <v>17</v>
      </c>
      <c r="D5" s="91"/>
      <c r="E5" s="91"/>
      <c r="F5" s="238" t="s">
        <v>87</v>
      </c>
    </row>
    <row r="6" spans="2:6" ht="12.75">
      <c r="B6" s="88">
        <f>+B5+1</f>
        <v>2</v>
      </c>
      <c r="C6" s="91"/>
      <c r="D6" s="167">
        <v>41974</v>
      </c>
      <c r="E6" s="101"/>
      <c r="F6" s="148"/>
    </row>
    <row r="7" spans="2:6" ht="12.75">
      <c r="B7" s="88">
        <f aca="true" t="shared" si="0" ref="B7:B56">+B6+1</f>
        <v>3</v>
      </c>
      <c r="C7" s="91"/>
      <c r="D7" s="167">
        <v>42005</v>
      </c>
      <c r="E7" s="101"/>
      <c r="F7" s="148"/>
    </row>
    <row r="8" spans="2:6" ht="12.75">
      <c r="B8" s="88">
        <f t="shared" si="0"/>
        <v>4</v>
      </c>
      <c r="C8" s="91"/>
      <c r="D8" s="167">
        <v>42036</v>
      </c>
      <c r="E8" s="101"/>
      <c r="F8" s="148"/>
    </row>
    <row r="9" spans="2:6" ht="12.75">
      <c r="B9" s="88">
        <f t="shared" si="0"/>
        <v>5</v>
      </c>
      <c r="C9" s="91"/>
      <c r="D9" s="167">
        <v>42064</v>
      </c>
      <c r="E9" s="101"/>
      <c r="F9" s="148"/>
    </row>
    <row r="10" spans="2:6" ht="12.75">
      <c r="B10" s="88">
        <f t="shared" si="0"/>
        <v>6</v>
      </c>
      <c r="C10" s="91"/>
      <c r="D10" s="237">
        <v>42107</v>
      </c>
      <c r="E10" s="101"/>
      <c r="F10" s="148"/>
    </row>
    <row r="11" spans="2:6" ht="12.75" customHeight="1">
      <c r="B11" s="88">
        <f t="shared" si="0"/>
        <v>7</v>
      </c>
      <c r="C11" s="91"/>
      <c r="D11" s="167">
        <v>42125</v>
      </c>
      <c r="E11" s="101"/>
      <c r="F11" s="148"/>
    </row>
    <row r="12" spans="2:6" ht="12.75">
      <c r="B12" s="88">
        <f t="shared" si="0"/>
        <v>8</v>
      </c>
      <c r="C12" s="89"/>
      <c r="D12" s="237">
        <v>42165</v>
      </c>
      <c r="E12" s="101"/>
      <c r="F12" s="148"/>
    </row>
    <row r="13" spans="2:6" ht="12.75">
      <c r="B13" s="88">
        <f t="shared" si="0"/>
        <v>9</v>
      </c>
      <c r="C13" s="91"/>
      <c r="D13" s="167">
        <v>42186</v>
      </c>
      <c r="E13" s="101"/>
      <c r="F13" s="148"/>
    </row>
    <row r="14" spans="2:6" ht="12.75">
      <c r="B14" s="88">
        <f t="shared" si="0"/>
        <v>10</v>
      </c>
      <c r="C14" s="91"/>
      <c r="D14" s="167">
        <v>42217</v>
      </c>
      <c r="E14" s="101"/>
      <c r="F14" s="148"/>
    </row>
    <row r="15" spans="2:6" ht="12.75">
      <c r="B15" s="88">
        <f t="shared" si="0"/>
        <v>11</v>
      </c>
      <c r="C15" s="91"/>
      <c r="D15" s="237">
        <v>42256</v>
      </c>
      <c r="E15" s="101"/>
      <c r="F15" s="148"/>
    </row>
    <row r="16" spans="2:6" ht="12.75">
      <c r="B16" s="88">
        <f t="shared" si="0"/>
        <v>12</v>
      </c>
      <c r="C16" s="91"/>
      <c r="D16" s="167">
        <v>42278</v>
      </c>
      <c r="E16" s="101"/>
      <c r="F16" s="148"/>
    </row>
    <row r="17" spans="2:6" ht="12.75">
      <c r="B17" s="88">
        <f t="shared" si="0"/>
        <v>13</v>
      </c>
      <c r="C17" s="91"/>
      <c r="D17" s="237">
        <v>42318</v>
      </c>
      <c r="E17" s="101"/>
      <c r="F17" s="148"/>
    </row>
    <row r="18" spans="2:7" ht="12.75">
      <c r="B18" s="88">
        <f t="shared" si="0"/>
        <v>14</v>
      </c>
      <c r="C18" s="91"/>
      <c r="D18" s="237">
        <v>42351</v>
      </c>
      <c r="E18" s="101"/>
      <c r="F18" s="148">
        <f>1784979+1000000</f>
        <v>2784979</v>
      </c>
      <c r="G18" s="92"/>
    </row>
    <row r="19" spans="2:8" ht="12.75">
      <c r="B19" s="88">
        <f t="shared" si="0"/>
        <v>15</v>
      </c>
      <c r="C19" s="113" t="s">
        <v>356</v>
      </c>
      <c r="D19" s="87"/>
      <c r="E19" s="101"/>
      <c r="F19" s="173">
        <f>SUM(F5:F18)</f>
        <v>2784979</v>
      </c>
      <c r="G19" s="99"/>
      <c r="H19" s="99"/>
    </row>
    <row r="20" spans="2:6" ht="12.75">
      <c r="B20" s="88">
        <f t="shared" si="0"/>
        <v>16</v>
      </c>
      <c r="C20" s="91"/>
      <c r="D20" s="91" t="s">
        <v>36</v>
      </c>
      <c r="E20" s="91"/>
      <c r="F20" s="151">
        <f>+'BHP WP5 Depreciation Rates'!H24</f>
        <v>0.0232</v>
      </c>
    </row>
    <row r="21" spans="2:6" ht="13.5" thickBot="1">
      <c r="B21" s="88">
        <f t="shared" si="0"/>
        <v>17</v>
      </c>
      <c r="C21" s="89" t="str">
        <f>"Annual Transmisison Depreciation Expense (line "&amp;B19&amp;" x line "&amp;B20&amp;")"</f>
        <v>Annual Transmisison Depreciation Expense (line 15 x line 16)</v>
      </c>
      <c r="D21" s="91"/>
      <c r="E21" s="91"/>
      <c r="F21" s="150">
        <f>+F19*F20</f>
        <v>64611.5128</v>
      </c>
    </row>
    <row r="22" spans="2:5" ht="13.5" thickTop="1">
      <c r="B22" s="88">
        <f t="shared" si="0"/>
        <v>18</v>
      </c>
      <c r="C22" s="91"/>
      <c r="D22" s="147"/>
      <c r="E22" s="147"/>
    </row>
    <row r="23" spans="2:6" ht="12.75">
      <c r="B23" s="88">
        <f>+B22+1</f>
        <v>19</v>
      </c>
      <c r="C23" s="91"/>
      <c r="D23" s="147"/>
      <c r="E23" s="178" t="s">
        <v>154</v>
      </c>
      <c r="F23" s="92" t="s">
        <v>88</v>
      </c>
    </row>
    <row r="24" spans="2:6" ht="12.75">
      <c r="B24" s="88">
        <f t="shared" si="0"/>
        <v>20</v>
      </c>
      <c r="C24" s="89"/>
      <c r="E24" s="177" t="s">
        <v>86</v>
      </c>
      <c r="F24" s="146" t="s">
        <v>3</v>
      </c>
    </row>
    <row r="25" spans="2:6" ht="12.75">
      <c r="B25" s="88">
        <f t="shared" si="0"/>
        <v>21</v>
      </c>
      <c r="C25" s="89" t="s">
        <v>375</v>
      </c>
      <c r="E25" s="177" t="s">
        <v>87</v>
      </c>
      <c r="F25" s="146" t="s">
        <v>4</v>
      </c>
    </row>
    <row r="26" spans="2:6" ht="12.75">
      <c r="B26" s="88">
        <f t="shared" si="0"/>
        <v>22</v>
      </c>
      <c r="F26" s="148"/>
    </row>
    <row r="27" spans="2:6" ht="12.75">
      <c r="B27" s="88">
        <f t="shared" si="0"/>
        <v>23</v>
      </c>
      <c r="D27" s="184" t="s">
        <v>357</v>
      </c>
      <c r="E27" s="100">
        <f>+Estimate!J16+F7</f>
        <v>97707976.110624</v>
      </c>
      <c r="F27" s="148">
        <f>(+E27*$F$20)/12</f>
        <v>188902.0871472064</v>
      </c>
    </row>
    <row r="28" spans="2:6" ht="12.75">
      <c r="B28" s="88">
        <f t="shared" si="0"/>
        <v>24</v>
      </c>
      <c r="D28" s="176">
        <v>42036</v>
      </c>
      <c r="E28" s="78">
        <f aca="true" t="shared" si="1" ref="E28:E38">+E27+F8</f>
        <v>97707976.110624</v>
      </c>
      <c r="F28" s="148">
        <f aca="true" t="shared" si="2" ref="F28:F35">(+E28*$F$20)/12</f>
        <v>188902.0871472064</v>
      </c>
    </row>
    <row r="29" spans="2:6" ht="12.75">
      <c r="B29" s="88">
        <f t="shared" si="0"/>
        <v>25</v>
      </c>
      <c r="D29" s="176">
        <v>42064</v>
      </c>
      <c r="E29" s="78">
        <f t="shared" si="1"/>
        <v>97707976.110624</v>
      </c>
      <c r="F29" s="148">
        <f t="shared" si="2"/>
        <v>188902.0871472064</v>
      </c>
    </row>
    <row r="30" spans="2:6" ht="12.75">
      <c r="B30" s="88">
        <f t="shared" si="0"/>
        <v>26</v>
      </c>
      <c r="D30" s="176">
        <v>42095</v>
      </c>
      <c r="E30" s="78">
        <f t="shared" si="1"/>
        <v>97707976.110624</v>
      </c>
      <c r="F30" s="148">
        <f t="shared" si="2"/>
        <v>188902.0871472064</v>
      </c>
    </row>
    <row r="31" spans="2:6" ht="12.75">
      <c r="B31" s="88">
        <f t="shared" si="0"/>
        <v>27</v>
      </c>
      <c r="D31" s="176">
        <v>42125</v>
      </c>
      <c r="E31" s="78">
        <f t="shared" si="1"/>
        <v>97707976.110624</v>
      </c>
      <c r="F31" s="148">
        <f t="shared" si="2"/>
        <v>188902.0871472064</v>
      </c>
    </row>
    <row r="32" spans="2:6" ht="12.75">
      <c r="B32" s="88">
        <f t="shared" si="0"/>
        <v>28</v>
      </c>
      <c r="D32" s="176">
        <v>42156</v>
      </c>
      <c r="E32" s="78">
        <f t="shared" si="1"/>
        <v>97707976.110624</v>
      </c>
      <c r="F32" s="148">
        <f t="shared" si="2"/>
        <v>188902.0871472064</v>
      </c>
    </row>
    <row r="33" spans="2:6" ht="12.75">
      <c r="B33" s="88">
        <f t="shared" si="0"/>
        <v>29</v>
      </c>
      <c r="D33" s="176">
        <v>42186</v>
      </c>
      <c r="E33" s="78">
        <f t="shared" si="1"/>
        <v>97707976.110624</v>
      </c>
      <c r="F33" s="148">
        <f t="shared" si="2"/>
        <v>188902.0871472064</v>
      </c>
    </row>
    <row r="34" spans="2:6" ht="12.75">
      <c r="B34" s="88">
        <f t="shared" si="0"/>
        <v>30</v>
      </c>
      <c r="D34" s="176">
        <v>42217</v>
      </c>
      <c r="E34" s="78">
        <f t="shared" si="1"/>
        <v>97707976.110624</v>
      </c>
      <c r="F34" s="148">
        <f t="shared" si="2"/>
        <v>188902.0871472064</v>
      </c>
    </row>
    <row r="35" spans="2:6" ht="12.75">
      <c r="B35" s="88">
        <f t="shared" si="0"/>
        <v>31</v>
      </c>
      <c r="D35" s="176">
        <v>42248</v>
      </c>
      <c r="E35" s="78">
        <f t="shared" si="1"/>
        <v>97707976.110624</v>
      </c>
      <c r="F35" s="148">
        <f t="shared" si="2"/>
        <v>188902.0871472064</v>
      </c>
    </row>
    <row r="36" spans="2:6" ht="12.75">
      <c r="B36" s="88">
        <f t="shared" si="0"/>
        <v>32</v>
      </c>
      <c r="D36" s="176">
        <v>42278</v>
      </c>
      <c r="E36" s="78">
        <f t="shared" si="1"/>
        <v>97707976.110624</v>
      </c>
      <c r="F36" s="148">
        <f>(+E36*$F$20)/12</f>
        <v>188902.0871472064</v>
      </c>
    </row>
    <row r="37" spans="2:6" ht="12.75">
      <c r="B37" s="88">
        <f t="shared" si="0"/>
        <v>33</v>
      </c>
      <c r="D37" s="176">
        <v>42309</v>
      </c>
      <c r="E37" s="78">
        <f t="shared" si="1"/>
        <v>97707976.110624</v>
      </c>
      <c r="F37" s="148">
        <f aca="true" t="shared" si="3" ref="F37:F52">(+E37*$F$20)/12</f>
        <v>188902.0871472064</v>
      </c>
    </row>
    <row r="38" spans="2:6" ht="12.75">
      <c r="B38" s="88">
        <f t="shared" si="0"/>
        <v>34</v>
      </c>
      <c r="D38" s="176">
        <v>42339</v>
      </c>
      <c r="E38" s="78">
        <f t="shared" si="1"/>
        <v>100492955.110624</v>
      </c>
      <c r="F38" s="148">
        <f t="shared" si="3"/>
        <v>194286.37988053972</v>
      </c>
    </row>
    <row r="39" spans="2:6" ht="12.75">
      <c r="B39" s="88">
        <f t="shared" si="0"/>
        <v>35</v>
      </c>
      <c r="D39" s="184" t="s">
        <v>358</v>
      </c>
      <c r="E39" s="78"/>
      <c r="F39" s="173">
        <f>SUM(F27:F38)</f>
        <v>2272209.3384998096</v>
      </c>
    </row>
    <row r="40" spans="2:6" ht="12.75">
      <c r="B40" s="88">
        <f t="shared" si="0"/>
        <v>36</v>
      </c>
      <c r="C40" s="92" t="s">
        <v>373</v>
      </c>
      <c r="D40" s="176"/>
      <c r="E40" s="78"/>
      <c r="F40" s="148"/>
    </row>
    <row r="41" spans="2:7" ht="12.75">
      <c r="B41" s="88">
        <f t="shared" si="0"/>
        <v>37</v>
      </c>
      <c r="D41" s="176">
        <v>42370</v>
      </c>
      <c r="E41" s="78">
        <f>+E38+'BHP WP3 Capital Additions'!E9</f>
        <v>100492955.110624</v>
      </c>
      <c r="F41" s="148">
        <f t="shared" si="3"/>
        <v>194286.37988053972</v>
      </c>
      <c r="G41" s="169"/>
    </row>
    <row r="42" spans="2:7" ht="12.75">
      <c r="B42" s="88">
        <f t="shared" si="0"/>
        <v>38</v>
      </c>
      <c r="D42" s="176">
        <v>42401</v>
      </c>
      <c r="E42" s="78">
        <f>+E41+'BHP WP3 Capital Additions'!E10</f>
        <v>100492955.110624</v>
      </c>
      <c r="F42" s="148">
        <f t="shared" si="3"/>
        <v>194286.37988053972</v>
      </c>
      <c r="G42" s="169"/>
    </row>
    <row r="43" spans="2:7" ht="12.75">
      <c r="B43" s="88">
        <f t="shared" si="0"/>
        <v>39</v>
      </c>
      <c r="D43" s="176">
        <v>42430</v>
      </c>
      <c r="E43" s="78">
        <f>+E42+'BHP WP3 Capital Additions'!E11</f>
        <v>100492955.110624</v>
      </c>
      <c r="F43" s="148">
        <f t="shared" si="3"/>
        <v>194286.37988053972</v>
      </c>
      <c r="G43" s="169"/>
    </row>
    <row r="44" spans="2:7" ht="12.75">
      <c r="B44" s="88">
        <f t="shared" si="0"/>
        <v>40</v>
      </c>
      <c r="D44" s="176">
        <v>42461</v>
      </c>
      <c r="E44" s="78">
        <f>+E43+'BHP WP3 Capital Additions'!E12</f>
        <v>100492955.110624</v>
      </c>
      <c r="F44" s="148">
        <f t="shared" si="3"/>
        <v>194286.37988053972</v>
      </c>
      <c r="G44" s="169"/>
    </row>
    <row r="45" spans="2:7" ht="12.75">
      <c r="B45" s="88">
        <f t="shared" si="0"/>
        <v>41</v>
      </c>
      <c r="D45" s="176">
        <v>42491</v>
      </c>
      <c r="E45" s="78">
        <f>+E44+'BHP WP3 Capital Additions'!E13</f>
        <v>100492955.110624</v>
      </c>
      <c r="F45" s="148">
        <f t="shared" si="3"/>
        <v>194286.37988053972</v>
      </c>
      <c r="G45" s="169"/>
    </row>
    <row r="46" spans="2:7" ht="12.75">
      <c r="B46" s="88">
        <f t="shared" si="0"/>
        <v>42</v>
      </c>
      <c r="D46" s="176">
        <v>42522</v>
      </c>
      <c r="E46" s="78">
        <f>+E45+'BHP WP3 Capital Additions'!E14</f>
        <v>132681920.110624</v>
      </c>
      <c r="F46" s="148">
        <f t="shared" si="3"/>
        <v>256518.3788805397</v>
      </c>
      <c r="G46" s="169"/>
    </row>
    <row r="47" spans="2:7" ht="12.75">
      <c r="B47" s="88">
        <f t="shared" si="0"/>
        <v>43</v>
      </c>
      <c r="D47" s="176">
        <v>42552</v>
      </c>
      <c r="E47" s="78">
        <f>+E46+'BHP WP3 Capital Additions'!E15</f>
        <v>132681920.110624</v>
      </c>
      <c r="F47" s="148">
        <f t="shared" si="3"/>
        <v>256518.3788805397</v>
      </c>
      <c r="G47" s="169"/>
    </row>
    <row r="48" spans="2:7" ht="12.75">
      <c r="B48" s="88">
        <f t="shared" si="0"/>
        <v>44</v>
      </c>
      <c r="D48" s="176">
        <v>42583</v>
      </c>
      <c r="E48" s="78">
        <f>+E47+'BHP WP3 Capital Additions'!E16</f>
        <v>132681920.110624</v>
      </c>
      <c r="F48" s="148">
        <f t="shared" si="3"/>
        <v>256518.3788805397</v>
      </c>
      <c r="G48" s="169"/>
    </row>
    <row r="49" spans="2:7" ht="12.75">
      <c r="B49" s="88">
        <f t="shared" si="0"/>
        <v>45</v>
      </c>
      <c r="D49" s="176">
        <v>42614</v>
      </c>
      <c r="E49" s="78">
        <f>+E48+'BHP WP3 Capital Additions'!E17</f>
        <v>153190291.11062402</v>
      </c>
      <c r="F49" s="148">
        <f t="shared" si="3"/>
        <v>296167.8961472064</v>
      </c>
      <c r="G49" s="169"/>
    </row>
    <row r="50" spans="2:7" ht="12.75">
      <c r="B50" s="88">
        <f t="shared" si="0"/>
        <v>46</v>
      </c>
      <c r="D50" s="176">
        <v>42644</v>
      </c>
      <c r="E50" s="78">
        <f>+E49+'BHP WP3 Capital Additions'!E18</f>
        <v>153190291.11062402</v>
      </c>
      <c r="F50" s="148">
        <f t="shared" si="3"/>
        <v>296167.8961472064</v>
      </c>
      <c r="G50" s="169"/>
    </row>
    <row r="51" spans="2:7" ht="12.75">
      <c r="B51" s="88">
        <f t="shared" si="0"/>
        <v>47</v>
      </c>
      <c r="D51" s="176">
        <v>42675</v>
      </c>
      <c r="E51" s="78">
        <f>+E50+'BHP WP3 Capital Additions'!E19</f>
        <v>153190291.11062402</v>
      </c>
      <c r="F51" s="148">
        <f t="shared" si="3"/>
        <v>296167.8961472064</v>
      </c>
      <c r="G51" s="169"/>
    </row>
    <row r="52" spans="2:7" ht="12.75">
      <c r="B52" s="88">
        <f t="shared" si="0"/>
        <v>48</v>
      </c>
      <c r="D52" s="176">
        <v>42705</v>
      </c>
      <c r="E52" s="78">
        <f>+E51+'BHP WP3 Capital Additions'!E20</f>
        <v>153190291.11062402</v>
      </c>
      <c r="F52" s="148">
        <f t="shared" si="3"/>
        <v>296167.8961472064</v>
      </c>
      <c r="G52" s="169"/>
    </row>
    <row r="53" spans="2:6" ht="12.75">
      <c r="B53" s="88">
        <f t="shared" si="0"/>
        <v>49</v>
      </c>
      <c r="D53" s="184" t="str">
        <f>"Subtotal of 2016 Increase for Accumulated Depreciation (lines "&amp;B41&amp;"-"&amp;B52&amp;")"</f>
        <v>Subtotal of 2016 Increase for Accumulated Depreciation (lines 37-48)</v>
      </c>
      <c r="F53" s="179">
        <f>SUM(F41:F52)</f>
        <v>2925658.6206331435</v>
      </c>
    </row>
    <row r="54" spans="2:6" ht="12.75">
      <c r="B54" s="88">
        <f t="shared" si="0"/>
        <v>50</v>
      </c>
      <c r="D54" s="203" t="str">
        <f>"Average 2016 Impact for rate base consideration (line "&amp;B53&amp;" ÷ 2)"</f>
        <v>Average 2016 Impact for rate base consideration (line 49 ÷ 2)</v>
      </c>
      <c r="F54" s="78">
        <f>+F53/2</f>
        <v>1462829.3103165717</v>
      </c>
    </row>
    <row r="55" ht="12.75">
      <c r="B55" s="88">
        <f t="shared" si="0"/>
        <v>51</v>
      </c>
    </row>
    <row r="56" spans="2:6" ht="13.5" thickBot="1">
      <c r="B56" s="88">
        <f t="shared" si="0"/>
        <v>52</v>
      </c>
      <c r="D56" s="203" t="str">
        <f>"Total Accumulated Depreciation for 2015 &amp; 2016 (lines "&amp;B39&amp;" + "&amp;B54&amp;")"</f>
        <v>Total Accumulated Depreciation for 2015 &amp; 2016 (lines 35 + 50)</v>
      </c>
      <c r="F56" s="204">
        <f>+F39+F54</f>
        <v>3735038.6488163816</v>
      </c>
    </row>
    <row r="57" ht="13.5" thickTop="1">
      <c r="B57" s="88"/>
    </row>
    <row r="114" spans="7:8" ht="12.75">
      <c r="G114" s="87" t="s">
        <v>163</v>
      </c>
      <c r="H114" s="87">
        <f>+J183</f>
        <v>0</v>
      </c>
    </row>
    <row r="115" ht="12.75">
      <c r="H115" s="87">
        <f>+H114</f>
        <v>0</v>
      </c>
    </row>
  </sheetData>
  <sheetProtection/>
  <printOptions horizontalCentered="1"/>
  <pageMargins left="0.5" right="0.25" top="1" bottom="0.5" header="0.5" footer="0.5"/>
  <pageSetup horizontalDpi="600" verticalDpi="600" orientation="portrait" scale="90" r:id="rId1"/>
  <headerFooter alignWithMargins="0">
    <oddHeader>&amp;C&amp;"Arial MT,Bold"WORKPAPER 2
CAPITAL ADDITIONS
BLACK HILLS POWER, INC.&amp;R&amp;"Arial,Regular"&amp;10Page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J109"/>
  <sheetViews>
    <sheetView workbookViewId="0" topLeftCell="A1">
      <selection activeCell="E12" sqref="E12"/>
    </sheetView>
  </sheetViews>
  <sheetFormatPr defaultColWidth="7.10546875" defaultRowHeight="15"/>
  <cols>
    <col min="1" max="1" width="3.4453125" style="87" customWidth="1"/>
    <col min="2" max="2" width="3.5546875" style="87" customWidth="1"/>
    <col min="3" max="3" width="1.77734375" style="87" customWidth="1"/>
    <col min="4" max="4" width="43.5546875" style="90" customWidth="1"/>
    <col min="5" max="5" width="10.88671875" style="87" customWidth="1"/>
    <col min="6" max="6" width="9.4453125" style="87" customWidth="1"/>
    <col min="7" max="7" width="11.3359375" style="87" customWidth="1"/>
    <col min="8" max="9" width="7.10546875" style="87" customWidth="1"/>
    <col min="10" max="10" width="10.77734375" style="87" bestFit="1" customWidth="1"/>
    <col min="11" max="16384" width="7.10546875" style="87" customWidth="1"/>
  </cols>
  <sheetData>
    <row r="1" spans="2:4" ht="12.75">
      <c r="B1" s="311"/>
      <c r="C1" s="312"/>
      <c r="D1" s="312"/>
    </row>
    <row r="2" spans="2:4" ht="12.75">
      <c r="B2" s="146" t="s">
        <v>160</v>
      </c>
      <c r="C2" s="88"/>
      <c r="D2" s="88"/>
    </row>
    <row r="3" spans="2:4" ht="12.75">
      <c r="B3" s="152" t="s">
        <v>161</v>
      </c>
      <c r="C3" s="88"/>
      <c r="D3" s="88"/>
    </row>
    <row r="4" spans="2:7" ht="15.75">
      <c r="B4" s="88">
        <v>1</v>
      </c>
      <c r="C4" s="313" t="s">
        <v>359</v>
      </c>
      <c r="D4" s="313"/>
      <c r="E4" s="313"/>
      <c r="F4" s="313"/>
      <c r="G4" s="313"/>
    </row>
    <row r="5" spans="2:6" ht="15.75">
      <c r="B5" s="88">
        <v>2</v>
      </c>
      <c r="C5" s="166"/>
      <c r="D5" s="166"/>
      <c r="E5" s="166"/>
      <c r="F5" s="166"/>
    </row>
    <row r="6" spans="2:7" ht="12.75">
      <c r="B6" s="88">
        <v>3</v>
      </c>
      <c r="D6" s="172" t="s">
        <v>154</v>
      </c>
      <c r="E6" s="172" t="s">
        <v>155</v>
      </c>
      <c r="F6" s="172" t="s">
        <v>156</v>
      </c>
      <c r="G6" s="172" t="s">
        <v>129</v>
      </c>
    </row>
    <row r="7" spans="2:7" ht="38.25">
      <c r="B7" s="88">
        <v>4</v>
      </c>
      <c r="C7" s="89" t="s">
        <v>127</v>
      </c>
      <c r="F7" s="149" t="s">
        <v>153</v>
      </c>
      <c r="G7" s="171" t="s">
        <v>128</v>
      </c>
    </row>
    <row r="8" spans="2:7" ht="12.75">
      <c r="B8" s="88">
        <v>5</v>
      </c>
      <c r="D8" s="167">
        <v>42339</v>
      </c>
      <c r="E8" s="148">
        <v>0</v>
      </c>
      <c r="F8" s="170">
        <v>12</v>
      </c>
      <c r="G8" s="78">
        <f>(+E8*F8)/12</f>
        <v>0</v>
      </c>
    </row>
    <row r="9" spans="2:7" ht="12.75">
      <c r="B9" s="88">
        <v>6</v>
      </c>
      <c r="D9" s="167">
        <v>42370</v>
      </c>
      <c r="E9" s="148">
        <v>0</v>
      </c>
      <c r="F9" s="170">
        <v>11.5</v>
      </c>
      <c r="G9" s="78">
        <f aca="true" t="shared" si="0" ref="G9:G20">(+E9*F9)/12</f>
        <v>0</v>
      </c>
    </row>
    <row r="10" spans="2:7" ht="12.75">
      <c r="B10" s="88">
        <v>7</v>
      </c>
      <c r="D10" s="167">
        <v>42401</v>
      </c>
      <c r="E10" s="148">
        <v>0</v>
      </c>
      <c r="F10" s="170">
        <v>10.5</v>
      </c>
      <c r="G10" s="78">
        <f t="shared" si="0"/>
        <v>0</v>
      </c>
    </row>
    <row r="11" spans="2:7" ht="12.75">
      <c r="B11" s="88">
        <v>8</v>
      </c>
      <c r="D11" s="167">
        <v>42430</v>
      </c>
      <c r="E11" s="148">
        <v>0</v>
      </c>
      <c r="F11" s="170">
        <v>9.5</v>
      </c>
      <c r="G11" s="78">
        <f t="shared" si="0"/>
        <v>0</v>
      </c>
    </row>
    <row r="12" spans="2:7" ht="12.75">
      <c r="B12" s="88">
        <v>9</v>
      </c>
      <c r="D12" s="167">
        <v>42461</v>
      </c>
      <c r="E12" s="148">
        <v>0</v>
      </c>
      <c r="F12" s="170">
        <v>8.5</v>
      </c>
      <c r="G12" s="78">
        <f t="shared" si="0"/>
        <v>0</v>
      </c>
    </row>
    <row r="13" spans="2:7" ht="12.75">
      <c r="B13" s="88">
        <v>10</v>
      </c>
      <c r="D13" s="167">
        <v>42491</v>
      </c>
      <c r="E13" s="148">
        <v>0</v>
      </c>
      <c r="F13" s="170">
        <v>7.5</v>
      </c>
      <c r="G13" s="78">
        <f t="shared" si="0"/>
        <v>0</v>
      </c>
    </row>
    <row r="14" spans="2:7" ht="12.75">
      <c r="B14" s="88">
        <v>11</v>
      </c>
      <c r="D14" s="167">
        <v>42522</v>
      </c>
      <c r="E14" s="148">
        <v>32188965</v>
      </c>
      <c r="F14" s="170">
        <v>6.5</v>
      </c>
      <c r="G14" s="78">
        <f t="shared" si="0"/>
        <v>17435689.375</v>
      </c>
    </row>
    <row r="15" spans="2:7" ht="12.75">
      <c r="B15" s="88">
        <v>12</v>
      </c>
      <c r="D15" s="167">
        <v>42552</v>
      </c>
      <c r="E15" s="148">
        <v>0</v>
      </c>
      <c r="F15" s="170">
        <v>5.5</v>
      </c>
      <c r="G15" s="78">
        <f t="shared" si="0"/>
        <v>0</v>
      </c>
    </row>
    <row r="16" spans="2:7" ht="12.75">
      <c r="B16" s="88">
        <v>13</v>
      </c>
      <c r="D16" s="167">
        <v>42583</v>
      </c>
      <c r="E16" s="148">
        <v>0</v>
      </c>
      <c r="F16" s="170">
        <v>4.5</v>
      </c>
      <c r="G16" s="78">
        <f t="shared" si="0"/>
        <v>0</v>
      </c>
    </row>
    <row r="17" spans="2:7" ht="12.75">
      <c r="B17" s="88">
        <v>14</v>
      </c>
      <c r="D17" s="167">
        <v>42614</v>
      </c>
      <c r="E17" s="148">
        <v>20508371</v>
      </c>
      <c r="F17" s="170">
        <v>3.5</v>
      </c>
      <c r="G17" s="78">
        <f t="shared" si="0"/>
        <v>5981608.208333333</v>
      </c>
    </row>
    <row r="18" spans="2:7" ht="12.75">
      <c r="B18" s="88">
        <v>15</v>
      </c>
      <c r="D18" s="167">
        <v>42644</v>
      </c>
      <c r="E18" s="148">
        <v>0</v>
      </c>
      <c r="F18" s="170">
        <v>2.5</v>
      </c>
      <c r="G18" s="78">
        <f t="shared" si="0"/>
        <v>0</v>
      </c>
    </row>
    <row r="19" spans="2:7" ht="12.75">
      <c r="B19" s="88">
        <v>16</v>
      </c>
      <c r="D19" s="167">
        <v>42675</v>
      </c>
      <c r="E19" s="148">
        <v>0</v>
      </c>
      <c r="F19" s="170">
        <v>1.5</v>
      </c>
      <c r="G19" s="78">
        <f t="shared" si="0"/>
        <v>0</v>
      </c>
    </row>
    <row r="20" spans="2:10" ht="12.75">
      <c r="B20" s="88">
        <v>17</v>
      </c>
      <c r="D20" s="167">
        <v>42705</v>
      </c>
      <c r="E20" s="148"/>
      <c r="F20" s="170">
        <v>0.5</v>
      </c>
      <c r="G20" s="78">
        <f t="shared" si="0"/>
        <v>0</v>
      </c>
      <c r="J20" s="78"/>
    </row>
    <row r="21" spans="2:7" ht="12.75">
      <c r="B21" s="88">
        <v>18</v>
      </c>
      <c r="E21" s="168"/>
      <c r="G21" s="168"/>
    </row>
    <row r="22" spans="2:7" ht="12.75">
      <c r="B22" s="88">
        <v>19</v>
      </c>
      <c r="C22" s="89"/>
      <c r="E22" s="169">
        <f>SUM(E8:E21)</f>
        <v>52697336</v>
      </c>
      <c r="G22" s="169">
        <f>SUM(G8:G21)</f>
        <v>23417297.583333332</v>
      </c>
    </row>
    <row r="23" ht="12.75">
      <c r="B23" s="88">
        <v>20</v>
      </c>
    </row>
    <row r="24" spans="2:7" ht="12.75">
      <c r="B24" s="88">
        <v>21</v>
      </c>
      <c r="D24" s="91" t="s">
        <v>36</v>
      </c>
      <c r="E24" s="91"/>
      <c r="F24" s="91"/>
      <c r="G24" s="151">
        <f>'BHP WP2 Capital Additions'!F20</f>
        <v>0.0232</v>
      </c>
    </row>
    <row r="25" spans="2:7" ht="12.75">
      <c r="B25" s="88">
        <v>22</v>
      </c>
      <c r="D25" s="91"/>
      <c r="E25" s="91"/>
      <c r="F25" s="91"/>
      <c r="G25" s="147"/>
    </row>
    <row r="26" spans="2:7" ht="13.5" thickBot="1">
      <c r="B26" s="88">
        <v>23</v>
      </c>
      <c r="D26" s="91" t="s">
        <v>89</v>
      </c>
      <c r="E26" s="91"/>
      <c r="F26" s="91"/>
      <c r="G26" s="150">
        <f>+G22*G24</f>
        <v>543281.3039333333</v>
      </c>
    </row>
    <row r="27" ht="13.5" thickTop="1">
      <c r="B27" s="88">
        <v>24</v>
      </c>
    </row>
    <row r="28" spans="2:4" ht="12.75">
      <c r="B28" s="88">
        <v>25</v>
      </c>
      <c r="D28" s="272" t="s">
        <v>377</v>
      </c>
    </row>
    <row r="29" spans="2:4" ht="12.75">
      <c r="B29" s="88">
        <v>26</v>
      </c>
      <c r="D29" s="272" t="s">
        <v>376</v>
      </c>
    </row>
    <row r="30" ht="12.75">
      <c r="B30" s="88"/>
    </row>
    <row r="31" ht="12.75">
      <c r="B31" s="88"/>
    </row>
    <row r="32" ht="12.75">
      <c r="B32" s="88"/>
    </row>
    <row r="33" ht="12.75">
      <c r="B33" s="88"/>
    </row>
    <row r="34" ht="12.75">
      <c r="B34" s="88"/>
    </row>
    <row r="35" ht="12.75">
      <c r="B35" s="88"/>
    </row>
    <row r="36" ht="12.75">
      <c r="B36" s="88"/>
    </row>
    <row r="37" ht="12.75">
      <c r="B37" s="88"/>
    </row>
    <row r="108" spans="7:8" ht="12.75">
      <c r="G108" s="87" t="s">
        <v>163</v>
      </c>
      <c r="H108" s="87">
        <f>+J177</f>
        <v>0</v>
      </c>
    </row>
    <row r="109" ht="12.75">
      <c r="H109" s="87">
        <f>+H108</f>
        <v>0</v>
      </c>
    </row>
  </sheetData>
  <sheetProtection/>
  <mergeCells count="2">
    <mergeCell ref="B1:D1"/>
    <mergeCell ref="C4:G4"/>
  </mergeCells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&amp;C&amp;"Arial MT,Bold"WORKPAPER 3
CAPITAL ADDITIONS
BLACK HILLS POWER, INC.&amp;RPage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</sheetPr>
  <dimension ref="B10:H118"/>
  <sheetViews>
    <sheetView workbookViewId="0" topLeftCell="A1">
      <selection activeCell="H20" sqref="H20"/>
    </sheetView>
  </sheetViews>
  <sheetFormatPr defaultColWidth="7.10546875" defaultRowHeight="15"/>
  <cols>
    <col min="1" max="1" width="8.10546875" style="87" customWidth="1"/>
    <col min="2" max="2" width="3.5546875" style="87" customWidth="1"/>
    <col min="3" max="4" width="1.77734375" style="87" customWidth="1"/>
    <col min="5" max="5" width="3.99609375" style="87" customWidth="1"/>
    <col min="6" max="6" width="24.21484375" style="87" customWidth="1"/>
    <col min="7" max="7" width="1.88671875" style="87" customWidth="1"/>
    <col min="8" max="8" width="8.21484375" style="90" customWidth="1"/>
    <col min="9" max="9" width="8.21484375" style="87" customWidth="1"/>
    <col min="10" max="16384" width="7.10546875" style="87" customWidth="1"/>
  </cols>
  <sheetData>
    <row r="10" ht="12.75">
      <c r="F10" s="208"/>
    </row>
    <row r="12" spans="2:8" ht="12.75">
      <c r="B12" s="146" t="s">
        <v>160</v>
      </c>
      <c r="H12" s="280" t="s">
        <v>345</v>
      </c>
    </row>
    <row r="13" spans="2:8" ht="12.75">
      <c r="B13" s="152" t="s">
        <v>161</v>
      </c>
      <c r="D13" s="205" t="s">
        <v>285</v>
      </c>
      <c r="E13" s="205"/>
      <c r="F13" s="205"/>
      <c r="H13" s="206" t="s">
        <v>143</v>
      </c>
    </row>
    <row r="14" ht="12.75">
      <c r="B14" s="88">
        <v>1</v>
      </c>
    </row>
    <row r="15" spans="2:5" ht="12.75">
      <c r="B15" s="88">
        <v>2</v>
      </c>
      <c r="D15" s="89" t="s">
        <v>95</v>
      </c>
      <c r="E15" s="89"/>
    </row>
    <row r="16" ht="12.75">
      <c r="B16" s="88">
        <v>3</v>
      </c>
    </row>
    <row r="17" spans="2:8" ht="12.75">
      <c r="B17" s="88">
        <v>4</v>
      </c>
      <c r="E17" s="87">
        <v>350</v>
      </c>
      <c r="F17" s="92" t="s">
        <v>286</v>
      </c>
      <c r="H17" s="83">
        <v>0</v>
      </c>
    </row>
    <row r="18" spans="2:8" ht="12.75">
      <c r="B18" s="88">
        <v>5</v>
      </c>
      <c r="E18" s="87">
        <v>352</v>
      </c>
      <c r="F18" s="92" t="s">
        <v>287</v>
      </c>
      <c r="H18" s="83">
        <v>0.0239</v>
      </c>
    </row>
    <row r="19" spans="2:8" ht="12.75">
      <c r="B19" s="88">
        <v>6</v>
      </c>
      <c r="E19" s="87">
        <v>353</v>
      </c>
      <c r="F19" s="92" t="s">
        <v>288</v>
      </c>
      <c r="H19" s="83">
        <v>0.0266</v>
      </c>
    </row>
    <row r="20" spans="2:8" ht="12.75">
      <c r="B20" s="88">
        <v>7</v>
      </c>
      <c r="E20" s="87">
        <v>354</v>
      </c>
      <c r="F20" s="92" t="s">
        <v>289</v>
      </c>
      <c r="H20" s="83">
        <v>0.0204</v>
      </c>
    </row>
    <row r="21" spans="2:8" ht="12.75">
      <c r="B21" s="88">
        <v>8</v>
      </c>
      <c r="E21" s="87">
        <v>355</v>
      </c>
      <c r="F21" s="92" t="s">
        <v>290</v>
      </c>
      <c r="H21" s="83">
        <v>0.0222</v>
      </c>
    </row>
    <row r="22" spans="2:8" ht="12.75">
      <c r="B22" s="88">
        <v>9</v>
      </c>
      <c r="E22" s="87">
        <v>356</v>
      </c>
      <c r="F22" s="92" t="s">
        <v>291</v>
      </c>
      <c r="H22" s="83">
        <v>0.0204</v>
      </c>
    </row>
    <row r="23" spans="2:8" ht="12.75">
      <c r="B23" s="88">
        <v>10</v>
      </c>
      <c r="E23" s="87">
        <v>359</v>
      </c>
      <c r="F23" s="92" t="s">
        <v>292</v>
      </c>
      <c r="H23" s="83">
        <v>0.0195</v>
      </c>
    </row>
    <row r="24" spans="2:8" ht="12.75">
      <c r="B24" s="88">
        <v>11</v>
      </c>
      <c r="F24" s="92" t="s">
        <v>6</v>
      </c>
      <c r="H24" s="83">
        <v>0.0232</v>
      </c>
    </row>
    <row r="25" spans="2:8" ht="12.75">
      <c r="B25" s="88">
        <v>12</v>
      </c>
      <c r="H25" s="83"/>
    </row>
    <row r="26" spans="2:8" ht="12.75">
      <c r="B26" s="88">
        <v>13</v>
      </c>
      <c r="D26" s="89" t="s">
        <v>79</v>
      </c>
      <c r="H26" s="83"/>
    </row>
    <row r="27" spans="2:8" ht="12.75">
      <c r="B27" s="88">
        <v>14</v>
      </c>
      <c r="H27" s="83"/>
    </row>
    <row r="28" spans="2:8" ht="12.75">
      <c r="B28" s="88">
        <v>15</v>
      </c>
      <c r="E28" s="87">
        <v>389</v>
      </c>
      <c r="F28" s="92" t="s">
        <v>286</v>
      </c>
      <c r="H28" s="83">
        <v>0</v>
      </c>
    </row>
    <row r="29" spans="2:8" ht="12.75">
      <c r="B29" s="88">
        <v>16</v>
      </c>
      <c r="E29" s="87">
        <v>390</v>
      </c>
      <c r="F29" s="92" t="s">
        <v>287</v>
      </c>
      <c r="H29" s="83">
        <v>0.0473</v>
      </c>
    </row>
    <row r="30" spans="2:8" ht="12.75">
      <c r="B30" s="88">
        <v>17</v>
      </c>
      <c r="E30" s="87">
        <v>391</v>
      </c>
      <c r="F30" s="92" t="s">
        <v>293</v>
      </c>
      <c r="H30" s="83">
        <v>0.1056</v>
      </c>
    </row>
    <row r="31" spans="2:8" ht="12.75">
      <c r="B31" s="88">
        <v>18</v>
      </c>
      <c r="E31" s="87">
        <v>392</v>
      </c>
      <c r="F31" s="92" t="s">
        <v>294</v>
      </c>
      <c r="H31" s="83">
        <v>0.0906</v>
      </c>
    </row>
    <row r="32" spans="2:8" ht="12.75">
      <c r="B32" s="88">
        <v>19</v>
      </c>
      <c r="E32" s="87">
        <v>393</v>
      </c>
      <c r="F32" s="92" t="s">
        <v>295</v>
      </c>
      <c r="H32" s="83">
        <v>0.0423</v>
      </c>
    </row>
    <row r="33" spans="2:8" ht="12.75">
      <c r="B33" s="88">
        <v>20</v>
      </c>
      <c r="E33" s="87">
        <v>394</v>
      </c>
      <c r="F33" s="92" t="s">
        <v>14</v>
      </c>
      <c r="H33" s="83">
        <v>0.0423</v>
      </c>
    </row>
    <row r="34" spans="2:8" ht="12.75">
      <c r="B34" s="88">
        <v>21</v>
      </c>
      <c r="E34" s="87">
        <v>395</v>
      </c>
      <c r="F34" s="92" t="s">
        <v>296</v>
      </c>
      <c r="H34" s="83">
        <v>0.0306</v>
      </c>
    </row>
    <row r="35" spans="2:8" ht="12.75">
      <c r="B35" s="88">
        <v>22</v>
      </c>
      <c r="E35" s="87">
        <v>396</v>
      </c>
      <c r="F35" s="92" t="s">
        <v>297</v>
      </c>
      <c r="H35" s="83">
        <v>0.0423</v>
      </c>
    </row>
    <row r="36" spans="2:8" ht="12.75">
      <c r="B36" s="88">
        <v>23</v>
      </c>
      <c r="E36" s="87">
        <v>397</v>
      </c>
      <c r="F36" s="92" t="s">
        <v>298</v>
      </c>
      <c r="H36" s="83">
        <v>0.0439</v>
      </c>
    </row>
    <row r="37" spans="2:8" ht="12.75">
      <c r="B37" s="88">
        <v>24</v>
      </c>
      <c r="E37" s="87">
        <v>398</v>
      </c>
      <c r="F37" s="92" t="s">
        <v>299</v>
      </c>
      <c r="H37" s="83">
        <v>0.0581</v>
      </c>
    </row>
    <row r="38" spans="2:8" ht="12.75">
      <c r="B38" s="279">
        <v>25</v>
      </c>
      <c r="C38" s="99"/>
      <c r="D38" s="99"/>
      <c r="E38" s="99"/>
      <c r="F38" s="219" t="s">
        <v>13</v>
      </c>
      <c r="G38" s="99"/>
      <c r="H38" s="84">
        <v>0.0653</v>
      </c>
    </row>
    <row r="39" ht="12.75">
      <c r="B39" s="88">
        <v>26</v>
      </c>
    </row>
    <row r="40" spans="2:6" ht="12.75">
      <c r="B40" s="88">
        <v>27</v>
      </c>
      <c r="D40" s="92" t="s">
        <v>344</v>
      </c>
      <c r="E40" s="207"/>
      <c r="F40" s="92"/>
    </row>
    <row r="41" ht="12.75">
      <c r="F41" s="92"/>
    </row>
    <row r="42" ht="12.75">
      <c r="F42" s="92"/>
    </row>
    <row r="117" spans="7:8" ht="12.75">
      <c r="G117" s="87" t="s">
        <v>163</v>
      </c>
      <c r="H117" s="90">
        <f>+J186</f>
        <v>0</v>
      </c>
    </row>
    <row r="118" ht="12.75">
      <c r="H118" s="90">
        <f>+H117</f>
        <v>0</v>
      </c>
    </row>
  </sheetData>
  <sheetProtection/>
  <printOptions/>
  <pageMargins left="0.5" right="0.5" top="0.75" bottom="0.75" header="0.5" footer="0.5"/>
  <pageSetup horizontalDpi="600" verticalDpi="600" orientation="portrait" r:id="rId1"/>
  <headerFooter alignWithMargins="0">
    <oddHeader>&amp;C&amp;"Arial MT,Bold"&amp;10WORKPAPER 5
DEPRECIATION RATES
BLACK HILLS POWER, INC.&amp;RPage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2:BQ65"/>
  <sheetViews>
    <sheetView zoomScaleSheetLayoutView="85" zoomScalePageLayoutView="0" workbookViewId="0" topLeftCell="A4">
      <pane xSplit="3" ySplit="2" topLeftCell="D3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H53" sqref="H53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3.3359375" style="0" customWidth="1"/>
    <col min="5" max="5" width="15.21484375" style="0" customWidth="1"/>
    <col min="6" max="12" width="15.88671875" style="0" customWidth="1"/>
    <col min="13" max="13" width="14.3359375" style="0" bestFit="1" customWidth="1"/>
    <col min="14" max="18" width="15.88671875" style="0" customWidth="1"/>
    <col min="20" max="20" width="14.4453125" style="0" bestFit="1" customWidth="1"/>
    <col min="21" max="21" width="12.88671875" style="0" bestFit="1" customWidth="1"/>
  </cols>
  <sheetData>
    <row r="1" ht="15" hidden="1"/>
    <row r="2" spans="1:64" ht="15.75" hidden="1">
      <c r="A2" s="12"/>
      <c r="B2" s="12"/>
      <c r="C2" s="12"/>
      <c r="D2" s="230"/>
      <c r="E2" s="48"/>
      <c r="F2" s="12"/>
      <c r="G2" s="12"/>
      <c r="H2" s="12"/>
      <c r="I2" s="12"/>
      <c r="J2" s="12"/>
      <c r="K2" s="12"/>
      <c r="L2" s="12"/>
      <c r="O2" s="2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</row>
    <row r="3" spans="1:67" ht="15" hidden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</row>
    <row r="4" spans="1:67" ht="15" customHeight="1">
      <c r="A4" s="309" t="s">
        <v>266</v>
      </c>
      <c r="B4" s="309"/>
      <c r="C4" s="309"/>
      <c r="D4" s="309"/>
      <c r="E4" s="309"/>
      <c r="F4" s="309"/>
      <c r="G4" s="309"/>
      <c r="H4" s="309"/>
      <c r="I4" s="309"/>
      <c r="J4" s="309" t="s">
        <v>266</v>
      </c>
      <c r="K4" s="309"/>
      <c r="L4" s="309"/>
      <c r="M4" s="309"/>
      <c r="N4" s="309"/>
      <c r="O4" s="309"/>
      <c r="P4" s="309"/>
      <c r="Q4" s="309"/>
      <c r="R4" s="309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</row>
    <row r="5" spans="1:67" ht="15.75">
      <c r="A5" s="308" t="s">
        <v>159</v>
      </c>
      <c r="B5" s="308"/>
      <c r="C5" s="308"/>
      <c r="D5" s="308"/>
      <c r="E5" s="308"/>
      <c r="F5" s="308"/>
      <c r="G5" s="308"/>
      <c r="H5" s="308"/>
      <c r="I5" s="308"/>
      <c r="J5" s="308" t="s">
        <v>159</v>
      </c>
      <c r="K5" s="308"/>
      <c r="L5" s="308"/>
      <c r="M5" s="308"/>
      <c r="N5" s="308"/>
      <c r="O5" s="308"/>
      <c r="P5" s="308"/>
      <c r="Q5" s="308"/>
      <c r="R5" s="308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</row>
    <row r="6" spans="1:67" ht="15">
      <c r="A6" s="12"/>
      <c r="B6" s="12"/>
      <c r="C6" s="2"/>
      <c r="D6" s="2"/>
      <c r="F6" s="2"/>
      <c r="G6" s="2"/>
      <c r="H6" s="2"/>
      <c r="I6" s="2"/>
      <c r="J6" s="12"/>
      <c r="K6" s="12"/>
      <c r="L6" s="2"/>
      <c r="M6" s="2"/>
      <c r="O6" s="2"/>
      <c r="P6" s="2"/>
      <c r="Q6" s="2"/>
      <c r="R6" s="2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</row>
    <row r="7" spans="1:67" ht="15" customHeight="1">
      <c r="A7" s="307" t="s">
        <v>265</v>
      </c>
      <c r="B7" s="307"/>
      <c r="C7" s="307"/>
      <c r="D7" s="307"/>
      <c r="E7" s="307"/>
      <c r="F7" s="307"/>
      <c r="G7" s="307"/>
      <c r="H7" s="307"/>
      <c r="I7" s="307"/>
      <c r="J7" s="307" t="s">
        <v>265</v>
      </c>
      <c r="K7" s="307"/>
      <c r="L7" s="307"/>
      <c r="M7" s="307"/>
      <c r="N7" s="307"/>
      <c r="O7" s="307"/>
      <c r="P7" s="307"/>
      <c r="Q7" s="307"/>
      <c r="R7" s="307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</row>
    <row r="8" spans="1:67" ht="15">
      <c r="A8" s="26"/>
      <c r="B8" s="12"/>
      <c r="C8" s="2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</row>
    <row r="9" spans="1:62" ht="15">
      <c r="A9" s="12"/>
      <c r="B9" s="12"/>
      <c r="C9" s="4"/>
      <c r="D9" s="4"/>
      <c r="E9" s="4"/>
      <c r="F9" s="5"/>
      <c r="G9" s="5"/>
      <c r="H9" s="5"/>
      <c r="I9" s="5"/>
      <c r="J9" s="5"/>
      <c r="K9" s="5"/>
      <c r="L9" s="4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</row>
    <row r="10" spans="1:62" ht="15.75">
      <c r="A10" s="12"/>
      <c r="B10" s="12"/>
      <c r="C10" s="3"/>
      <c r="D10" s="22" t="s">
        <v>169</v>
      </c>
      <c r="E10" s="5"/>
      <c r="F10" s="5"/>
      <c r="G10" s="5"/>
      <c r="H10" s="5"/>
      <c r="I10" s="5"/>
      <c r="J10" s="5"/>
      <c r="K10" s="5"/>
      <c r="L10" s="232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</row>
    <row r="11" spans="1:62" ht="15.75">
      <c r="A11" s="26" t="s">
        <v>160</v>
      </c>
      <c r="B11" s="12"/>
      <c r="C11" s="3"/>
      <c r="D11" s="35" t="s">
        <v>171</v>
      </c>
      <c r="E11" s="27" t="s">
        <v>172</v>
      </c>
      <c r="F11" s="36"/>
      <c r="G11" s="36"/>
      <c r="H11" s="36"/>
      <c r="I11" s="36"/>
      <c r="J11" s="36"/>
      <c r="K11" s="36"/>
      <c r="L11" s="277"/>
      <c r="O11" s="231"/>
      <c r="P11" s="231"/>
      <c r="Q11" s="247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</row>
    <row r="12" spans="1:62" ht="16.5" thickBot="1">
      <c r="A12" s="31" t="s">
        <v>161</v>
      </c>
      <c r="B12" s="12"/>
      <c r="C12" s="13" t="s">
        <v>174</v>
      </c>
      <c r="D12" s="5"/>
      <c r="E12" s="6" t="s">
        <v>23</v>
      </c>
      <c r="F12" s="6" t="s">
        <v>24</v>
      </c>
      <c r="G12" s="6" t="s">
        <v>25</v>
      </c>
      <c r="H12" s="51" t="s">
        <v>26</v>
      </c>
      <c r="I12" s="6" t="s">
        <v>27</v>
      </c>
      <c r="J12" s="6" t="s">
        <v>28</v>
      </c>
      <c r="K12" s="6" t="s">
        <v>29</v>
      </c>
      <c r="L12" s="51" t="s">
        <v>30</v>
      </c>
      <c r="M12" s="6" t="s">
        <v>130</v>
      </c>
      <c r="N12" s="6" t="s">
        <v>31</v>
      </c>
      <c r="O12" s="6" t="s">
        <v>32</v>
      </c>
      <c r="P12" s="6" t="s">
        <v>33</v>
      </c>
      <c r="Q12" s="6" t="s">
        <v>34</v>
      </c>
      <c r="R12" s="6" t="s">
        <v>35</v>
      </c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</row>
    <row r="13" spans="1:62" ht="15">
      <c r="A13" s="26"/>
      <c r="B13" s="12"/>
      <c r="C13" s="3"/>
      <c r="D13" s="5"/>
      <c r="E13" s="233">
        <v>41609</v>
      </c>
      <c r="F13" s="276">
        <v>41640</v>
      </c>
      <c r="G13" s="276">
        <v>41671</v>
      </c>
      <c r="H13" s="276">
        <v>41699</v>
      </c>
      <c r="I13" s="276">
        <v>41730</v>
      </c>
      <c r="J13" s="276">
        <v>41760</v>
      </c>
      <c r="K13" s="276">
        <v>41791</v>
      </c>
      <c r="L13" s="276">
        <v>41821</v>
      </c>
      <c r="M13" s="276">
        <v>41852</v>
      </c>
      <c r="N13" s="276">
        <v>41883</v>
      </c>
      <c r="O13" s="276">
        <v>41913</v>
      </c>
      <c r="P13" s="276">
        <v>41944</v>
      </c>
      <c r="Q13" s="276">
        <v>41974</v>
      </c>
      <c r="R13" s="128" t="s">
        <v>16</v>
      </c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</row>
    <row r="14" spans="1:69" ht="15">
      <c r="A14" s="26"/>
      <c r="B14" s="12"/>
      <c r="C14" s="3" t="s">
        <v>38</v>
      </c>
      <c r="D14" s="5" t="s">
        <v>346</v>
      </c>
      <c r="E14" s="128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28"/>
      <c r="S14" s="5"/>
      <c r="T14" s="5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</row>
    <row r="15" spans="1:69" ht="15">
      <c r="A15" s="26">
        <v>1</v>
      </c>
      <c r="B15" s="12"/>
      <c r="C15" s="3" t="s">
        <v>176</v>
      </c>
      <c r="D15" s="5" t="s">
        <v>51</v>
      </c>
      <c r="E15" s="143">
        <v>519590401</v>
      </c>
      <c r="F15" s="143">
        <v>519710959</v>
      </c>
      <c r="G15" s="143">
        <v>519756383</v>
      </c>
      <c r="H15" s="143">
        <f>520203803+475979</f>
        <v>520679782</v>
      </c>
      <c r="I15" s="143">
        <v>524325433</v>
      </c>
      <c r="J15" s="143">
        <f>526255157+11146</f>
        <v>526266303</v>
      </c>
      <c r="K15" s="143">
        <v>526032787</v>
      </c>
      <c r="L15" s="143">
        <f>526087411-6055</f>
        <v>526081356</v>
      </c>
      <c r="M15" s="143">
        <f>526178608-6053</f>
        <v>526172555</v>
      </c>
      <c r="N15" s="143">
        <f>449178307+84115103</f>
        <v>533293410</v>
      </c>
      <c r="O15" s="143">
        <f>570817293-348505+829</f>
        <v>570469617</v>
      </c>
      <c r="P15" s="143">
        <f>570780345+348505</f>
        <v>571128850</v>
      </c>
      <c r="Q15" s="143">
        <v>571406548</v>
      </c>
      <c r="R15" s="143">
        <f>AVERAGE(E15:Q15)</f>
        <v>534993414.15384614</v>
      </c>
      <c r="S15" s="5"/>
      <c r="T15" s="12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</row>
    <row r="16" spans="1:69" ht="15">
      <c r="A16" s="26">
        <f aca="true" t="shared" si="0" ref="A16:A65">+A15+1</f>
        <v>2</v>
      </c>
      <c r="B16" s="12"/>
      <c r="C16" s="3" t="s">
        <v>178</v>
      </c>
      <c r="D16" s="5" t="s">
        <v>102</v>
      </c>
      <c r="E16" s="143">
        <v>115149092</v>
      </c>
      <c r="F16" s="143">
        <v>115153464</v>
      </c>
      <c r="G16" s="143">
        <v>115152568</v>
      </c>
      <c r="H16" s="143">
        <v>114979148</v>
      </c>
      <c r="I16" s="143">
        <v>115487342</v>
      </c>
      <c r="J16" s="143">
        <v>115802788</v>
      </c>
      <c r="K16" s="143">
        <v>115789241</v>
      </c>
      <c r="L16" s="143">
        <v>115825632</v>
      </c>
      <c r="M16" s="143">
        <v>115920829</v>
      </c>
      <c r="N16" s="143">
        <v>115935143</v>
      </c>
      <c r="O16" s="143">
        <v>116117524</v>
      </c>
      <c r="P16" s="143">
        <v>115946348</v>
      </c>
      <c r="Q16" s="143">
        <v>115948536</v>
      </c>
      <c r="R16" s="143">
        <f aca="true" t="shared" si="1" ref="R16:R21">AVERAGE(E16:Q16)</f>
        <v>115631358.07692307</v>
      </c>
      <c r="S16" s="5"/>
      <c r="T16" s="12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</row>
    <row r="17" spans="1:69" ht="15">
      <c r="A17" s="26">
        <f t="shared" si="0"/>
        <v>3</v>
      </c>
      <c r="B17" s="12"/>
      <c r="C17" s="3" t="s">
        <v>179</v>
      </c>
      <c r="D17" s="5" t="s">
        <v>103</v>
      </c>
      <c r="E17" s="143">
        <v>315970571</v>
      </c>
      <c r="F17" s="143">
        <v>316097028</v>
      </c>
      <c r="G17" s="143">
        <v>316851209</v>
      </c>
      <c r="H17" s="143">
        <v>317326910</v>
      </c>
      <c r="I17" s="143">
        <v>320894185</v>
      </c>
      <c r="J17" s="143">
        <v>322657555</v>
      </c>
      <c r="K17" s="143">
        <v>323860935</v>
      </c>
      <c r="L17" s="143">
        <v>324454810</v>
      </c>
      <c r="M17" s="143">
        <v>326045281</v>
      </c>
      <c r="N17" s="143">
        <v>333661920</v>
      </c>
      <c r="O17" s="143">
        <v>335718860</v>
      </c>
      <c r="P17" s="143">
        <v>336194643</v>
      </c>
      <c r="Q17" s="143">
        <v>336651742</v>
      </c>
      <c r="R17" s="143">
        <f>AVERAGE(E17:Q17)</f>
        <v>325106588.38461536</v>
      </c>
      <c r="S17" s="5"/>
      <c r="T17" s="12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</row>
    <row r="18" spans="1:69" ht="15">
      <c r="A18" s="26">
        <f t="shared" si="0"/>
        <v>4</v>
      </c>
      <c r="B18" s="12"/>
      <c r="C18" s="3" t="s">
        <v>180</v>
      </c>
      <c r="D18" s="5" t="s">
        <v>21</v>
      </c>
      <c r="E18" s="143">
        <f>45842086-E20</f>
        <v>37668017</v>
      </c>
      <c r="F18" s="143">
        <f>45916667-F20</f>
        <v>37716573</v>
      </c>
      <c r="G18" s="143">
        <f>45881558-G20</f>
        <v>37683110</v>
      </c>
      <c r="H18" s="143">
        <f>47238150-H20</f>
        <v>39023193</v>
      </c>
      <c r="I18" s="143">
        <f>47379539-I20</f>
        <v>39164582</v>
      </c>
      <c r="J18" s="143">
        <f>46437963-J20</f>
        <v>38450499</v>
      </c>
      <c r="K18" s="143">
        <f>45537300-K20</f>
        <v>37921155</v>
      </c>
      <c r="L18" s="143">
        <f>46164058-L20</f>
        <v>38546614</v>
      </c>
      <c r="M18" s="143">
        <f>46727486-M20</f>
        <v>39096586</v>
      </c>
      <c r="N18" s="143">
        <f>46806394-N20</f>
        <v>39508278</v>
      </c>
      <c r="O18" s="143">
        <f>50165444-O20</f>
        <v>42865971</v>
      </c>
      <c r="P18" s="143">
        <f>50235418-P20</f>
        <v>42933140</v>
      </c>
      <c r="Q18" s="143">
        <f>49818554-Q20</f>
        <v>42574957</v>
      </c>
      <c r="R18" s="143">
        <f t="shared" si="1"/>
        <v>39473282.692307696</v>
      </c>
      <c r="S18" s="5"/>
      <c r="T18" s="12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</row>
    <row r="19" spans="1:69" ht="15">
      <c r="A19" s="26">
        <f t="shared" si="0"/>
        <v>5</v>
      </c>
      <c r="B19" s="12"/>
      <c r="C19" s="3" t="s">
        <v>119</v>
      </c>
      <c r="D19" s="5" t="s">
        <v>19</v>
      </c>
      <c r="E19" s="143">
        <v>24385664</v>
      </c>
      <c r="F19" s="143">
        <f>14210681+10798581</f>
        <v>25009262</v>
      </c>
      <c r="G19" s="143">
        <f>14226064+10798580</f>
        <v>25024644</v>
      </c>
      <c r="H19" s="143">
        <f>14283147+10825944</f>
        <v>25109091</v>
      </c>
      <c r="I19" s="143">
        <f>14313370+10828423</f>
        <v>25141793</v>
      </c>
      <c r="J19" s="143">
        <f>14363526+10570156</f>
        <v>24933682</v>
      </c>
      <c r="K19" s="143">
        <f>15554299+10627990</f>
        <v>26182289</v>
      </c>
      <c r="L19" s="143">
        <f>15675590+10863194</f>
        <v>26538784</v>
      </c>
      <c r="M19" s="143">
        <f>18368679+10919558</f>
        <v>29288237</v>
      </c>
      <c r="N19" s="143">
        <f>18358872+11690421</f>
        <v>30049293</v>
      </c>
      <c r="O19" s="143">
        <f>18229256+11695695</f>
        <v>29924951</v>
      </c>
      <c r="P19" s="143">
        <f>18258267+11704126</f>
        <v>29962393</v>
      </c>
      <c r="Q19" s="143">
        <f>18405623+11514192</f>
        <v>29919815</v>
      </c>
      <c r="R19" s="143">
        <f t="shared" si="1"/>
        <v>27036146</v>
      </c>
      <c r="S19" s="5"/>
      <c r="T19" s="12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</row>
    <row r="20" spans="1:69" ht="15">
      <c r="A20" s="26">
        <f t="shared" si="0"/>
        <v>6</v>
      </c>
      <c r="B20" s="12"/>
      <c r="C20" s="3" t="s">
        <v>81</v>
      </c>
      <c r="D20" s="5" t="s">
        <v>80</v>
      </c>
      <c r="E20" s="143">
        <v>8174069</v>
      </c>
      <c r="F20" s="143">
        <v>8200094</v>
      </c>
      <c r="G20" s="143">
        <v>8198448</v>
      </c>
      <c r="H20" s="143">
        <v>8214957</v>
      </c>
      <c r="I20" s="143">
        <v>8214957</v>
      </c>
      <c r="J20" s="143">
        <v>7987464</v>
      </c>
      <c r="K20" s="143">
        <v>7616145</v>
      </c>
      <c r="L20" s="143">
        <v>7617444</v>
      </c>
      <c r="M20" s="143">
        <v>7630900</v>
      </c>
      <c r="N20" s="143">
        <v>7298116</v>
      </c>
      <c r="O20" s="143">
        <v>7299473</v>
      </c>
      <c r="P20" s="143">
        <v>7302278</v>
      </c>
      <c r="Q20" s="143">
        <v>7243597</v>
      </c>
      <c r="R20" s="143">
        <f>AVERAGE(E20:Q20)</f>
        <v>7769072.461538462</v>
      </c>
      <c r="S20" s="5"/>
      <c r="T20" s="12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</row>
    <row r="21" spans="1:69" ht="15">
      <c r="A21" s="26">
        <f t="shared" si="0"/>
        <v>7</v>
      </c>
      <c r="B21" s="12"/>
      <c r="C21" s="3" t="s">
        <v>182</v>
      </c>
      <c r="D21" s="5" t="s">
        <v>183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f t="shared" si="1"/>
        <v>0</v>
      </c>
      <c r="S21" s="5"/>
      <c r="T21" s="12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</row>
    <row r="22" spans="1:69" ht="15">
      <c r="A22" s="26">
        <f t="shared" si="0"/>
        <v>8</v>
      </c>
      <c r="B22" s="12"/>
      <c r="C22" s="24" t="s">
        <v>7</v>
      </c>
      <c r="D22" s="5" t="str">
        <f>"(sum lines "&amp;A15&amp;" - "&amp;A21&amp;")"</f>
        <v>(sum lines 1 - 7)</v>
      </c>
      <c r="E22" s="235">
        <f aca="true" t="shared" si="2" ref="E22:K22">SUM(E15:E21)</f>
        <v>1020937814</v>
      </c>
      <c r="F22" s="235">
        <f t="shared" si="2"/>
        <v>1021887380</v>
      </c>
      <c r="G22" s="235">
        <f t="shared" si="2"/>
        <v>1022666362</v>
      </c>
      <c r="H22" s="235">
        <f t="shared" si="2"/>
        <v>1025333081</v>
      </c>
      <c r="I22" s="235">
        <f t="shared" si="2"/>
        <v>1033228292</v>
      </c>
      <c r="J22" s="235">
        <f t="shared" si="2"/>
        <v>1036098291</v>
      </c>
      <c r="K22" s="235">
        <f t="shared" si="2"/>
        <v>1037402552</v>
      </c>
      <c r="L22" s="235">
        <f aca="true" t="shared" si="3" ref="L22:R22">SUM(L15:L21)</f>
        <v>1039064640</v>
      </c>
      <c r="M22" s="235">
        <f t="shared" si="3"/>
        <v>1044154388</v>
      </c>
      <c r="N22" s="235">
        <f t="shared" si="3"/>
        <v>1059746160</v>
      </c>
      <c r="O22" s="235">
        <f t="shared" si="3"/>
        <v>1102396396</v>
      </c>
      <c r="P22" s="235">
        <f t="shared" si="3"/>
        <v>1103467652</v>
      </c>
      <c r="Q22" s="235">
        <f t="shared" si="3"/>
        <v>1103745195</v>
      </c>
      <c r="R22" s="235">
        <f t="shared" si="3"/>
        <v>1050009861.7692307</v>
      </c>
      <c r="S22" s="5"/>
      <c r="T22" s="23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</row>
    <row r="23" spans="1:69" ht="15">
      <c r="A23" s="26">
        <f t="shared" si="0"/>
        <v>9</v>
      </c>
      <c r="B23" s="12"/>
      <c r="C23" s="3"/>
      <c r="D23" s="5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5"/>
      <c r="T23" s="5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</row>
    <row r="24" spans="1:69" ht="15">
      <c r="A24" s="26">
        <f t="shared" si="0"/>
        <v>10</v>
      </c>
      <c r="B24" s="12"/>
      <c r="C24" s="3" t="s">
        <v>39</v>
      </c>
      <c r="D24" s="5" t="s">
        <v>346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5"/>
      <c r="T24" s="5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</row>
    <row r="25" spans="1:69" ht="15">
      <c r="A25" s="26">
        <f t="shared" si="0"/>
        <v>11</v>
      </c>
      <c r="B25" s="12"/>
      <c r="C25" s="3" t="str">
        <f>+C15</f>
        <v>  Production</v>
      </c>
      <c r="D25" s="5" t="s">
        <v>104</v>
      </c>
      <c r="E25" s="143">
        <v>195145538</v>
      </c>
      <c r="F25" s="143">
        <v>195981928</v>
      </c>
      <c r="G25" s="143">
        <v>197111659</v>
      </c>
      <c r="H25" s="143">
        <f>198155684+475980</f>
        <v>198631664</v>
      </c>
      <c r="I25" s="143">
        <f>198910892+475980</f>
        <v>199386872</v>
      </c>
      <c r="J25" s="143">
        <f>200010007+475980</f>
        <v>200485987</v>
      </c>
      <c r="K25" s="143">
        <f>201145090+475980</f>
        <v>201621070</v>
      </c>
      <c r="L25" s="143">
        <f>202485095+475980</f>
        <v>202961075</v>
      </c>
      <c r="M25" s="143">
        <f>203143077+475980</f>
        <v>203619057</v>
      </c>
      <c r="N25" s="143">
        <f>203663235+475980</f>
        <v>204139215</v>
      </c>
      <c r="O25" s="143">
        <f>155050322+3506048+475980</f>
        <v>159032350</v>
      </c>
      <c r="P25" s="143">
        <f>156301314+3506048+475980</f>
        <v>160283342</v>
      </c>
      <c r="Q25" s="143">
        <v>161552920</v>
      </c>
      <c r="R25" s="143">
        <f aca="true" t="shared" si="4" ref="R25:R31">AVERAGE(E25:Q25)</f>
        <v>190765590.53846154</v>
      </c>
      <c r="S25" s="5"/>
      <c r="T25" s="5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</row>
    <row r="26" spans="1:69" ht="15">
      <c r="A26" s="26">
        <f t="shared" si="0"/>
        <v>12</v>
      </c>
      <c r="B26" s="12"/>
      <c r="C26" s="3" t="s">
        <v>178</v>
      </c>
      <c r="D26" s="5" t="s">
        <v>105</v>
      </c>
      <c r="E26" s="143">
        <v>32972309</v>
      </c>
      <c r="F26" s="143">
        <v>33125649</v>
      </c>
      <c r="G26" s="143">
        <v>33324485</v>
      </c>
      <c r="H26" s="143">
        <v>33339140</v>
      </c>
      <c r="I26" s="143">
        <v>33525870</v>
      </c>
      <c r="J26" s="143">
        <v>33559764</v>
      </c>
      <c r="K26" s="143">
        <v>33792863</v>
      </c>
      <c r="L26" s="143">
        <v>34037294</v>
      </c>
      <c r="M26" s="143">
        <v>34161539</v>
      </c>
      <c r="N26" s="143">
        <v>34207552</v>
      </c>
      <c r="O26" s="143">
        <v>34766818</v>
      </c>
      <c r="P26" s="143">
        <v>34864987</v>
      </c>
      <c r="Q26" s="143">
        <v>35073403</v>
      </c>
      <c r="R26" s="143">
        <f t="shared" si="4"/>
        <v>33903974.84615385</v>
      </c>
      <c r="S26" s="5"/>
      <c r="T26" s="5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</row>
    <row r="27" spans="1:69" ht="15">
      <c r="A27" s="26">
        <f t="shared" si="0"/>
        <v>13</v>
      </c>
      <c r="B27" s="12"/>
      <c r="C27" s="3" t="s">
        <v>179</v>
      </c>
      <c r="D27" s="5" t="s">
        <v>106</v>
      </c>
      <c r="E27" s="143">
        <v>105294212</v>
      </c>
      <c r="F27" s="143">
        <v>105813361</v>
      </c>
      <c r="G27" s="143">
        <v>106480430</v>
      </c>
      <c r="H27" s="143">
        <v>107144924</v>
      </c>
      <c r="I27" s="143">
        <v>107933279</v>
      </c>
      <c r="J27" s="143">
        <v>108604434</v>
      </c>
      <c r="K27" s="143">
        <v>109252825</v>
      </c>
      <c r="L27" s="143">
        <v>109411410</v>
      </c>
      <c r="M27" s="143">
        <v>109731644</v>
      </c>
      <c r="N27" s="143">
        <v>109636426</v>
      </c>
      <c r="O27" s="143">
        <v>111389582</v>
      </c>
      <c r="P27" s="143">
        <v>111868972</v>
      </c>
      <c r="Q27" s="143">
        <v>112236258</v>
      </c>
      <c r="R27" s="143">
        <f t="shared" si="4"/>
        <v>108830596.6923077</v>
      </c>
      <c r="S27" s="5"/>
      <c r="T27" s="5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</row>
    <row r="28" spans="1:69" ht="15">
      <c r="A28" s="26">
        <f t="shared" si="0"/>
        <v>14</v>
      </c>
      <c r="B28" s="12"/>
      <c r="C28" s="3" t="str">
        <f>+C18</f>
        <v>  General &amp; Intangible</v>
      </c>
      <c r="D28" s="5" t="s">
        <v>22</v>
      </c>
      <c r="E28" s="143">
        <f>19019495-1058476</f>
        <v>17961019</v>
      </c>
      <c r="F28" s="143">
        <f>20231654+81-F30</f>
        <v>18104261</v>
      </c>
      <c r="G28" s="143">
        <f>20409322+80-G30</f>
        <v>18256243</v>
      </c>
      <c r="H28" s="143">
        <f>20555513+80-H30</f>
        <v>18375079</v>
      </c>
      <c r="I28" s="143">
        <f>20765673+80-I30</f>
        <v>18557855</v>
      </c>
      <c r="J28" s="143">
        <f>20126150+80-J30</f>
        <v>17954377</v>
      </c>
      <c r="K28" s="143">
        <f>19752281+4032+-K30</f>
        <v>17929773</v>
      </c>
      <c r="L28" s="143">
        <f>19919385-5974-L30</f>
        <v>18061481</v>
      </c>
      <c r="M28" s="143">
        <f>20127684-5976-M30</f>
        <v>18244364</v>
      </c>
      <c r="N28" s="143">
        <f>19324427+80-N30</f>
        <v>17755066</v>
      </c>
      <c r="O28" s="143">
        <f>19492725-24-O30</f>
        <v>17889032</v>
      </c>
      <c r="P28" s="143">
        <f>19637529+80-P30</f>
        <v>17999842</v>
      </c>
      <c r="Q28" s="143">
        <f>19245466-Q30</f>
        <v>17633393</v>
      </c>
      <c r="R28" s="143">
        <f t="shared" si="4"/>
        <v>18055521.923076924</v>
      </c>
      <c r="S28" s="5"/>
      <c r="T28" s="5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</row>
    <row r="29" spans="1:69" ht="15">
      <c r="A29" s="26">
        <f t="shared" si="0"/>
        <v>15</v>
      </c>
      <c r="B29" s="12"/>
      <c r="C29" s="3" t="s">
        <v>119</v>
      </c>
      <c r="D29" s="5" t="s">
        <v>20</v>
      </c>
      <c r="E29" s="143">
        <v>15083868</v>
      </c>
      <c r="F29" s="143">
        <v>15373182</v>
      </c>
      <c r="G29" s="143">
        <v>15363556</v>
      </c>
      <c r="H29" s="143">
        <v>15445108</v>
      </c>
      <c r="I29" s="143">
        <v>15543455</v>
      </c>
      <c r="J29" s="143">
        <v>15359125</v>
      </c>
      <c r="K29" s="143">
        <v>15759200</v>
      </c>
      <c r="L29" s="143">
        <v>15896667</v>
      </c>
      <c r="M29" s="143">
        <v>17721572</v>
      </c>
      <c r="N29" s="143">
        <v>18209885</v>
      </c>
      <c r="O29" s="143">
        <v>18386759</v>
      </c>
      <c r="P29" s="143">
        <v>18521900</v>
      </c>
      <c r="Q29" s="143">
        <v>18392528</v>
      </c>
      <c r="R29" s="143">
        <f t="shared" si="4"/>
        <v>16542831.153846154</v>
      </c>
      <c r="S29" s="5"/>
      <c r="T29" s="5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</row>
    <row r="30" spans="1:69" ht="18">
      <c r="A30" s="26">
        <f t="shared" si="0"/>
        <v>16</v>
      </c>
      <c r="B30" s="12"/>
      <c r="C30" s="3" t="str">
        <f>+C20</f>
        <v>  Communication System</v>
      </c>
      <c r="D30" s="5" t="s">
        <v>349</v>
      </c>
      <c r="E30" s="143">
        <f>1041708+1058476</f>
        <v>2100184</v>
      </c>
      <c r="F30" s="143">
        <v>2127474</v>
      </c>
      <c r="G30" s="143">
        <v>2153159</v>
      </c>
      <c r="H30" s="143">
        <v>2180514</v>
      </c>
      <c r="I30" s="143">
        <v>2207898</v>
      </c>
      <c r="J30" s="143">
        <v>2171853</v>
      </c>
      <c r="K30" s="143">
        <v>1826540</v>
      </c>
      <c r="L30" s="143">
        <v>1851930</v>
      </c>
      <c r="M30" s="143">
        <v>1877344</v>
      </c>
      <c r="N30" s="143">
        <v>1569441</v>
      </c>
      <c r="O30" s="143">
        <v>1603669</v>
      </c>
      <c r="P30" s="143">
        <v>1637767</v>
      </c>
      <c r="Q30" s="143">
        <v>1612073</v>
      </c>
      <c r="R30" s="143">
        <f t="shared" si="4"/>
        <v>1916911.2307692308</v>
      </c>
      <c r="S30" s="30"/>
      <c r="T30" s="5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</row>
    <row r="31" spans="1:69" ht="15">
      <c r="A31" s="26">
        <f t="shared" si="0"/>
        <v>17</v>
      </c>
      <c r="B31" s="12"/>
      <c r="C31" s="3" t="str">
        <f>+C21</f>
        <v>  Common</v>
      </c>
      <c r="D31" s="5" t="s">
        <v>183</v>
      </c>
      <c r="E31" s="143">
        <v>0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>
        <v>0</v>
      </c>
      <c r="R31" s="143">
        <f t="shared" si="4"/>
        <v>0</v>
      </c>
      <c r="S31" s="5"/>
      <c r="T31" s="5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</row>
    <row r="32" spans="1:69" ht="15">
      <c r="A32" s="26">
        <f t="shared" si="0"/>
        <v>18</v>
      </c>
      <c r="B32" s="12"/>
      <c r="C32" s="3" t="s">
        <v>9</v>
      </c>
      <c r="D32" s="5" t="str">
        <f>"(sum lines "&amp;A25&amp;" - "&amp;A31&amp;")"</f>
        <v>(sum lines 11 - 17)</v>
      </c>
      <c r="E32" s="235">
        <f>SUM(E25:E31)</f>
        <v>368557130</v>
      </c>
      <c r="F32" s="235">
        <f aca="true" t="shared" si="5" ref="F32:O32">SUM(F25:F31)</f>
        <v>370525855</v>
      </c>
      <c r="G32" s="235">
        <f t="shared" si="5"/>
        <v>372689532</v>
      </c>
      <c r="H32" s="235">
        <f t="shared" si="5"/>
        <v>375116429</v>
      </c>
      <c r="I32" s="235">
        <f t="shared" si="5"/>
        <v>377155229</v>
      </c>
      <c r="J32" s="235">
        <f t="shared" si="5"/>
        <v>378135540</v>
      </c>
      <c r="K32" s="235">
        <f t="shared" si="5"/>
        <v>380182271</v>
      </c>
      <c r="L32" s="235">
        <f t="shared" si="5"/>
        <v>382219857</v>
      </c>
      <c r="M32" s="235">
        <f t="shared" si="5"/>
        <v>385355520</v>
      </c>
      <c r="N32" s="235">
        <f t="shared" si="5"/>
        <v>385517585</v>
      </c>
      <c r="O32" s="235">
        <f t="shared" si="5"/>
        <v>343068210</v>
      </c>
      <c r="P32" s="235">
        <f>SUM(P25:P31)</f>
        <v>345176810</v>
      </c>
      <c r="Q32" s="235">
        <f>SUM(Q25:Q31)</f>
        <v>346500575</v>
      </c>
      <c r="R32" s="235">
        <f>SUM(R25:R31)</f>
        <v>370015426.38461536</v>
      </c>
      <c r="S32" s="5"/>
      <c r="T32" s="250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</row>
    <row r="33" spans="1:69" ht="15">
      <c r="A33" s="26">
        <f t="shared" si="0"/>
        <v>19</v>
      </c>
      <c r="B33" s="12"/>
      <c r="C33" s="12"/>
      <c r="D33" s="5" t="s">
        <v>158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5"/>
      <c r="T33" s="5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</row>
    <row r="34" spans="1:69" ht="15">
      <c r="A34" s="26">
        <f t="shared" si="0"/>
        <v>20</v>
      </c>
      <c r="B34" s="12"/>
      <c r="C34" s="3" t="s">
        <v>186</v>
      </c>
      <c r="D34" s="5" t="s">
        <v>346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5"/>
      <c r="T34" s="5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</row>
    <row r="35" spans="1:69" ht="15">
      <c r="A35" s="26">
        <f t="shared" si="0"/>
        <v>21</v>
      </c>
      <c r="B35" s="12"/>
      <c r="C35" s="3" t="str">
        <f>+C25</f>
        <v>  Production</v>
      </c>
      <c r="D35" s="5" t="str">
        <f aca="true" t="shared" si="6" ref="D35:D41">"(line "&amp;A15&amp;" - line "&amp;A25&amp;")"</f>
        <v>(line 1 - line 11)</v>
      </c>
      <c r="E35" s="143">
        <f aca="true" t="shared" si="7" ref="E35:E41">+E15-E25</f>
        <v>324444863</v>
      </c>
      <c r="F35" s="143">
        <v>331621806.49</v>
      </c>
      <c r="G35" s="143">
        <v>330449225.39</v>
      </c>
      <c r="H35" s="143">
        <v>331171819.65999997</v>
      </c>
      <c r="I35" s="143">
        <v>330271636.25</v>
      </c>
      <c r="J35" s="143">
        <v>331402121.06</v>
      </c>
      <c r="K35" s="143">
        <v>334667046.01</v>
      </c>
      <c r="L35" s="143">
        <f aca="true" t="shared" si="8" ref="L35:Q35">+L15-L25</f>
        <v>323120281</v>
      </c>
      <c r="M35" s="143">
        <f t="shared" si="8"/>
        <v>322553498</v>
      </c>
      <c r="N35" s="143">
        <f t="shared" si="8"/>
        <v>329154195</v>
      </c>
      <c r="O35" s="143">
        <f t="shared" si="8"/>
        <v>411437267</v>
      </c>
      <c r="P35" s="143">
        <f t="shared" si="8"/>
        <v>410845508</v>
      </c>
      <c r="Q35" s="143">
        <f t="shared" si="8"/>
        <v>409853628</v>
      </c>
      <c r="R35" s="143">
        <f aca="true" t="shared" si="9" ref="R35:R41">R15-R25</f>
        <v>344227823.6153846</v>
      </c>
      <c r="S35" s="5"/>
      <c r="T35" s="5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</row>
    <row r="36" spans="1:69" ht="15">
      <c r="A36" s="26">
        <f t="shared" si="0"/>
        <v>22</v>
      </c>
      <c r="B36" s="12"/>
      <c r="C36" s="3" t="s">
        <v>178</v>
      </c>
      <c r="D36" s="5" t="str">
        <f t="shared" si="6"/>
        <v>(line 2 - line 12)</v>
      </c>
      <c r="E36" s="143">
        <f t="shared" si="7"/>
        <v>82176783</v>
      </c>
      <c r="F36" s="143">
        <v>85914007.75999999</v>
      </c>
      <c r="G36" s="143">
        <v>85732373.78999999</v>
      </c>
      <c r="H36" s="143">
        <v>85818010.9</v>
      </c>
      <c r="I36" s="143">
        <v>85604847.06</v>
      </c>
      <c r="J36" s="143">
        <v>85543418.96</v>
      </c>
      <c r="K36" s="143">
        <v>85407864.13</v>
      </c>
      <c r="L36" s="143">
        <f aca="true" t="shared" si="10" ref="L36:Q41">+L16-L26</f>
        <v>81788338</v>
      </c>
      <c r="M36" s="143">
        <f t="shared" si="10"/>
        <v>81759290</v>
      </c>
      <c r="N36" s="143">
        <f t="shared" si="10"/>
        <v>81727591</v>
      </c>
      <c r="O36" s="143">
        <f t="shared" si="10"/>
        <v>81350706</v>
      </c>
      <c r="P36" s="143">
        <f t="shared" si="10"/>
        <v>81081361</v>
      </c>
      <c r="Q36" s="143">
        <f t="shared" si="10"/>
        <v>80875133</v>
      </c>
      <c r="R36" s="143">
        <f t="shared" si="9"/>
        <v>81727383.23076922</v>
      </c>
      <c r="S36" s="5"/>
      <c r="T36" s="5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</row>
    <row r="37" spans="1:69" ht="15">
      <c r="A37" s="26">
        <f t="shared" si="0"/>
        <v>23</v>
      </c>
      <c r="B37" s="12"/>
      <c r="C37" s="3" t="s">
        <v>260</v>
      </c>
      <c r="D37" s="5" t="str">
        <f t="shared" si="6"/>
        <v>(line 3 - line 13)</v>
      </c>
      <c r="E37" s="143">
        <f t="shared" si="7"/>
        <v>210676359</v>
      </c>
      <c r="F37" s="143">
        <v>197512435.06</v>
      </c>
      <c r="G37" s="143">
        <v>198553690.22</v>
      </c>
      <c r="H37" s="143">
        <v>196914180.9</v>
      </c>
      <c r="I37" s="143">
        <v>197356043.51999998</v>
      </c>
      <c r="J37" s="143">
        <v>200071038.20999998</v>
      </c>
      <c r="K37" s="143">
        <v>200507341.20999998</v>
      </c>
      <c r="L37" s="143">
        <f t="shared" si="10"/>
        <v>215043400</v>
      </c>
      <c r="M37" s="143">
        <f t="shared" si="10"/>
        <v>216313637</v>
      </c>
      <c r="N37" s="143">
        <f t="shared" si="10"/>
        <v>224025494</v>
      </c>
      <c r="O37" s="143">
        <f t="shared" si="10"/>
        <v>224329278</v>
      </c>
      <c r="P37" s="143">
        <f t="shared" si="10"/>
        <v>224325671</v>
      </c>
      <c r="Q37" s="143">
        <f t="shared" si="10"/>
        <v>224415484</v>
      </c>
      <c r="R37" s="143">
        <f t="shared" si="9"/>
        <v>216275991.69230765</v>
      </c>
      <c r="S37" s="5"/>
      <c r="T37" s="5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</row>
    <row r="38" spans="1:69" ht="15">
      <c r="A38" s="26">
        <f t="shared" si="0"/>
        <v>24</v>
      </c>
      <c r="B38" s="12"/>
      <c r="C38" s="3" t="str">
        <f>+C28</f>
        <v>  General &amp; Intangible</v>
      </c>
      <c r="D38" s="5" t="str">
        <f t="shared" si="6"/>
        <v>(line 4 - line 14)</v>
      </c>
      <c r="E38" s="143">
        <f t="shared" si="7"/>
        <v>19706998</v>
      </c>
      <c r="F38" s="143">
        <v>16444136.400000006</v>
      </c>
      <c r="G38" s="143">
        <v>16309080.119999994</v>
      </c>
      <c r="H38" s="143">
        <v>17042855.430000007</v>
      </c>
      <c r="I38" s="143">
        <v>16200414.170000006</v>
      </c>
      <c r="J38" s="143">
        <v>16331800.399999999</v>
      </c>
      <c r="K38" s="143">
        <v>17774975.049999997</v>
      </c>
      <c r="L38" s="143">
        <f>+L18-L28</f>
        <v>20485133</v>
      </c>
      <c r="M38" s="143">
        <f>+M18-M28</f>
        <v>20852222</v>
      </c>
      <c r="N38" s="143">
        <f>+N18-N28</f>
        <v>21753212</v>
      </c>
      <c r="O38" s="143">
        <f t="shared" si="10"/>
        <v>24976939</v>
      </c>
      <c r="P38" s="143">
        <f t="shared" si="10"/>
        <v>24933298</v>
      </c>
      <c r="Q38" s="143">
        <f t="shared" si="10"/>
        <v>24941564</v>
      </c>
      <c r="R38" s="143">
        <f t="shared" si="9"/>
        <v>21417760.76923077</v>
      </c>
      <c r="S38" s="5"/>
      <c r="T38" s="5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</row>
    <row r="39" spans="1:69" ht="15">
      <c r="A39" s="26">
        <f t="shared" si="0"/>
        <v>25</v>
      </c>
      <c r="B39" s="12"/>
      <c r="C39" s="3" t="s">
        <v>119</v>
      </c>
      <c r="D39" s="5" t="str">
        <f t="shared" si="6"/>
        <v>(line 5 - line 15)</v>
      </c>
      <c r="E39" s="143">
        <f t="shared" si="7"/>
        <v>9301796</v>
      </c>
      <c r="F39" s="143">
        <v>7893135</v>
      </c>
      <c r="G39" s="143">
        <v>7927195</v>
      </c>
      <c r="H39" s="143">
        <v>7807137</v>
      </c>
      <c r="I39" s="143">
        <v>8189150</v>
      </c>
      <c r="J39" s="143">
        <v>7981257</v>
      </c>
      <c r="K39" s="143">
        <v>8117101</v>
      </c>
      <c r="L39" s="143">
        <f t="shared" si="10"/>
        <v>10642117</v>
      </c>
      <c r="M39" s="143">
        <f t="shared" si="10"/>
        <v>11566665</v>
      </c>
      <c r="N39" s="143">
        <f t="shared" si="10"/>
        <v>11839408</v>
      </c>
      <c r="O39" s="143">
        <f t="shared" si="10"/>
        <v>11538192</v>
      </c>
      <c r="P39" s="143">
        <f t="shared" si="10"/>
        <v>11440493</v>
      </c>
      <c r="Q39" s="143">
        <f t="shared" si="10"/>
        <v>11527287</v>
      </c>
      <c r="R39" s="143">
        <f t="shared" si="9"/>
        <v>10493314.846153846</v>
      </c>
      <c r="S39" s="5"/>
      <c r="T39" s="5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</row>
    <row r="40" spans="1:69" ht="15">
      <c r="A40" s="26">
        <f t="shared" si="0"/>
        <v>26</v>
      </c>
      <c r="B40" s="12"/>
      <c r="C40" s="3" t="str">
        <f>+C30</f>
        <v>  Communication System</v>
      </c>
      <c r="D40" s="5" t="str">
        <f t="shared" si="6"/>
        <v>(line 6 - line 16)</v>
      </c>
      <c r="E40" s="143">
        <f t="shared" si="7"/>
        <v>6073885</v>
      </c>
      <c r="F40" s="143">
        <v>6409924.25</v>
      </c>
      <c r="G40" s="143">
        <v>6389284.15</v>
      </c>
      <c r="H40" s="143">
        <v>6362471.180000001</v>
      </c>
      <c r="I40" s="143">
        <v>6358760.09</v>
      </c>
      <c r="J40" s="143">
        <v>6331888.5</v>
      </c>
      <c r="K40" s="143">
        <v>6333383.7299999995</v>
      </c>
      <c r="L40" s="143">
        <f t="shared" si="10"/>
        <v>5765514</v>
      </c>
      <c r="M40" s="143">
        <f t="shared" si="10"/>
        <v>5753556</v>
      </c>
      <c r="N40" s="143">
        <f t="shared" si="10"/>
        <v>5728675</v>
      </c>
      <c r="O40" s="143">
        <f t="shared" si="10"/>
        <v>5695804</v>
      </c>
      <c r="P40" s="143">
        <f t="shared" si="10"/>
        <v>5664511</v>
      </c>
      <c r="Q40" s="143">
        <f t="shared" si="10"/>
        <v>5631524</v>
      </c>
      <c r="R40" s="143">
        <f t="shared" si="9"/>
        <v>5852161.230769231</v>
      </c>
      <c r="S40" s="5"/>
      <c r="T40" s="5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</row>
    <row r="41" spans="1:69" ht="15">
      <c r="A41" s="26">
        <f t="shared" si="0"/>
        <v>27</v>
      </c>
      <c r="B41" s="12"/>
      <c r="C41" s="3" t="str">
        <f>+C31</f>
        <v>  Common</v>
      </c>
      <c r="D41" s="5" t="str">
        <f t="shared" si="6"/>
        <v>(line 7 - line 17)</v>
      </c>
      <c r="E41" s="143">
        <f t="shared" si="7"/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f>+L21-L31</f>
        <v>0</v>
      </c>
      <c r="M41" s="143">
        <f>+M21-M31</f>
        <v>0</v>
      </c>
      <c r="N41" s="143">
        <f>+N21-N31</f>
        <v>0</v>
      </c>
      <c r="O41" s="143">
        <f t="shared" si="10"/>
        <v>0</v>
      </c>
      <c r="P41" s="143">
        <f t="shared" si="10"/>
        <v>0</v>
      </c>
      <c r="Q41" s="143">
        <f t="shared" si="10"/>
        <v>0</v>
      </c>
      <c r="R41" s="223">
        <f t="shared" si="9"/>
        <v>0</v>
      </c>
      <c r="S41" s="5"/>
      <c r="T41" s="5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</row>
    <row r="42" spans="1:69" ht="15">
      <c r="A42" s="26">
        <f t="shared" si="0"/>
        <v>28</v>
      </c>
      <c r="B42" s="12"/>
      <c r="C42" s="3" t="s">
        <v>8</v>
      </c>
      <c r="D42" s="5" t="str">
        <f>"(sum lines "&amp;A35&amp;" - "&amp;A41&amp;")"</f>
        <v>(sum lines 21 - 27)</v>
      </c>
      <c r="E42" s="236">
        <f>SUM(E35:E41)</f>
        <v>652380684</v>
      </c>
      <c r="F42" s="236">
        <v>645795444.9599999</v>
      </c>
      <c r="G42" s="236">
        <v>645360848.67</v>
      </c>
      <c r="H42" s="236">
        <v>645116475.0699998</v>
      </c>
      <c r="I42" s="236">
        <v>643980851.0899999</v>
      </c>
      <c r="J42" s="236">
        <v>647661524.13</v>
      </c>
      <c r="K42" s="236">
        <v>652807711.1299999</v>
      </c>
      <c r="L42" s="236">
        <f aca="true" t="shared" si="11" ref="L42:R42">SUM(L35:L41)</f>
        <v>656844783</v>
      </c>
      <c r="M42" s="236">
        <f t="shared" si="11"/>
        <v>658798868</v>
      </c>
      <c r="N42" s="236">
        <f t="shared" si="11"/>
        <v>674228575</v>
      </c>
      <c r="O42" s="236">
        <f t="shared" si="11"/>
        <v>759328186</v>
      </c>
      <c r="P42" s="236">
        <f t="shared" si="11"/>
        <v>758290842</v>
      </c>
      <c r="Q42" s="236">
        <f>SUM(Q35:Q41)</f>
        <v>757244620</v>
      </c>
      <c r="R42" s="236">
        <f t="shared" si="11"/>
        <v>679994435.3846153</v>
      </c>
      <c r="S42" s="5"/>
      <c r="T42" s="130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</row>
    <row r="43" spans="1:69" ht="15">
      <c r="A43" s="26"/>
      <c r="B43" s="12"/>
      <c r="C43" s="3"/>
      <c r="D43" s="5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5"/>
      <c r="T43" s="130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</row>
    <row r="44" spans="1:69" ht="15">
      <c r="A44" s="26"/>
      <c r="B44" s="12"/>
      <c r="C44" s="3" t="s">
        <v>347</v>
      </c>
      <c r="D44" s="5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5"/>
      <c r="T44" s="130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</row>
    <row r="45" spans="1:69" ht="18">
      <c r="A45" s="26"/>
      <c r="B45" s="12"/>
      <c r="C45" s="281" t="s">
        <v>348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30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</row>
    <row r="46" spans="1:69" ht="15">
      <c r="A46" s="26"/>
      <c r="B46" s="12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30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</row>
    <row r="47" spans="1:69" ht="20.25">
      <c r="A47" s="26"/>
      <c r="B47" s="12"/>
      <c r="C47" s="3"/>
      <c r="D47" s="5"/>
      <c r="E47" s="314" t="s">
        <v>343</v>
      </c>
      <c r="F47" s="314"/>
      <c r="G47" s="3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30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</row>
    <row r="48" spans="1:62" ht="15">
      <c r="A48" s="26">
        <f>+A42+1</f>
        <v>29</v>
      </c>
      <c r="B48" s="12"/>
      <c r="C48" s="12"/>
      <c r="D48" s="5"/>
      <c r="E48" s="209" t="s">
        <v>23</v>
      </c>
      <c r="F48" s="209" t="s">
        <v>24</v>
      </c>
      <c r="G48" s="209" t="s">
        <v>25</v>
      </c>
      <c r="H48" s="5"/>
      <c r="I48" s="5"/>
      <c r="J48" s="5"/>
      <c r="K48" s="5"/>
      <c r="L48" s="5"/>
      <c r="O48" s="231"/>
      <c r="P48" s="231"/>
      <c r="Q48" s="266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</row>
    <row r="49" spans="1:62" ht="15">
      <c r="A49" s="26">
        <f t="shared" si="0"/>
        <v>30</v>
      </c>
      <c r="B49" s="12"/>
      <c r="C49" s="24" t="s">
        <v>263</v>
      </c>
      <c r="D49" s="5"/>
      <c r="E49" s="233">
        <v>41609</v>
      </c>
      <c r="F49" s="276">
        <v>41974</v>
      </c>
      <c r="G49" s="5" t="s">
        <v>37</v>
      </c>
      <c r="H49" s="5"/>
      <c r="I49" s="5"/>
      <c r="J49" s="5"/>
      <c r="K49" s="5"/>
      <c r="L49" s="5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</row>
    <row r="50" spans="1:62" ht="15">
      <c r="A50" s="26">
        <f t="shared" si="0"/>
        <v>31</v>
      </c>
      <c r="B50" s="12"/>
      <c r="C50" s="3" t="s">
        <v>231</v>
      </c>
      <c r="D50" s="248" t="s">
        <v>331</v>
      </c>
      <c r="E50" s="143">
        <v>0</v>
      </c>
      <c r="F50" s="143">
        <v>0</v>
      </c>
      <c r="G50" s="143">
        <f aca="true" t="shared" si="12" ref="G50:G55">(+E50+F50)/2</f>
        <v>0</v>
      </c>
      <c r="H50" s="30"/>
      <c r="I50" s="30"/>
      <c r="J50" s="30"/>
      <c r="K50" s="30"/>
      <c r="L50" s="16"/>
      <c r="O50" s="231"/>
      <c r="P50" s="231"/>
      <c r="Q50" s="5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</row>
    <row r="51" spans="1:62" ht="15">
      <c r="A51" s="26">
        <f t="shared" si="0"/>
        <v>32</v>
      </c>
      <c r="B51" s="12"/>
      <c r="C51" s="3" t="s">
        <v>232</v>
      </c>
      <c r="D51" s="248" t="s">
        <v>335</v>
      </c>
      <c r="E51" s="143">
        <v>-163640176</v>
      </c>
      <c r="F51" s="143">
        <v>-185559862</v>
      </c>
      <c r="G51" s="143">
        <f t="shared" si="12"/>
        <v>-174600019</v>
      </c>
      <c r="H51" s="5"/>
      <c r="I51" s="5"/>
      <c r="J51" s="5"/>
      <c r="K51" s="5"/>
      <c r="L51" s="209"/>
      <c r="O51" s="231"/>
      <c r="P51" s="231"/>
      <c r="Q51" s="5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</row>
    <row r="52" spans="1:62" ht="15">
      <c r="A52" s="26">
        <f t="shared" si="0"/>
        <v>33</v>
      </c>
      <c r="B52" s="12"/>
      <c r="C52" s="3" t="s">
        <v>233</v>
      </c>
      <c r="D52" s="248" t="s">
        <v>332</v>
      </c>
      <c r="E52" s="223">
        <v>-20503169</v>
      </c>
      <c r="F52" s="223">
        <v>-28378776</v>
      </c>
      <c r="G52" s="143">
        <f t="shared" si="12"/>
        <v>-24440972.5</v>
      </c>
      <c r="H52" s="5"/>
      <c r="I52" s="5"/>
      <c r="J52" s="5"/>
      <c r="K52" s="5"/>
      <c r="L52" s="16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</row>
    <row r="53" spans="1:62" ht="15">
      <c r="A53" s="26">
        <f t="shared" si="0"/>
        <v>34</v>
      </c>
      <c r="B53" s="12"/>
      <c r="C53" s="3" t="s">
        <v>235</v>
      </c>
      <c r="D53" s="248" t="s">
        <v>334</v>
      </c>
      <c r="E53" s="223">
        <v>17628335</v>
      </c>
      <c r="F53" s="223">
        <v>33629868</v>
      </c>
      <c r="G53" s="143">
        <f t="shared" si="12"/>
        <v>25629101.5</v>
      </c>
      <c r="H53" s="5"/>
      <c r="I53" s="5"/>
      <c r="J53" s="5"/>
      <c r="K53" s="5"/>
      <c r="L53" s="16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</row>
    <row r="54" spans="1:62" ht="15">
      <c r="A54" s="26">
        <f t="shared" si="0"/>
        <v>35</v>
      </c>
      <c r="B54" s="12"/>
      <c r="C54" s="12" t="s">
        <v>234</v>
      </c>
      <c r="D54" s="248" t="s">
        <v>333</v>
      </c>
      <c r="E54" s="223">
        <v>0</v>
      </c>
      <c r="F54" s="223">
        <v>0</v>
      </c>
      <c r="G54" s="143">
        <f t="shared" si="12"/>
        <v>0</v>
      </c>
      <c r="H54" s="5"/>
      <c r="I54" s="5"/>
      <c r="J54" s="5"/>
      <c r="K54" s="5"/>
      <c r="L54" s="16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</row>
    <row r="55" spans="1:62" ht="15">
      <c r="A55" s="26">
        <f t="shared" si="0"/>
        <v>36</v>
      </c>
      <c r="B55" s="12"/>
      <c r="C55" s="3" t="s">
        <v>254</v>
      </c>
      <c r="D55" s="249" t="s">
        <v>340</v>
      </c>
      <c r="E55" s="234">
        <f>(8326730-313313)*0.35</f>
        <v>2804695.9499999997</v>
      </c>
      <c r="F55" s="234">
        <f>(8364870-91960)*0.35</f>
        <v>2895518.5</v>
      </c>
      <c r="G55" s="234">
        <f t="shared" si="12"/>
        <v>2850107.2249999996</v>
      </c>
      <c r="H55" s="5"/>
      <c r="I55" s="5"/>
      <c r="J55" s="5"/>
      <c r="K55" s="5"/>
      <c r="L55" s="16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</row>
    <row r="56" spans="1:62" ht="15">
      <c r="A56" s="26">
        <f t="shared" si="0"/>
        <v>37</v>
      </c>
      <c r="B56" s="12"/>
      <c r="C56" s="3" t="s">
        <v>10</v>
      </c>
      <c r="D56" s="5" t="str">
        <f>"(sum lines "&amp;A50&amp;" - "&amp;A55&amp;")"</f>
        <v>(sum lines 31 - 36)</v>
      </c>
      <c r="E56" s="143">
        <f>SUM(E50:E55)</f>
        <v>-163710314.05</v>
      </c>
      <c r="F56" s="143">
        <f>SUM(F50:F55)</f>
        <v>-177413251.5</v>
      </c>
      <c r="G56" s="143">
        <f>SUM(G50:G55)</f>
        <v>-170561782.775</v>
      </c>
      <c r="H56" s="5"/>
      <c r="I56" s="5"/>
      <c r="J56" s="5"/>
      <c r="K56" s="5"/>
      <c r="L56" s="129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</row>
    <row r="57" spans="1:62" ht="15">
      <c r="A57" s="26">
        <f t="shared" si="0"/>
        <v>38</v>
      </c>
      <c r="B57" s="12"/>
      <c r="C57" s="12"/>
      <c r="D57" s="5"/>
      <c r="E57" s="143"/>
      <c r="F57" s="143"/>
      <c r="G57" s="128"/>
      <c r="H57" s="5"/>
      <c r="I57" s="5"/>
      <c r="J57" s="5"/>
      <c r="K57" s="5"/>
      <c r="L57" s="5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</row>
    <row r="58" spans="1:62" ht="15">
      <c r="A58" s="26">
        <f t="shared" si="0"/>
        <v>39</v>
      </c>
      <c r="B58" s="12"/>
      <c r="C58" s="24" t="s">
        <v>193</v>
      </c>
      <c r="D58" s="5" t="s">
        <v>262</v>
      </c>
      <c r="E58" s="143"/>
      <c r="F58" s="143"/>
      <c r="G58" s="143">
        <f>(+E58+F58)/2</f>
        <v>0</v>
      </c>
      <c r="H58" s="5"/>
      <c r="I58" s="5"/>
      <c r="J58" s="5"/>
      <c r="K58" s="5"/>
      <c r="L58" s="214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</row>
    <row r="59" spans="1:62" ht="15">
      <c r="A59" s="26">
        <f t="shared" si="0"/>
        <v>40</v>
      </c>
      <c r="B59" s="12"/>
      <c r="C59" s="3"/>
      <c r="D59" s="5"/>
      <c r="E59" s="143"/>
      <c r="F59" s="143"/>
      <c r="G59" s="128"/>
      <c r="H59" s="5"/>
      <c r="I59" s="5"/>
      <c r="J59" s="5"/>
      <c r="K59" s="5"/>
      <c r="L59" s="5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</row>
    <row r="60" spans="1:62" ht="15">
      <c r="A60" s="26">
        <f t="shared" si="0"/>
        <v>41</v>
      </c>
      <c r="B60" s="12"/>
      <c r="C60" s="3" t="s">
        <v>350</v>
      </c>
      <c r="D60" s="5"/>
      <c r="E60" s="143"/>
      <c r="F60" s="143"/>
      <c r="G60" s="128"/>
      <c r="H60" s="5"/>
      <c r="I60" s="5"/>
      <c r="J60" s="5"/>
      <c r="K60" s="5"/>
      <c r="L60" s="5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</row>
    <row r="61" spans="1:62" ht="15">
      <c r="A61" s="26">
        <f t="shared" si="0"/>
        <v>42</v>
      </c>
      <c r="B61" s="12"/>
      <c r="C61" s="3"/>
      <c r="D61" s="48"/>
      <c r="E61" s="143"/>
      <c r="F61" s="143"/>
      <c r="G61" s="143">
        <f>(+E61+F61)/2</f>
        <v>0</v>
      </c>
      <c r="H61" s="5"/>
      <c r="I61" s="5"/>
      <c r="J61" s="5"/>
      <c r="K61" s="5"/>
      <c r="L61" s="6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</row>
    <row r="62" spans="1:62" ht="15">
      <c r="A62" s="26">
        <f t="shared" si="0"/>
        <v>43</v>
      </c>
      <c r="B62" s="12"/>
      <c r="C62" s="3" t="s">
        <v>301</v>
      </c>
      <c r="D62" s="5" t="s">
        <v>117</v>
      </c>
      <c r="E62" s="223">
        <v>3998021</v>
      </c>
      <c r="F62" s="223">
        <v>4111763</v>
      </c>
      <c r="G62" s="143">
        <f>(+E62+F62)/2</f>
        <v>4054892</v>
      </c>
      <c r="H62" s="5"/>
      <c r="I62" s="5"/>
      <c r="J62" s="5"/>
      <c r="K62" s="5"/>
      <c r="L62" s="6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</row>
    <row r="63" spans="1:62" ht="15">
      <c r="A63" s="26">
        <f t="shared" si="0"/>
        <v>44</v>
      </c>
      <c r="B63" s="12"/>
      <c r="C63" s="3" t="s">
        <v>301</v>
      </c>
      <c r="D63" s="5" t="s">
        <v>116</v>
      </c>
      <c r="E63" s="223">
        <v>34436</v>
      </c>
      <c r="F63" s="223">
        <v>15853</v>
      </c>
      <c r="G63" s="143">
        <f>(+E63+F63)/2</f>
        <v>25144.5</v>
      </c>
      <c r="H63" s="5"/>
      <c r="I63" s="5"/>
      <c r="J63" s="5"/>
      <c r="K63" s="5"/>
      <c r="L63" s="6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</row>
    <row r="64" spans="1:62" ht="15">
      <c r="A64" s="26">
        <f t="shared" si="0"/>
        <v>45</v>
      </c>
      <c r="B64" s="12"/>
      <c r="C64" s="3" t="s">
        <v>236</v>
      </c>
      <c r="D64" s="30" t="s">
        <v>52</v>
      </c>
      <c r="E64" s="223">
        <v>4375998</v>
      </c>
      <c r="F64" s="223">
        <v>4427880</v>
      </c>
      <c r="G64" s="143">
        <f>(+E64+F64)/2</f>
        <v>4401939</v>
      </c>
      <c r="H64" s="5"/>
      <c r="I64" s="5"/>
      <c r="J64" s="5"/>
      <c r="K64" s="5"/>
      <c r="L64" s="6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</row>
    <row r="65" spans="1:62" ht="15">
      <c r="A65" s="26">
        <f t="shared" si="0"/>
        <v>46</v>
      </c>
      <c r="B65" s="12"/>
      <c r="C65" s="3" t="s">
        <v>351</v>
      </c>
      <c r="D65" s="5" t="str">
        <f>"(sum lines "&amp;A61&amp;" - "&amp;A64&amp;")"</f>
        <v>(sum lines 42 - 45)</v>
      </c>
      <c r="E65" s="235">
        <f>SUM(E62:E64)</f>
        <v>8408455</v>
      </c>
      <c r="F65" s="235">
        <f>SUM(F62:F64)</f>
        <v>8555496</v>
      </c>
      <c r="G65" s="235">
        <f>SUM(G62:G64)</f>
        <v>8481975.5</v>
      </c>
      <c r="H65" s="2"/>
      <c r="I65" s="2"/>
      <c r="J65" s="2"/>
      <c r="K65" s="2"/>
      <c r="L65" s="129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</row>
  </sheetData>
  <sheetProtection/>
  <mergeCells count="7">
    <mergeCell ref="E47:G47"/>
    <mergeCell ref="A4:I4"/>
    <mergeCell ref="A5:I5"/>
    <mergeCell ref="A7:I7"/>
    <mergeCell ref="J4:R4"/>
    <mergeCell ref="J5:R5"/>
    <mergeCell ref="J7:R7"/>
  </mergeCells>
  <printOptions horizontalCentered="1"/>
  <pageMargins left="0.5" right="0.5" top="0.75" bottom="0.75" header="0.5" footer="0.5"/>
  <pageSetup fitToWidth="2" fitToHeight="1" horizontalDpi="600" verticalDpi="600" orientation="portrait" scale="53" r:id="rId3"/>
  <headerFooter alignWithMargins="0">
    <oddHeader>&amp;C&amp;"Arial MT,Bold"ACTUAL SERVICE YEAR ATRR
BLACK HILLS POWER, INC.&amp;RExhibit No. BHP-11
Page &amp;P of &amp;N</oddHeader>
    <oddFooter>&amp;L&amp;9
</oddFooter>
  </headerFooter>
  <rowBreaks count="1" manualBreakCount="1">
    <brk id="43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M102"/>
  <sheetViews>
    <sheetView workbookViewId="0" topLeftCell="A1">
      <selection activeCell="J3" sqref="J3"/>
    </sheetView>
  </sheetViews>
  <sheetFormatPr defaultColWidth="7.10546875" defaultRowHeight="15"/>
  <cols>
    <col min="1" max="1" width="4.77734375" style="104" customWidth="1"/>
    <col min="2" max="2" width="15.6640625" style="104" customWidth="1"/>
    <col min="3" max="3" width="7.10546875" style="104" customWidth="1"/>
    <col min="4" max="4" width="8.77734375" style="104" customWidth="1"/>
    <col min="5" max="5" width="7.88671875" style="104" customWidth="1"/>
    <col min="6" max="6" width="7.6640625" style="104" customWidth="1"/>
    <col min="7" max="7" width="10.3359375" style="104" customWidth="1"/>
    <col min="8" max="8" width="12.99609375" style="104" customWidth="1"/>
    <col min="9" max="9" width="11.77734375" style="104" customWidth="1"/>
    <col min="10" max="10" width="11.21484375" style="104" customWidth="1"/>
    <col min="11" max="11" width="7.99609375" style="104" customWidth="1"/>
    <col min="12" max="16384" width="7.10546875" style="104" customWidth="1"/>
  </cols>
  <sheetData>
    <row r="1" ht="12.75">
      <c r="K1" s="94"/>
    </row>
    <row r="2" spans="2:10" ht="12.75">
      <c r="B2" s="61"/>
      <c r="C2" s="62"/>
      <c r="D2" s="62"/>
      <c r="E2" s="62"/>
      <c r="F2" s="62"/>
      <c r="G2" s="62"/>
      <c r="H2" s="62"/>
      <c r="J2" s="297" t="str">
        <f>+'CU AC Rate Design'!H1</f>
        <v>Date: September 30, 2015</v>
      </c>
    </row>
    <row r="3" spans="2:9" ht="15" customHeight="1">
      <c r="B3" s="306" t="s">
        <v>303</v>
      </c>
      <c r="C3" s="306"/>
      <c r="D3" s="306"/>
      <c r="E3" s="306"/>
      <c r="F3" s="306"/>
      <c r="G3" s="306"/>
      <c r="H3" s="306"/>
      <c r="I3" s="306"/>
    </row>
    <row r="4" spans="2:10" ht="15" customHeight="1">
      <c r="B4" s="306" t="s">
        <v>56</v>
      </c>
      <c r="C4" s="306"/>
      <c r="D4" s="306"/>
      <c r="E4" s="306"/>
      <c r="F4" s="306"/>
      <c r="G4" s="306"/>
      <c r="H4" s="306"/>
      <c r="I4" s="306"/>
      <c r="J4" s="62"/>
    </row>
    <row r="5" spans="2:10" ht="12.75">
      <c r="B5" s="61"/>
      <c r="C5" s="62"/>
      <c r="D5" s="95"/>
      <c r="E5" s="62"/>
      <c r="G5" s="62"/>
      <c r="H5" s="62"/>
      <c r="I5" s="62"/>
      <c r="J5" s="62"/>
    </row>
    <row r="6" spans="1:10" ht="18">
      <c r="A6" s="220" t="s">
        <v>160</v>
      </c>
      <c r="B6" s="61"/>
      <c r="C6" s="62"/>
      <c r="D6" s="315" t="s">
        <v>352</v>
      </c>
      <c r="E6" s="316"/>
      <c r="F6" s="316"/>
      <c r="G6" s="316"/>
      <c r="H6" s="317"/>
      <c r="I6" s="62"/>
      <c r="J6" s="62"/>
    </row>
    <row r="7" ht="13.5" thickBot="1">
      <c r="A7" s="221" t="s">
        <v>161</v>
      </c>
    </row>
    <row r="8" spans="1:11" ht="15">
      <c r="A8" s="217">
        <v>1</v>
      </c>
      <c r="B8" s="102"/>
      <c r="C8" s="103"/>
      <c r="D8" s="156" t="s">
        <v>46</v>
      </c>
      <c r="E8" s="133" t="s">
        <v>73</v>
      </c>
      <c r="F8" s="133" t="s">
        <v>74</v>
      </c>
      <c r="G8" s="134" t="s">
        <v>75</v>
      </c>
      <c r="H8" s="156" t="s">
        <v>121</v>
      </c>
      <c r="I8" s="156" t="s">
        <v>1</v>
      </c>
      <c r="J8" s="133" t="s">
        <v>267</v>
      </c>
      <c r="K8"/>
    </row>
    <row r="9" spans="1:11" ht="15">
      <c r="A9" s="217">
        <f>A8+1</f>
        <v>2</v>
      </c>
      <c r="B9" s="105"/>
      <c r="C9" s="106"/>
      <c r="D9" s="135" t="s">
        <v>267</v>
      </c>
      <c r="E9" s="135" t="s">
        <v>267</v>
      </c>
      <c r="F9" s="135" t="s">
        <v>76</v>
      </c>
      <c r="G9" s="136" t="s">
        <v>77</v>
      </c>
      <c r="H9" s="137" t="s">
        <v>122</v>
      </c>
      <c r="I9" s="137" t="s">
        <v>2</v>
      </c>
      <c r="J9" s="137" t="s">
        <v>93</v>
      </c>
      <c r="K9"/>
    </row>
    <row r="10" spans="1:11" ht="15.75" thickBot="1">
      <c r="A10" s="217">
        <f aca="true" t="shared" si="0" ref="A10:A47">A9+1</f>
        <v>3</v>
      </c>
      <c r="B10" s="107"/>
      <c r="C10" s="108"/>
      <c r="D10" s="138" t="s">
        <v>78</v>
      </c>
      <c r="E10" s="135" t="s">
        <v>78</v>
      </c>
      <c r="F10" s="138" t="s">
        <v>78</v>
      </c>
      <c r="G10" s="139" t="s">
        <v>78</v>
      </c>
      <c r="H10" s="157" t="s">
        <v>78</v>
      </c>
      <c r="I10" s="157" t="s">
        <v>78</v>
      </c>
      <c r="J10" s="137" t="s">
        <v>94</v>
      </c>
      <c r="K10"/>
    </row>
    <row r="11" spans="1:11" ht="15">
      <c r="A11" s="217">
        <f t="shared" si="0"/>
        <v>4</v>
      </c>
      <c r="B11" s="158" t="s">
        <v>134</v>
      </c>
      <c r="C11" s="159"/>
      <c r="D11" s="262">
        <v>312</v>
      </c>
      <c r="E11" s="133">
        <v>389</v>
      </c>
      <c r="F11" s="263">
        <v>2</v>
      </c>
      <c r="G11" s="133">
        <v>63</v>
      </c>
      <c r="H11" s="134">
        <v>140</v>
      </c>
      <c r="I11" s="262">
        <v>80</v>
      </c>
      <c r="J11" s="133">
        <f>SUM(D11:I11)</f>
        <v>986</v>
      </c>
      <c r="K11"/>
    </row>
    <row r="12" spans="1:11" ht="15">
      <c r="A12" s="217">
        <f t="shared" si="0"/>
        <v>5</v>
      </c>
      <c r="B12" s="158" t="s">
        <v>145</v>
      </c>
      <c r="C12" s="160"/>
      <c r="D12" s="264">
        <v>307</v>
      </c>
      <c r="E12" s="135">
        <v>375</v>
      </c>
      <c r="F12" s="251">
        <v>2</v>
      </c>
      <c r="G12" s="135">
        <v>57</v>
      </c>
      <c r="H12" s="136">
        <v>140</v>
      </c>
      <c r="I12" s="264">
        <v>80</v>
      </c>
      <c r="J12" s="135">
        <f aca="true" t="shared" si="1" ref="J12:J21">SUM(D12:I12)</f>
        <v>961</v>
      </c>
      <c r="K12"/>
    </row>
    <row r="13" spans="1:11" ht="15">
      <c r="A13" s="217">
        <f t="shared" si="0"/>
        <v>6</v>
      </c>
      <c r="B13" s="158" t="s">
        <v>146</v>
      </c>
      <c r="C13" s="160"/>
      <c r="D13" s="264">
        <v>300</v>
      </c>
      <c r="E13" s="135">
        <v>380</v>
      </c>
      <c r="F13" s="251">
        <v>2</v>
      </c>
      <c r="G13" s="135">
        <v>53</v>
      </c>
      <c r="H13" s="136">
        <v>140</v>
      </c>
      <c r="I13" s="264">
        <v>80</v>
      </c>
      <c r="J13" s="135">
        <f t="shared" si="1"/>
        <v>955</v>
      </c>
      <c r="K13"/>
    </row>
    <row r="14" spans="1:11" ht="15">
      <c r="A14" s="217">
        <f t="shared" si="0"/>
        <v>7</v>
      </c>
      <c r="B14" s="158" t="s">
        <v>150</v>
      </c>
      <c r="C14" s="160"/>
      <c r="D14" s="264">
        <v>250</v>
      </c>
      <c r="E14" s="135">
        <v>348</v>
      </c>
      <c r="F14" s="251">
        <v>3</v>
      </c>
      <c r="G14" s="135">
        <v>44</v>
      </c>
      <c r="H14" s="136">
        <v>140</v>
      </c>
      <c r="I14" s="264">
        <v>80</v>
      </c>
      <c r="J14" s="135">
        <f t="shared" si="1"/>
        <v>865</v>
      </c>
      <c r="K14"/>
    </row>
    <row r="15" spans="1:11" ht="15">
      <c r="A15" s="217">
        <f t="shared" si="0"/>
        <v>8</v>
      </c>
      <c r="B15" s="158" t="s">
        <v>151</v>
      </c>
      <c r="C15" s="160"/>
      <c r="D15" s="264">
        <v>299</v>
      </c>
      <c r="E15" s="135">
        <v>292</v>
      </c>
      <c r="F15" s="251">
        <v>4</v>
      </c>
      <c r="G15" s="135">
        <v>47</v>
      </c>
      <c r="H15" s="136">
        <v>140</v>
      </c>
      <c r="I15" s="264">
        <v>80</v>
      </c>
      <c r="J15" s="135">
        <f t="shared" si="1"/>
        <v>862</v>
      </c>
      <c r="K15"/>
    </row>
    <row r="16" spans="1:11" ht="15">
      <c r="A16" s="217">
        <f t="shared" si="0"/>
        <v>9</v>
      </c>
      <c r="B16" s="158" t="s">
        <v>152</v>
      </c>
      <c r="C16" s="160"/>
      <c r="D16" s="264">
        <v>274</v>
      </c>
      <c r="E16" s="135">
        <v>299</v>
      </c>
      <c r="F16" s="251">
        <v>3</v>
      </c>
      <c r="G16" s="135">
        <v>53</v>
      </c>
      <c r="H16" s="136">
        <v>140</v>
      </c>
      <c r="I16" s="264">
        <v>80</v>
      </c>
      <c r="J16" s="135">
        <f>SUM(D16:I16)</f>
        <v>849</v>
      </c>
      <c r="K16"/>
    </row>
    <row r="17" spans="1:11" ht="15">
      <c r="A17" s="217">
        <f t="shared" si="0"/>
        <v>10</v>
      </c>
      <c r="B17" s="158" t="s">
        <v>147</v>
      </c>
      <c r="C17" s="160"/>
      <c r="D17" s="264">
        <v>338</v>
      </c>
      <c r="E17" s="135">
        <v>299</v>
      </c>
      <c r="F17" s="251">
        <v>3</v>
      </c>
      <c r="G17" s="135">
        <v>64</v>
      </c>
      <c r="H17" s="136">
        <v>140</v>
      </c>
      <c r="I17" s="264">
        <v>80</v>
      </c>
      <c r="J17" s="135">
        <f t="shared" si="1"/>
        <v>924</v>
      </c>
      <c r="K17"/>
    </row>
    <row r="18" spans="1:11" ht="15">
      <c r="A18" s="217">
        <f t="shared" si="0"/>
        <v>11</v>
      </c>
      <c r="B18" s="158" t="s">
        <v>131</v>
      </c>
      <c r="C18" s="160"/>
      <c r="D18" s="264">
        <v>303</v>
      </c>
      <c r="E18" s="135">
        <v>316</v>
      </c>
      <c r="F18" s="251">
        <v>4</v>
      </c>
      <c r="G18" s="135">
        <v>53</v>
      </c>
      <c r="H18" s="136">
        <v>140</v>
      </c>
      <c r="I18" s="264">
        <v>80</v>
      </c>
      <c r="J18" s="135">
        <f t="shared" si="1"/>
        <v>896</v>
      </c>
      <c r="K18"/>
    </row>
    <row r="19" spans="1:11" ht="15">
      <c r="A19" s="217">
        <f t="shared" si="0"/>
        <v>12</v>
      </c>
      <c r="B19" s="158" t="s">
        <v>148</v>
      </c>
      <c r="C19" s="160"/>
      <c r="D19" s="264">
        <v>296</v>
      </c>
      <c r="E19" s="135">
        <v>322</v>
      </c>
      <c r="F19" s="251">
        <v>4</v>
      </c>
      <c r="G19" s="135">
        <v>60</v>
      </c>
      <c r="H19" s="136">
        <v>140</v>
      </c>
      <c r="I19" s="264">
        <v>80</v>
      </c>
      <c r="J19" s="135">
        <f t="shared" si="1"/>
        <v>902</v>
      </c>
      <c r="K19"/>
    </row>
    <row r="20" spans="1:11" ht="15">
      <c r="A20" s="217">
        <f t="shared" si="0"/>
        <v>13</v>
      </c>
      <c r="B20" s="158" t="s">
        <v>132</v>
      </c>
      <c r="C20" s="160"/>
      <c r="D20" s="264">
        <v>239</v>
      </c>
      <c r="E20" s="135">
        <v>313</v>
      </c>
      <c r="F20" s="251">
        <v>3</v>
      </c>
      <c r="G20" s="135">
        <v>39</v>
      </c>
      <c r="H20" s="136">
        <v>140</v>
      </c>
      <c r="I20" s="264">
        <v>80</v>
      </c>
      <c r="J20" s="135">
        <f>SUM(D20:I20)</f>
        <v>814</v>
      </c>
      <c r="K20"/>
    </row>
    <row r="21" spans="1:11" ht="15">
      <c r="A21" s="217">
        <f t="shared" si="0"/>
        <v>14</v>
      </c>
      <c r="B21" s="158" t="s">
        <v>133</v>
      </c>
      <c r="C21" s="160"/>
      <c r="D21" s="264">
        <v>282</v>
      </c>
      <c r="E21" s="135">
        <v>383</v>
      </c>
      <c r="F21" s="251">
        <v>2</v>
      </c>
      <c r="G21" s="135">
        <v>53</v>
      </c>
      <c r="H21" s="251">
        <v>140</v>
      </c>
      <c r="I21" s="264">
        <v>80</v>
      </c>
      <c r="J21" s="135">
        <f t="shared" si="1"/>
        <v>940</v>
      </c>
      <c r="K21"/>
    </row>
    <row r="22" spans="1:11" ht="15.75" thickBot="1">
      <c r="A22" s="217">
        <f t="shared" si="0"/>
        <v>15</v>
      </c>
      <c r="B22" s="161" t="s">
        <v>149</v>
      </c>
      <c r="C22" s="162"/>
      <c r="D22" s="265">
        <v>309</v>
      </c>
      <c r="E22" s="138">
        <v>384</v>
      </c>
      <c r="F22" s="252">
        <v>2</v>
      </c>
      <c r="G22" s="138">
        <v>61</v>
      </c>
      <c r="H22" s="252">
        <v>140</v>
      </c>
      <c r="I22" s="265">
        <v>80</v>
      </c>
      <c r="J22" s="138">
        <f>SUM(D22:I22)</f>
        <v>976</v>
      </c>
      <c r="K22"/>
    </row>
    <row r="23" spans="1:11" ht="15.75" thickBot="1">
      <c r="A23" s="217">
        <f t="shared" si="0"/>
        <v>16</v>
      </c>
      <c r="B23" s="110"/>
      <c r="C23" s="109"/>
      <c r="D23" s="140"/>
      <c r="E23" s="140"/>
      <c r="F23" s="140"/>
      <c r="G23" s="135"/>
      <c r="H23" s="136"/>
      <c r="I23" s="138"/>
      <c r="J23" s="140"/>
      <c r="K23"/>
    </row>
    <row r="24" spans="1:11" ht="15.75" thickBot="1">
      <c r="A24" s="217">
        <f t="shared" si="0"/>
        <v>17</v>
      </c>
      <c r="B24" s="112" t="s">
        <v>100</v>
      </c>
      <c r="C24" s="111"/>
      <c r="D24" s="141">
        <f aca="true" t="shared" si="2" ref="D24:J24">SUM(D11:D22)/12</f>
        <v>292.4166666666667</v>
      </c>
      <c r="E24" s="141">
        <f t="shared" si="2"/>
        <v>341.6666666666667</v>
      </c>
      <c r="F24" s="141">
        <f t="shared" si="2"/>
        <v>2.8333333333333335</v>
      </c>
      <c r="G24" s="141">
        <f t="shared" si="2"/>
        <v>53.916666666666664</v>
      </c>
      <c r="H24" s="141">
        <f t="shared" si="2"/>
        <v>140</v>
      </c>
      <c r="I24" s="141">
        <f t="shared" si="2"/>
        <v>80</v>
      </c>
      <c r="J24" s="141">
        <f t="shared" si="2"/>
        <v>910.8333333333334</v>
      </c>
      <c r="K24"/>
    </row>
    <row r="25" ht="12.75">
      <c r="A25" s="217">
        <f t="shared" si="0"/>
        <v>18</v>
      </c>
    </row>
    <row r="26" spans="1:9" ht="18.75">
      <c r="A26" s="217">
        <f t="shared" si="0"/>
        <v>19</v>
      </c>
      <c r="B26" s="61"/>
      <c r="C26" s="62"/>
      <c r="D26" s="315" t="s">
        <v>355</v>
      </c>
      <c r="E26" s="316"/>
      <c r="F26" s="316"/>
      <c r="G26" s="316"/>
      <c r="H26" s="317"/>
      <c r="I26" s="62"/>
    </row>
    <row r="27" ht="13.5" thickBot="1">
      <c r="A27" s="217">
        <f t="shared" si="0"/>
        <v>20</v>
      </c>
    </row>
    <row r="28" spans="1:10" ht="12.75">
      <c r="A28" s="217">
        <f t="shared" si="0"/>
        <v>21</v>
      </c>
      <c r="B28" s="102"/>
      <c r="C28" s="103"/>
      <c r="D28" s="156" t="s">
        <v>46</v>
      </c>
      <c r="E28" s="133" t="s">
        <v>73</v>
      </c>
      <c r="F28" s="133" t="s">
        <v>74</v>
      </c>
      <c r="G28" s="134" t="s">
        <v>75</v>
      </c>
      <c r="H28" s="156" t="s">
        <v>121</v>
      </c>
      <c r="I28" s="156" t="s">
        <v>1</v>
      </c>
      <c r="J28" s="133" t="s">
        <v>267</v>
      </c>
    </row>
    <row r="29" spans="1:10" ht="12.75">
      <c r="A29" s="217">
        <f t="shared" si="0"/>
        <v>22</v>
      </c>
      <c r="B29" s="105"/>
      <c r="C29" s="106"/>
      <c r="D29" s="135" t="s">
        <v>267</v>
      </c>
      <c r="E29" s="135" t="s">
        <v>267</v>
      </c>
      <c r="F29" s="135" t="s">
        <v>76</v>
      </c>
      <c r="G29" s="136" t="s">
        <v>77</v>
      </c>
      <c r="H29" s="137" t="s">
        <v>122</v>
      </c>
      <c r="I29" s="137" t="s">
        <v>2</v>
      </c>
      <c r="J29" s="137" t="s">
        <v>93</v>
      </c>
    </row>
    <row r="30" spans="1:10" ht="13.5" thickBot="1">
      <c r="A30" s="217">
        <f t="shared" si="0"/>
        <v>23</v>
      </c>
      <c r="B30" s="107"/>
      <c r="C30" s="108"/>
      <c r="D30" s="138" t="s">
        <v>78</v>
      </c>
      <c r="E30" s="135" t="s">
        <v>78</v>
      </c>
      <c r="F30" s="138" t="s">
        <v>78</v>
      </c>
      <c r="G30" s="139" t="s">
        <v>78</v>
      </c>
      <c r="H30" s="137" t="s">
        <v>78</v>
      </c>
      <c r="I30" s="157" t="s">
        <v>78</v>
      </c>
      <c r="J30" s="137" t="s">
        <v>94</v>
      </c>
    </row>
    <row r="31" spans="1:13" ht="12.75">
      <c r="A31" s="217">
        <f t="shared" si="0"/>
        <v>24</v>
      </c>
      <c r="B31" s="158" t="s">
        <v>134</v>
      </c>
      <c r="C31" s="159"/>
      <c r="D31" s="262">
        <v>313</v>
      </c>
      <c r="E31" s="133">
        <v>383</v>
      </c>
      <c r="F31" s="263">
        <v>2</v>
      </c>
      <c r="G31" s="262">
        <v>62</v>
      </c>
      <c r="H31" s="133">
        <v>130</v>
      </c>
      <c r="I31" s="134">
        <v>80</v>
      </c>
      <c r="J31" s="299">
        <f aca="true" t="shared" si="3" ref="J31:J42">SUM(D31:I31)</f>
        <v>970</v>
      </c>
      <c r="M31" s="114"/>
    </row>
    <row r="32" spans="1:10" ht="12.75">
      <c r="A32" s="217">
        <f t="shared" si="0"/>
        <v>25</v>
      </c>
      <c r="B32" s="158" t="s">
        <v>145</v>
      </c>
      <c r="C32" s="160"/>
      <c r="D32" s="264">
        <v>300</v>
      </c>
      <c r="E32" s="135">
        <v>374</v>
      </c>
      <c r="F32" s="251">
        <v>2</v>
      </c>
      <c r="G32" s="264">
        <v>56</v>
      </c>
      <c r="H32" s="135">
        <v>130</v>
      </c>
      <c r="I32" s="136">
        <v>80</v>
      </c>
      <c r="J32" s="300">
        <f t="shared" si="3"/>
        <v>942</v>
      </c>
    </row>
    <row r="33" spans="1:10" ht="12.75">
      <c r="A33" s="217">
        <f t="shared" si="0"/>
        <v>26</v>
      </c>
      <c r="B33" s="158" t="s">
        <v>146</v>
      </c>
      <c r="C33" s="160"/>
      <c r="D33" s="264">
        <v>291</v>
      </c>
      <c r="E33" s="135">
        <v>374</v>
      </c>
      <c r="F33" s="251">
        <v>2</v>
      </c>
      <c r="G33" s="264">
        <v>46</v>
      </c>
      <c r="H33" s="135">
        <v>130</v>
      </c>
      <c r="I33" s="136">
        <v>80</v>
      </c>
      <c r="J33" s="300">
        <f t="shared" si="3"/>
        <v>923</v>
      </c>
    </row>
    <row r="34" spans="1:10" ht="12.75">
      <c r="A34" s="217">
        <f t="shared" si="0"/>
        <v>27</v>
      </c>
      <c r="B34" s="158" t="s">
        <v>150</v>
      </c>
      <c r="C34" s="160"/>
      <c r="D34" s="264">
        <v>242</v>
      </c>
      <c r="E34" s="135">
        <v>345</v>
      </c>
      <c r="F34" s="251">
        <v>3</v>
      </c>
      <c r="G34" s="264">
        <v>43</v>
      </c>
      <c r="H34" s="135">
        <v>130</v>
      </c>
      <c r="I34" s="136">
        <v>80</v>
      </c>
      <c r="J34" s="300">
        <f t="shared" si="3"/>
        <v>843</v>
      </c>
    </row>
    <row r="35" spans="1:10" ht="12.75">
      <c r="A35" s="217">
        <f t="shared" si="0"/>
        <v>28</v>
      </c>
      <c r="B35" s="158" t="s">
        <v>151</v>
      </c>
      <c r="C35" s="160"/>
      <c r="D35" s="264">
        <v>265</v>
      </c>
      <c r="E35" s="135">
        <v>304</v>
      </c>
      <c r="F35" s="251">
        <v>3</v>
      </c>
      <c r="G35" s="264">
        <v>48</v>
      </c>
      <c r="H35" s="135">
        <v>130</v>
      </c>
      <c r="I35" s="136">
        <v>80</v>
      </c>
      <c r="J35" s="300">
        <f t="shared" si="3"/>
        <v>830</v>
      </c>
    </row>
    <row r="36" spans="1:10" s="305" customFormat="1" ht="12.75">
      <c r="A36" s="304">
        <f t="shared" si="0"/>
        <v>29</v>
      </c>
      <c r="B36" s="158" t="s">
        <v>152</v>
      </c>
      <c r="C36" s="160"/>
      <c r="D36" s="264">
        <v>276</v>
      </c>
      <c r="E36" s="135">
        <v>294</v>
      </c>
      <c r="F36" s="251">
        <v>3</v>
      </c>
      <c r="G36" s="264">
        <v>59</v>
      </c>
      <c r="H36" s="135">
        <f>130+130</f>
        <v>260</v>
      </c>
      <c r="I36" s="136">
        <v>80</v>
      </c>
      <c r="J36" s="300">
        <f t="shared" si="3"/>
        <v>972</v>
      </c>
    </row>
    <row r="37" spans="1:10" ht="12.75">
      <c r="A37" s="217">
        <f t="shared" si="0"/>
        <v>30</v>
      </c>
      <c r="B37" s="158" t="s">
        <v>147</v>
      </c>
      <c r="C37" s="160"/>
      <c r="D37" s="264">
        <v>333</v>
      </c>
      <c r="E37" s="135">
        <v>310</v>
      </c>
      <c r="F37" s="251">
        <v>4</v>
      </c>
      <c r="G37" s="264">
        <v>67</v>
      </c>
      <c r="H37" s="135">
        <v>260</v>
      </c>
      <c r="I37" s="136">
        <v>80</v>
      </c>
      <c r="J37" s="300">
        <f t="shared" si="3"/>
        <v>1054</v>
      </c>
    </row>
    <row r="38" spans="1:10" ht="12.75">
      <c r="A38" s="217">
        <f t="shared" si="0"/>
        <v>31</v>
      </c>
      <c r="B38" s="158" t="s">
        <v>131</v>
      </c>
      <c r="C38" s="160"/>
      <c r="D38" s="264">
        <v>319</v>
      </c>
      <c r="E38" s="135">
        <v>322</v>
      </c>
      <c r="F38" s="251">
        <v>4</v>
      </c>
      <c r="G38" s="264">
        <v>63</v>
      </c>
      <c r="H38" s="135">
        <v>260</v>
      </c>
      <c r="I38" s="136">
        <v>80</v>
      </c>
      <c r="J38" s="300">
        <f t="shared" si="3"/>
        <v>1048</v>
      </c>
    </row>
    <row r="39" spans="1:10" ht="12.75">
      <c r="A39" s="217">
        <f t="shared" si="0"/>
        <v>32</v>
      </c>
      <c r="B39" s="158" t="s">
        <v>148</v>
      </c>
      <c r="C39" s="160"/>
      <c r="D39" s="264">
        <v>317</v>
      </c>
      <c r="E39" s="135">
        <v>316</v>
      </c>
      <c r="F39" s="251">
        <v>4</v>
      </c>
      <c r="G39" s="264">
        <v>68</v>
      </c>
      <c r="H39" s="135">
        <v>260</v>
      </c>
      <c r="I39" s="136">
        <v>80</v>
      </c>
      <c r="J39" s="300">
        <f t="shared" si="3"/>
        <v>1045</v>
      </c>
    </row>
    <row r="40" spans="1:10" ht="12.75">
      <c r="A40" s="217">
        <f t="shared" si="0"/>
        <v>33</v>
      </c>
      <c r="B40" s="158" t="s">
        <v>132</v>
      </c>
      <c r="C40" s="160"/>
      <c r="D40" s="264">
        <v>254</v>
      </c>
      <c r="E40" s="135">
        <v>320</v>
      </c>
      <c r="F40" s="251">
        <v>3</v>
      </c>
      <c r="G40" s="264">
        <v>47</v>
      </c>
      <c r="H40" s="135">
        <v>260</v>
      </c>
      <c r="I40" s="136">
        <v>80</v>
      </c>
      <c r="J40" s="300">
        <f t="shared" si="3"/>
        <v>964</v>
      </c>
    </row>
    <row r="41" spans="1:10" ht="12.75">
      <c r="A41" s="217">
        <f t="shared" si="0"/>
        <v>34</v>
      </c>
      <c r="B41" s="158" t="s">
        <v>133</v>
      </c>
      <c r="C41" s="160"/>
      <c r="D41" s="264">
        <v>284</v>
      </c>
      <c r="E41" s="135">
        <v>369</v>
      </c>
      <c r="F41" s="251">
        <v>2</v>
      </c>
      <c r="G41" s="264">
        <v>58</v>
      </c>
      <c r="H41" s="135">
        <v>260</v>
      </c>
      <c r="I41" s="136">
        <v>80</v>
      </c>
      <c r="J41" s="300">
        <f t="shared" si="3"/>
        <v>1053</v>
      </c>
    </row>
    <row r="42" spans="1:10" ht="13.5" thickBot="1">
      <c r="A42" s="217">
        <f t="shared" si="0"/>
        <v>35</v>
      </c>
      <c r="B42" s="161" t="s">
        <v>149</v>
      </c>
      <c r="C42" s="162"/>
      <c r="D42" s="265">
        <v>318</v>
      </c>
      <c r="E42" s="138">
        <v>380</v>
      </c>
      <c r="F42" s="252">
        <v>2</v>
      </c>
      <c r="G42" s="265">
        <v>68</v>
      </c>
      <c r="H42" s="138">
        <v>260</v>
      </c>
      <c r="I42" s="139">
        <v>80</v>
      </c>
      <c r="J42" s="301">
        <f t="shared" si="3"/>
        <v>1108</v>
      </c>
    </row>
    <row r="43" spans="1:10" ht="13.5" thickBot="1">
      <c r="A43" s="217">
        <f t="shared" si="0"/>
        <v>36</v>
      </c>
      <c r="B43" s="110"/>
      <c r="C43" s="109"/>
      <c r="D43" s="140"/>
      <c r="E43" s="140"/>
      <c r="F43" s="140"/>
      <c r="G43" s="264"/>
      <c r="H43" s="135"/>
      <c r="I43" s="252"/>
      <c r="J43" s="140"/>
    </row>
    <row r="44" spans="1:10" ht="13.5" thickBot="1">
      <c r="A44" s="217">
        <f t="shared" si="0"/>
        <v>37</v>
      </c>
      <c r="B44" s="112" t="s">
        <v>100</v>
      </c>
      <c r="C44" s="111"/>
      <c r="D44" s="141">
        <f aca="true" t="shared" si="4" ref="D44:I44">SUM(D31:D42)/12</f>
        <v>292.6666666666667</v>
      </c>
      <c r="E44" s="141">
        <f>SUM(E31:E42)/12</f>
        <v>340.9166666666667</v>
      </c>
      <c r="F44" s="141">
        <f>SUM(F31:F42)/12</f>
        <v>2.8333333333333335</v>
      </c>
      <c r="G44" s="302">
        <f t="shared" si="4"/>
        <v>57.083333333333336</v>
      </c>
      <c r="H44" s="141">
        <f>SUM(H31:H42)/12</f>
        <v>205.83333333333334</v>
      </c>
      <c r="I44" s="303">
        <f t="shared" si="4"/>
        <v>80</v>
      </c>
      <c r="J44" s="141">
        <f>SUM(J31:J42)/12</f>
        <v>979.3333333333334</v>
      </c>
    </row>
    <row r="45" ht="12.75">
      <c r="A45" s="217">
        <f t="shared" si="0"/>
        <v>38</v>
      </c>
    </row>
    <row r="46" spans="1:10" ht="12.75">
      <c r="A46" s="217">
        <f t="shared" si="0"/>
        <v>39</v>
      </c>
      <c r="B46" s="282" t="s">
        <v>353</v>
      </c>
      <c r="C46" s="114"/>
      <c r="D46" s="78"/>
      <c r="E46" s="78"/>
      <c r="F46" s="78"/>
      <c r="G46" s="78"/>
      <c r="H46" s="78"/>
      <c r="I46" s="78"/>
      <c r="J46" s="273"/>
    </row>
    <row r="47" spans="1:5" ht="12.75">
      <c r="A47" s="217">
        <f t="shared" si="0"/>
        <v>40</v>
      </c>
      <c r="B47" s="282" t="s">
        <v>354</v>
      </c>
      <c r="C47" s="115"/>
      <c r="D47" s="115"/>
      <c r="E47" s="115"/>
    </row>
    <row r="101" spans="8:9" ht="12.75">
      <c r="H101" s="104" t="s">
        <v>163</v>
      </c>
      <c r="I101" s="104">
        <f>+K170</f>
        <v>0</v>
      </c>
    </row>
    <row r="102" ht="12.75">
      <c r="I102" s="104">
        <f>+I101</f>
        <v>0</v>
      </c>
    </row>
  </sheetData>
  <sheetProtection/>
  <mergeCells count="4">
    <mergeCell ref="D6:H6"/>
    <mergeCell ref="D26:H26"/>
    <mergeCell ref="B3:I3"/>
    <mergeCell ref="B4:I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&amp;C&amp;"Arial MT,Bold"WORKPAPER 6
CUS LOADS
BLACK HILLS POWER, INC.&amp;RPage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Welbig, Jacki</cp:lastModifiedBy>
  <cp:lastPrinted>2015-09-29T15:23:09Z</cp:lastPrinted>
  <dcterms:created xsi:type="dcterms:W3CDTF">1997-04-03T19:40:56Z</dcterms:created>
  <dcterms:modified xsi:type="dcterms:W3CDTF">2015-10-28T16:15:18Z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